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订单跟踪表!$A$3:$X$1564</definedName>
    <definedName name="_xlnm._FilterDatabase" localSheetId="2" hidden="1">客户!$B$1:$C$171</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6" authorId="0">
      <text>
        <r>
          <rPr>
            <b/>
            <sz val="9"/>
            <rFont val="宋体"/>
            <charset val="134"/>
          </rPr>
          <t>Administrator:</t>
        </r>
        <r>
          <rPr>
            <sz val="9"/>
            <rFont val="宋体"/>
            <charset val="134"/>
          </rPr>
          <t xml:space="preserve">
2021.12.7收229.6</t>
        </r>
      </text>
    </comment>
    <comment ref="Q487" authorId="0">
      <text>
        <r>
          <rPr>
            <b/>
            <sz val="9"/>
            <rFont val="宋体"/>
            <charset val="134"/>
          </rPr>
          <t>Administrator:</t>
        </r>
        <r>
          <rPr>
            <sz val="9"/>
            <rFont val="宋体"/>
            <charset val="134"/>
          </rPr>
          <t xml:space="preserve">
2021.12.7收</t>
        </r>
      </text>
    </comment>
    <comment ref="T487" authorId="0">
      <text>
        <r>
          <rPr>
            <b/>
            <sz val="9"/>
            <rFont val="宋体"/>
            <charset val="134"/>
          </rPr>
          <t>Administrator:</t>
        </r>
        <r>
          <rPr>
            <sz val="9"/>
            <rFont val="宋体"/>
            <charset val="134"/>
          </rPr>
          <t xml:space="preserve">
2021.12.20收</t>
        </r>
      </text>
    </comment>
    <comment ref="Q488" authorId="0">
      <text>
        <r>
          <rPr>
            <b/>
            <sz val="9"/>
            <rFont val="宋体"/>
            <charset val="134"/>
          </rPr>
          <t>Administrator:</t>
        </r>
        <r>
          <rPr>
            <sz val="9"/>
            <rFont val="宋体"/>
            <charset val="134"/>
          </rPr>
          <t xml:space="preserve">
2021.12.9收6294.64</t>
        </r>
      </text>
    </comment>
    <comment ref="T488" authorId="0">
      <text>
        <r>
          <rPr>
            <b/>
            <sz val="9"/>
            <rFont val="宋体"/>
            <charset val="134"/>
          </rPr>
          <t>Administrator:</t>
        </r>
        <r>
          <rPr>
            <sz val="9"/>
            <rFont val="宋体"/>
            <charset val="134"/>
          </rPr>
          <t xml:space="preserve">
2022.2.23收14079.3</t>
        </r>
      </text>
    </comment>
    <comment ref="Q489" authorId="0">
      <text>
        <r>
          <rPr>
            <b/>
            <sz val="9"/>
            <rFont val="宋体"/>
            <charset val="134"/>
          </rPr>
          <t>Administrator:</t>
        </r>
        <r>
          <rPr>
            <sz val="9"/>
            <rFont val="宋体"/>
            <charset val="134"/>
          </rPr>
          <t xml:space="preserve">
2021.12.21收5356</t>
        </r>
      </text>
    </comment>
    <comment ref="T489" authorId="0">
      <text>
        <r>
          <rPr>
            <b/>
            <sz val="9"/>
            <rFont val="宋体"/>
            <charset val="134"/>
          </rPr>
          <t>Administrator:</t>
        </r>
        <r>
          <rPr>
            <sz val="9"/>
            <rFont val="宋体"/>
            <charset val="134"/>
          </rPr>
          <t xml:space="preserve">
2022.2.23收26714.23</t>
        </r>
      </text>
    </comment>
    <comment ref="P490" authorId="0">
      <text>
        <r>
          <rPr>
            <b/>
            <sz val="9"/>
            <rFont val="宋体"/>
            <charset val="134"/>
          </rPr>
          <t>Administrator:</t>
        </r>
        <r>
          <rPr>
            <sz val="9"/>
            <rFont val="宋体"/>
            <charset val="134"/>
          </rPr>
          <t xml:space="preserve">
按26333付款  多付324.8 实际发货26008.2
甩货已付</t>
        </r>
      </text>
    </comment>
    <comment ref="Q490" authorId="0">
      <text>
        <r>
          <rPr>
            <b/>
            <sz val="9"/>
            <rFont val="宋体"/>
            <charset val="134"/>
          </rPr>
          <t>Administrator:</t>
        </r>
        <r>
          <rPr>
            <sz val="9"/>
            <rFont val="宋体"/>
            <charset val="134"/>
          </rPr>
          <t xml:space="preserve">
2021.12.13收9992</t>
        </r>
      </text>
    </comment>
    <comment ref="T490" authorId="0">
      <text>
        <r>
          <rPr>
            <b/>
            <sz val="9"/>
            <rFont val="宋体"/>
            <charset val="134"/>
          </rPr>
          <t>Administrator:</t>
        </r>
        <r>
          <rPr>
            <sz val="9"/>
            <rFont val="宋体"/>
            <charset val="134"/>
          </rPr>
          <t xml:space="preserve">
2022.1.20收16319.93</t>
        </r>
      </text>
    </comment>
    <comment ref="Q491" authorId="0">
      <text>
        <r>
          <rPr>
            <b/>
            <sz val="9"/>
            <rFont val="宋体"/>
            <charset val="134"/>
          </rPr>
          <t>Administrator:</t>
        </r>
        <r>
          <rPr>
            <sz val="9"/>
            <rFont val="宋体"/>
            <charset val="134"/>
          </rPr>
          <t xml:space="preserve">
2021.12.17收19800美金作为J4195 J4196定金</t>
        </r>
      </text>
    </comment>
    <comment ref="T491" authorId="0">
      <text>
        <r>
          <rPr>
            <b/>
            <sz val="9"/>
            <rFont val="宋体"/>
            <charset val="134"/>
          </rPr>
          <t>Administrator:</t>
        </r>
        <r>
          <rPr>
            <sz val="9"/>
            <rFont val="宋体"/>
            <charset val="134"/>
          </rPr>
          <t xml:space="preserve">
2022.3.7收23780.6</t>
        </r>
      </text>
    </comment>
    <comment ref="T492" authorId="0">
      <text>
        <r>
          <rPr>
            <b/>
            <sz val="9"/>
            <rFont val="宋体"/>
            <charset val="134"/>
          </rPr>
          <t>Administrator:</t>
        </r>
        <r>
          <rPr>
            <sz val="9"/>
            <rFont val="宋体"/>
            <charset val="134"/>
          </rPr>
          <t xml:space="preserve">
2022.3.15收23685.9</t>
        </r>
      </text>
    </comment>
    <comment ref="T493" authorId="0">
      <text>
        <r>
          <rPr>
            <b/>
            <sz val="9"/>
            <rFont val="宋体"/>
            <charset val="134"/>
          </rPr>
          <t>Administrator:</t>
        </r>
        <r>
          <rPr>
            <sz val="9"/>
            <rFont val="宋体"/>
            <charset val="134"/>
          </rPr>
          <t xml:space="preserve">
2022.1.26收32545.16</t>
        </r>
      </text>
    </comment>
    <comment ref="Q494" authorId="0">
      <text>
        <r>
          <rPr>
            <b/>
            <sz val="9"/>
            <rFont val="宋体"/>
            <charset val="134"/>
          </rPr>
          <t>Administrator:</t>
        </r>
        <r>
          <rPr>
            <sz val="9"/>
            <rFont val="宋体"/>
            <charset val="134"/>
          </rPr>
          <t xml:space="preserve">
2021.12.24收9992
J4190多付324.8美金</t>
        </r>
      </text>
    </comment>
    <comment ref="T494" authorId="0">
      <text>
        <r>
          <rPr>
            <b/>
            <sz val="9"/>
            <rFont val="宋体"/>
            <charset val="134"/>
          </rPr>
          <t>Administrator:</t>
        </r>
        <r>
          <rPr>
            <sz val="9"/>
            <rFont val="宋体"/>
            <charset val="134"/>
          </rPr>
          <t xml:space="preserve">
2022.4.12收24452.67
包含J4252定金1万美金</t>
        </r>
      </text>
    </comment>
    <comment ref="Q495" authorId="0">
      <text>
        <r>
          <rPr>
            <b/>
            <sz val="9"/>
            <rFont val="宋体"/>
            <charset val="134"/>
          </rPr>
          <t>Administrator:</t>
        </r>
        <r>
          <rPr>
            <sz val="9"/>
            <rFont val="宋体"/>
            <charset val="134"/>
          </rPr>
          <t xml:space="preserve">
2021.12.29收24780
水单24780 4054.94用于J4137-2尾款
2022.1.11收5055
25780.06=24780-4054.94+5055</t>
        </r>
      </text>
    </comment>
    <comment ref="T495" authorId="0">
      <text>
        <r>
          <rPr>
            <b/>
            <sz val="9"/>
            <rFont val="宋体"/>
            <charset val="134"/>
          </rPr>
          <t>Administrator:</t>
        </r>
        <r>
          <rPr>
            <sz val="9"/>
            <rFont val="宋体"/>
            <charset val="134"/>
          </rPr>
          <t xml:space="preserve">
2022.4.1收20797.41</t>
        </r>
      </text>
    </comment>
    <comment ref="T496" authorId="0">
      <text>
        <r>
          <rPr>
            <b/>
            <sz val="9"/>
            <rFont val="宋体"/>
            <charset val="134"/>
          </rPr>
          <t>Administrator:</t>
        </r>
        <r>
          <rPr>
            <sz val="9"/>
            <rFont val="宋体"/>
            <charset val="134"/>
          </rPr>
          <t xml:space="preserve">
2022.4.26收20836.41</t>
        </r>
      </text>
    </comment>
    <comment ref="Q498" authorId="0">
      <text>
        <r>
          <rPr>
            <b/>
            <sz val="9"/>
            <rFont val="宋体"/>
            <charset val="134"/>
          </rPr>
          <t>Administrator:</t>
        </r>
        <r>
          <rPr>
            <sz val="9"/>
            <rFont val="宋体"/>
            <charset val="134"/>
          </rPr>
          <t xml:space="preserve">
2022.1.19收6500</t>
        </r>
      </text>
    </comment>
    <comment ref="T498" authorId="0">
      <text>
        <r>
          <rPr>
            <b/>
            <sz val="9"/>
            <rFont val="宋体"/>
            <charset val="134"/>
          </rPr>
          <t>Administrator:</t>
        </r>
        <r>
          <rPr>
            <sz val="9"/>
            <rFont val="宋体"/>
            <charset val="134"/>
          </rPr>
          <t xml:space="preserve">
2022.4.19收15162.8</t>
        </r>
      </text>
    </comment>
    <comment ref="Q499" authorId="0">
      <text>
        <r>
          <rPr>
            <b/>
            <sz val="9"/>
            <rFont val="宋体"/>
            <charset val="134"/>
          </rPr>
          <t>Administrator:</t>
        </r>
        <r>
          <rPr>
            <sz val="9"/>
            <rFont val="宋体"/>
            <charset val="134"/>
          </rPr>
          <t xml:space="preserve">
2022.2.11收10300</t>
        </r>
      </text>
    </comment>
    <comment ref="T499" authorId="0">
      <text>
        <r>
          <rPr>
            <b/>
            <sz val="9"/>
            <rFont val="宋体"/>
            <charset val="134"/>
          </rPr>
          <t>Administrator:</t>
        </r>
        <r>
          <rPr>
            <sz val="9"/>
            <rFont val="宋体"/>
            <charset val="134"/>
          </rPr>
          <t xml:space="preserve">
2022.4.1收9900</t>
        </r>
      </text>
    </comment>
    <comment ref="U499" authorId="0">
      <text>
        <r>
          <rPr>
            <b/>
            <sz val="9"/>
            <rFont val="宋体"/>
            <charset val="134"/>
          </rPr>
          <t>Administrator:</t>
        </r>
        <r>
          <rPr>
            <sz val="9"/>
            <rFont val="宋体"/>
            <charset val="134"/>
          </rPr>
          <t xml:space="preserve">
2022.4.1收14064.64  多一百美金转移到J4227</t>
        </r>
      </text>
    </comment>
    <comment ref="Q500" authorId="0">
      <text>
        <r>
          <rPr>
            <b/>
            <sz val="9"/>
            <rFont val="宋体"/>
            <charset val="134"/>
          </rPr>
          <t>Administrator:</t>
        </r>
        <r>
          <rPr>
            <sz val="9"/>
            <rFont val="宋体"/>
            <charset val="134"/>
          </rPr>
          <t xml:space="preserve">
2022.1.25收4995</t>
        </r>
      </text>
    </comment>
    <comment ref="Q501" authorId="0">
      <text>
        <r>
          <rPr>
            <b/>
            <sz val="9"/>
            <rFont val="宋体"/>
            <charset val="134"/>
          </rPr>
          <t>Administrator:</t>
        </r>
        <r>
          <rPr>
            <sz val="9"/>
            <rFont val="宋体"/>
            <charset val="134"/>
          </rPr>
          <t xml:space="preserve">
2022.2.14收5674.3</t>
        </r>
      </text>
    </comment>
    <comment ref="T501" authorId="0">
      <text>
        <r>
          <rPr>
            <b/>
            <sz val="9"/>
            <rFont val="宋体"/>
            <charset val="134"/>
          </rPr>
          <t>Administrator:</t>
        </r>
        <r>
          <rPr>
            <sz val="9"/>
            <rFont val="宋体"/>
            <charset val="134"/>
          </rPr>
          <t xml:space="preserve">
2022.4.20收28689.49</t>
        </r>
      </text>
    </comment>
    <comment ref="Q502" authorId="0">
      <text>
        <r>
          <rPr>
            <b/>
            <sz val="9"/>
            <rFont val="宋体"/>
            <charset val="134"/>
          </rPr>
          <t>Administrator:</t>
        </r>
        <r>
          <rPr>
            <sz val="9"/>
            <rFont val="宋体"/>
            <charset val="134"/>
          </rPr>
          <t xml:space="preserve">
2022.2.28收9951.67</t>
        </r>
      </text>
    </comment>
    <comment ref="T503" authorId="0">
      <text>
        <r>
          <rPr>
            <b/>
            <sz val="9"/>
            <rFont val="宋体"/>
            <charset val="134"/>
          </rPr>
          <t>Administrator:</t>
        </r>
        <r>
          <rPr>
            <sz val="9"/>
            <rFont val="宋体"/>
            <charset val="134"/>
          </rPr>
          <t xml:space="preserve">
2022.6.13收62667</t>
        </r>
      </text>
    </comment>
    <comment ref="Q504" authorId="0">
      <text>
        <r>
          <rPr>
            <b/>
            <sz val="9"/>
            <rFont val="宋体"/>
            <charset val="134"/>
          </rPr>
          <t>Administrator:</t>
        </r>
        <r>
          <rPr>
            <sz val="9"/>
            <rFont val="宋体"/>
            <charset val="134"/>
          </rPr>
          <t xml:space="preserve">
2022.2.10收</t>
        </r>
      </text>
    </comment>
    <comment ref="Q505" authorId="0">
      <text>
        <r>
          <rPr>
            <b/>
            <sz val="9"/>
            <rFont val="宋体"/>
            <charset val="134"/>
          </rPr>
          <t>Administrator:</t>
        </r>
        <r>
          <rPr>
            <sz val="9"/>
            <rFont val="宋体"/>
            <charset val="134"/>
          </rPr>
          <t xml:space="preserve">
2022.2.18收9419</t>
        </r>
      </text>
    </comment>
    <comment ref="Q506" authorId="0">
      <text>
        <r>
          <rPr>
            <b/>
            <sz val="9"/>
            <rFont val="宋体"/>
            <charset val="134"/>
          </rPr>
          <t>Administrator:</t>
        </r>
        <r>
          <rPr>
            <sz val="9"/>
            <rFont val="宋体"/>
            <charset val="134"/>
          </rPr>
          <t xml:space="preserve">
2022.2.16收7956</t>
        </r>
      </text>
    </comment>
    <comment ref="T506" authorId="0">
      <text>
        <r>
          <rPr>
            <b/>
            <sz val="9"/>
            <rFont val="宋体"/>
            <charset val="134"/>
          </rPr>
          <t>Administrator:</t>
        </r>
        <r>
          <rPr>
            <sz val="9"/>
            <rFont val="宋体"/>
            <charset val="134"/>
          </rPr>
          <t xml:space="preserve">
2022.6.21收24205.9</t>
        </r>
      </text>
    </comment>
    <comment ref="T507" authorId="0">
      <text>
        <r>
          <rPr>
            <b/>
            <sz val="9"/>
            <rFont val="宋体"/>
            <charset val="134"/>
          </rPr>
          <t>Administrator:</t>
        </r>
        <r>
          <rPr>
            <sz val="9"/>
            <rFont val="宋体"/>
            <charset val="134"/>
          </rPr>
          <t xml:space="preserve">
2022.5.17收28446.53
水单28480.53  多付112美金转到J4308</t>
        </r>
      </text>
    </comment>
    <comment ref="T508" authorId="0">
      <text>
        <r>
          <rPr>
            <b/>
            <sz val="9"/>
            <rFont val="宋体"/>
            <charset val="134"/>
          </rPr>
          <t>Administrator:</t>
        </r>
        <r>
          <rPr>
            <sz val="9"/>
            <rFont val="宋体"/>
            <charset val="134"/>
          </rPr>
          <t xml:space="preserve">
2022.4.29收28884</t>
        </r>
      </text>
    </comment>
    <comment ref="Q509" authorId="0">
      <text>
        <r>
          <rPr>
            <b/>
            <sz val="9"/>
            <rFont val="宋体"/>
            <charset val="134"/>
          </rPr>
          <t>Administrator:</t>
        </r>
        <r>
          <rPr>
            <sz val="9"/>
            <rFont val="宋体"/>
            <charset val="134"/>
          </rPr>
          <t xml:space="preserve">
2022.2.23收10400
100美金来自J4214
</t>
        </r>
      </text>
    </comment>
    <comment ref="T509" authorId="0">
      <text>
        <r>
          <rPr>
            <b/>
            <sz val="9"/>
            <rFont val="宋体"/>
            <charset val="134"/>
          </rPr>
          <t>Administrator:</t>
        </r>
        <r>
          <rPr>
            <sz val="9"/>
            <rFont val="宋体"/>
            <charset val="134"/>
          </rPr>
          <t xml:space="preserve">
2022.5.3收27442.17</t>
        </r>
      </text>
    </comment>
    <comment ref="Q510" authorId="0">
      <text>
        <r>
          <rPr>
            <b/>
            <sz val="9"/>
            <rFont val="宋体"/>
            <charset val="134"/>
          </rPr>
          <t>Administrator:</t>
        </r>
        <r>
          <rPr>
            <sz val="9"/>
            <rFont val="宋体"/>
            <charset val="134"/>
          </rPr>
          <t xml:space="preserve">
来自J3762</t>
        </r>
      </text>
    </comment>
    <comment ref="Q511" authorId="0">
      <text>
        <r>
          <rPr>
            <b/>
            <sz val="9"/>
            <rFont val="宋体"/>
            <charset val="134"/>
          </rPr>
          <t>Administrator:</t>
        </r>
        <r>
          <rPr>
            <sz val="9"/>
            <rFont val="宋体"/>
            <charset val="134"/>
          </rPr>
          <t xml:space="preserve">
2022.3.1收9971</t>
        </r>
      </text>
    </comment>
    <comment ref="T511" authorId="0">
      <text>
        <r>
          <rPr>
            <b/>
            <sz val="9"/>
            <rFont val="宋体"/>
            <charset val="134"/>
          </rPr>
          <t>Administrator:</t>
        </r>
        <r>
          <rPr>
            <sz val="9"/>
            <rFont val="宋体"/>
            <charset val="134"/>
          </rPr>
          <t xml:space="preserve">
2022.6.7收19557.8</t>
        </r>
      </text>
    </comment>
    <comment ref="Q512" authorId="0">
      <text>
        <r>
          <rPr>
            <b/>
            <sz val="9"/>
            <rFont val="宋体"/>
            <charset val="134"/>
          </rPr>
          <t>Administrator:</t>
        </r>
        <r>
          <rPr>
            <sz val="9"/>
            <rFont val="宋体"/>
            <charset val="134"/>
          </rPr>
          <t xml:space="preserve">
2022.2.24收</t>
        </r>
      </text>
    </comment>
    <comment ref="T512" authorId="0">
      <text>
        <r>
          <rPr>
            <b/>
            <sz val="9"/>
            <rFont val="宋体"/>
            <charset val="134"/>
          </rPr>
          <t>Administrator:</t>
        </r>
        <r>
          <rPr>
            <sz val="9"/>
            <rFont val="宋体"/>
            <charset val="134"/>
          </rPr>
          <t xml:space="preserve">
2022.5.31收24216</t>
        </r>
      </text>
    </comment>
    <comment ref="Q513" authorId="0">
      <text>
        <r>
          <rPr>
            <b/>
            <sz val="9"/>
            <rFont val="宋体"/>
            <charset val="134"/>
          </rPr>
          <t>Administrator:</t>
        </r>
        <r>
          <rPr>
            <sz val="9"/>
            <rFont val="宋体"/>
            <charset val="134"/>
          </rPr>
          <t xml:space="preserve">
2022.3.4收28260</t>
        </r>
      </text>
    </comment>
    <comment ref="T514" authorId="0">
      <text>
        <r>
          <rPr>
            <b/>
            <sz val="9"/>
            <rFont val="宋体"/>
            <charset val="134"/>
          </rPr>
          <t>Administrator:</t>
        </r>
        <r>
          <rPr>
            <sz val="9"/>
            <rFont val="宋体"/>
            <charset val="134"/>
          </rPr>
          <t xml:space="preserve">
2022.6.8收13984.8+14345.2</t>
        </r>
      </text>
    </comment>
    <comment ref="U514" authorId="0">
      <text>
        <r>
          <rPr>
            <b/>
            <sz val="9"/>
            <rFont val="宋体"/>
            <charset val="134"/>
          </rPr>
          <t>Administrator:</t>
        </r>
        <r>
          <rPr>
            <sz val="9"/>
            <rFont val="宋体"/>
            <charset val="134"/>
          </rPr>
          <t xml:space="preserve">
2022.6.8收21068</t>
        </r>
      </text>
    </comment>
    <comment ref="Q516" authorId="0">
      <text>
        <r>
          <rPr>
            <b/>
            <sz val="9"/>
            <rFont val="宋体"/>
            <charset val="134"/>
          </rPr>
          <t>Administrator:</t>
        </r>
        <r>
          <rPr>
            <sz val="9"/>
            <rFont val="宋体"/>
            <charset val="134"/>
          </rPr>
          <t xml:space="preserve">
2022.4.29收4792水单5千 1571用于J4823 3429用于J4236
</t>
        </r>
      </text>
    </comment>
    <comment ref="Q517" authorId="0">
      <text>
        <r>
          <rPr>
            <b/>
            <sz val="9"/>
            <rFont val="宋体"/>
            <charset val="134"/>
          </rPr>
          <t>Administrator:</t>
        </r>
        <r>
          <rPr>
            <sz val="9"/>
            <rFont val="宋体"/>
            <charset val="134"/>
          </rPr>
          <t xml:space="preserve">
2022.3.10收20500作为J4243 J4244定金</t>
        </r>
      </text>
    </comment>
    <comment ref="T517" authorId="0">
      <text>
        <r>
          <rPr>
            <b/>
            <sz val="9"/>
            <rFont val="宋体"/>
            <charset val="134"/>
          </rPr>
          <t>Administrator:</t>
        </r>
        <r>
          <rPr>
            <sz val="9"/>
            <rFont val="宋体"/>
            <charset val="134"/>
          </rPr>
          <t xml:space="preserve">
2022.6.9收27780.12</t>
        </r>
      </text>
    </comment>
    <comment ref="T518" authorId="0">
      <text>
        <r>
          <rPr>
            <b/>
            <sz val="9"/>
            <rFont val="宋体"/>
            <charset val="134"/>
          </rPr>
          <t>Administrator:</t>
        </r>
        <r>
          <rPr>
            <sz val="9"/>
            <rFont val="宋体"/>
            <charset val="134"/>
          </rPr>
          <t xml:space="preserve">
2022.6.17收24871.68</t>
        </r>
      </text>
    </comment>
    <comment ref="Q519" authorId="0">
      <text>
        <r>
          <rPr>
            <b/>
            <sz val="9"/>
            <rFont val="宋体"/>
            <charset val="134"/>
          </rPr>
          <t>Administrator:</t>
        </r>
        <r>
          <rPr>
            <sz val="9"/>
            <rFont val="宋体"/>
            <charset val="134"/>
          </rPr>
          <t xml:space="preserve">
2022.3.2收17953</t>
        </r>
      </text>
    </comment>
    <comment ref="Q520" authorId="0">
      <text>
        <r>
          <rPr>
            <b/>
            <sz val="9"/>
            <rFont val="宋体"/>
            <charset val="134"/>
          </rPr>
          <t>Administrator:</t>
        </r>
        <r>
          <rPr>
            <sz val="9"/>
            <rFont val="宋体"/>
            <charset val="134"/>
          </rPr>
          <t xml:space="preserve">
2022.4.12收
和J4203尾款一起付的</t>
        </r>
      </text>
    </comment>
    <comment ref="Q521" authorId="0">
      <text>
        <r>
          <rPr>
            <b/>
            <sz val="9"/>
            <rFont val="宋体"/>
            <charset val="134"/>
          </rPr>
          <t>Administrator:</t>
        </r>
        <r>
          <rPr>
            <sz val="9"/>
            <rFont val="宋体"/>
            <charset val="134"/>
          </rPr>
          <t xml:space="preserve">
2022.3.22收9981.8</t>
        </r>
      </text>
    </comment>
    <comment ref="Q522" authorId="0">
      <text>
        <r>
          <rPr>
            <b/>
            <sz val="9"/>
            <rFont val="宋体"/>
            <charset val="134"/>
          </rPr>
          <t>Administrator:</t>
        </r>
        <r>
          <rPr>
            <sz val="9"/>
            <rFont val="宋体"/>
            <charset val="134"/>
          </rPr>
          <t xml:space="preserve">
2022.3.28收10751.19</t>
        </r>
      </text>
    </comment>
    <comment ref="T522" authorId="0">
      <text>
        <r>
          <rPr>
            <b/>
            <sz val="9"/>
            <rFont val="宋体"/>
            <charset val="134"/>
          </rPr>
          <t>Administrator:</t>
        </r>
        <r>
          <rPr>
            <sz val="9"/>
            <rFont val="宋体"/>
            <charset val="134"/>
          </rPr>
          <t xml:space="preserve">
2022.5.31收77246.61</t>
        </r>
      </text>
    </comment>
    <comment ref="Q523" authorId="0">
      <text>
        <r>
          <rPr>
            <b/>
            <sz val="9"/>
            <rFont val="宋体"/>
            <charset val="134"/>
          </rPr>
          <t>Administrator:</t>
        </r>
        <r>
          <rPr>
            <sz val="9"/>
            <rFont val="宋体"/>
            <charset val="134"/>
          </rPr>
          <t xml:space="preserve">
2022.6.6收5547.98</t>
        </r>
      </text>
    </comment>
    <comment ref="Q524" authorId="0">
      <text>
        <r>
          <rPr>
            <b/>
            <sz val="9"/>
            <rFont val="宋体"/>
            <charset val="134"/>
          </rPr>
          <t>Administrator:</t>
        </r>
        <r>
          <rPr>
            <sz val="9"/>
            <rFont val="宋体"/>
            <charset val="134"/>
          </rPr>
          <t xml:space="preserve">
2022.3.28收5737</t>
        </r>
      </text>
    </comment>
    <comment ref="Q525" authorId="0">
      <text>
        <r>
          <rPr>
            <b/>
            <sz val="9"/>
            <rFont val="宋体"/>
            <charset val="134"/>
          </rPr>
          <t>Administrator:</t>
        </r>
        <r>
          <rPr>
            <sz val="9"/>
            <rFont val="宋体"/>
            <charset val="134"/>
          </rPr>
          <t xml:space="preserve">
2022.3.29收9710.28</t>
        </r>
      </text>
    </comment>
    <comment ref="Q527" authorId="0">
      <text>
        <r>
          <rPr>
            <b/>
            <sz val="9"/>
            <rFont val="宋体"/>
            <charset val="134"/>
          </rPr>
          <t>Administrator:</t>
        </r>
        <r>
          <rPr>
            <sz val="9"/>
            <rFont val="宋体"/>
            <charset val="134"/>
          </rPr>
          <t xml:space="preserve">
2022.6.6收3869.72</t>
        </r>
      </text>
    </comment>
    <comment ref="T527" authorId="0">
      <text>
        <r>
          <rPr>
            <b/>
            <sz val="9"/>
            <rFont val="宋体"/>
            <charset val="134"/>
          </rPr>
          <t>Administrator:</t>
        </r>
        <r>
          <rPr>
            <sz val="9"/>
            <rFont val="宋体"/>
            <charset val="134"/>
          </rPr>
          <t xml:space="preserve">
见J4255尾款一起付了77246</t>
        </r>
      </text>
    </comment>
    <comment ref="U527" authorId="0">
      <text>
        <r>
          <rPr>
            <b/>
            <sz val="9"/>
            <rFont val="宋体"/>
            <charset val="134"/>
          </rPr>
          <t>Administrator:</t>
        </r>
        <r>
          <rPr>
            <sz val="9"/>
            <rFont val="宋体"/>
            <charset val="134"/>
          </rPr>
          <t xml:space="preserve">
2022.6.9收1046.71
定金退回收取手续费CAD25 咱们付</t>
        </r>
      </text>
    </comment>
    <comment ref="Q528" authorId="0">
      <text>
        <r>
          <rPr>
            <b/>
            <sz val="9"/>
            <rFont val="宋体"/>
            <charset val="134"/>
          </rPr>
          <t>Administrator:</t>
        </r>
        <r>
          <rPr>
            <sz val="9"/>
            <rFont val="宋体"/>
            <charset val="134"/>
          </rPr>
          <t xml:space="preserve">
2022.4.20收14951.7
2022.4.27收14951.7
</t>
        </r>
      </text>
    </comment>
    <comment ref="T528" authorId="0">
      <text>
        <r>
          <rPr>
            <b/>
            <sz val="9"/>
            <rFont val="宋体"/>
            <charset val="134"/>
          </rPr>
          <t>Administrator:</t>
        </r>
        <r>
          <rPr>
            <sz val="9"/>
            <rFont val="宋体"/>
            <charset val="134"/>
          </rPr>
          <t xml:space="preserve">
2022.5.17收RMB251819 汇率6.715 折合$37500</t>
        </r>
      </text>
    </comment>
    <comment ref="Q529" authorId="0">
      <text>
        <r>
          <rPr>
            <b/>
            <sz val="9"/>
            <rFont val="宋体"/>
            <charset val="134"/>
          </rPr>
          <t>Administrator:</t>
        </r>
        <r>
          <rPr>
            <sz val="9"/>
            <rFont val="宋体"/>
            <charset val="134"/>
          </rPr>
          <t xml:space="preserve">
2022.4.19收24980</t>
        </r>
      </text>
    </comment>
    <comment ref="Q530" authorId="0">
      <text>
        <r>
          <rPr>
            <b/>
            <sz val="9"/>
            <rFont val="宋体"/>
            <charset val="134"/>
          </rPr>
          <t>Administrator:</t>
        </r>
        <r>
          <rPr>
            <sz val="9"/>
            <rFont val="宋体"/>
            <charset val="134"/>
          </rPr>
          <t xml:space="preserve">
2022.4.19收</t>
        </r>
      </text>
    </comment>
    <comment ref="T530" authorId="0">
      <text>
        <r>
          <rPr>
            <b/>
            <sz val="9"/>
            <rFont val="宋体"/>
            <charset val="134"/>
          </rPr>
          <t>Administrator:</t>
        </r>
        <r>
          <rPr>
            <sz val="9"/>
            <rFont val="宋体"/>
            <charset val="134"/>
          </rPr>
          <t xml:space="preserve">
2022.4.27收</t>
        </r>
      </text>
    </comment>
    <comment ref="Q531" authorId="0">
      <text>
        <r>
          <rPr>
            <b/>
            <sz val="9"/>
            <rFont val="宋体"/>
            <charset val="134"/>
          </rPr>
          <t>Administrator:</t>
        </r>
        <r>
          <rPr>
            <sz val="9"/>
            <rFont val="宋体"/>
            <charset val="134"/>
          </rPr>
          <t xml:space="preserve">
2022.4.25收11740.05 作为J4277 4278 4279定金</t>
        </r>
      </text>
    </comment>
    <comment ref="Q534" authorId="0">
      <text>
        <r>
          <rPr>
            <b/>
            <sz val="9"/>
            <rFont val="宋体"/>
            <charset val="134"/>
          </rPr>
          <t>Administrator:</t>
        </r>
        <r>
          <rPr>
            <sz val="9"/>
            <rFont val="宋体"/>
            <charset val="134"/>
          </rPr>
          <t xml:space="preserve">
2022.4.20收</t>
        </r>
      </text>
    </comment>
    <comment ref="T534" authorId="0">
      <text>
        <r>
          <rPr>
            <b/>
            <sz val="9"/>
            <rFont val="宋体"/>
            <charset val="134"/>
          </rPr>
          <t>Administrator:</t>
        </r>
        <r>
          <rPr>
            <sz val="9"/>
            <rFont val="宋体"/>
            <charset val="134"/>
          </rPr>
          <t xml:space="preserve">
2022.5.26付款
含3825运费</t>
        </r>
      </text>
    </comment>
    <comment ref="Q536" authorId="0">
      <text>
        <r>
          <rPr>
            <b/>
            <sz val="9"/>
            <rFont val="宋体"/>
            <charset val="134"/>
          </rPr>
          <t>Administrator:</t>
        </r>
        <r>
          <rPr>
            <sz val="9"/>
            <rFont val="宋体"/>
            <charset val="134"/>
          </rPr>
          <t xml:space="preserve">
2022.4.29收4792水单5千 1571用于J4823 3429用于J4236
</t>
        </r>
      </text>
    </comment>
    <comment ref="Q537" authorId="0">
      <text>
        <r>
          <rPr>
            <b/>
            <sz val="9"/>
            <rFont val="宋体"/>
            <charset val="134"/>
          </rPr>
          <t>Administrator:</t>
        </r>
        <r>
          <rPr>
            <sz val="9"/>
            <rFont val="宋体"/>
            <charset val="134"/>
          </rPr>
          <t xml:space="preserve">
2022.5.5收14200</t>
        </r>
      </text>
    </comment>
    <comment ref="Q538" authorId="0">
      <text>
        <r>
          <rPr>
            <b/>
            <sz val="9"/>
            <rFont val="宋体"/>
            <charset val="134"/>
          </rPr>
          <t>Administrator:</t>
        </r>
        <r>
          <rPr>
            <sz val="9"/>
            <rFont val="宋体"/>
            <charset val="134"/>
          </rPr>
          <t xml:space="preserve">
2022.5.5收5856.36</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2022.5.6收11172.41作为J4288 4289定金</t>
        </r>
      </text>
    </comment>
    <comment ref="Q541" authorId="0">
      <text>
        <r>
          <rPr>
            <b/>
            <sz val="9"/>
            <rFont val="宋体"/>
            <charset val="134"/>
          </rPr>
          <t>Administrator:</t>
        </r>
        <r>
          <rPr>
            <sz val="9"/>
            <rFont val="宋体"/>
            <charset val="134"/>
          </rPr>
          <t xml:space="preserve">
2022.5.18收20000</t>
        </r>
      </text>
    </comment>
    <comment ref="Q543" authorId="0">
      <text>
        <r>
          <rPr>
            <b/>
            <sz val="9"/>
            <rFont val="宋体"/>
            <charset val="134"/>
          </rPr>
          <t>Administrator:</t>
        </r>
        <r>
          <rPr>
            <sz val="9"/>
            <rFont val="宋体"/>
            <charset val="134"/>
          </rPr>
          <t xml:space="preserve">
2022.5.31收36626</t>
        </r>
      </text>
    </comment>
    <comment ref="Q544" authorId="0">
      <text>
        <r>
          <rPr>
            <b/>
            <sz val="9"/>
            <rFont val="宋体"/>
            <charset val="134"/>
          </rPr>
          <t>Administrator:</t>
        </r>
        <r>
          <rPr>
            <sz val="9"/>
            <rFont val="宋体"/>
            <charset val="134"/>
          </rPr>
          <t xml:space="preserve">
2022.5.28收7993.6</t>
        </r>
      </text>
    </comment>
    <comment ref="Q548" authorId="0">
      <text>
        <r>
          <rPr>
            <b/>
            <sz val="9"/>
            <rFont val="宋体"/>
            <charset val="134"/>
          </rPr>
          <t>Administrator:</t>
        </r>
        <r>
          <rPr>
            <sz val="9"/>
            <rFont val="宋体"/>
            <charset val="134"/>
          </rPr>
          <t xml:space="preserve">
2022.6.1收9400</t>
        </r>
      </text>
    </comment>
    <comment ref="Q549" authorId="0">
      <text>
        <r>
          <rPr>
            <b/>
            <sz val="9"/>
            <rFont val="宋体"/>
            <charset val="134"/>
          </rPr>
          <t>Administrator:</t>
        </r>
        <r>
          <rPr>
            <sz val="9"/>
            <rFont val="宋体"/>
            <charset val="134"/>
          </rPr>
          <t xml:space="preserve">
2022.6.6收7525</t>
        </r>
      </text>
    </comment>
    <comment ref="P550"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Q552" authorId="0">
      <text>
        <r>
          <rPr>
            <b/>
            <sz val="9"/>
            <rFont val="宋体"/>
            <charset val="134"/>
          </rPr>
          <t>Administrator:</t>
        </r>
        <r>
          <rPr>
            <sz val="9"/>
            <rFont val="宋体"/>
            <charset val="134"/>
          </rPr>
          <t xml:space="preserve">
2022.6.17收9091.5</t>
        </r>
      </text>
    </comment>
    <comment ref="T555" authorId="0">
      <text>
        <r>
          <rPr>
            <b/>
            <sz val="9"/>
            <rFont val="宋体"/>
            <charset val="134"/>
          </rPr>
          <t>Administrator:</t>
        </r>
        <r>
          <rPr>
            <sz val="9"/>
            <rFont val="宋体"/>
            <charset val="134"/>
          </rPr>
          <t xml:space="preserve">
19.12.17 J3552+X3558 应付4480.5+3034.84共收到7473.50</t>
        </r>
      </text>
    </comment>
    <comment ref="T560" authorId="0">
      <text>
        <r>
          <rPr>
            <b/>
            <sz val="9"/>
            <rFont val="宋体"/>
            <charset val="134"/>
          </rPr>
          <t>Administrator:</t>
        </r>
        <r>
          <rPr>
            <sz val="9"/>
            <rFont val="宋体"/>
            <charset val="134"/>
          </rPr>
          <t xml:space="preserve">
手续费134</t>
        </r>
      </text>
    </comment>
    <comment ref="Q562" authorId="0">
      <text>
        <r>
          <rPr>
            <b/>
            <sz val="9"/>
            <rFont val="宋体"/>
            <charset val="134"/>
          </rPr>
          <t>Administrator:</t>
        </r>
        <r>
          <rPr>
            <sz val="9"/>
            <rFont val="宋体"/>
            <charset val="134"/>
          </rPr>
          <t xml:space="preserve">
实收13151</t>
        </r>
      </text>
    </comment>
    <comment ref="T562" authorId="0">
      <text>
        <r>
          <rPr>
            <b/>
            <sz val="9"/>
            <rFont val="宋体"/>
            <charset val="134"/>
          </rPr>
          <t>Administrator:</t>
        </r>
        <r>
          <rPr>
            <sz val="9"/>
            <rFont val="宋体"/>
            <charset val="134"/>
          </rPr>
          <t xml:space="preserve">
应付32962.79</t>
        </r>
      </text>
    </comment>
    <comment ref="T563" authorId="0">
      <text>
        <r>
          <rPr>
            <b/>
            <sz val="9"/>
            <rFont val="宋体"/>
            <charset val="134"/>
          </rPr>
          <t xml:space="preserve">Administrator
</t>
        </r>
        <r>
          <rPr>
            <sz val="9"/>
            <rFont val="宋体"/>
            <charset val="134"/>
          </rPr>
          <t>手续费166</t>
        </r>
      </text>
    </comment>
    <comment ref="T564" authorId="0">
      <text>
        <r>
          <rPr>
            <b/>
            <sz val="9"/>
            <rFont val="宋体"/>
            <charset val="134"/>
          </rPr>
          <t>Administrator:</t>
        </r>
        <r>
          <rPr>
            <sz val="9"/>
            <rFont val="宋体"/>
            <charset val="134"/>
          </rPr>
          <t xml:space="preserve">
2020.4.1收到
银行托收手续费201美金</t>
        </r>
      </text>
    </comment>
    <comment ref="Q565" authorId="0">
      <text>
        <r>
          <rPr>
            <b/>
            <sz val="9"/>
            <rFont val="宋体"/>
            <charset val="134"/>
          </rPr>
          <t>Administrator:</t>
        </r>
        <r>
          <rPr>
            <sz val="9"/>
            <rFont val="宋体"/>
            <charset val="134"/>
          </rPr>
          <t xml:space="preserve">
付了13111收到13047.69</t>
        </r>
      </text>
    </comment>
    <comment ref="Q566" authorId="0">
      <text>
        <r>
          <rPr>
            <b/>
            <sz val="9"/>
            <rFont val="宋体"/>
            <charset val="134"/>
          </rPr>
          <t>Administrator:</t>
        </r>
        <r>
          <rPr>
            <sz val="9"/>
            <rFont val="宋体"/>
            <charset val="134"/>
          </rPr>
          <t xml:space="preserve">
2019.11.26 实收5075.5</t>
        </r>
      </text>
    </comment>
    <comment ref="T566" authorId="0">
      <text>
        <r>
          <rPr>
            <b/>
            <sz val="9"/>
            <rFont val="宋体"/>
            <charset val="134"/>
          </rPr>
          <t>Administrator:</t>
        </r>
        <r>
          <rPr>
            <sz val="9"/>
            <rFont val="宋体"/>
            <charset val="134"/>
          </rPr>
          <t xml:space="preserve">
X3634-1 -2共收到33897美金</t>
        </r>
      </text>
    </comment>
    <comment ref="Q567" authorId="0">
      <text>
        <r>
          <rPr>
            <b/>
            <sz val="9"/>
            <rFont val="宋体"/>
            <charset val="134"/>
          </rPr>
          <t>Administrator:</t>
        </r>
        <r>
          <rPr>
            <sz val="9"/>
            <rFont val="宋体"/>
            <charset val="134"/>
          </rPr>
          <t xml:space="preserve">
2019.11.26 实收5075.5  -1和-2共收10151</t>
        </r>
      </text>
    </comment>
    <comment ref="T567" authorId="0">
      <text>
        <r>
          <rPr>
            <b/>
            <sz val="9"/>
            <rFont val="宋体"/>
            <charset val="134"/>
          </rPr>
          <t>Administrator:</t>
        </r>
        <r>
          <rPr>
            <sz val="9"/>
            <rFont val="宋体"/>
            <charset val="134"/>
          </rPr>
          <t xml:space="preserve">
X3634-1 -2共收到33897美金
</t>
        </r>
      </text>
    </comment>
    <comment ref="Q571" authorId="0">
      <text>
        <r>
          <rPr>
            <b/>
            <sz val="9"/>
            <rFont val="宋体"/>
            <charset val="134"/>
          </rPr>
          <t>Administrator:</t>
        </r>
        <r>
          <rPr>
            <sz val="9"/>
            <rFont val="宋体"/>
            <charset val="134"/>
          </rPr>
          <t xml:space="preserve">
2020.1.3 实收3446.65</t>
        </r>
      </text>
    </comment>
    <comment ref="T571" authorId="0">
      <text>
        <r>
          <rPr>
            <b/>
            <sz val="9"/>
            <rFont val="宋体"/>
            <charset val="134"/>
          </rPr>
          <t>Administrator:</t>
        </r>
        <r>
          <rPr>
            <sz val="9"/>
            <rFont val="宋体"/>
            <charset val="134"/>
          </rPr>
          <t xml:space="preserve">
2020.4.17收</t>
        </r>
      </text>
    </comment>
    <comment ref="T572" authorId="0">
      <text>
        <r>
          <rPr>
            <b/>
            <sz val="9"/>
            <rFont val="宋体"/>
            <charset val="134"/>
          </rPr>
          <t>Administrator:</t>
        </r>
        <r>
          <rPr>
            <sz val="9"/>
            <rFont val="宋体"/>
            <charset val="134"/>
          </rPr>
          <t xml:space="preserve">
2020.5.15收</t>
        </r>
      </text>
    </comment>
    <comment ref="Q573" authorId="0">
      <text>
        <r>
          <rPr>
            <b/>
            <sz val="9"/>
            <rFont val="宋体"/>
            <charset val="134"/>
          </rPr>
          <t>Administrator:</t>
        </r>
        <r>
          <rPr>
            <sz val="9"/>
            <rFont val="宋体"/>
            <charset val="134"/>
          </rPr>
          <t xml:space="preserve">
3764美金来自2020.3.16收到13925美金
2020.3.16收到9487.5美金
2020.3.10收到9930.19美金</t>
        </r>
      </text>
    </comment>
    <comment ref="Q574" authorId="0">
      <text>
        <r>
          <rPr>
            <b/>
            <sz val="9"/>
            <rFont val="宋体"/>
            <charset val="134"/>
          </rPr>
          <t>Administrator:</t>
        </r>
        <r>
          <rPr>
            <sz val="9"/>
            <rFont val="宋体"/>
            <charset val="134"/>
          </rPr>
          <t xml:space="preserve">
10161美金来自2020.3.16收到13925美金
2020.3.24日收到19936.61美金</t>
        </r>
      </text>
    </comment>
    <comment ref="Q575" authorId="0">
      <text>
        <r>
          <rPr>
            <b/>
            <sz val="9"/>
            <rFont val="宋体"/>
            <charset val="134"/>
          </rPr>
          <t xml:space="preserve">Administrator:
</t>
        </r>
        <r>
          <rPr>
            <sz val="9"/>
            <rFont val="宋体"/>
            <charset val="134"/>
          </rPr>
          <t>水单10250美金2020.5.4 收$10204.61</t>
        </r>
      </text>
    </comment>
    <comment ref="T575" authorId="0">
      <text>
        <r>
          <rPr>
            <b/>
            <sz val="9"/>
            <rFont val="宋体"/>
            <charset val="134"/>
          </rPr>
          <t>Administrator:</t>
        </r>
        <r>
          <rPr>
            <sz val="9"/>
            <rFont val="宋体"/>
            <charset val="134"/>
          </rPr>
          <t xml:space="preserve">
2020.7.9收</t>
        </r>
      </text>
    </comment>
    <comment ref="Q580" authorId="0">
      <text>
        <r>
          <rPr>
            <b/>
            <sz val="9"/>
            <rFont val="宋体"/>
            <charset val="134"/>
          </rPr>
          <t>Administrator:</t>
        </r>
        <r>
          <rPr>
            <sz val="9"/>
            <rFont val="宋体"/>
            <charset val="134"/>
          </rPr>
          <t xml:space="preserve">
2020.10.7收4466.6</t>
        </r>
      </text>
    </comment>
    <comment ref="T580" authorId="0">
      <text>
        <r>
          <rPr>
            <b/>
            <sz val="9"/>
            <rFont val="宋体"/>
            <charset val="134"/>
          </rPr>
          <t>Administrator:</t>
        </r>
        <r>
          <rPr>
            <sz val="9"/>
            <rFont val="宋体"/>
            <charset val="134"/>
          </rPr>
          <t xml:space="preserve">
2020.11.27收14547美金</t>
        </r>
      </text>
    </comment>
    <comment ref="Q582" authorId="0">
      <text>
        <r>
          <rPr>
            <b/>
            <sz val="9"/>
            <rFont val="宋体"/>
            <charset val="134"/>
          </rPr>
          <t>Administrator:</t>
        </r>
        <r>
          <rPr>
            <sz val="9"/>
            <rFont val="宋体"/>
            <charset val="134"/>
          </rPr>
          <t xml:space="preserve">
2020.11.4收9981
2020.12.3收7981.61</t>
        </r>
      </text>
    </comment>
    <comment ref="T582" authorId="0">
      <text>
        <r>
          <rPr>
            <b/>
            <sz val="9"/>
            <rFont val="宋体"/>
            <charset val="134"/>
          </rPr>
          <t>Administrator:</t>
        </r>
        <r>
          <rPr>
            <sz val="9"/>
            <rFont val="宋体"/>
            <charset val="134"/>
          </rPr>
          <t xml:space="preserve">
2021.2.10收
2021.3.23收9966.62</t>
        </r>
      </text>
    </comment>
    <comment ref="U582" authorId="0">
      <text>
        <r>
          <rPr>
            <b/>
            <sz val="9"/>
            <rFont val="宋体"/>
            <charset val="134"/>
          </rPr>
          <t>Administrator:</t>
        </r>
        <r>
          <rPr>
            <sz val="9"/>
            <rFont val="宋体"/>
            <charset val="134"/>
          </rPr>
          <t xml:space="preserve">
2021.3.26收</t>
        </r>
      </text>
    </comment>
    <comment ref="Q583" authorId="0">
      <text>
        <r>
          <rPr>
            <b/>
            <sz val="9"/>
            <rFont val="宋体"/>
            <charset val="134"/>
          </rPr>
          <t>Administrator:</t>
        </r>
        <r>
          <rPr>
            <sz val="9"/>
            <rFont val="宋体"/>
            <charset val="134"/>
          </rPr>
          <t xml:space="preserve">
2020.12.1收2123</t>
        </r>
      </text>
    </comment>
    <comment ref="T583" authorId="0">
      <text>
        <r>
          <rPr>
            <b/>
            <sz val="9"/>
            <rFont val="宋体"/>
            <charset val="134"/>
          </rPr>
          <t>Administrator:</t>
        </r>
        <r>
          <rPr>
            <sz val="9"/>
            <rFont val="宋体"/>
            <charset val="134"/>
          </rPr>
          <t xml:space="preserve">
2021.1.8收5096.61</t>
        </r>
      </text>
    </comment>
    <comment ref="Q587" authorId="0">
      <text>
        <r>
          <rPr>
            <b/>
            <sz val="9"/>
            <rFont val="宋体"/>
            <charset val="134"/>
          </rPr>
          <t>Administrator:</t>
        </r>
        <r>
          <rPr>
            <sz val="9"/>
            <rFont val="宋体"/>
            <charset val="134"/>
          </rPr>
          <t xml:space="preserve">
2021.3.4收
折合美金3542</t>
        </r>
      </text>
    </comment>
    <comment ref="T587" authorId="0">
      <text>
        <r>
          <rPr>
            <b/>
            <sz val="9"/>
            <rFont val="宋体"/>
            <charset val="134"/>
          </rPr>
          <t>Administrator:</t>
        </r>
        <r>
          <rPr>
            <sz val="9"/>
            <rFont val="宋体"/>
            <charset val="134"/>
          </rPr>
          <t xml:space="preserve">
2021.5.2收11482.1</t>
        </r>
      </text>
    </comment>
    <comment ref="Q588" authorId="0">
      <text>
        <r>
          <rPr>
            <b/>
            <sz val="9"/>
            <rFont val="宋体"/>
            <charset val="134"/>
          </rPr>
          <t>Administrator:</t>
        </r>
        <r>
          <rPr>
            <sz val="9"/>
            <rFont val="宋体"/>
            <charset val="134"/>
          </rPr>
          <t xml:space="preserve">
2021.3.11收14958</t>
        </r>
      </text>
    </comment>
    <comment ref="T588" authorId="0">
      <text>
        <r>
          <rPr>
            <b/>
            <sz val="9"/>
            <rFont val="宋体"/>
            <charset val="134"/>
          </rPr>
          <t>Administrator:</t>
        </r>
        <r>
          <rPr>
            <sz val="9"/>
            <rFont val="宋体"/>
            <charset val="134"/>
          </rPr>
          <t xml:space="preserve">
2021.5.26收36503.45</t>
        </r>
      </text>
    </comment>
    <comment ref="Q589"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89" authorId="0">
      <text>
        <r>
          <rPr>
            <b/>
            <sz val="9"/>
            <rFont val="宋体"/>
            <charset val="134"/>
          </rPr>
          <t>Administrator:</t>
        </r>
        <r>
          <rPr>
            <sz val="9"/>
            <rFont val="宋体"/>
            <charset val="134"/>
          </rPr>
          <t xml:space="preserve">
2021.8.20收5800  X4004+X4053尾款</t>
        </r>
      </text>
    </comment>
    <comment ref="Q590" authorId="0">
      <text>
        <r>
          <rPr>
            <b/>
            <sz val="9"/>
            <rFont val="宋体"/>
            <charset val="134"/>
          </rPr>
          <t>Administrator:</t>
        </r>
        <r>
          <rPr>
            <sz val="9"/>
            <rFont val="宋体"/>
            <charset val="134"/>
          </rPr>
          <t xml:space="preserve">
2021.4.16收17251.62</t>
        </r>
      </text>
    </comment>
    <comment ref="T590" authorId="0">
      <text>
        <r>
          <rPr>
            <b/>
            <sz val="9"/>
            <rFont val="宋体"/>
            <charset val="134"/>
          </rPr>
          <t>Administrator:</t>
        </r>
        <r>
          <rPr>
            <sz val="9"/>
            <rFont val="宋体"/>
            <charset val="134"/>
          </rPr>
          <t xml:space="preserve">
2021.6.16收40251.62</t>
        </r>
      </text>
    </comment>
    <comment ref="Q592" authorId="0">
      <text>
        <r>
          <rPr>
            <b/>
            <sz val="9"/>
            <rFont val="宋体"/>
            <charset val="134"/>
          </rPr>
          <t>Administrator:</t>
        </r>
        <r>
          <rPr>
            <sz val="9"/>
            <rFont val="宋体"/>
            <charset val="134"/>
          </rPr>
          <t xml:space="preserve">
2021.4.21收6948.62</t>
        </r>
      </text>
    </comment>
    <comment ref="T592" authorId="0">
      <text>
        <r>
          <rPr>
            <b/>
            <sz val="9"/>
            <rFont val="宋体"/>
            <charset val="134"/>
          </rPr>
          <t>Administrator:</t>
        </r>
        <r>
          <rPr>
            <sz val="9"/>
            <rFont val="宋体"/>
            <charset val="134"/>
          </rPr>
          <t xml:space="preserve">
2021.7.21收16225.62</t>
        </r>
      </text>
    </comment>
    <comment ref="T593" authorId="0">
      <text>
        <r>
          <rPr>
            <b/>
            <sz val="9"/>
            <rFont val="宋体"/>
            <charset val="134"/>
          </rPr>
          <t>Administrator:</t>
        </r>
        <r>
          <rPr>
            <sz val="9"/>
            <rFont val="宋体"/>
            <charset val="134"/>
          </rPr>
          <t xml:space="preserve">
2021.7.12收15832</t>
        </r>
      </text>
    </comment>
    <comment ref="U593" authorId="0">
      <text>
        <r>
          <rPr>
            <b/>
            <sz val="9"/>
            <rFont val="宋体"/>
            <charset val="134"/>
          </rPr>
          <t>Administrator:</t>
        </r>
        <r>
          <rPr>
            <sz val="9"/>
            <rFont val="宋体"/>
            <charset val="134"/>
          </rPr>
          <t xml:space="preserve">
2021.7.28收</t>
        </r>
      </text>
    </comment>
    <comment ref="Q594" authorId="0">
      <text>
        <r>
          <rPr>
            <b/>
            <sz val="9"/>
            <rFont val="宋体"/>
            <charset val="134"/>
          </rPr>
          <t>Administrator:</t>
        </r>
        <r>
          <rPr>
            <sz val="9"/>
            <rFont val="宋体"/>
            <charset val="134"/>
          </rPr>
          <t xml:space="preserve">
X4215尾款付一万美金 剩下5140.36</t>
        </r>
      </text>
    </comment>
    <comment ref="Q595" authorId="0">
      <text>
        <r>
          <rPr>
            <b/>
            <sz val="9"/>
            <rFont val="宋体"/>
            <charset val="134"/>
          </rPr>
          <t>Administrator:</t>
        </r>
        <r>
          <rPr>
            <sz val="9"/>
            <rFont val="宋体"/>
            <charset val="134"/>
          </rPr>
          <t xml:space="preserve">
2021.5.27收9966.62</t>
        </r>
      </text>
    </comment>
    <comment ref="T595" authorId="0">
      <text>
        <r>
          <rPr>
            <b/>
            <sz val="9"/>
            <rFont val="宋体"/>
            <charset val="134"/>
          </rPr>
          <t>Administrator:</t>
        </r>
        <r>
          <rPr>
            <sz val="9"/>
            <rFont val="宋体"/>
            <charset val="134"/>
          </rPr>
          <t xml:space="preserve">
2021.8.13收9966.64</t>
        </r>
      </text>
    </comment>
    <comment ref="U595" authorId="0">
      <text>
        <r>
          <rPr>
            <b/>
            <sz val="9"/>
            <rFont val="宋体"/>
            <charset val="134"/>
          </rPr>
          <t>Administrator:</t>
        </r>
        <r>
          <rPr>
            <sz val="9"/>
            <rFont val="宋体"/>
            <charset val="134"/>
          </rPr>
          <t xml:space="preserve">
2021.8.20收</t>
        </r>
      </text>
    </comment>
    <comment ref="T598" authorId="0">
      <text>
        <r>
          <rPr>
            <b/>
            <sz val="9"/>
            <rFont val="宋体"/>
            <charset val="134"/>
          </rPr>
          <t>Administrator:</t>
        </r>
        <r>
          <rPr>
            <sz val="9"/>
            <rFont val="宋体"/>
            <charset val="134"/>
          </rPr>
          <t xml:space="preserve">
2021.9.2收19512.77</t>
        </r>
      </text>
    </comment>
    <comment ref="Q599" authorId="0">
      <text>
        <r>
          <rPr>
            <b/>
            <sz val="9"/>
            <rFont val="宋体"/>
            <charset val="134"/>
          </rPr>
          <t>Administrator:</t>
        </r>
        <r>
          <rPr>
            <sz val="9"/>
            <rFont val="宋体"/>
            <charset val="134"/>
          </rPr>
          <t xml:space="preserve">
2021.8.25收7921.64</t>
        </r>
      </text>
    </comment>
    <comment ref="T599" authorId="0">
      <text>
        <r>
          <rPr>
            <b/>
            <sz val="9"/>
            <rFont val="宋体"/>
            <charset val="134"/>
          </rPr>
          <t>Administrator:</t>
        </r>
        <r>
          <rPr>
            <sz val="9"/>
            <rFont val="宋体"/>
            <charset val="134"/>
          </rPr>
          <t xml:space="preserve">
2021.10.19收22225.45</t>
        </r>
      </text>
    </comment>
    <comment ref="Q603" authorId="0">
      <text>
        <r>
          <rPr>
            <b/>
            <sz val="9"/>
            <rFont val="宋体"/>
            <charset val="134"/>
          </rPr>
          <t>Administrator:</t>
        </r>
        <r>
          <rPr>
            <sz val="9"/>
            <rFont val="宋体"/>
            <charset val="134"/>
          </rPr>
          <t xml:space="preserve">
2022.4.21收9455.7</t>
        </r>
      </text>
    </comment>
    <comment ref="Q604" authorId="0">
      <text>
        <r>
          <rPr>
            <b/>
            <sz val="9"/>
            <rFont val="宋体"/>
            <charset val="134"/>
          </rPr>
          <t>Administrator:</t>
        </r>
        <r>
          <rPr>
            <sz val="9"/>
            <rFont val="宋体"/>
            <charset val="134"/>
          </rPr>
          <t xml:space="preserve">
2022.4.28收9976.71</t>
        </r>
      </text>
    </comment>
    <comment ref="T604" authorId="0">
      <text>
        <r>
          <rPr>
            <b/>
            <sz val="9"/>
            <rFont val="宋体"/>
            <charset val="134"/>
          </rPr>
          <t>Administrator:</t>
        </r>
        <r>
          <rPr>
            <sz val="9"/>
            <rFont val="宋体"/>
            <charset val="134"/>
          </rPr>
          <t xml:space="preserve">
2022.5.26收9966.71</t>
        </r>
      </text>
    </comment>
    <comment ref="U604" authorId="0">
      <text>
        <r>
          <rPr>
            <b/>
            <sz val="9"/>
            <rFont val="宋体"/>
            <charset val="134"/>
          </rPr>
          <t>Administrator:</t>
        </r>
        <r>
          <rPr>
            <sz val="9"/>
            <rFont val="宋体"/>
            <charset val="134"/>
          </rPr>
          <t xml:space="preserve">
2022.6.7收9966.7</t>
        </r>
      </text>
    </comment>
    <comment ref="Q608" authorId="0">
      <text>
        <r>
          <rPr>
            <b/>
            <sz val="9"/>
            <rFont val="宋体"/>
            <charset val="134"/>
          </rPr>
          <t>Administrator:</t>
        </r>
        <r>
          <rPr>
            <sz val="9"/>
            <rFont val="宋体"/>
            <charset val="134"/>
          </rPr>
          <t xml:space="preserve">
18.7.13</t>
        </r>
      </text>
    </comment>
    <comment ref="Q609" authorId="0">
      <text>
        <r>
          <rPr>
            <b/>
            <sz val="9"/>
            <rFont val="宋体"/>
            <charset val="134"/>
          </rPr>
          <t>Administrator:</t>
        </r>
        <r>
          <rPr>
            <sz val="9"/>
            <rFont val="宋体"/>
            <charset val="134"/>
          </rPr>
          <t xml:space="preserve">
18.7.13</t>
        </r>
      </text>
    </comment>
    <comment ref="Q610" authorId="0">
      <text>
        <r>
          <rPr>
            <b/>
            <sz val="9"/>
            <rFont val="宋体"/>
            <charset val="134"/>
          </rPr>
          <t>Administrator:</t>
        </r>
        <r>
          <rPr>
            <sz val="9"/>
            <rFont val="宋体"/>
            <charset val="134"/>
          </rPr>
          <t xml:space="preserve">
18.7.13</t>
        </r>
      </text>
    </comment>
    <comment ref="Q611" authorId="0">
      <text>
        <r>
          <rPr>
            <b/>
            <sz val="9"/>
            <rFont val="宋体"/>
            <charset val="134"/>
          </rPr>
          <t>Administrator:</t>
        </r>
        <r>
          <rPr>
            <sz val="9"/>
            <rFont val="宋体"/>
            <charset val="134"/>
          </rPr>
          <t xml:space="preserve">
18.7.20</t>
        </r>
      </text>
    </comment>
    <comment ref="Q612" authorId="0">
      <text>
        <r>
          <rPr>
            <b/>
            <sz val="9"/>
            <rFont val="宋体"/>
            <charset val="134"/>
          </rPr>
          <t>Administrator:</t>
        </r>
        <r>
          <rPr>
            <sz val="9"/>
            <rFont val="宋体"/>
            <charset val="134"/>
          </rPr>
          <t xml:space="preserve">
18.7.20</t>
        </r>
      </text>
    </comment>
    <comment ref="Q613" authorId="0">
      <text>
        <r>
          <rPr>
            <b/>
            <sz val="9"/>
            <rFont val="宋体"/>
            <charset val="134"/>
          </rPr>
          <t>Administrator:</t>
        </r>
        <r>
          <rPr>
            <sz val="9"/>
            <rFont val="宋体"/>
            <charset val="134"/>
          </rPr>
          <t xml:space="preserve">
18.8.1</t>
        </r>
      </text>
    </comment>
    <comment ref="Q614" authorId="0">
      <text>
        <r>
          <rPr>
            <b/>
            <sz val="9"/>
            <rFont val="宋体"/>
            <charset val="134"/>
          </rPr>
          <t>Administrator:</t>
        </r>
        <r>
          <rPr>
            <sz val="9"/>
            <rFont val="宋体"/>
            <charset val="134"/>
          </rPr>
          <t xml:space="preserve">
18.8.1</t>
        </r>
      </text>
    </comment>
    <comment ref="Q615" authorId="0">
      <text>
        <r>
          <rPr>
            <b/>
            <sz val="9"/>
            <rFont val="宋体"/>
            <charset val="134"/>
          </rPr>
          <t>Administrator:</t>
        </r>
        <r>
          <rPr>
            <sz val="9"/>
            <rFont val="宋体"/>
            <charset val="134"/>
          </rPr>
          <t xml:space="preserve">
18.8.1</t>
        </r>
      </text>
    </comment>
    <comment ref="Q616" authorId="0">
      <text>
        <r>
          <rPr>
            <b/>
            <sz val="9"/>
            <rFont val="宋体"/>
            <charset val="134"/>
          </rPr>
          <t>Administrator:</t>
        </r>
        <r>
          <rPr>
            <sz val="9"/>
            <rFont val="宋体"/>
            <charset val="134"/>
          </rPr>
          <t xml:space="preserve">
18.8.1</t>
        </r>
      </text>
    </comment>
    <comment ref="Q617" authorId="0">
      <text>
        <r>
          <rPr>
            <b/>
            <sz val="9"/>
            <rFont val="宋体"/>
            <charset val="134"/>
          </rPr>
          <t>Administrator:</t>
        </r>
        <r>
          <rPr>
            <sz val="9"/>
            <rFont val="宋体"/>
            <charset val="134"/>
          </rPr>
          <t xml:space="preserve">
18.8.1  3.6</t>
        </r>
      </text>
    </comment>
    <comment ref="Q618" authorId="0">
      <text>
        <r>
          <rPr>
            <b/>
            <sz val="9"/>
            <rFont val="宋体"/>
            <charset val="134"/>
          </rPr>
          <t>Administrator:</t>
        </r>
        <r>
          <rPr>
            <sz val="9"/>
            <rFont val="宋体"/>
            <charset val="134"/>
          </rPr>
          <t xml:space="preserve">
18.8.2 RMB 5000</t>
        </r>
      </text>
    </comment>
    <comment ref="R618" authorId="0">
      <text>
        <r>
          <rPr>
            <b/>
            <sz val="9"/>
            <rFont val="宋体"/>
            <charset val="134"/>
          </rPr>
          <t>Administrator:</t>
        </r>
        <r>
          <rPr>
            <sz val="9"/>
            <rFont val="宋体"/>
            <charset val="134"/>
          </rPr>
          <t xml:space="preserve">
王总农行18.8.2</t>
        </r>
      </text>
    </comment>
    <comment ref="U618" authorId="0">
      <text>
        <r>
          <rPr>
            <b/>
            <sz val="9"/>
            <rFont val="宋体"/>
            <charset val="134"/>
          </rPr>
          <t>Administrator:</t>
        </r>
        <r>
          <rPr>
            <sz val="9"/>
            <rFont val="宋体"/>
            <charset val="134"/>
          </rPr>
          <t xml:space="preserve">
王总农行18.8.2</t>
        </r>
      </text>
    </comment>
    <comment ref="Q619" authorId="0">
      <text>
        <r>
          <rPr>
            <b/>
            <sz val="9"/>
            <rFont val="宋体"/>
            <charset val="134"/>
          </rPr>
          <t>Administrator:</t>
        </r>
        <r>
          <rPr>
            <sz val="9"/>
            <rFont val="宋体"/>
            <charset val="134"/>
          </rPr>
          <t xml:space="preserve">
18.9.3 从19000 另6334分到J3308-2</t>
        </r>
      </text>
    </comment>
    <comment ref="Q620" authorId="0">
      <text>
        <r>
          <rPr>
            <b/>
            <sz val="9"/>
            <rFont val="宋体"/>
            <charset val="134"/>
          </rPr>
          <t>Administrator:</t>
        </r>
        <r>
          <rPr>
            <sz val="9"/>
            <rFont val="宋体"/>
            <charset val="134"/>
          </rPr>
          <t xml:space="preserve">
18.9.3 从19000
</t>
        </r>
      </text>
    </comment>
    <comment ref="Q621" authorId="0">
      <text>
        <r>
          <rPr>
            <b/>
            <sz val="9"/>
            <rFont val="宋体"/>
            <charset val="134"/>
          </rPr>
          <t>Administrator:</t>
        </r>
        <r>
          <rPr>
            <sz val="9"/>
            <rFont val="宋体"/>
            <charset val="134"/>
          </rPr>
          <t xml:space="preserve">
固定定金JK-2703这个订单当时多付了$4000.</t>
        </r>
      </text>
    </comment>
    <comment ref="Q622" authorId="0">
      <text>
        <r>
          <rPr>
            <b/>
            <sz val="9"/>
            <rFont val="宋体"/>
            <charset val="134"/>
          </rPr>
          <t>Administrator:</t>
        </r>
        <r>
          <rPr>
            <sz val="9"/>
            <rFont val="宋体"/>
            <charset val="134"/>
          </rPr>
          <t xml:space="preserve">
18.9.11</t>
        </r>
      </text>
    </comment>
    <comment ref="Q623" authorId="0">
      <text>
        <r>
          <rPr>
            <b/>
            <sz val="9"/>
            <rFont val="宋体"/>
            <charset val="134"/>
          </rPr>
          <t>Administrator:</t>
        </r>
        <r>
          <rPr>
            <sz val="9"/>
            <rFont val="宋体"/>
            <charset val="134"/>
          </rPr>
          <t xml:space="preserve">
18.9.25</t>
        </r>
      </text>
    </comment>
    <comment ref="Q624" authorId="0">
      <text>
        <r>
          <rPr>
            <b/>
            <sz val="9"/>
            <rFont val="宋体"/>
            <charset val="134"/>
          </rPr>
          <t>Administrator:</t>
        </r>
        <r>
          <rPr>
            <sz val="9"/>
            <rFont val="宋体"/>
            <charset val="134"/>
          </rPr>
          <t xml:space="preserve">
18.9.17 从水单USD13500中分9000 另4500分到X3321
</t>
        </r>
      </text>
    </comment>
    <comment ref="R625" authorId="0">
      <text>
        <r>
          <rPr>
            <b/>
            <sz val="9"/>
            <rFont val="宋体"/>
            <charset val="134"/>
          </rPr>
          <t>Administrator:</t>
        </r>
        <r>
          <rPr>
            <sz val="9"/>
            <rFont val="宋体"/>
            <charset val="134"/>
          </rPr>
          <t xml:space="preserve">
2018.12.28</t>
        </r>
      </text>
    </comment>
    <comment ref="T625" authorId="0">
      <text>
        <r>
          <rPr>
            <b/>
            <sz val="9"/>
            <rFont val="宋体"/>
            <charset val="134"/>
          </rPr>
          <t>Administrator:</t>
        </r>
        <r>
          <rPr>
            <sz val="9"/>
            <rFont val="宋体"/>
            <charset val="134"/>
          </rPr>
          <t xml:space="preserve">
2018.12.28</t>
        </r>
      </text>
    </comment>
    <comment ref="U625" authorId="0">
      <text>
        <r>
          <rPr>
            <b/>
            <sz val="9"/>
            <rFont val="宋体"/>
            <charset val="134"/>
          </rPr>
          <t>Administrator:</t>
        </r>
        <r>
          <rPr>
            <sz val="9"/>
            <rFont val="宋体"/>
            <charset val="134"/>
          </rPr>
          <t xml:space="preserve">
2018.12.28</t>
        </r>
      </text>
    </comment>
    <comment ref="Q626" authorId="1">
      <text>
        <r>
          <rPr>
            <b/>
            <sz val="11"/>
            <rFont val="MS PGothic"/>
            <charset val="134"/>
          </rPr>
          <t>Microsoft Office 用户:</t>
        </r>
        <r>
          <rPr>
            <sz val="11"/>
            <rFont val="MS PGothic"/>
            <charset val="134"/>
          </rPr>
          <t xml:space="preserve">
2018.9.25</t>
        </r>
      </text>
    </comment>
    <comment ref="Q627" authorId="1">
      <text>
        <r>
          <rPr>
            <b/>
            <sz val="11"/>
            <rFont val="MS PGothic"/>
            <charset val="134"/>
          </rPr>
          <t>Microsoft Office 用户:</t>
        </r>
        <r>
          <rPr>
            <sz val="11"/>
            <rFont val="MS PGothic"/>
            <charset val="134"/>
          </rPr>
          <t xml:space="preserve">
10.8 from USD19000
</t>
        </r>
      </text>
    </comment>
    <comment ref="Q628" authorId="1">
      <text>
        <r>
          <rPr>
            <b/>
            <sz val="11"/>
            <rFont val="MS PGothic"/>
            <charset val="134"/>
          </rPr>
          <t>Microsoft Office 用户:</t>
        </r>
        <r>
          <rPr>
            <sz val="11"/>
            <rFont val="MS PGothic"/>
            <charset val="134"/>
          </rPr>
          <t xml:space="preserve">
10.8 from USD19000. 
</t>
        </r>
      </text>
    </comment>
    <comment ref="Q629" authorId="1">
      <text>
        <r>
          <rPr>
            <b/>
            <sz val="11"/>
            <rFont val="MS PGothic"/>
            <charset val="134"/>
          </rPr>
          <t>Microsoft Office 用户:</t>
        </r>
        <r>
          <rPr>
            <sz val="11"/>
            <rFont val="MS PGothic"/>
            <charset val="134"/>
          </rPr>
          <t xml:space="preserve">
10.8 从 USD37818</t>
        </r>
      </text>
    </comment>
    <comment ref="Q635" authorId="0">
      <text>
        <r>
          <rPr>
            <b/>
            <sz val="9"/>
            <rFont val="宋体"/>
            <charset val="134"/>
          </rPr>
          <t>Administrator:</t>
        </r>
        <r>
          <rPr>
            <sz val="9"/>
            <rFont val="宋体"/>
            <charset val="134"/>
          </rPr>
          <t xml:space="preserve">
打了18000+20000</t>
        </r>
      </text>
    </comment>
    <comment ref="Q640" authorId="0">
      <text>
        <r>
          <rPr>
            <b/>
            <sz val="9"/>
            <rFont val="宋体"/>
            <charset val="134"/>
          </rPr>
          <t>Administrator:</t>
        </r>
        <r>
          <rPr>
            <sz val="9"/>
            <rFont val="宋体"/>
            <charset val="134"/>
          </rPr>
          <t xml:space="preserve">
收3019</t>
        </r>
      </text>
    </comment>
    <comment ref="Q641" authorId="0">
      <text>
        <r>
          <rPr>
            <b/>
            <sz val="9"/>
            <rFont val="宋体"/>
            <charset val="134"/>
          </rPr>
          <t>Administrator:</t>
        </r>
        <r>
          <rPr>
            <sz val="9"/>
            <rFont val="宋体"/>
            <charset val="134"/>
          </rPr>
          <t xml:space="preserve">
1/3</t>
        </r>
      </text>
    </comment>
    <comment ref="Q646" authorId="0">
      <text>
        <r>
          <rPr>
            <b/>
            <sz val="9"/>
            <rFont val="宋体"/>
            <charset val="134"/>
          </rPr>
          <t>Administrator:</t>
        </r>
        <r>
          <rPr>
            <sz val="9"/>
            <rFont val="宋体"/>
            <charset val="134"/>
          </rPr>
          <t xml:space="preserve">
10443 2.20</t>
        </r>
      </text>
    </comment>
    <comment ref="T648" authorId="0">
      <text>
        <r>
          <rPr>
            <b/>
            <sz val="9"/>
            <rFont val="宋体"/>
            <charset val="134"/>
          </rPr>
          <t>Administrator:</t>
        </r>
        <r>
          <rPr>
            <sz val="9"/>
            <rFont val="宋体"/>
            <charset val="134"/>
          </rPr>
          <t xml:space="preserve">
5.14</t>
        </r>
      </text>
    </comment>
    <comment ref="Q649" authorId="0">
      <text>
        <r>
          <rPr>
            <b/>
            <sz val="9"/>
            <rFont val="宋体"/>
            <charset val="134"/>
          </rPr>
          <t>Administrator:</t>
        </r>
        <r>
          <rPr>
            <sz val="9"/>
            <rFont val="宋体"/>
            <charset val="134"/>
          </rPr>
          <t xml:space="preserve">
2.25 收到29968</t>
        </r>
      </text>
    </comment>
    <comment ref="T650" authorId="0">
      <text>
        <r>
          <rPr>
            <b/>
            <sz val="9"/>
            <rFont val="宋体"/>
            <charset val="134"/>
          </rPr>
          <t>Administrator:</t>
        </r>
        <r>
          <rPr>
            <sz val="9"/>
            <rFont val="宋体"/>
            <charset val="134"/>
          </rPr>
          <t xml:space="preserve">
5.10 付的时候少了616上单少装的</t>
        </r>
      </text>
    </comment>
    <comment ref="Q653" authorId="0">
      <text>
        <r>
          <rPr>
            <b/>
            <sz val="9"/>
            <rFont val="宋体"/>
            <charset val="134"/>
          </rPr>
          <t>Administrator:</t>
        </r>
        <r>
          <rPr>
            <sz val="9"/>
            <rFont val="宋体"/>
            <charset val="134"/>
          </rPr>
          <t xml:space="preserve">
7831  2.28</t>
        </r>
      </text>
    </comment>
    <comment ref="Q654" authorId="0">
      <text>
        <r>
          <rPr>
            <b/>
            <sz val="9"/>
            <rFont val="宋体"/>
            <charset val="134"/>
          </rPr>
          <t>Administrator:</t>
        </r>
        <r>
          <rPr>
            <sz val="9"/>
            <rFont val="宋体"/>
            <charset val="134"/>
          </rPr>
          <t xml:space="preserve">
14849  3.8</t>
        </r>
      </text>
    </comment>
    <comment ref="Q655" authorId="0">
      <text>
        <r>
          <rPr>
            <b/>
            <sz val="9"/>
            <rFont val="宋体"/>
            <charset val="134"/>
          </rPr>
          <t>Administrator:</t>
        </r>
        <r>
          <rPr>
            <sz val="9"/>
            <rFont val="宋体"/>
            <charset val="134"/>
          </rPr>
          <t xml:space="preserve">
3.22 2914</t>
        </r>
      </text>
    </comment>
    <comment ref="Q656" authorId="0">
      <text>
        <r>
          <rPr>
            <b/>
            <sz val="9"/>
            <rFont val="宋体"/>
            <charset val="134"/>
          </rPr>
          <t>Administrator:</t>
        </r>
        <r>
          <rPr>
            <sz val="9"/>
            <rFont val="宋体"/>
            <charset val="134"/>
          </rPr>
          <t xml:space="preserve">
9948 11948</t>
        </r>
      </text>
    </comment>
    <comment ref="Q657" authorId="0">
      <text>
        <r>
          <rPr>
            <b/>
            <sz val="9"/>
            <rFont val="宋体"/>
            <charset val="134"/>
          </rPr>
          <t>Administrator:</t>
        </r>
        <r>
          <rPr>
            <sz val="9"/>
            <rFont val="宋体"/>
            <charset val="134"/>
          </rPr>
          <t xml:space="preserve">
9948</t>
        </r>
      </text>
    </comment>
    <comment ref="T657" authorId="0">
      <text>
        <r>
          <rPr>
            <b/>
            <sz val="9"/>
            <rFont val="宋体"/>
            <charset val="134"/>
          </rPr>
          <t>Administrator:</t>
        </r>
        <r>
          <rPr>
            <sz val="9"/>
            <rFont val="宋体"/>
            <charset val="134"/>
          </rPr>
          <t xml:space="preserve">
3474  3473. 尾款</t>
        </r>
      </text>
    </comment>
    <comment ref="Q658" authorId="0">
      <text>
        <r>
          <rPr>
            <b/>
            <sz val="9"/>
            <rFont val="宋体"/>
            <charset val="134"/>
          </rPr>
          <t>Administrator:</t>
        </r>
        <r>
          <rPr>
            <sz val="9"/>
            <rFont val="宋体"/>
            <charset val="134"/>
          </rPr>
          <t xml:space="preserve">
10943   4.1</t>
        </r>
      </text>
    </comment>
    <comment ref="Q659" authorId="0">
      <text>
        <r>
          <rPr>
            <b/>
            <sz val="9"/>
            <rFont val="宋体"/>
            <charset val="134"/>
          </rPr>
          <t>Administrator:</t>
        </r>
        <r>
          <rPr>
            <sz val="9"/>
            <rFont val="宋体"/>
            <charset val="134"/>
          </rPr>
          <t xml:space="preserve">
4.3  4.8 </t>
        </r>
      </text>
    </comment>
    <comment ref="Q661" authorId="0">
      <text>
        <r>
          <rPr>
            <b/>
            <sz val="9"/>
            <rFont val="宋体"/>
            <charset val="134"/>
          </rPr>
          <t>Administrator:</t>
        </r>
        <r>
          <rPr>
            <sz val="9"/>
            <rFont val="宋体"/>
            <charset val="134"/>
          </rPr>
          <t xml:space="preserve">
5.8</t>
        </r>
      </text>
    </comment>
    <comment ref="Q662" authorId="0">
      <text>
        <r>
          <rPr>
            <b/>
            <sz val="9"/>
            <rFont val="宋体"/>
            <charset val="134"/>
          </rPr>
          <t>Administrator:</t>
        </r>
        <r>
          <rPr>
            <sz val="9"/>
            <rFont val="宋体"/>
            <charset val="134"/>
          </rPr>
          <t xml:space="preserve">
4.25</t>
        </r>
      </text>
    </comment>
    <comment ref="Q665" authorId="0">
      <text>
        <r>
          <rPr>
            <b/>
            <sz val="9"/>
            <rFont val="宋体"/>
            <charset val="134"/>
          </rPr>
          <t>Administrator:</t>
        </r>
        <r>
          <rPr>
            <sz val="9"/>
            <rFont val="宋体"/>
            <charset val="134"/>
          </rPr>
          <t xml:space="preserve">
5.10 和3443-1尾款一起打来</t>
        </r>
      </text>
    </comment>
    <comment ref="Q667" authorId="0">
      <text>
        <r>
          <rPr>
            <b/>
            <sz val="9"/>
            <rFont val="宋体"/>
            <charset val="134"/>
          </rPr>
          <t>Administrator:</t>
        </r>
        <r>
          <rPr>
            <sz val="9"/>
            <rFont val="宋体"/>
            <charset val="134"/>
          </rPr>
          <t xml:space="preserve">
19968 5.17</t>
        </r>
      </text>
    </comment>
    <comment ref="Q670" authorId="0">
      <text>
        <r>
          <rPr>
            <b/>
            <sz val="9"/>
            <rFont val="宋体"/>
            <charset val="134"/>
          </rPr>
          <t>Administrator:</t>
        </r>
        <r>
          <rPr>
            <sz val="9"/>
            <rFont val="宋体"/>
            <charset val="134"/>
          </rPr>
          <t xml:space="preserve">
4948</t>
        </r>
      </text>
    </comment>
    <comment ref="Q671" authorId="0">
      <text>
        <r>
          <rPr>
            <b/>
            <sz val="9"/>
            <rFont val="宋体"/>
            <charset val="134"/>
          </rPr>
          <t>Administrator:</t>
        </r>
        <r>
          <rPr>
            <sz val="9"/>
            <rFont val="宋体"/>
            <charset val="134"/>
          </rPr>
          <t xml:space="preserve">
6978</t>
        </r>
      </text>
    </comment>
    <comment ref="Q677" authorId="0">
      <text>
        <r>
          <rPr>
            <b/>
            <sz val="9"/>
            <rFont val="宋体"/>
            <charset val="134"/>
          </rPr>
          <t>Administrator:</t>
        </r>
        <r>
          <rPr>
            <sz val="9"/>
            <rFont val="宋体"/>
            <charset val="134"/>
          </rPr>
          <t xml:space="preserve">
11943  6.27</t>
        </r>
      </text>
    </comment>
    <comment ref="T681" authorId="0">
      <text>
        <r>
          <rPr>
            <b/>
            <sz val="9"/>
            <rFont val="宋体"/>
            <charset val="134"/>
          </rPr>
          <t>Administrator:</t>
        </r>
        <r>
          <rPr>
            <sz val="9"/>
            <rFont val="宋体"/>
            <charset val="134"/>
          </rPr>
          <t xml:space="preserve">
应付15438.45</t>
        </r>
      </text>
    </comment>
    <comment ref="T683" authorId="0">
      <text>
        <r>
          <rPr>
            <b/>
            <sz val="9"/>
            <rFont val="宋体"/>
            <charset val="134"/>
          </rPr>
          <t>Administrator:</t>
        </r>
        <r>
          <rPr>
            <sz val="9"/>
            <rFont val="宋体"/>
            <charset val="134"/>
          </rPr>
          <t xml:space="preserve">
应付18555.68</t>
        </r>
      </text>
    </comment>
    <comment ref="T684" authorId="0">
      <text>
        <r>
          <rPr>
            <b/>
            <sz val="9"/>
            <rFont val="宋体"/>
            <charset val="134"/>
          </rPr>
          <t>Administrator:</t>
        </r>
        <r>
          <rPr>
            <sz val="9"/>
            <rFont val="宋体"/>
            <charset val="134"/>
          </rPr>
          <t xml:space="preserve">
应付16781</t>
        </r>
      </text>
    </comment>
    <comment ref="T687" authorId="0">
      <text>
        <r>
          <rPr>
            <b/>
            <sz val="9"/>
            <rFont val="宋体"/>
            <charset val="134"/>
          </rPr>
          <t>Administrator:</t>
        </r>
        <r>
          <rPr>
            <sz val="9"/>
            <rFont val="宋体"/>
            <charset val="134"/>
          </rPr>
          <t xml:space="preserve">
第一次打了5000美金
第二次打了4990美金 多了1833美金是别的款</t>
        </r>
      </text>
    </comment>
    <comment ref="Q689" authorId="0">
      <text>
        <r>
          <rPr>
            <b/>
            <sz val="9"/>
            <rFont val="宋体"/>
            <charset val="134"/>
          </rPr>
          <t>Administrator:</t>
        </r>
        <r>
          <rPr>
            <sz val="9"/>
            <rFont val="宋体"/>
            <charset val="134"/>
          </rPr>
          <t xml:space="preserve">
实收14962.5</t>
        </r>
      </text>
    </comment>
    <comment ref="T690" authorId="0">
      <text>
        <r>
          <rPr>
            <b/>
            <sz val="9"/>
            <rFont val="宋体"/>
            <charset val="134"/>
          </rPr>
          <t>Administrator:应付14020.58</t>
        </r>
      </text>
    </comment>
    <comment ref="Q691" authorId="0">
      <text>
        <r>
          <rPr>
            <b/>
            <sz val="9"/>
            <rFont val="宋体"/>
            <charset val="134"/>
          </rPr>
          <t>Administrator:</t>
        </r>
        <r>
          <rPr>
            <sz val="9"/>
            <rFont val="宋体"/>
            <charset val="134"/>
          </rPr>
          <t xml:space="preserve">
实收9962.5</t>
        </r>
      </text>
    </comment>
    <comment ref="T691" authorId="0">
      <text>
        <r>
          <rPr>
            <b/>
            <sz val="9"/>
            <rFont val="宋体"/>
            <charset val="134"/>
          </rPr>
          <t>Administrator:</t>
        </r>
        <r>
          <rPr>
            <sz val="9"/>
            <rFont val="宋体"/>
            <charset val="134"/>
          </rPr>
          <t xml:space="preserve">
J3651和J3668 共付款55,156.98</t>
        </r>
      </text>
    </comment>
    <comment ref="Q694" authorId="0">
      <text>
        <r>
          <rPr>
            <b/>
            <sz val="9"/>
            <rFont val="宋体"/>
            <charset val="134"/>
          </rPr>
          <t>Administrator:</t>
        </r>
        <r>
          <rPr>
            <sz val="9"/>
            <rFont val="宋体"/>
            <charset val="134"/>
          </rPr>
          <t xml:space="preserve">
7650.28</t>
        </r>
      </text>
    </comment>
    <comment ref="Q695" authorId="0">
      <text>
        <r>
          <rPr>
            <b/>
            <sz val="9"/>
            <rFont val="宋体"/>
            <charset val="134"/>
          </rPr>
          <t>Administrator:</t>
        </r>
        <r>
          <rPr>
            <sz val="9"/>
            <rFont val="宋体"/>
            <charset val="134"/>
          </rPr>
          <t xml:space="preserve">
2020.1.10 实收4973</t>
        </r>
      </text>
    </comment>
    <comment ref="T695" authorId="0">
      <text>
        <r>
          <rPr>
            <b/>
            <sz val="9"/>
            <rFont val="宋体"/>
            <charset val="134"/>
          </rPr>
          <t>Administrator:</t>
        </r>
        <r>
          <rPr>
            <sz val="9"/>
            <rFont val="宋体"/>
            <charset val="134"/>
          </rPr>
          <t xml:space="preserve">
2020.5.19收</t>
        </r>
      </text>
    </comment>
    <comment ref="T696" authorId="0">
      <text>
        <r>
          <rPr>
            <b/>
            <sz val="9"/>
            <rFont val="宋体"/>
            <charset val="134"/>
          </rPr>
          <t>Administrator:</t>
        </r>
        <r>
          <rPr>
            <sz val="9"/>
            <rFont val="宋体"/>
            <charset val="134"/>
          </rPr>
          <t xml:space="preserve">
2020.6.22收</t>
        </r>
      </text>
    </comment>
    <comment ref="Q697" authorId="0">
      <text>
        <r>
          <rPr>
            <b/>
            <sz val="9"/>
            <rFont val="宋体"/>
            <charset val="134"/>
          </rPr>
          <t>Administrator:</t>
        </r>
        <r>
          <rPr>
            <sz val="9"/>
            <rFont val="宋体"/>
            <charset val="134"/>
          </rPr>
          <t xml:space="preserve">
2020.2.10 到账2965美金</t>
        </r>
      </text>
    </comment>
    <comment ref="T697" authorId="0">
      <text>
        <r>
          <rPr>
            <b/>
            <sz val="9"/>
            <rFont val="宋体"/>
            <charset val="134"/>
          </rPr>
          <t>Administrator:</t>
        </r>
        <r>
          <rPr>
            <sz val="9"/>
            <rFont val="宋体"/>
            <charset val="134"/>
          </rPr>
          <t xml:space="preserve">
2020.4.3收到的</t>
        </r>
      </text>
    </comment>
    <comment ref="Q698" authorId="0">
      <text>
        <r>
          <rPr>
            <b/>
            <sz val="9"/>
            <rFont val="宋体"/>
            <charset val="134"/>
          </rPr>
          <t>Administrator:</t>
        </r>
        <r>
          <rPr>
            <sz val="9"/>
            <rFont val="宋体"/>
            <charset val="134"/>
          </rPr>
          <t xml:space="preserve">
2020.2.10 到账15968美金</t>
        </r>
      </text>
    </comment>
    <comment ref="T698" authorId="0">
      <text>
        <r>
          <rPr>
            <b/>
            <sz val="9"/>
            <rFont val="宋体"/>
            <charset val="134"/>
          </rPr>
          <t>Administrator:</t>
        </r>
        <r>
          <rPr>
            <sz val="9"/>
            <rFont val="宋体"/>
            <charset val="134"/>
          </rPr>
          <t xml:space="preserve">
2020.6.1收</t>
        </r>
      </text>
    </comment>
    <comment ref="Q699" authorId="0">
      <text>
        <r>
          <rPr>
            <b/>
            <sz val="9"/>
            <rFont val="宋体"/>
            <charset val="134"/>
          </rPr>
          <t>Administrator:</t>
        </r>
        <r>
          <rPr>
            <sz val="9"/>
            <rFont val="宋体"/>
            <charset val="134"/>
          </rPr>
          <t xml:space="preserve">
2020.2.25收5969.5美金 M3750 J3751个三千美金定金
</t>
        </r>
      </text>
    </comment>
    <comment ref="T699" authorId="0">
      <text>
        <r>
          <rPr>
            <b/>
            <sz val="9"/>
            <rFont val="宋体"/>
            <charset val="134"/>
          </rPr>
          <t>Administrator:</t>
        </r>
        <r>
          <rPr>
            <sz val="9"/>
            <rFont val="宋体"/>
            <charset val="134"/>
          </rPr>
          <t xml:space="preserve">
2020.5.26收</t>
        </r>
      </text>
    </comment>
    <comment ref="Q700" authorId="0">
      <text>
        <r>
          <rPr>
            <b/>
            <sz val="9"/>
            <rFont val="宋体"/>
            <charset val="134"/>
          </rPr>
          <t>Administrator:</t>
        </r>
        <r>
          <rPr>
            <sz val="9"/>
            <rFont val="宋体"/>
            <charset val="134"/>
          </rPr>
          <t xml:space="preserve">
2020.2.25收5969.5美金 M3750 J3751个三千美金定金</t>
        </r>
      </text>
    </comment>
    <comment ref="T700" authorId="0">
      <text>
        <r>
          <rPr>
            <b/>
            <sz val="9"/>
            <rFont val="宋体"/>
            <charset val="134"/>
          </rPr>
          <t>Administrator:</t>
        </r>
        <r>
          <rPr>
            <sz val="9"/>
            <rFont val="宋体"/>
            <charset val="134"/>
          </rPr>
          <t xml:space="preserve">
2020.6.16收</t>
        </r>
      </text>
    </comment>
    <comment ref="T701" authorId="0">
      <text>
        <r>
          <rPr>
            <b/>
            <sz val="9"/>
            <rFont val="宋体"/>
            <charset val="134"/>
          </rPr>
          <t>Administrator:</t>
        </r>
        <r>
          <rPr>
            <sz val="9"/>
            <rFont val="宋体"/>
            <charset val="134"/>
          </rPr>
          <t xml:space="preserve">
2020.5.7收</t>
        </r>
      </text>
    </comment>
    <comment ref="Q702" authorId="0">
      <text>
        <r>
          <rPr>
            <b/>
            <sz val="9"/>
            <rFont val="宋体"/>
            <charset val="134"/>
          </rPr>
          <t>Administrator:</t>
        </r>
        <r>
          <rPr>
            <sz val="9"/>
            <rFont val="宋体"/>
            <charset val="134"/>
          </rPr>
          <t xml:space="preserve">
2020.2.25收</t>
        </r>
      </text>
    </comment>
    <comment ref="T702" authorId="0">
      <text>
        <r>
          <rPr>
            <b/>
            <sz val="9"/>
            <rFont val="宋体"/>
            <charset val="134"/>
          </rPr>
          <t>Administrator:</t>
        </r>
        <r>
          <rPr>
            <sz val="9"/>
            <rFont val="宋体"/>
            <charset val="134"/>
          </rPr>
          <t xml:space="preserve">
2020.8.11收14042.1</t>
        </r>
      </text>
    </comment>
    <comment ref="Q703"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703" authorId="0">
      <text>
        <r>
          <rPr>
            <b/>
            <sz val="9"/>
            <rFont val="宋体"/>
            <charset val="134"/>
          </rPr>
          <t>Administrator:</t>
        </r>
        <r>
          <rPr>
            <sz val="9"/>
            <rFont val="宋体"/>
            <charset val="134"/>
          </rPr>
          <t xml:space="preserve">
2020.7.10收 RMB25246
汇率6.98</t>
        </r>
      </text>
    </comment>
    <comment ref="T704" authorId="0">
      <text>
        <r>
          <rPr>
            <b/>
            <sz val="9"/>
            <rFont val="宋体"/>
            <charset val="134"/>
          </rPr>
          <t>Administrator:</t>
        </r>
        <r>
          <rPr>
            <sz val="9"/>
            <rFont val="宋体"/>
            <charset val="134"/>
          </rPr>
          <t xml:space="preserve">
2020.9.1收76519.7美金</t>
        </r>
      </text>
    </comment>
    <comment ref="Q705" authorId="0">
      <text>
        <r>
          <rPr>
            <b/>
            <sz val="9"/>
            <rFont val="宋体"/>
            <charset val="134"/>
          </rPr>
          <t>Administrator:</t>
        </r>
        <r>
          <rPr>
            <sz val="9"/>
            <rFont val="宋体"/>
            <charset val="134"/>
          </rPr>
          <t xml:space="preserve">
2020.4.9实收4973美金</t>
        </r>
      </text>
    </comment>
    <comment ref="T705" authorId="0">
      <text>
        <r>
          <rPr>
            <b/>
            <sz val="9"/>
            <rFont val="宋体"/>
            <charset val="134"/>
          </rPr>
          <t>Administrator:</t>
        </r>
        <r>
          <rPr>
            <sz val="9"/>
            <rFont val="宋体"/>
            <charset val="134"/>
          </rPr>
          <t xml:space="preserve">
2020.5.19收</t>
        </r>
      </text>
    </comment>
    <comment ref="Q706" authorId="0">
      <text>
        <r>
          <rPr>
            <b/>
            <sz val="9"/>
            <rFont val="宋体"/>
            <charset val="134"/>
          </rPr>
          <t>Administrator:</t>
        </r>
        <r>
          <rPr>
            <sz val="9"/>
            <rFont val="宋体"/>
            <charset val="134"/>
          </rPr>
          <t xml:space="preserve">
定金水单30000美金2020.4.10收到29968美金
8600美金做-1定金</t>
        </r>
      </text>
    </comment>
    <comment ref="T706" authorId="0">
      <text>
        <r>
          <rPr>
            <b/>
            <sz val="9"/>
            <rFont val="宋体"/>
            <charset val="134"/>
          </rPr>
          <t>Administrator:</t>
        </r>
        <r>
          <rPr>
            <sz val="9"/>
            <rFont val="宋体"/>
            <charset val="134"/>
          </rPr>
          <t xml:space="preserve">
2020.7.10收</t>
        </r>
      </text>
    </comment>
    <comment ref="T707" authorId="0">
      <text>
        <r>
          <rPr>
            <b/>
            <sz val="9"/>
            <rFont val="宋体"/>
            <charset val="134"/>
          </rPr>
          <t>Administrator:</t>
        </r>
        <r>
          <rPr>
            <sz val="9"/>
            <rFont val="宋体"/>
            <charset val="134"/>
          </rPr>
          <t xml:space="preserve">
2020.7.17收</t>
        </r>
      </text>
    </comment>
    <comment ref="T708" authorId="0">
      <text>
        <r>
          <rPr>
            <b/>
            <sz val="9"/>
            <rFont val="宋体"/>
            <charset val="134"/>
          </rPr>
          <t>Administrator:</t>
        </r>
        <r>
          <rPr>
            <sz val="9"/>
            <rFont val="宋体"/>
            <charset val="134"/>
          </rPr>
          <t xml:space="preserve">
2020.6.30收</t>
        </r>
      </text>
    </comment>
    <comment ref="T709" authorId="0">
      <text>
        <r>
          <rPr>
            <b/>
            <sz val="9"/>
            <rFont val="宋体"/>
            <charset val="134"/>
          </rPr>
          <t>Administrator:</t>
        </r>
        <r>
          <rPr>
            <sz val="9"/>
            <rFont val="宋体"/>
            <charset val="134"/>
          </rPr>
          <t xml:space="preserve">
2020.6.19收</t>
        </r>
      </text>
    </comment>
    <comment ref="Q711" authorId="0">
      <text>
        <r>
          <rPr>
            <b/>
            <sz val="9"/>
            <rFont val="宋体"/>
            <charset val="134"/>
          </rPr>
          <t>Administrator:</t>
        </r>
        <r>
          <rPr>
            <sz val="9"/>
            <rFont val="宋体"/>
            <charset val="134"/>
          </rPr>
          <t xml:space="preserve">
2020.4.10收9962.5美金</t>
        </r>
      </text>
    </comment>
    <comment ref="T711" authorId="0">
      <text>
        <r>
          <rPr>
            <b/>
            <sz val="9"/>
            <rFont val="宋体"/>
            <charset val="134"/>
          </rPr>
          <t>Administrator:</t>
        </r>
        <r>
          <rPr>
            <sz val="9"/>
            <rFont val="宋体"/>
            <charset val="134"/>
          </rPr>
          <t xml:space="preserve">
2020.5.29收</t>
        </r>
      </text>
    </comment>
    <comment ref="Q712" authorId="0">
      <text>
        <r>
          <rPr>
            <b/>
            <sz val="9"/>
            <rFont val="宋体"/>
            <charset val="134"/>
          </rPr>
          <t>Administrator:</t>
        </r>
        <r>
          <rPr>
            <sz val="9"/>
            <rFont val="宋体"/>
            <charset val="134"/>
          </rPr>
          <t xml:space="preserve">
2020.5.18收</t>
        </r>
      </text>
    </comment>
    <comment ref="T712" authorId="0">
      <text>
        <r>
          <rPr>
            <b/>
            <sz val="9"/>
            <rFont val="宋体"/>
            <charset val="134"/>
          </rPr>
          <t>Administrator:</t>
        </r>
        <r>
          <rPr>
            <sz val="9"/>
            <rFont val="宋体"/>
            <charset val="134"/>
          </rPr>
          <t xml:space="preserve">
2020.6.8收</t>
        </r>
      </text>
    </comment>
    <comment ref="Q713" authorId="0">
      <text>
        <r>
          <rPr>
            <b/>
            <sz val="9"/>
            <rFont val="宋体"/>
            <charset val="134"/>
          </rPr>
          <t>Administrator:</t>
        </r>
        <r>
          <rPr>
            <sz val="9"/>
            <rFont val="宋体"/>
            <charset val="134"/>
          </rPr>
          <t xml:space="preserve">
2020.4.23收3000美金
2020.4.24收3257美金</t>
        </r>
      </text>
    </comment>
    <comment ref="T713" authorId="0">
      <text>
        <r>
          <rPr>
            <b/>
            <sz val="9"/>
            <rFont val="宋体"/>
            <charset val="134"/>
          </rPr>
          <t>Administrator:</t>
        </r>
        <r>
          <rPr>
            <sz val="9"/>
            <rFont val="宋体"/>
            <charset val="134"/>
          </rPr>
          <t xml:space="preserve">
2020.6.1收</t>
        </r>
      </text>
    </comment>
    <comment ref="Q714" authorId="0">
      <text>
        <r>
          <rPr>
            <b/>
            <sz val="9"/>
            <rFont val="宋体"/>
            <charset val="134"/>
          </rPr>
          <t>Administrator:</t>
        </r>
        <r>
          <rPr>
            <sz val="9"/>
            <rFont val="宋体"/>
            <charset val="134"/>
          </rPr>
          <t xml:space="preserve">
30429 2020.5.15收
五万2020.7.1收</t>
        </r>
      </text>
    </comment>
    <comment ref="T714" authorId="0">
      <text>
        <r>
          <rPr>
            <b/>
            <sz val="9"/>
            <rFont val="宋体"/>
            <charset val="134"/>
          </rPr>
          <t>Administrator:</t>
        </r>
        <r>
          <rPr>
            <sz val="9"/>
            <rFont val="宋体"/>
            <charset val="134"/>
          </rPr>
          <t xml:space="preserve">
2020.7.8收</t>
        </r>
      </text>
    </comment>
    <comment ref="Q715" authorId="0">
      <text>
        <r>
          <rPr>
            <b/>
            <sz val="9"/>
            <rFont val="宋体"/>
            <charset val="134"/>
          </rPr>
          <t>Administrator:</t>
        </r>
        <r>
          <rPr>
            <sz val="9"/>
            <rFont val="宋体"/>
            <charset val="134"/>
          </rPr>
          <t xml:space="preserve">
2020.6.1收6381.74美金</t>
        </r>
      </text>
    </comment>
    <comment ref="T715" authorId="0">
      <text>
        <r>
          <rPr>
            <b/>
            <sz val="9"/>
            <rFont val="宋体"/>
            <charset val="134"/>
          </rPr>
          <t>Administrator:</t>
        </r>
        <r>
          <rPr>
            <sz val="9"/>
            <rFont val="宋体"/>
            <charset val="134"/>
          </rPr>
          <t xml:space="preserve">
2020.7.8收</t>
        </r>
      </text>
    </comment>
    <comment ref="Q716" authorId="0">
      <text>
        <r>
          <rPr>
            <b/>
            <sz val="9"/>
            <rFont val="宋体"/>
            <charset val="134"/>
          </rPr>
          <t>Administrator:</t>
        </r>
        <r>
          <rPr>
            <sz val="9"/>
            <rFont val="宋体"/>
            <charset val="134"/>
          </rPr>
          <t xml:space="preserve">
12000定金 2020.6.30收</t>
        </r>
      </text>
    </comment>
    <comment ref="T716" authorId="0">
      <text>
        <r>
          <rPr>
            <b/>
            <sz val="9"/>
            <rFont val="宋体"/>
            <charset val="134"/>
          </rPr>
          <t>Administrator:</t>
        </r>
        <r>
          <rPr>
            <sz val="9"/>
            <rFont val="宋体"/>
            <charset val="134"/>
          </rPr>
          <t xml:space="preserve">
2020.8.14收14767美金</t>
        </r>
      </text>
    </comment>
    <comment ref="T717" authorId="0">
      <text>
        <r>
          <rPr>
            <b/>
            <sz val="9"/>
            <rFont val="宋体"/>
            <charset val="134"/>
          </rPr>
          <t>Administrator:</t>
        </r>
        <r>
          <rPr>
            <sz val="9"/>
            <rFont val="宋体"/>
            <charset val="134"/>
          </rPr>
          <t xml:space="preserve">
2020.9.23收</t>
        </r>
      </text>
    </comment>
    <comment ref="Q718" authorId="0">
      <text>
        <r>
          <rPr>
            <b/>
            <sz val="9"/>
            <rFont val="宋体"/>
            <charset val="134"/>
          </rPr>
          <t>Administrator:</t>
        </r>
        <r>
          <rPr>
            <sz val="9"/>
            <rFont val="宋体"/>
            <charset val="134"/>
          </rPr>
          <t xml:space="preserve">
2020.7.7收</t>
        </r>
      </text>
    </comment>
    <comment ref="T718" authorId="0">
      <text>
        <r>
          <rPr>
            <b/>
            <sz val="9"/>
            <rFont val="宋体"/>
            <charset val="134"/>
          </rPr>
          <t>Administrator:</t>
        </r>
        <r>
          <rPr>
            <sz val="9"/>
            <rFont val="宋体"/>
            <charset val="134"/>
          </rPr>
          <t xml:space="preserve">
2020.7.24收</t>
        </r>
      </text>
    </comment>
    <comment ref="P719" authorId="0">
      <text>
        <r>
          <rPr>
            <b/>
            <sz val="9"/>
            <rFont val="宋体"/>
            <charset val="134"/>
          </rPr>
          <t>Administrator:</t>
        </r>
        <r>
          <rPr>
            <sz val="9"/>
            <rFont val="宋体"/>
            <charset val="134"/>
          </rPr>
          <t xml:space="preserve">
1350是第一次运费
630第二次运费</t>
        </r>
      </text>
    </comment>
    <comment ref="Q719" authorId="0">
      <text>
        <r>
          <rPr>
            <b/>
            <sz val="9"/>
            <rFont val="宋体"/>
            <charset val="134"/>
          </rPr>
          <t>Administrator:</t>
        </r>
        <r>
          <rPr>
            <sz val="9"/>
            <rFont val="宋体"/>
            <charset val="134"/>
          </rPr>
          <t xml:space="preserve">
2020.7.7收</t>
        </r>
      </text>
    </comment>
    <comment ref="T719" authorId="0">
      <text>
        <r>
          <rPr>
            <b/>
            <sz val="9"/>
            <rFont val="宋体"/>
            <charset val="134"/>
          </rPr>
          <t>Administrator:</t>
        </r>
        <r>
          <rPr>
            <sz val="9"/>
            <rFont val="宋体"/>
            <charset val="134"/>
          </rPr>
          <t xml:space="preserve">
2020.8.11收</t>
        </r>
      </text>
    </comment>
    <comment ref="U719" authorId="0">
      <text>
        <r>
          <rPr>
            <b/>
            <sz val="9"/>
            <rFont val="宋体"/>
            <charset val="134"/>
          </rPr>
          <t>Administrator:</t>
        </r>
        <r>
          <rPr>
            <sz val="9"/>
            <rFont val="宋体"/>
            <charset val="134"/>
          </rPr>
          <t xml:space="preserve">
2020.10.26收
2020.12.5收64400RMB
2021.3.11收54630包括运费630</t>
        </r>
      </text>
    </comment>
    <comment ref="T720" authorId="0">
      <text>
        <r>
          <rPr>
            <b/>
            <sz val="9"/>
            <rFont val="宋体"/>
            <charset val="134"/>
          </rPr>
          <t>Administrator:</t>
        </r>
        <r>
          <rPr>
            <sz val="9"/>
            <rFont val="宋体"/>
            <charset val="134"/>
          </rPr>
          <t xml:space="preserve">
2020.8.12收36668</t>
        </r>
      </text>
    </comment>
    <comment ref="T721" authorId="0">
      <text>
        <r>
          <rPr>
            <b/>
            <sz val="9"/>
            <rFont val="宋体"/>
            <charset val="134"/>
          </rPr>
          <t>Administrator:</t>
        </r>
        <r>
          <rPr>
            <sz val="9"/>
            <rFont val="宋体"/>
            <charset val="134"/>
          </rPr>
          <t xml:space="preserve">
2020.7.28收1011.34美金</t>
        </r>
      </text>
    </comment>
    <comment ref="Q722" authorId="0">
      <text>
        <r>
          <rPr>
            <b/>
            <sz val="9"/>
            <rFont val="宋体"/>
            <charset val="134"/>
          </rPr>
          <t>Administrator:</t>
        </r>
        <r>
          <rPr>
            <sz val="9"/>
            <rFont val="宋体"/>
            <charset val="134"/>
          </rPr>
          <t xml:space="preserve">
2020.7.15收  J3843定金转到J3862  J3843付全款</t>
        </r>
      </text>
    </comment>
    <comment ref="T722" authorId="0">
      <text>
        <r>
          <rPr>
            <b/>
            <sz val="9"/>
            <rFont val="宋体"/>
            <charset val="134"/>
          </rPr>
          <t>Administrator:</t>
        </r>
        <r>
          <rPr>
            <sz val="9"/>
            <rFont val="宋体"/>
            <charset val="134"/>
          </rPr>
          <t xml:space="preserve">
2020.11.2收26182.5</t>
        </r>
      </text>
    </comment>
    <comment ref="Q723" authorId="0">
      <text>
        <r>
          <rPr>
            <b/>
            <sz val="9"/>
            <rFont val="宋体"/>
            <charset val="134"/>
          </rPr>
          <t>Administrator:</t>
        </r>
        <r>
          <rPr>
            <sz val="9"/>
            <rFont val="宋体"/>
            <charset val="134"/>
          </rPr>
          <t xml:space="preserve">
J3762定金移到J3873</t>
        </r>
      </text>
    </comment>
    <comment ref="T723" authorId="0">
      <text>
        <r>
          <rPr>
            <b/>
            <sz val="9"/>
            <rFont val="宋体"/>
            <charset val="134"/>
          </rPr>
          <t>Administrator:</t>
        </r>
        <r>
          <rPr>
            <sz val="9"/>
            <rFont val="宋体"/>
            <charset val="134"/>
          </rPr>
          <t xml:space="preserve">
2021.1.11收76663.85美金</t>
        </r>
      </text>
    </comment>
    <comment ref="Q724" authorId="0">
      <text>
        <r>
          <rPr>
            <b/>
            <sz val="9"/>
            <rFont val="宋体"/>
            <charset val="134"/>
          </rPr>
          <t>Administrator:</t>
        </r>
        <r>
          <rPr>
            <sz val="9"/>
            <rFont val="宋体"/>
            <charset val="134"/>
          </rPr>
          <t xml:space="preserve">
2020.9.16收</t>
        </r>
      </text>
    </comment>
    <comment ref="T724" authorId="0">
      <text>
        <r>
          <rPr>
            <b/>
            <sz val="9"/>
            <rFont val="宋体"/>
            <charset val="134"/>
          </rPr>
          <t>Administrator:</t>
        </r>
        <r>
          <rPr>
            <sz val="9"/>
            <rFont val="宋体"/>
            <charset val="134"/>
          </rPr>
          <t xml:space="preserve">
2020.11.24收15451.52</t>
        </r>
      </text>
    </comment>
    <comment ref="Q725" authorId="0">
      <text>
        <r>
          <rPr>
            <b/>
            <sz val="9"/>
            <rFont val="宋体"/>
            <charset val="134"/>
          </rPr>
          <t>Administrator:</t>
        </r>
        <r>
          <rPr>
            <sz val="9"/>
            <rFont val="宋体"/>
            <charset val="134"/>
          </rPr>
          <t xml:space="preserve">
2020.9.18收11453美金</t>
        </r>
      </text>
    </comment>
    <comment ref="T725" authorId="0">
      <text>
        <r>
          <rPr>
            <b/>
            <sz val="9"/>
            <rFont val="宋体"/>
            <charset val="134"/>
          </rPr>
          <t>Administrator:</t>
        </r>
        <r>
          <rPr>
            <sz val="9"/>
            <rFont val="宋体"/>
            <charset val="134"/>
          </rPr>
          <t xml:space="preserve">
2021.1.12收29169</t>
        </r>
      </text>
    </comment>
    <comment ref="Q726" authorId="0">
      <text>
        <r>
          <rPr>
            <b/>
            <sz val="9"/>
            <rFont val="宋体"/>
            <charset val="134"/>
          </rPr>
          <t>Administrator:</t>
        </r>
        <r>
          <rPr>
            <sz val="9"/>
            <rFont val="宋体"/>
            <charset val="134"/>
          </rPr>
          <t xml:space="preserve">
2020.9.23收</t>
        </r>
      </text>
    </comment>
    <comment ref="T726" authorId="0">
      <text>
        <r>
          <rPr>
            <b/>
            <sz val="9"/>
            <rFont val="宋体"/>
            <charset val="134"/>
          </rPr>
          <t>Administrator:</t>
        </r>
        <r>
          <rPr>
            <sz val="9"/>
            <rFont val="宋体"/>
            <charset val="134"/>
          </rPr>
          <t xml:space="preserve">
2020.12.14收</t>
        </r>
      </text>
    </comment>
    <comment ref="Q727" authorId="0">
      <text>
        <r>
          <rPr>
            <b/>
            <sz val="9"/>
            <rFont val="宋体"/>
            <charset val="134"/>
          </rPr>
          <t>Administrator:</t>
        </r>
        <r>
          <rPr>
            <sz val="9"/>
            <rFont val="宋体"/>
            <charset val="134"/>
          </rPr>
          <t xml:space="preserve">
2020.9.23收</t>
        </r>
      </text>
    </comment>
    <comment ref="T727" authorId="0">
      <text>
        <r>
          <rPr>
            <b/>
            <sz val="9"/>
            <rFont val="宋体"/>
            <charset val="134"/>
          </rPr>
          <t>Administrator:</t>
        </r>
        <r>
          <rPr>
            <sz val="9"/>
            <rFont val="宋体"/>
            <charset val="134"/>
          </rPr>
          <t xml:space="preserve">
2020.12.14收</t>
        </r>
      </text>
    </comment>
    <comment ref="Q728" authorId="0">
      <text>
        <r>
          <rPr>
            <b/>
            <sz val="9"/>
            <rFont val="宋体"/>
            <charset val="134"/>
          </rPr>
          <t>Administrator:</t>
        </r>
        <r>
          <rPr>
            <sz val="9"/>
            <rFont val="宋体"/>
            <charset val="134"/>
          </rPr>
          <t xml:space="preserve">
2020.9.30收9959美金</t>
        </r>
      </text>
    </comment>
    <comment ref="T728" authorId="0">
      <text>
        <r>
          <rPr>
            <b/>
            <sz val="9"/>
            <rFont val="宋体"/>
            <charset val="134"/>
          </rPr>
          <t>Administrator:</t>
        </r>
        <r>
          <rPr>
            <sz val="9"/>
            <rFont val="宋体"/>
            <charset val="134"/>
          </rPr>
          <t xml:space="preserve">
2020.12.14收</t>
        </r>
      </text>
    </comment>
    <comment ref="Q729" authorId="0">
      <text>
        <r>
          <rPr>
            <b/>
            <sz val="9"/>
            <rFont val="宋体"/>
            <charset val="134"/>
          </rPr>
          <t>Administrator:</t>
        </r>
        <r>
          <rPr>
            <sz val="9"/>
            <rFont val="宋体"/>
            <charset val="134"/>
          </rPr>
          <t xml:space="preserve">
2020.10.22收</t>
        </r>
      </text>
    </comment>
    <comment ref="T729" authorId="0">
      <text>
        <r>
          <rPr>
            <b/>
            <sz val="9"/>
            <rFont val="宋体"/>
            <charset val="134"/>
          </rPr>
          <t>Administrator:</t>
        </r>
        <r>
          <rPr>
            <sz val="9"/>
            <rFont val="宋体"/>
            <charset val="134"/>
          </rPr>
          <t xml:space="preserve">
2020.11.25收</t>
        </r>
      </text>
    </comment>
    <comment ref="Q730" authorId="0">
      <text>
        <r>
          <rPr>
            <b/>
            <sz val="9"/>
            <rFont val="宋体"/>
            <charset val="134"/>
          </rPr>
          <t>Administrator:</t>
        </r>
        <r>
          <rPr>
            <sz val="9"/>
            <rFont val="宋体"/>
            <charset val="134"/>
          </rPr>
          <t xml:space="preserve">
2020.11.2收4990美金</t>
        </r>
      </text>
    </comment>
    <comment ref="T730" authorId="0">
      <text>
        <r>
          <rPr>
            <b/>
            <sz val="9"/>
            <rFont val="宋体"/>
            <charset val="134"/>
          </rPr>
          <t>Administrator:</t>
        </r>
        <r>
          <rPr>
            <sz val="9"/>
            <rFont val="宋体"/>
            <charset val="134"/>
          </rPr>
          <t xml:space="preserve">
2020.11.30收4990
2020.12.10收4990</t>
        </r>
      </text>
    </comment>
    <comment ref="U730" authorId="0">
      <text>
        <r>
          <rPr>
            <b/>
            <sz val="9"/>
            <rFont val="宋体"/>
            <charset val="134"/>
          </rPr>
          <t>Administrator:</t>
        </r>
        <r>
          <rPr>
            <sz val="9"/>
            <rFont val="宋体"/>
            <charset val="134"/>
          </rPr>
          <t xml:space="preserve">
2021.3.3收4952</t>
        </r>
      </text>
    </comment>
    <comment ref="Q732" authorId="0">
      <text>
        <r>
          <rPr>
            <b/>
            <sz val="9"/>
            <rFont val="宋体"/>
            <charset val="134"/>
          </rPr>
          <t>Administrator:</t>
        </r>
        <r>
          <rPr>
            <sz val="9"/>
            <rFont val="宋体"/>
            <charset val="134"/>
          </rPr>
          <t xml:space="preserve">
18.7.11</t>
        </r>
      </text>
    </comment>
    <comment ref="R732" authorId="0">
      <text>
        <r>
          <rPr>
            <b/>
            <sz val="9"/>
            <rFont val="宋体"/>
            <charset val="134"/>
          </rPr>
          <t>Administrator:</t>
        </r>
        <r>
          <rPr>
            <sz val="9"/>
            <rFont val="宋体"/>
            <charset val="134"/>
          </rPr>
          <t xml:space="preserve">
18.9.15
</t>
        </r>
      </text>
    </comment>
    <comment ref="T732" authorId="0">
      <text>
        <r>
          <rPr>
            <b/>
            <sz val="9"/>
            <rFont val="宋体"/>
            <charset val="134"/>
          </rPr>
          <t>Administrator:</t>
        </r>
        <r>
          <rPr>
            <sz val="9"/>
            <rFont val="宋体"/>
            <charset val="134"/>
          </rPr>
          <t xml:space="preserve">
18.9.15
</t>
        </r>
      </text>
    </comment>
    <comment ref="U732" authorId="0">
      <text>
        <r>
          <rPr>
            <b/>
            <sz val="9"/>
            <rFont val="宋体"/>
            <charset val="134"/>
          </rPr>
          <t>Administrator:</t>
        </r>
        <r>
          <rPr>
            <sz val="9"/>
            <rFont val="宋体"/>
            <charset val="134"/>
          </rPr>
          <t xml:space="preserve">
18.9.15
</t>
        </r>
      </text>
    </comment>
    <comment ref="Q733" authorId="1">
      <text>
        <r>
          <rPr>
            <b/>
            <sz val="11"/>
            <rFont val="MS PGothic"/>
            <charset val="134"/>
          </rPr>
          <t>Microsoft Office 用户:</t>
        </r>
        <r>
          <rPr>
            <sz val="11"/>
            <rFont val="MS PGothic"/>
            <charset val="134"/>
          </rPr>
          <t xml:space="preserve">
从13500分 4500</t>
        </r>
      </text>
    </comment>
    <comment ref="Q736" authorId="0">
      <text>
        <r>
          <rPr>
            <b/>
            <sz val="9"/>
            <rFont val="宋体"/>
            <charset val="134"/>
          </rPr>
          <t>Administrator:</t>
        </r>
        <r>
          <rPr>
            <sz val="9"/>
            <rFont val="宋体"/>
            <charset val="134"/>
          </rPr>
          <t xml:space="preserve">
1.26 6978</t>
        </r>
      </text>
    </comment>
    <comment ref="Q737" authorId="0">
      <text>
        <r>
          <rPr>
            <b/>
            <sz val="9"/>
            <rFont val="宋体"/>
            <charset val="134"/>
          </rPr>
          <t>Administrator:</t>
        </r>
        <r>
          <rPr>
            <sz val="9"/>
            <rFont val="宋体"/>
            <charset val="134"/>
          </rPr>
          <t xml:space="preserve">
2.21  7478.74</t>
        </r>
      </text>
    </comment>
    <comment ref="Q739" authorId="0">
      <text>
        <r>
          <rPr>
            <b/>
            <sz val="9"/>
            <rFont val="宋体"/>
            <charset val="134"/>
          </rPr>
          <t>Administrator:</t>
        </r>
        <r>
          <rPr>
            <sz val="9"/>
            <rFont val="宋体"/>
            <charset val="134"/>
          </rPr>
          <t xml:space="preserve">
6.11</t>
        </r>
      </text>
    </comment>
    <comment ref="P740" authorId="0">
      <text>
        <r>
          <rPr>
            <b/>
            <sz val="9"/>
            <rFont val="宋体"/>
            <charset val="134"/>
          </rPr>
          <t>Administrator:</t>
        </r>
        <r>
          <rPr>
            <sz val="9"/>
            <rFont val="宋体"/>
            <charset val="134"/>
          </rPr>
          <t xml:space="preserve">
PC证书费减了300</t>
        </r>
      </text>
    </comment>
    <comment ref="T741" authorId="0">
      <text>
        <r>
          <rPr>
            <b/>
            <sz val="9"/>
            <rFont val="宋体"/>
            <charset val="134"/>
          </rPr>
          <t>Administrator:</t>
        </r>
        <r>
          <rPr>
            <sz val="9"/>
            <rFont val="宋体"/>
            <charset val="134"/>
          </rPr>
          <t xml:space="preserve">
应付9518.85</t>
        </r>
      </text>
    </comment>
    <comment ref="Q742" authorId="0">
      <text>
        <r>
          <rPr>
            <b/>
            <sz val="9"/>
            <rFont val="宋体"/>
            <charset val="134"/>
          </rPr>
          <t>Administrator:</t>
        </r>
        <r>
          <rPr>
            <sz val="9"/>
            <rFont val="宋体"/>
            <charset val="134"/>
          </rPr>
          <t xml:space="preserve">
收到4997.5</t>
        </r>
      </text>
    </comment>
    <comment ref="T742" authorId="0">
      <text>
        <r>
          <rPr>
            <b/>
            <sz val="9"/>
            <rFont val="宋体"/>
            <charset val="134"/>
          </rPr>
          <t>Administrator:</t>
        </r>
        <r>
          <rPr>
            <sz val="9"/>
            <rFont val="宋体"/>
            <charset val="134"/>
          </rPr>
          <t xml:space="preserve">
应付6517-481=6036</t>
        </r>
      </text>
    </comment>
    <comment ref="Q744" authorId="0">
      <text>
        <r>
          <rPr>
            <b/>
            <sz val="9"/>
            <rFont val="宋体"/>
            <charset val="134"/>
          </rPr>
          <t>Administrator:</t>
        </r>
        <r>
          <rPr>
            <sz val="9"/>
            <rFont val="宋体"/>
            <charset val="134"/>
          </rPr>
          <t xml:space="preserve">
2020.2.13 11570.42美金</t>
        </r>
      </text>
    </comment>
    <comment ref="T744" authorId="0">
      <text>
        <r>
          <rPr>
            <b/>
            <sz val="9"/>
            <rFont val="宋体"/>
            <charset val="134"/>
          </rPr>
          <t>Administrator:</t>
        </r>
        <r>
          <rPr>
            <sz val="9"/>
            <rFont val="宋体"/>
            <charset val="134"/>
          </rPr>
          <t xml:space="preserve">
2020.6.1收</t>
        </r>
      </text>
    </comment>
    <comment ref="U744" authorId="0">
      <text>
        <r>
          <rPr>
            <b/>
            <sz val="9"/>
            <rFont val="宋体"/>
            <charset val="134"/>
          </rPr>
          <t>Administrator:</t>
        </r>
        <r>
          <rPr>
            <sz val="9"/>
            <rFont val="宋体"/>
            <charset val="134"/>
          </rPr>
          <t xml:space="preserve">
2020.6.10收到两笔10000+1400美金</t>
        </r>
      </text>
    </comment>
    <comment ref="T746" authorId="0">
      <text>
        <r>
          <rPr>
            <b/>
            <sz val="9"/>
            <rFont val="宋体"/>
            <charset val="134"/>
          </rPr>
          <t>Administrator:</t>
        </r>
        <r>
          <rPr>
            <sz val="9"/>
            <rFont val="宋体"/>
            <charset val="134"/>
          </rPr>
          <t xml:space="preserve">
2020.7.2收</t>
        </r>
      </text>
    </comment>
    <comment ref="Q747" authorId="0">
      <text>
        <r>
          <rPr>
            <b/>
            <sz val="9"/>
            <rFont val="宋体"/>
            <charset val="134"/>
          </rPr>
          <t>Administrator:</t>
        </r>
        <r>
          <rPr>
            <sz val="9"/>
            <rFont val="宋体"/>
            <charset val="134"/>
          </rPr>
          <t xml:space="preserve">
2020.8.28收4988美金</t>
        </r>
      </text>
    </comment>
    <comment ref="T747" authorId="0">
      <text>
        <r>
          <rPr>
            <b/>
            <sz val="9"/>
            <rFont val="宋体"/>
            <charset val="134"/>
          </rPr>
          <t>Administrator:</t>
        </r>
        <r>
          <rPr>
            <sz val="9"/>
            <rFont val="宋体"/>
            <charset val="134"/>
          </rPr>
          <t xml:space="preserve">
2020.10.22收7728</t>
        </r>
      </text>
    </comment>
    <comment ref="Q752" authorId="0">
      <text>
        <r>
          <rPr>
            <b/>
            <sz val="9"/>
            <rFont val="Tahoma"/>
            <charset val="134"/>
          </rPr>
          <t>Administrator:</t>
        </r>
        <r>
          <rPr>
            <sz val="9"/>
            <rFont val="Tahoma"/>
            <charset val="134"/>
          </rPr>
          <t xml:space="preserve">
8.8</t>
        </r>
      </text>
    </comment>
    <comment ref="T752" authorId="1">
      <text>
        <r>
          <rPr>
            <b/>
            <sz val="11"/>
            <rFont val="MS PGothic"/>
            <charset val="134"/>
          </rPr>
          <t>Microsoft Office 用户:</t>
        </r>
        <r>
          <rPr>
            <sz val="11"/>
            <rFont val="MS PGothic"/>
            <charset val="134"/>
          </rPr>
          <t xml:space="preserve">
9.15 USD Hengseng 
</t>
        </r>
      </text>
    </comment>
    <comment ref="U752" authorId="1">
      <text>
        <r>
          <rPr>
            <b/>
            <sz val="11"/>
            <rFont val="MS PGothic"/>
            <charset val="134"/>
          </rPr>
          <t>Microsoft Office 用户:</t>
        </r>
        <r>
          <rPr>
            <sz val="11"/>
            <rFont val="MS PGothic"/>
            <charset val="134"/>
          </rPr>
          <t xml:space="preserve">
9.15 USD Hengseng 
</t>
        </r>
      </text>
    </comment>
    <comment ref="Q754" authorId="0">
      <text>
        <r>
          <rPr>
            <b/>
            <sz val="9"/>
            <rFont val="宋体"/>
            <charset val="134"/>
          </rPr>
          <t>Administrator:</t>
        </r>
        <r>
          <rPr>
            <sz val="9"/>
            <rFont val="宋体"/>
            <charset val="134"/>
          </rPr>
          <t xml:space="preserve">
7.18</t>
        </r>
      </text>
    </comment>
    <comment ref="Q755" authorId="0">
      <text>
        <r>
          <rPr>
            <b/>
            <sz val="9"/>
            <rFont val="宋体"/>
            <charset val="134"/>
          </rPr>
          <t>Administrator:</t>
        </r>
        <r>
          <rPr>
            <sz val="9"/>
            <rFont val="宋体"/>
            <charset val="134"/>
          </rPr>
          <t xml:space="preserve">
7.19</t>
        </r>
      </text>
    </comment>
    <comment ref="Q756" authorId="0">
      <text>
        <r>
          <rPr>
            <b/>
            <sz val="9"/>
            <rFont val="Tahoma"/>
            <charset val="134"/>
          </rPr>
          <t>Administrator:</t>
        </r>
        <r>
          <rPr>
            <sz val="9"/>
            <rFont val="Tahoma"/>
            <charset val="134"/>
          </rPr>
          <t xml:space="preserve">
8.6</t>
        </r>
      </text>
    </comment>
    <comment ref="Q758" authorId="1">
      <text>
        <r>
          <rPr>
            <b/>
            <sz val="11"/>
            <rFont val="MS PGothic"/>
            <charset val="134"/>
          </rPr>
          <t>Microsoft Office 用户:</t>
        </r>
        <r>
          <rPr>
            <sz val="11"/>
            <rFont val="MS PGothic"/>
            <charset val="134"/>
          </rPr>
          <t xml:space="preserve">
9.28</t>
        </r>
      </text>
    </comment>
    <comment ref="Q759" authorId="1">
      <text>
        <r>
          <rPr>
            <b/>
            <sz val="11"/>
            <rFont val="MS PGothic"/>
            <charset val="134"/>
          </rPr>
          <t>Microsoft Office 用户:</t>
        </r>
        <r>
          <rPr>
            <sz val="11"/>
            <rFont val="MS PGothic"/>
            <charset val="134"/>
          </rPr>
          <t xml:space="preserve">
10.8 
</t>
        </r>
      </text>
    </comment>
    <comment ref="R760" authorId="0">
      <text>
        <r>
          <rPr>
            <b/>
            <sz val="9"/>
            <rFont val="宋体"/>
            <charset val="134"/>
          </rPr>
          <t>Administrator:</t>
        </r>
        <r>
          <rPr>
            <sz val="9"/>
            <rFont val="宋体"/>
            <charset val="134"/>
          </rPr>
          <t xml:space="preserve">
客户打款多付了1860美金，下次可以少付这个金额。</t>
        </r>
      </text>
    </comment>
    <comment ref="U760" authorId="0">
      <text>
        <r>
          <rPr>
            <b/>
            <sz val="9"/>
            <rFont val="宋体"/>
            <charset val="134"/>
          </rPr>
          <t>Administrator:</t>
        </r>
        <r>
          <rPr>
            <sz val="9"/>
            <rFont val="宋体"/>
            <charset val="134"/>
          </rPr>
          <t xml:space="preserve">
客户打款多付了1860美金，下次可以少付这个金额。</t>
        </r>
      </text>
    </comment>
    <comment ref="R761" authorId="0">
      <text>
        <r>
          <rPr>
            <b/>
            <sz val="9"/>
            <rFont val="宋体"/>
            <charset val="134"/>
          </rPr>
          <t>Administrator:</t>
        </r>
        <r>
          <rPr>
            <sz val="9"/>
            <rFont val="宋体"/>
            <charset val="134"/>
          </rPr>
          <t xml:space="preserve">
12.28  实际收的</t>
        </r>
      </text>
    </comment>
    <comment ref="T761" authorId="0">
      <text>
        <r>
          <rPr>
            <b/>
            <sz val="9"/>
            <rFont val="宋体"/>
            <charset val="134"/>
          </rPr>
          <t>Administrator:</t>
        </r>
        <r>
          <rPr>
            <sz val="9"/>
            <rFont val="宋体"/>
            <charset val="134"/>
          </rPr>
          <t xml:space="preserve">
12.28  实际收的</t>
        </r>
      </text>
    </comment>
    <comment ref="U761" authorId="0">
      <text>
        <r>
          <rPr>
            <b/>
            <sz val="9"/>
            <rFont val="宋体"/>
            <charset val="134"/>
          </rPr>
          <t>Administrator:</t>
        </r>
        <r>
          <rPr>
            <sz val="9"/>
            <rFont val="宋体"/>
            <charset val="134"/>
          </rPr>
          <t xml:space="preserve">
12.28  实际收的</t>
        </r>
      </text>
    </comment>
    <comment ref="Q769" authorId="0">
      <text>
        <r>
          <rPr>
            <b/>
            <sz val="9"/>
            <rFont val="宋体"/>
            <charset val="134"/>
          </rPr>
          <t>Administrator:</t>
        </r>
        <r>
          <rPr>
            <sz val="9"/>
            <rFont val="宋体"/>
            <charset val="134"/>
          </rPr>
          <t xml:space="preserve">
2019.1.2 实际收到5370</t>
        </r>
      </text>
    </comment>
    <comment ref="U769" authorId="0">
      <text>
        <r>
          <rPr>
            <b/>
            <sz val="9"/>
            <rFont val="宋体"/>
            <charset val="134"/>
          </rPr>
          <t>Administrator:</t>
        </r>
        <r>
          <rPr>
            <sz val="9"/>
            <rFont val="宋体"/>
            <charset val="134"/>
          </rPr>
          <t xml:space="preserve">
2019.1.2 实际收到5370</t>
        </r>
      </text>
    </comment>
    <comment ref="Q771" authorId="0">
      <text>
        <r>
          <rPr>
            <b/>
            <sz val="9"/>
            <rFont val="宋体"/>
            <charset val="134"/>
          </rPr>
          <t>Administrator:</t>
        </r>
        <r>
          <rPr>
            <sz val="9"/>
            <rFont val="宋体"/>
            <charset val="134"/>
          </rPr>
          <t xml:space="preserve">
1.4</t>
        </r>
      </text>
    </comment>
    <comment ref="Q772" authorId="0">
      <text>
        <r>
          <rPr>
            <b/>
            <sz val="9"/>
            <rFont val="宋体"/>
            <charset val="134"/>
          </rPr>
          <t>Administrator:</t>
        </r>
        <r>
          <rPr>
            <sz val="9"/>
            <rFont val="宋体"/>
            <charset val="134"/>
          </rPr>
          <t xml:space="preserve">
1.4</t>
        </r>
      </text>
    </comment>
    <comment ref="Q773" authorId="0">
      <text>
        <r>
          <rPr>
            <b/>
            <sz val="9"/>
            <rFont val="宋体"/>
            <charset val="134"/>
          </rPr>
          <t>Administrator:</t>
        </r>
        <r>
          <rPr>
            <sz val="9"/>
            <rFont val="宋体"/>
            <charset val="134"/>
          </rPr>
          <t xml:space="preserve">
7705  1.8</t>
        </r>
      </text>
    </comment>
    <comment ref="Q774" authorId="0">
      <text>
        <r>
          <rPr>
            <b/>
            <sz val="9"/>
            <rFont val="宋体"/>
            <charset val="134"/>
          </rPr>
          <t>Administrator:</t>
        </r>
        <r>
          <rPr>
            <sz val="9"/>
            <rFont val="宋体"/>
            <charset val="134"/>
          </rPr>
          <t xml:space="preserve">
1.24</t>
        </r>
      </text>
    </comment>
    <comment ref="Q775" authorId="0">
      <text>
        <r>
          <rPr>
            <b/>
            <sz val="9"/>
            <rFont val="宋体"/>
            <charset val="134"/>
          </rPr>
          <t>Administrator:</t>
        </r>
        <r>
          <rPr>
            <sz val="9"/>
            <rFont val="宋体"/>
            <charset val="134"/>
          </rPr>
          <t xml:space="preserve">
5809  2.15</t>
        </r>
      </text>
    </comment>
    <comment ref="Q776" authorId="0">
      <text>
        <r>
          <rPr>
            <b/>
            <sz val="9"/>
            <rFont val="宋体"/>
            <charset val="134"/>
          </rPr>
          <t>Administrator:</t>
        </r>
        <r>
          <rPr>
            <sz val="9"/>
            <rFont val="宋体"/>
            <charset val="134"/>
          </rPr>
          <t xml:space="preserve">
4948.73  2.15</t>
        </r>
      </text>
    </comment>
    <comment ref="P777" authorId="0">
      <text>
        <r>
          <rPr>
            <b/>
            <sz val="9"/>
            <rFont val="宋体"/>
            <charset val="134"/>
          </rPr>
          <t>Administrator:</t>
        </r>
        <r>
          <rPr>
            <sz val="9"/>
            <rFont val="宋体"/>
            <charset val="134"/>
          </rPr>
          <t xml:space="preserve">
7499  3.1</t>
        </r>
      </text>
    </comment>
    <comment ref="Q777" authorId="0">
      <text>
        <r>
          <rPr>
            <b/>
            <sz val="9"/>
            <rFont val="宋体"/>
            <charset val="134"/>
          </rPr>
          <t>Administrator:</t>
        </r>
        <r>
          <rPr>
            <sz val="9"/>
            <rFont val="宋体"/>
            <charset val="134"/>
          </rPr>
          <t xml:space="preserve">
3.1 7499</t>
        </r>
      </text>
    </comment>
    <comment ref="Q778" authorId="0">
      <text>
        <r>
          <rPr>
            <b/>
            <sz val="9"/>
            <rFont val="宋体"/>
            <charset val="134"/>
          </rPr>
          <t>Administrator:</t>
        </r>
        <r>
          <rPr>
            <sz val="9"/>
            <rFont val="宋体"/>
            <charset val="134"/>
          </rPr>
          <t xml:space="preserve">
48058  3.12</t>
        </r>
      </text>
    </comment>
    <comment ref="Q779" authorId="0">
      <text>
        <r>
          <rPr>
            <b/>
            <sz val="9"/>
            <rFont val="宋体"/>
            <charset val="134"/>
          </rPr>
          <t>Administrator:</t>
        </r>
        <r>
          <rPr>
            <sz val="9"/>
            <rFont val="宋体"/>
            <charset val="134"/>
          </rPr>
          <t xml:space="preserve">
5915</t>
        </r>
      </text>
    </comment>
    <comment ref="Q780" authorId="0">
      <text>
        <r>
          <rPr>
            <b/>
            <sz val="9"/>
            <rFont val="宋体"/>
            <charset val="134"/>
          </rPr>
          <t>Administrator:</t>
        </r>
        <r>
          <rPr>
            <sz val="9"/>
            <rFont val="宋体"/>
            <charset val="134"/>
          </rPr>
          <t xml:space="preserve">
12130  3.29</t>
        </r>
      </text>
    </comment>
    <comment ref="Q781" authorId="0">
      <text>
        <r>
          <rPr>
            <b/>
            <sz val="9"/>
            <rFont val="宋体"/>
            <charset val="134"/>
          </rPr>
          <t>Administrator:</t>
        </r>
        <r>
          <rPr>
            <sz val="9"/>
            <rFont val="宋体"/>
            <charset val="134"/>
          </rPr>
          <t xml:space="preserve">
4170  4.1</t>
        </r>
      </text>
    </comment>
    <comment ref="Q782" authorId="0">
      <text>
        <r>
          <rPr>
            <b/>
            <sz val="9"/>
            <rFont val="宋体"/>
            <charset val="134"/>
          </rPr>
          <t>Administrator:</t>
        </r>
        <r>
          <rPr>
            <sz val="9"/>
            <rFont val="宋体"/>
            <charset val="134"/>
          </rPr>
          <t xml:space="preserve">
3519  4.2</t>
        </r>
      </text>
    </comment>
    <comment ref="Q783" authorId="0">
      <text>
        <r>
          <rPr>
            <b/>
            <sz val="9"/>
            <rFont val="宋体"/>
            <charset val="134"/>
          </rPr>
          <t>Administrator:</t>
        </r>
        <r>
          <rPr>
            <sz val="9"/>
            <rFont val="宋体"/>
            <charset val="134"/>
          </rPr>
          <t xml:space="preserve">
7089 4.2</t>
        </r>
      </text>
    </comment>
    <comment ref="Q784" authorId="0">
      <text>
        <r>
          <rPr>
            <b/>
            <sz val="9"/>
            <rFont val="宋体"/>
            <charset val="134"/>
          </rPr>
          <t>Administrator:</t>
        </r>
        <r>
          <rPr>
            <sz val="9"/>
            <rFont val="宋体"/>
            <charset val="134"/>
          </rPr>
          <t xml:space="preserve">
3135</t>
        </r>
      </text>
    </comment>
    <comment ref="Q785" authorId="0">
      <text>
        <r>
          <rPr>
            <b/>
            <sz val="9"/>
            <rFont val="宋体"/>
            <charset val="134"/>
          </rPr>
          <t>Administrator:</t>
        </r>
        <r>
          <rPr>
            <sz val="9"/>
            <rFont val="宋体"/>
            <charset val="134"/>
          </rPr>
          <t xml:space="preserve">
4.29</t>
        </r>
      </text>
    </comment>
    <comment ref="Q790" authorId="0">
      <text>
        <r>
          <rPr>
            <b/>
            <sz val="9"/>
            <rFont val="宋体"/>
            <charset val="134"/>
          </rPr>
          <t>Administrator:</t>
        </r>
        <r>
          <rPr>
            <sz val="9"/>
            <rFont val="宋体"/>
            <charset val="134"/>
          </rPr>
          <t xml:space="preserve">
5.30  16504</t>
        </r>
      </text>
    </comment>
    <comment ref="Q792" authorId="0">
      <text>
        <r>
          <rPr>
            <b/>
            <sz val="9"/>
            <rFont val="宋体"/>
            <charset val="134"/>
          </rPr>
          <t>Administrator:</t>
        </r>
        <r>
          <rPr>
            <sz val="9"/>
            <rFont val="宋体"/>
            <charset val="134"/>
          </rPr>
          <t xml:space="preserve">
5.28 4284</t>
        </r>
      </text>
    </comment>
    <comment ref="T794" authorId="0">
      <text>
        <r>
          <rPr>
            <b/>
            <sz val="9"/>
            <rFont val="宋体"/>
            <charset val="134"/>
          </rPr>
          <t>Administrator:</t>
        </r>
        <r>
          <rPr>
            <sz val="9"/>
            <rFont val="宋体"/>
            <charset val="134"/>
          </rPr>
          <t xml:space="preserve">
应付19427.8</t>
        </r>
      </text>
    </comment>
    <comment ref="T797" authorId="0">
      <text>
        <r>
          <rPr>
            <b/>
            <sz val="9"/>
            <rFont val="宋体"/>
            <charset val="134"/>
          </rPr>
          <t>Administrator:</t>
        </r>
        <r>
          <rPr>
            <sz val="9"/>
            <rFont val="宋体"/>
            <charset val="134"/>
          </rPr>
          <t xml:space="preserve">
应付19190.36</t>
        </r>
      </text>
    </comment>
    <comment ref="T798" authorId="0">
      <text>
        <r>
          <rPr>
            <b/>
            <sz val="9"/>
            <rFont val="宋体"/>
            <charset val="134"/>
          </rPr>
          <t>Administrator:</t>
        </r>
        <r>
          <rPr>
            <sz val="9"/>
            <rFont val="宋体"/>
            <charset val="134"/>
          </rPr>
          <t xml:space="preserve">
应付18350.5</t>
        </r>
      </text>
    </comment>
    <comment ref="Q802" authorId="0">
      <text>
        <r>
          <rPr>
            <b/>
            <sz val="9"/>
            <rFont val="宋体"/>
            <charset val="134"/>
          </rPr>
          <t>Administrator:</t>
        </r>
        <r>
          <rPr>
            <sz val="9"/>
            <rFont val="宋体"/>
            <charset val="134"/>
          </rPr>
          <t xml:space="preserve">
13851 7.31</t>
        </r>
      </text>
    </comment>
    <comment ref="T802" authorId="0">
      <text>
        <r>
          <rPr>
            <b/>
            <sz val="9"/>
            <rFont val="宋体"/>
            <charset val="134"/>
          </rPr>
          <t>Administrator:</t>
        </r>
        <r>
          <rPr>
            <sz val="9"/>
            <rFont val="宋体"/>
            <charset val="134"/>
          </rPr>
          <t xml:space="preserve">
客户扣去了卡塔尔展会样品的清关费和样品送到展馆的车费共：$87.67
</t>
        </r>
      </text>
    </comment>
    <comment ref="Q803" authorId="0">
      <text>
        <r>
          <rPr>
            <b/>
            <sz val="9"/>
            <rFont val="宋体"/>
            <charset val="134"/>
          </rPr>
          <t>Administrator:</t>
        </r>
        <r>
          <rPr>
            <sz val="9"/>
            <rFont val="宋体"/>
            <charset val="134"/>
          </rPr>
          <t xml:space="preserve">
实收4070</t>
        </r>
      </text>
    </comment>
    <comment ref="Q806" authorId="0">
      <text>
        <r>
          <rPr>
            <b/>
            <sz val="9"/>
            <rFont val="宋体"/>
            <charset val="134"/>
          </rPr>
          <t>Administrator:</t>
        </r>
        <r>
          <rPr>
            <sz val="9"/>
            <rFont val="宋体"/>
            <charset val="134"/>
          </rPr>
          <t xml:space="preserve">
RMB41000+RMB25000
汇率7.0782+7.1223</t>
        </r>
      </text>
    </comment>
    <comment ref="T806" authorId="0">
      <text>
        <r>
          <rPr>
            <b/>
            <sz val="9"/>
            <rFont val="宋体"/>
            <charset val="134"/>
          </rPr>
          <t>Administrator:</t>
        </r>
        <r>
          <rPr>
            <sz val="9"/>
            <rFont val="宋体"/>
            <charset val="134"/>
          </rPr>
          <t xml:space="preserve">
2019.12.25RMB144000汇率6.9993 折合20573.48美金
多了4570.39美金作为J3614-2定金</t>
        </r>
      </text>
    </comment>
    <comment ref="Q807" authorId="0">
      <text>
        <r>
          <rPr>
            <b/>
            <sz val="9"/>
            <rFont val="宋体"/>
            <charset val="134"/>
          </rPr>
          <t>Administrator:
J3614尾款多打4570.39 作为J3614-2定金</t>
        </r>
      </text>
    </comment>
    <comment ref="T807" authorId="0">
      <text>
        <r>
          <rPr>
            <b/>
            <sz val="9"/>
            <rFont val="宋体"/>
            <charset val="134"/>
          </rPr>
          <t>Administrator:</t>
        </r>
        <r>
          <rPr>
            <sz val="9"/>
            <rFont val="宋体"/>
            <charset val="134"/>
          </rPr>
          <t xml:space="preserve">
应付美金18964.09 2020.1.10 收RMB131000 汇率6.92</t>
        </r>
      </text>
    </comment>
    <comment ref="Q808" authorId="0">
      <text>
        <r>
          <rPr>
            <b/>
            <sz val="9"/>
            <rFont val="Tahoma"/>
            <charset val="134"/>
          </rPr>
          <t>Administrator:</t>
        </r>
        <r>
          <rPr>
            <sz val="9"/>
            <rFont val="Tahoma"/>
            <charset val="134"/>
          </rPr>
          <t xml:space="preserve">
2019.9.30</t>
        </r>
      </text>
    </comment>
    <comment ref="Q809" authorId="0">
      <text>
        <r>
          <rPr>
            <b/>
            <sz val="9"/>
            <rFont val="宋体"/>
            <charset val="134"/>
          </rPr>
          <t>Administrator:</t>
        </r>
        <r>
          <rPr>
            <sz val="9"/>
            <rFont val="宋体"/>
            <charset val="134"/>
          </rPr>
          <t xml:space="preserve">
实收6120.5</t>
        </r>
      </text>
    </comment>
    <comment ref="T809" authorId="0">
      <text>
        <r>
          <rPr>
            <b/>
            <sz val="9"/>
            <rFont val="宋体"/>
            <charset val="134"/>
          </rPr>
          <t>Administrator:</t>
        </r>
        <r>
          <rPr>
            <sz val="9"/>
            <rFont val="宋体"/>
            <charset val="134"/>
          </rPr>
          <t xml:space="preserve">
应付14360</t>
        </r>
      </text>
    </comment>
    <comment ref="Q812" authorId="0">
      <text>
        <r>
          <rPr>
            <b/>
            <sz val="9"/>
            <rFont val="宋体"/>
            <charset val="134"/>
          </rPr>
          <t>Administrator:</t>
        </r>
        <r>
          <rPr>
            <sz val="9"/>
            <rFont val="宋体"/>
            <charset val="134"/>
          </rPr>
          <t xml:space="preserve">
实收3135.5</t>
        </r>
      </text>
    </comment>
    <comment ref="T812" authorId="0">
      <text>
        <r>
          <rPr>
            <b/>
            <sz val="9"/>
            <rFont val="宋体"/>
            <charset val="134"/>
          </rPr>
          <t>Administrator:</t>
        </r>
        <r>
          <rPr>
            <sz val="9"/>
            <rFont val="宋体"/>
            <charset val="134"/>
          </rPr>
          <t xml:space="preserve">
J3629:  $17495.88
M3646: 应收$16653.77, 客户实际打了$16515.79. 客户算错了，少打了$136.98</t>
        </r>
      </text>
    </comment>
    <comment ref="Q814" authorId="0">
      <text>
        <r>
          <rPr>
            <b/>
            <sz val="9"/>
            <rFont val="宋体"/>
            <charset val="134"/>
          </rPr>
          <t>Administrator:</t>
        </r>
        <r>
          <rPr>
            <sz val="9"/>
            <rFont val="宋体"/>
            <charset val="134"/>
          </rPr>
          <t xml:space="preserve">
实收4308.7</t>
        </r>
      </text>
    </comment>
    <comment ref="Q815" authorId="0">
      <text>
        <r>
          <rPr>
            <b/>
            <sz val="9"/>
            <rFont val="宋体"/>
            <charset val="134"/>
          </rPr>
          <t>Administrator:</t>
        </r>
        <r>
          <rPr>
            <sz val="9"/>
            <rFont val="宋体"/>
            <charset val="134"/>
          </rPr>
          <t xml:space="preserve">
实收5910.5</t>
        </r>
      </text>
    </comment>
    <comment ref="T815" authorId="0">
      <text>
        <r>
          <rPr>
            <b/>
            <sz val="9"/>
            <rFont val="宋体"/>
            <charset val="134"/>
          </rPr>
          <t>Administrator:</t>
        </r>
        <r>
          <rPr>
            <sz val="9"/>
            <rFont val="宋体"/>
            <charset val="134"/>
          </rPr>
          <t xml:space="preserve">
实收13835.58</t>
        </r>
      </text>
    </comment>
    <comment ref="T818" authorId="0">
      <text>
        <r>
          <rPr>
            <b/>
            <sz val="9"/>
            <rFont val="宋体"/>
            <charset val="134"/>
          </rPr>
          <t>Administrator:</t>
        </r>
        <r>
          <rPr>
            <sz val="9"/>
            <rFont val="宋体"/>
            <charset val="134"/>
          </rPr>
          <t xml:space="preserve">
M3676和J3681共收到25448.1</t>
        </r>
      </text>
    </comment>
    <comment ref="Q821" authorId="0">
      <text>
        <r>
          <rPr>
            <b/>
            <sz val="9"/>
            <rFont val="宋体"/>
            <charset val="134"/>
          </rPr>
          <t>Administrator:</t>
        </r>
        <r>
          <rPr>
            <sz val="9"/>
            <rFont val="宋体"/>
            <charset val="134"/>
          </rPr>
          <t xml:space="preserve">
2020.1.9实收3157.07</t>
        </r>
      </text>
    </comment>
    <comment ref="T821" authorId="0">
      <text>
        <r>
          <rPr>
            <b/>
            <sz val="9"/>
            <rFont val="宋体"/>
            <charset val="134"/>
          </rPr>
          <t xml:space="preserve">Administrator:
</t>
        </r>
        <r>
          <rPr>
            <sz val="9"/>
            <rFont val="宋体"/>
            <charset val="134"/>
          </rPr>
          <t>2020.5.11收</t>
        </r>
      </text>
    </comment>
    <comment ref="U821" authorId="0">
      <text>
        <r>
          <rPr>
            <b/>
            <sz val="9"/>
            <rFont val="宋体"/>
            <charset val="134"/>
          </rPr>
          <t>Administrator:</t>
        </r>
        <r>
          <rPr>
            <sz val="9"/>
            <rFont val="宋体"/>
            <charset val="134"/>
          </rPr>
          <t xml:space="preserve">
2020.5.11收人民币2036  汇率7.0692</t>
        </r>
      </text>
    </comment>
    <comment ref="Q822" authorId="0">
      <text>
        <r>
          <rPr>
            <b/>
            <sz val="9"/>
            <rFont val="宋体"/>
            <charset val="134"/>
          </rPr>
          <t>Administrator:</t>
        </r>
        <r>
          <rPr>
            <sz val="9"/>
            <rFont val="宋体"/>
            <charset val="134"/>
          </rPr>
          <t xml:space="preserve">
水单20208.07美金2020.1.16实收20180.57美金</t>
        </r>
      </text>
    </comment>
    <comment ref="T822" authorId="0">
      <text>
        <r>
          <rPr>
            <b/>
            <sz val="9"/>
            <rFont val="宋体"/>
            <charset val="134"/>
          </rPr>
          <t>Administrator:</t>
        </r>
        <r>
          <rPr>
            <sz val="9"/>
            <rFont val="宋体"/>
            <charset val="134"/>
          </rPr>
          <t xml:space="preserve">
2020.6.28收</t>
        </r>
      </text>
    </comment>
    <comment ref="U822" authorId="0">
      <text>
        <r>
          <rPr>
            <b/>
            <sz val="9"/>
            <rFont val="宋体"/>
            <charset val="134"/>
          </rPr>
          <t>Administrator:</t>
        </r>
        <r>
          <rPr>
            <sz val="9"/>
            <rFont val="宋体"/>
            <charset val="134"/>
          </rPr>
          <t xml:space="preserve">
2020.7.1收</t>
        </r>
      </text>
    </comment>
    <comment ref="T823" authorId="0">
      <text>
        <r>
          <rPr>
            <b/>
            <sz val="9"/>
            <rFont val="宋体"/>
            <charset val="134"/>
          </rPr>
          <t>Administrator:</t>
        </r>
        <r>
          <rPr>
            <sz val="9"/>
            <rFont val="宋体"/>
            <charset val="134"/>
          </rPr>
          <t xml:space="preserve">
付欧元16269.24 2020.4.27收</t>
        </r>
      </text>
    </comment>
    <comment ref="T824" authorId="0">
      <text>
        <r>
          <rPr>
            <b/>
            <sz val="9"/>
            <rFont val="宋体"/>
            <charset val="134"/>
          </rPr>
          <t>Administrator:</t>
        </r>
        <r>
          <rPr>
            <sz val="9"/>
            <rFont val="宋体"/>
            <charset val="134"/>
          </rPr>
          <t xml:space="preserve">
2020.7.2收</t>
        </r>
      </text>
    </comment>
    <comment ref="Q825" authorId="0">
      <text>
        <r>
          <rPr>
            <b/>
            <sz val="9"/>
            <rFont val="宋体"/>
            <charset val="134"/>
          </rPr>
          <t>Administrator:</t>
        </r>
        <r>
          <rPr>
            <sz val="9"/>
            <rFont val="宋体"/>
            <charset val="134"/>
          </rPr>
          <t xml:space="preserve">
2020.2.10到账7095.5美金</t>
        </r>
      </text>
    </comment>
    <comment ref="T825" authorId="0">
      <text>
        <r>
          <rPr>
            <b/>
            <sz val="9"/>
            <rFont val="宋体"/>
            <charset val="134"/>
          </rPr>
          <t>Administrator:</t>
        </r>
        <r>
          <rPr>
            <sz val="9"/>
            <rFont val="宋体"/>
            <charset val="134"/>
          </rPr>
          <t xml:space="preserve">
2020.4.29收</t>
        </r>
      </text>
    </comment>
    <comment ref="T826" authorId="0">
      <text>
        <r>
          <rPr>
            <b/>
            <sz val="9"/>
            <rFont val="宋体"/>
            <charset val="134"/>
          </rPr>
          <t>Administrator:</t>
        </r>
        <r>
          <rPr>
            <sz val="9"/>
            <rFont val="宋体"/>
            <charset val="134"/>
          </rPr>
          <t xml:space="preserve">
2020.4.1</t>
        </r>
      </text>
    </comment>
    <comment ref="T827" authorId="0">
      <text>
        <r>
          <rPr>
            <b/>
            <sz val="9"/>
            <rFont val="宋体"/>
            <charset val="134"/>
          </rPr>
          <t>Administrator:</t>
        </r>
        <r>
          <rPr>
            <sz val="9"/>
            <rFont val="宋体"/>
            <charset val="134"/>
          </rPr>
          <t xml:space="preserve">
2020.7.31 收11816.57美金</t>
        </r>
      </text>
    </comment>
    <comment ref="T828" authorId="0">
      <text>
        <r>
          <rPr>
            <b/>
            <sz val="9"/>
            <rFont val="宋体"/>
            <charset val="134"/>
          </rPr>
          <t>Administrator:</t>
        </r>
        <r>
          <rPr>
            <sz val="9"/>
            <rFont val="宋体"/>
            <charset val="134"/>
          </rPr>
          <t xml:space="preserve">
2020.5.20收</t>
        </r>
      </text>
    </comment>
    <comment ref="T829" authorId="0">
      <text>
        <r>
          <rPr>
            <b/>
            <sz val="9"/>
            <rFont val="宋体"/>
            <charset val="134"/>
          </rPr>
          <t>Administrator:</t>
        </r>
        <r>
          <rPr>
            <sz val="9"/>
            <rFont val="宋体"/>
            <charset val="134"/>
          </rPr>
          <t xml:space="preserve">
水单11931.83美金2020.6.17收</t>
        </r>
      </text>
    </comment>
    <comment ref="Q830" authorId="0">
      <text>
        <r>
          <rPr>
            <b/>
            <sz val="9"/>
            <rFont val="宋体"/>
            <charset val="134"/>
          </rPr>
          <t>Administrator:</t>
        </r>
        <r>
          <rPr>
            <sz val="9"/>
            <rFont val="宋体"/>
            <charset val="134"/>
          </rPr>
          <t xml:space="preserve">
2020.2.18收到定金14150 用于M3743-1-2</t>
        </r>
      </text>
    </comment>
    <comment ref="T830" authorId="0">
      <text>
        <r>
          <rPr>
            <b/>
            <sz val="9"/>
            <rFont val="宋体"/>
            <charset val="134"/>
          </rPr>
          <t>Administrator:</t>
        </r>
        <r>
          <rPr>
            <sz val="9"/>
            <rFont val="宋体"/>
            <charset val="134"/>
          </rPr>
          <t xml:space="preserve">
2020.5.3收28848.5美金 -1-2尾款</t>
        </r>
      </text>
    </comment>
    <comment ref="Q831" authorId="0">
      <text>
        <r>
          <rPr>
            <b/>
            <sz val="9"/>
            <rFont val="宋体"/>
            <charset val="134"/>
          </rPr>
          <t>Administrator:</t>
        </r>
        <r>
          <rPr>
            <sz val="9"/>
            <rFont val="宋体"/>
            <charset val="134"/>
          </rPr>
          <t xml:space="preserve">
2020.2.18收到定金14150 用于M3743-1-2</t>
        </r>
      </text>
    </comment>
    <comment ref="T832" authorId="0">
      <text>
        <r>
          <rPr>
            <b/>
            <sz val="9"/>
            <rFont val="宋体"/>
            <charset val="134"/>
          </rPr>
          <t>Administrator:</t>
        </r>
        <r>
          <rPr>
            <sz val="9"/>
            <rFont val="宋体"/>
            <charset val="134"/>
          </rPr>
          <t xml:space="preserve">
2020.6.10收</t>
        </r>
      </text>
    </comment>
    <comment ref="Q834"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34" authorId="0">
      <text>
        <r>
          <rPr>
            <b/>
            <sz val="9"/>
            <rFont val="宋体"/>
            <charset val="134"/>
          </rPr>
          <t>Administrator:</t>
        </r>
        <r>
          <rPr>
            <sz val="9"/>
            <rFont val="宋体"/>
            <charset val="134"/>
          </rPr>
          <t xml:space="preserve">
2020.8.28收 汇率</t>
        </r>
      </text>
    </comment>
    <comment ref="U834" authorId="0">
      <text>
        <r>
          <rPr>
            <b/>
            <sz val="9"/>
            <rFont val="宋体"/>
            <charset val="134"/>
          </rPr>
          <t>Administrator:</t>
        </r>
        <r>
          <rPr>
            <sz val="9"/>
            <rFont val="宋体"/>
            <charset val="134"/>
          </rPr>
          <t xml:space="preserve">
2020.9.2收58000人民币 汇率6.8</t>
        </r>
      </text>
    </comment>
    <comment ref="Q835" authorId="0">
      <text>
        <r>
          <rPr>
            <b/>
            <sz val="9"/>
            <rFont val="宋体"/>
            <charset val="134"/>
          </rPr>
          <t>Administrator:</t>
        </r>
        <r>
          <rPr>
            <sz val="9"/>
            <rFont val="宋体"/>
            <charset val="134"/>
          </rPr>
          <t xml:space="preserve">
水单27071美金2020.4.23收27046.5美金</t>
        </r>
      </text>
    </comment>
    <comment ref="T836" authorId="0">
      <text>
        <r>
          <rPr>
            <b/>
            <sz val="9"/>
            <rFont val="宋体"/>
            <charset val="134"/>
          </rPr>
          <t>Administrator:</t>
        </r>
        <r>
          <rPr>
            <sz val="9"/>
            <rFont val="宋体"/>
            <charset val="134"/>
          </rPr>
          <t xml:space="preserve">
水单10040美金2020.5.20收</t>
        </r>
      </text>
    </comment>
    <comment ref="Q837" authorId="0">
      <text>
        <r>
          <rPr>
            <b/>
            <sz val="9"/>
            <rFont val="宋体"/>
            <charset val="134"/>
          </rPr>
          <t>Administrator:</t>
        </r>
        <r>
          <rPr>
            <sz val="9"/>
            <rFont val="宋体"/>
            <charset val="134"/>
          </rPr>
          <t xml:space="preserve">
2020.5.6 收$3928.6</t>
        </r>
      </text>
    </comment>
    <comment ref="T837" authorId="0">
      <text>
        <r>
          <rPr>
            <b/>
            <sz val="9"/>
            <rFont val="宋体"/>
            <charset val="134"/>
          </rPr>
          <t>Administrator:</t>
        </r>
        <r>
          <rPr>
            <sz val="9"/>
            <rFont val="宋体"/>
            <charset val="134"/>
          </rPr>
          <t xml:space="preserve">
2020.8.17收15822.2美金</t>
        </r>
      </text>
    </comment>
    <comment ref="Q838" authorId="0">
      <text>
        <r>
          <rPr>
            <b/>
            <sz val="9"/>
            <rFont val="宋体"/>
            <charset val="134"/>
          </rPr>
          <t>Administrator:</t>
        </r>
        <r>
          <rPr>
            <sz val="9"/>
            <rFont val="宋体"/>
            <charset val="134"/>
          </rPr>
          <t xml:space="preserve">
2020.5.7收5104美金</t>
        </r>
      </text>
    </comment>
    <comment ref="T838" authorId="0">
      <text>
        <r>
          <rPr>
            <b/>
            <sz val="9"/>
            <rFont val="宋体"/>
            <charset val="134"/>
          </rPr>
          <t>Administrator:</t>
        </r>
        <r>
          <rPr>
            <sz val="9"/>
            <rFont val="宋体"/>
            <charset val="134"/>
          </rPr>
          <t xml:space="preserve">
2020.6.9收</t>
        </r>
      </text>
    </comment>
    <comment ref="Q839" authorId="0">
      <text>
        <r>
          <rPr>
            <b/>
            <sz val="9"/>
            <rFont val="宋体"/>
            <charset val="134"/>
          </rPr>
          <t>Administrator:</t>
        </r>
        <r>
          <rPr>
            <sz val="9"/>
            <rFont val="宋体"/>
            <charset val="134"/>
          </rPr>
          <t xml:space="preserve">
水单23000美金 2020.5.14收$22967.5
减去1160美金 客户转给别处了</t>
        </r>
      </text>
    </comment>
    <comment ref="T839" authorId="0">
      <text>
        <r>
          <rPr>
            <b/>
            <sz val="9"/>
            <rFont val="宋体"/>
            <charset val="134"/>
          </rPr>
          <t>Administrator:</t>
        </r>
        <r>
          <rPr>
            <sz val="9"/>
            <rFont val="宋体"/>
            <charset val="134"/>
          </rPr>
          <t xml:space="preserve">
2020.8.17 收47558.8美金</t>
        </r>
      </text>
    </comment>
    <comment ref="Q840" authorId="0">
      <text>
        <r>
          <rPr>
            <b/>
            <sz val="9"/>
            <rFont val="宋体"/>
            <charset val="134"/>
          </rPr>
          <t>Administrator:</t>
        </r>
        <r>
          <rPr>
            <sz val="9"/>
            <rFont val="宋体"/>
            <charset val="134"/>
          </rPr>
          <t xml:space="preserve">
2020.5.19收$4866.5</t>
        </r>
      </text>
    </comment>
    <comment ref="T840" authorId="0">
      <text>
        <r>
          <rPr>
            <b/>
            <sz val="9"/>
            <rFont val="宋体"/>
            <charset val="134"/>
          </rPr>
          <t>Administrator:</t>
        </r>
        <r>
          <rPr>
            <sz val="9"/>
            <rFont val="宋体"/>
            <charset val="134"/>
          </rPr>
          <t xml:space="preserve">
2020.6.4收</t>
        </r>
      </text>
    </comment>
    <comment ref="Q841" authorId="0">
      <text>
        <r>
          <rPr>
            <b/>
            <sz val="9"/>
            <rFont val="宋体"/>
            <charset val="134"/>
          </rPr>
          <t>Administrator:</t>
        </r>
        <r>
          <rPr>
            <sz val="9"/>
            <rFont val="宋体"/>
            <charset val="134"/>
          </rPr>
          <t xml:space="preserve">
2020.6.2收$6339</t>
        </r>
      </text>
    </comment>
    <comment ref="T841" authorId="0">
      <text>
        <r>
          <rPr>
            <b/>
            <sz val="9"/>
            <rFont val="宋体"/>
            <charset val="134"/>
          </rPr>
          <t>Administrator:</t>
        </r>
        <r>
          <rPr>
            <sz val="9"/>
            <rFont val="宋体"/>
            <charset val="134"/>
          </rPr>
          <t xml:space="preserve">
2020.6.29收</t>
        </r>
      </text>
    </comment>
    <comment ref="Q842" authorId="0">
      <text>
        <r>
          <rPr>
            <b/>
            <sz val="9"/>
            <rFont val="宋体"/>
            <charset val="134"/>
          </rPr>
          <t>Administrator:</t>
        </r>
        <r>
          <rPr>
            <sz val="9"/>
            <rFont val="宋体"/>
            <charset val="134"/>
          </rPr>
          <t xml:space="preserve">
2020.6.24收7783.1美金</t>
        </r>
      </text>
    </comment>
    <comment ref="T842" authorId="0">
      <text>
        <r>
          <rPr>
            <b/>
            <sz val="9"/>
            <rFont val="宋体"/>
            <charset val="134"/>
          </rPr>
          <t>Administrator:</t>
        </r>
        <r>
          <rPr>
            <sz val="9"/>
            <rFont val="宋体"/>
            <charset val="134"/>
          </rPr>
          <t xml:space="preserve">
2020.9.4收31253美金</t>
        </r>
      </text>
    </comment>
    <comment ref="Q843" authorId="0">
      <text>
        <r>
          <rPr>
            <b/>
            <sz val="9"/>
            <rFont val="宋体"/>
            <charset val="134"/>
          </rPr>
          <t>Administrator:</t>
        </r>
        <r>
          <rPr>
            <sz val="9"/>
            <rFont val="宋体"/>
            <charset val="134"/>
          </rPr>
          <t xml:space="preserve">
水单29740美金2020.7.15收</t>
        </r>
      </text>
    </comment>
    <comment ref="T843" authorId="0">
      <text>
        <r>
          <rPr>
            <b/>
            <sz val="9"/>
            <rFont val="宋体"/>
            <charset val="134"/>
          </rPr>
          <t>Administrator:</t>
        </r>
        <r>
          <rPr>
            <sz val="9"/>
            <rFont val="宋体"/>
            <charset val="134"/>
          </rPr>
          <t xml:space="preserve">
2020.9.15收</t>
        </r>
      </text>
    </comment>
    <comment ref="T844" authorId="0">
      <text>
        <r>
          <rPr>
            <b/>
            <sz val="9"/>
            <rFont val="宋体"/>
            <charset val="134"/>
          </rPr>
          <t>Administrator:</t>
        </r>
        <r>
          <rPr>
            <sz val="9"/>
            <rFont val="宋体"/>
            <charset val="134"/>
          </rPr>
          <t xml:space="preserve">
2020.9.15收
</t>
        </r>
      </text>
    </comment>
    <comment ref="Q845" authorId="0">
      <text>
        <r>
          <rPr>
            <b/>
            <sz val="9"/>
            <rFont val="宋体"/>
            <charset val="134"/>
          </rPr>
          <t>Administrator:</t>
        </r>
        <r>
          <rPr>
            <sz val="9"/>
            <rFont val="宋体"/>
            <charset val="134"/>
          </rPr>
          <t xml:space="preserve">
2020.7.14收</t>
        </r>
      </text>
    </comment>
    <comment ref="T845" authorId="0">
      <text>
        <r>
          <rPr>
            <b/>
            <sz val="9"/>
            <rFont val="宋体"/>
            <charset val="134"/>
          </rPr>
          <t>Administrator:</t>
        </r>
        <r>
          <rPr>
            <sz val="9"/>
            <rFont val="宋体"/>
            <charset val="134"/>
          </rPr>
          <t xml:space="preserve">
2020.8.4收14420.95美金</t>
        </r>
      </text>
    </comment>
    <comment ref="Q846" authorId="0">
      <text>
        <r>
          <rPr>
            <b/>
            <sz val="9"/>
            <rFont val="宋体"/>
            <charset val="134"/>
          </rPr>
          <t>Administrator:</t>
        </r>
        <r>
          <rPr>
            <sz val="9"/>
            <rFont val="宋体"/>
            <charset val="134"/>
          </rPr>
          <t xml:space="preserve">
2020.7.29收到42728.47RMB 汇率6.99</t>
        </r>
      </text>
    </comment>
    <comment ref="T846" authorId="0">
      <text>
        <r>
          <rPr>
            <b/>
            <sz val="9"/>
            <rFont val="宋体"/>
            <charset val="134"/>
          </rPr>
          <t>Administrator:</t>
        </r>
        <r>
          <rPr>
            <sz val="9"/>
            <rFont val="宋体"/>
            <charset val="134"/>
          </rPr>
          <t xml:space="preserve">
2020.9.11收95885.38RMB 汇率6.82</t>
        </r>
      </text>
    </comment>
    <comment ref="U846" authorId="0">
      <text>
        <r>
          <rPr>
            <b/>
            <sz val="9"/>
            <rFont val="宋体"/>
            <charset val="134"/>
          </rPr>
          <t>Administrator:</t>
        </r>
        <r>
          <rPr>
            <sz val="9"/>
            <rFont val="宋体"/>
            <charset val="134"/>
          </rPr>
          <t xml:space="preserve">
2020.9.27收7590RMB
汇率6.9算给货代</t>
        </r>
      </text>
    </comment>
    <comment ref="Q847" authorId="0">
      <text>
        <r>
          <rPr>
            <b/>
            <sz val="9"/>
            <rFont val="宋体"/>
            <charset val="134"/>
          </rPr>
          <t>Administrator:</t>
        </r>
        <r>
          <rPr>
            <sz val="9"/>
            <rFont val="宋体"/>
            <charset val="134"/>
          </rPr>
          <t xml:space="preserve">
M3841客户多付了$35.4。算到这个单子里
2020.8.5收8482美金</t>
        </r>
      </text>
    </comment>
    <comment ref="T847" authorId="0">
      <text>
        <r>
          <rPr>
            <b/>
            <sz val="9"/>
            <rFont val="宋体"/>
            <charset val="134"/>
          </rPr>
          <t>Administrator:</t>
        </r>
        <r>
          <rPr>
            <sz val="9"/>
            <rFont val="宋体"/>
            <charset val="134"/>
          </rPr>
          <t xml:space="preserve">
2020.8.26收19797.9</t>
        </r>
      </text>
    </comment>
    <comment ref="Q848" authorId="0">
      <text>
        <r>
          <rPr>
            <b/>
            <sz val="9"/>
            <rFont val="宋体"/>
            <charset val="134"/>
          </rPr>
          <t>Administrator:</t>
        </r>
        <r>
          <rPr>
            <sz val="9"/>
            <rFont val="宋体"/>
            <charset val="134"/>
          </rPr>
          <t xml:space="preserve">
2020.8.25收5577</t>
        </r>
      </text>
    </comment>
    <comment ref="T848" authorId="0">
      <text>
        <r>
          <rPr>
            <b/>
            <sz val="9"/>
            <rFont val="宋体"/>
            <charset val="134"/>
          </rPr>
          <t>Administrator:</t>
        </r>
        <r>
          <rPr>
            <sz val="9"/>
            <rFont val="宋体"/>
            <charset val="134"/>
          </rPr>
          <t xml:space="preserve">
2020.9.17收13055.25</t>
        </r>
      </text>
    </comment>
    <comment ref="Q849" authorId="0">
      <text>
        <r>
          <rPr>
            <b/>
            <sz val="9"/>
            <rFont val="宋体"/>
            <charset val="134"/>
          </rPr>
          <t>Administrator:</t>
        </r>
        <r>
          <rPr>
            <sz val="9"/>
            <rFont val="宋体"/>
            <charset val="134"/>
          </rPr>
          <t xml:space="preserve">
2020.9.2收13129.3
水单13164.3</t>
        </r>
      </text>
    </comment>
    <comment ref="T849" authorId="0">
      <text>
        <r>
          <rPr>
            <b/>
            <sz val="9"/>
            <rFont val="宋体"/>
            <charset val="134"/>
          </rPr>
          <t>Administrator:</t>
        </r>
        <r>
          <rPr>
            <sz val="9"/>
            <rFont val="宋体"/>
            <charset val="134"/>
          </rPr>
          <t xml:space="preserve">
2020.11.12收31506.45</t>
        </r>
      </text>
    </comment>
    <comment ref="T850" authorId="0">
      <text>
        <r>
          <rPr>
            <b/>
            <sz val="9"/>
            <rFont val="宋体"/>
            <charset val="134"/>
          </rPr>
          <t>Administrator:</t>
        </r>
        <r>
          <rPr>
            <sz val="9"/>
            <rFont val="宋体"/>
            <charset val="134"/>
          </rPr>
          <t xml:space="preserve">
2020.12.1收19988</t>
        </r>
      </text>
    </comment>
    <comment ref="U850" authorId="0">
      <text>
        <r>
          <rPr>
            <b/>
            <sz val="9"/>
            <rFont val="宋体"/>
            <charset val="134"/>
          </rPr>
          <t>Administrator:</t>
        </r>
        <r>
          <rPr>
            <sz val="9"/>
            <rFont val="宋体"/>
            <charset val="134"/>
          </rPr>
          <t xml:space="preserve">
2020.12.3收14600.5</t>
        </r>
      </text>
    </comment>
    <comment ref="Q851" authorId="0">
      <text>
        <r>
          <rPr>
            <b/>
            <sz val="9"/>
            <rFont val="宋体"/>
            <charset val="134"/>
          </rPr>
          <t>Administrator:</t>
        </r>
        <r>
          <rPr>
            <sz val="9"/>
            <rFont val="宋体"/>
            <charset val="134"/>
          </rPr>
          <t xml:space="preserve">
2020.9.9收31176美金
水单31210</t>
        </r>
      </text>
    </comment>
    <comment ref="T851" authorId="0">
      <text>
        <r>
          <rPr>
            <b/>
            <sz val="9"/>
            <rFont val="宋体"/>
            <charset val="134"/>
          </rPr>
          <t>Administrator:</t>
        </r>
        <r>
          <rPr>
            <sz val="9"/>
            <rFont val="宋体"/>
            <charset val="134"/>
          </rPr>
          <t xml:space="preserve">
2020.11.4收29698</t>
        </r>
      </text>
    </comment>
    <comment ref="T852" authorId="0">
      <text>
        <r>
          <rPr>
            <b/>
            <sz val="9"/>
            <rFont val="宋体"/>
            <charset val="134"/>
          </rPr>
          <t>Administrator:</t>
        </r>
        <r>
          <rPr>
            <sz val="9"/>
            <rFont val="宋体"/>
            <charset val="134"/>
          </rPr>
          <t xml:space="preserve">
2020.11.18收33267.8</t>
        </r>
      </text>
    </comment>
    <comment ref="Q853" authorId="0">
      <text>
        <r>
          <rPr>
            <b/>
            <sz val="9"/>
            <rFont val="宋体"/>
            <charset val="134"/>
          </rPr>
          <t>Administrator:</t>
        </r>
        <r>
          <rPr>
            <sz val="9"/>
            <rFont val="宋体"/>
            <charset val="134"/>
          </rPr>
          <t xml:space="preserve">
2020.9.7收 25000+20000人民币 汇率6.82</t>
        </r>
      </text>
    </comment>
    <comment ref="T853" authorId="0">
      <text>
        <r>
          <rPr>
            <b/>
            <sz val="9"/>
            <rFont val="宋体"/>
            <charset val="134"/>
          </rPr>
          <t>Administrator:</t>
        </r>
        <r>
          <rPr>
            <sz val="9"/>
            <rFont val="宋体"/>
            <charset val="134"/>
          </rPr>
          <t xml:space="preserve">
2020.12.10收两万人民币
12.11收两万人民币
12.12收100000人民币
12.14收50000人民币</t>
        </r>
      </text>
    </comment>
    <comment ref="U853" authorId="0">
      <text>
        <r>
          <rPr>
            <b/>
            <sz val="9"/>
            <rFont val="宋体"/>
            <charset val="134"/>
          </rPr>
          <t>Administrator:</t>
        </r>
        <r>
          <rPr>
            <sz val="9"/>
            <rFont val="宋体"/>
            <charset val="134"/>
          </rPr>
          <t xml:space="preserve">
2020.12.18收RMB40896</t>
        </r>
      </text>
    </comment>
    <comment ref="Q854" authorId="0">
      <text>
        <r>
          <rPr>
            <b/>
            <sz val="9"/>
            <rFont val="宋体"/>
            <charset val="134"/>
          </rPr>
          <t>Administrator:</t>
        </r>
        <r>
          <rPr>
            <sz val="9"/>
            <rFont val="宋体"/>
            <charset val="134"/>
          </rPr>
          <t xml:space="preserve">
2020.9.14收</t>
        </r>
      </text>
    </comment>
    <comment ref="Q855"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55" authorId="0">
      <text>
        <r>
          <rPr>
            <b/>
            <sz val="9"/>
            <rFont val="宋体"/>
            <charset val="134"/>
          </rPr>
          <t>Administrator:</t>
        </r>
        <r>
          <rPr>
            <sz val="9"/>
            <rFont val="宋体"/>
            <charset val="134"/>
          </rPr>
          <t xml:space="preserve">
2020.12.4收17586.1</t>
        </r>
      </text>
    </comment>
    <comment ref="Q856" authorId="0">
      <text>
        <r>
          <rPr>
            <b/>
            <sz val="9"/>
            <rFont val="宋体"/>
            <charset val="134"/>
          </rPr>
          <t>Administrator:</t>
        </r>
        <r>
          <rPr>
            <sz val="9"/>
            <rFont val="宋体"/>
            <charset val="134"/>
          </rPr>
          <t xml:space="preserve">
2020.9.30收RMB30000
2020.10.13收6000美金</t>
        </r>
      </text>
    </comment>
    <comment ref="T856" authorId="0">
      <text>
        <r>
          <rPr>
            <b/>
            <sz val="9"/>
            <rFont val="宋体"/>
            <charset val="134"/>
          </rPr>
          <t>Administrator:</t>
        </r>
        <r>
          <rPr>
            <sz val="9"/>
            <rFont val="宋体"/>
            <charset val="134"/>
          </rPr>
          <t xml:space="preserve">
2020.10.23收16148</t>
        </r>
      </text>
    </comment>
    <comment ref="Q857" authorId="0">
      <text>
        <r>
          <rPr>
            <b/>
            <sz val="9"/>
            <rFont val="宋体"/>
            <charset val="134"/>
          </rPr>
          <t>Administrator:</t>
        </r>
        <r>
          <rPr>
            <sz val="9"/>
            <rFont val="宋体"/>
            <charset val="134"/>
          </rPr>
          <t xml:space="preserve">
2020.10.13收4356</t>
        </r>
      </text>
    </comment>
    <comment ref="T857" authorId="0">
      <text>
        <r>
          <rPr>
            <b/>
            <sz val="9"/>
            <rFont val="宋体"/>
            <charset val="134"/>
          </rPr>
          <t>Administrator:</t>
        </r>
        <r>
          <rPr>
            <sz val="9"/>
            <rFont val="宋体"/>
            <charset val="134"/>
          </rPr>
          <t xml:space="preserve">
2021.1.4收17870</t>
        </r>
      </text>
    </comment>
    <comment ref="Q858" authorId="0">
      <text>
        <r>
          <rPr>
            <b/>
            <sz val="9"/>
            <rFont val="宋体"/>
            <charset val="134"/>
          </rPr>
          <t>Administrator:</t>
        </r>
        <r>
          <rPr>
            <sz val="9"/>
            <rFont val="宋体"/>
            <charset val="134"/>
          </rPr>
          <t xml:space="preserve">
2020.10.15收</t>
        </r>
      </text>
    </comment>
    <comment ref="T858" authorId="0">
      <text>
        <r>
          <rPr>
            <b/>
            <sz val="9"/>
            <rFont val="宋体"/>
            <charset val="134"/>
          </rPr>
          <t>Administrator:</t>
        </r>
        <r>
          <rPr>
            <sz val="9"/>
            <rFont val="宋体"/>
            <charset val="134"/>
          </rPr>
          <t xml:space="preserve">
2021.1.15收38089</t>
        </r>
      </text>
    </comment>
    <comment ref="Q859" authorId="0">
      <text>
        <r>
          <rPr>
            <b/>
            <sz val="9"/>
            <rFont val="宋体"/>
            <charset val="134"/>
          </rPr>
          <t>Administrator:</t>
        </r>
        <r>
          <rPr>
            <sz val="9"/>
            <rFont val="宋体"/>
            <charset val="134"/>
          </rPr>
          <t xml:space="preserve">
2020.11.4收
水单13269美金</t>
        </r>
      </text>
    </comment>
    <comment ref="T859" authorId="0">
      <text>
        <r>
          <rPr>
            <b/>
            <sz val="9"/>
            <rFont val="宋体"/>
            <charset val="134"/>
          </rPr>
          <t>Administrator:</t>
        </r>
        <r>
          <rPr>
            <sz val="9"/>
            <rFont val="宋体"/>
            <charset val="134"/>
          </rPr>
          <t xml:space="preserve">
2020.12.30收17571.7美金</t>
        </r>
      </text>
    </comment>
    <comment ref="U859" authorId="0">
      <text>
        <r>
          <rPr>
            <b/>
            <sz val="9"/>
            <rFont val="宋体"/>
            <charset val="134"/>
          </rPr>
          <t>Administrator:</t>
        </r>
        <r>
          <rPr>
            <sz val="9"/>
            <rFont val="宋体"/>
            <charset val="134"/>
          </rPr>
          <t xml:space="preserve">
2020.12.31收19953</t>
        </r>
      </text>
    </comment>
    <comment ref="T860" authorId="0">
      <text>
        <r>
          <rPr>
            <b/>
            <sz val="9"/>
            <rFont val="宋体"/>
            <charset val="134"/>
          </rPr>
          <t>Administrator:</t>
        </r>
        <r>
          <rPr>
            <sz val="9"/>
            <rFont val="宋体"/>
            <charset val="134"/>
          </rPr>
          <t xml:space="preserve">
2021.1.19收19953</t>
        </r>
      </text>
    </comment>
    <comment ref="U860" authorId="0">
      <text>
        <r>
          <rPr>
            <b/>
            <sz val="9"/>
            <rFont val="宋体"/>
            <charset val="134"/>
          </rPr>
          <t>Administrator:</t>
        </r>
        <r>
          <rPr>
            <sz val="9"/>
            <rFont val="宋体"/>
            <charset val="134"/>
          </rPr>
          <t xml:space="preserve">
2021.1.20收18227.3</t>
        </r>
      </text>
    </comment>
    <comment ref="Q861" authorId="0">
      <text>
        <r>
          <rPr>
            <b/>
            <sz val="9"/>
            <rFont val="宋体"/>
            <charset val="134"/>
          </rPr>
          <t>Administrator:</t>
        </r>
        <r>
          <rPr>
            <sz val="9"/>
            <rFont val="宋体"/>
            <charset val="134"/>
          </rPr>
          <t xml:space="preserve">
2020.11.16收</t>
        </r>
      </text>
    </comment>
    <comment ref="T861" authorId="0">
      <text>
        <r>
          <rPr>
            <b/>
            <sz val="9"/>
            <rFont val="宋体"/>
            <charset val="134"/>
          </rPr>
          <t>Administrator:</t>
        </r>
        <r>
          <rPr>
            <sz val="9"/>
            <rFont val="宋体"/>
            <charset val="134"/>
          </rPr>
          <t xml:space="preserve">
2021.1.6收27046.33
J3933+3941</t>
        </r>
      </text>
    </comment>
    <comment ref="Q862" authorId="0">
      <text>
        <r>
          <rPr>
            <b/>
            <sz val="9"/>
            <rFont val="宋体"/>
            <charset val="134"/>
          </rPr>
          <t>Administrator:</t>
        </r>
        <r>
          <rPr>
            <sz val="9"/>
            <rFont val="宋体"/>
            <charset val="134"/>
          </rPr>
          <t xml:space="preserve">
2020.11.16收</t>
        </r>
      </text>
    </comment>
    <comment ref="T862" authorId="0">
      <text>
        <r>
          <rPr>
            <b/>
            <sz val="9"/>
            <rFont val="宋体"/>
            <charset val="134"/>
          </rPr>
          <t>Administrator:</t>
        </r>
        <r>
          <rPr>
            <sz val="9"/>
            <rFont val="宋体"/>
            <charset val="134"/>
          </rPr>
          <t xml:space="preserve">
2020.12.15收13236</t>
        </r>
      </text>
    </comment>
    <comment ref="Q863" authorId="0">
      <text>
        <r>
          <rPr>
            <b/>
            <sz val="9"/>
            <rFont val="宋体"/>
            <charset val="134"/>
          </rPr>
          <t>Administrator:</t>
        </r>
        <r>
          <rPr>
            <sz val="9"/>
            <rFont val="宋体"/>
            <charset val="134"/>
          </rPr>
          <t xml:space="preserve">
2020.11.17收5269</t>
        </r>
      </text>
    </comment>
    <comment ref="Q864" authorId="0">
      <text>
        <r>
          <rPr>
            <b/>
            <sz val="9"/>
            <rFont val="宋体"/>
            <charset val="134"/>
          </rPr>
          <t>Administrator:</t>
        </r>
        <r>
          <rPr>
            <sz val="9"/>
            <rFont val="宋体"/>
            <charset val="134"/>
          </rPr>
          <t xml:space="preserve">
2020.12.1收4970</t>
        </r>
      </text>
    </comment>
    <comment ref="T864" authorId="0">
      <text>
        <r>
          <rPr>
            <b/>
            <sz val="9"/>
            <rFont val="宋体"/>
            <charset val="134"/>
          </rPr>
          <t>Administrator:</t>
        </r>
        <r>
          <rPr>
            <sz val="9"/>
            <rFont val="宋体"/>
            <charset val="134"/>
          </rPr>
          <t xml:space="preserve">
2021.3.15收9140.3</t>
        </r>
      </text>
    </comment>
    <comment ref="Q865"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65" authorId="0">
      <text>
        <r>
          <rPr>
            <b/>
            <sz val="9"/>
            <rFont val="宋体"/>
            <charset val="134"/>
          </rPr>
          <t>Administrator:</t>
        </r>
        <r>
          <rPr>
            <sz val="9"/>
            <rFont val="宋体"/>
            <charset val="134"/>
          </rPr>
          <t xml:space="preserve">
2021.4.22收38235</t>
        </r>
      </text>
    </comment>
    <comment ref="Q866" authorId="0">
      <text>
        <r>
          <rPr>
            <b/>
            <sz val="9"/>
            <rFont val="宋体"/>
            <charset val="134"/>
          </rPr>
          <t>Administrator:</t>
        </r>
        <r>
          <rPr>
            <sz val="9"/>
            <rFont val="宋体"/>
            <charset val="134"/>
          </rPr>
          <t xml:space="preserve">
2021.1.8收6290
J3974多付514.28美金</t>
        </r>
      </text>
    </comment>
    <comment ref="T866" authorId="0">
      <text>
        <r>
          <rPr>
            <b/>
            <sz val="9"/>
            <rFont val="宋体"/>
            <charset val="134"/>
          </rPr>
          <t>Administrator:</t>
        </r>
        <r>
          <rPr>
            <sz val="9"/>
            <rFont val="宋体"/>
            <charset val="134"/>
          </rPr>
          <t xml:space="preserve">
2021.4.13收14204.72</t>
        </r>
      </text>
    </comment>
    <comment ref="Q867" authorId="0">
      <text>
        <r>
          <rPr>
            <b/>
            <sz val="9"/>
            <rFont val="宋体"/>
            <charset val="134"/>
          </rPr>
          <t>Administrator:</t>
        </r>
        <r>
          <rPr>
            <sz val="9"/>
            <rFont val="宋体"/>
            <charset val="134"/>
          </rPr>
          <t xml:space="preserve">
2021.1.27收6368</t>
        </r>
      </text>
    </comment>
    <comment ref="T867" authorId="0">
      <text>
        <r>
          <rPr>
            <b/>
            <sz val="9"/>
            <rFont val="宋体"/>
            <charset val="134"/>
          </rPr>
          <t>Administrator:</t>
        </r>
        <r>
          <rPr>
            <sz val="9"/>
            <rFont val="宋体"/>
            <charset val="134"/>
          </rPr>
          <t xml:space="preserve">
2021.3.30收14898.64</t>
        </r>
      </text>
    </comment>
    <comment ref="Q868" authorId="0">
      <text>
        <r>
          <rPr>
            <b/>
            <sz val="9"/>
            <rFont val="宋体"/>
            <charset val="134"/>
          </rPr>
          <t>Administrator:</t>
        </r>
        <r>
          <rPr>
            <sz val="9"/>
            <rFont val="宋体"/>
            <charset val="134"/>
          </rPr>
          <t xml:space="preserve">
2021.3.12收9425</t>
        </r>
      </text>
    </comment>
    <comment ref="T868" authorId="0">
      <text>
        <r>
          <rPr>
            <b/>
            <sz val="9"/>
            <rFont val="宋体"/>
            <charset val="134"/>
          </rPr>
          <t>Administrator:</t>
        </r>
        <r>
          <rPr>
            <sz val="9"/>
            <rFont val="宋体"/>
            <charset val="134"/>
          </rPr>
          <t xml:space="preserve">
2021.5.11收44104.3
J3992+J3998一起付的</t>
        </r>
      </text>
    </comment>
    <comment ref="Q869" authorId="0">
      <text>
        <r>
          <rPr>
            <b/>
            <sz val="9"/>
            <rFont val="宋体"/>
            <charset val="134"/>
          </rPr>
          <t>Administrator:</t>
        </r>
        <r>
          <rPr>
            <sz val="9"/>
            <rFont val="宋体"/>
            <charset val="134"/>
          </rPr>
          <t xml:space="preserve">
2021.3.4收¥55000(汇率6.46，折合美金$8512.93)--冻结中
2021.4.15打款RMB219924 汇率6.52</t>
        </r>
      </text>
    </comment>
    <comment ref="T869" authorId="0">
      <text>
        <r>
          <rPr>
            <b/>
            <sz val="9"/>
            <rFont val="宋体"/>
            <charset val="134"/>
          </rPr>
          <t>Administrator:</t>
        </r>
        <r>
          <rPr>
            <sz val="9"/>
            <rFont val="宋体"/>
            <charset val="134"/>
          </rPr>
          <t xml:space="preserve">
2021.8.5收RMB20万 汇率6.46  多打人民币24233</t>
        </r>
      </text>
    </comment>
    <comment ref="Q870" authorId="0">
      <text>
        <r>
          <rPr>
            <b/>
            <sz val="9"/>
            <rFont val="宋体"/>
            <charset val="134"/>
          </rPr>
          <t>Administrator:</t>
        </r>
        <r>
          <rPr>
            <sz val="9"/>
            <rFont val="宋体"/>
            <charset val="134"/>
          </rPr>
          <t xml:space="preserve">
2021.3.17收9441</t>
        </r>
      </text>
    </comment>
    <comment ref="T870" authorId="0">
      <text>
        <r>
          <rPr>
            <b/>
            <sz val="9"/>
            <rFont val="宋体"/>
            <charset val="134"/>
          </rPr>
          <t>Administrator:</t>
        </r>
        <r>
          <rPr>
            <sz val="9"/>
            <rFont val="宋体"/>
            <charset val="134"/>
          </rPr>
          <t xml:space="preserve">
2021.5.11收44104.3
J3992+J3998一起付的</t>
        </r>
      </text>
    </comment>
    <comment ref="Q871" authorId="0">
      <text>
        <r>
          <rPr>
            <b/>
            <sz val="9"/>
            <rFont val="宋体"/>
            <charset val="134"/>
          </rPr>
          <t>Administrator:</t>
        </r>
        <r>
          <rPr>
            <sz val="9"/>
            <rFont val="宋体"/>
            <charset val="134"/>
          </rPr>
          <t xml:space="preserve">
2021.3.24收</t>
        </r>
      </text>
    </comment>
    <comment ref="T871" authorId="0">
      <text>
        <r>
          <rPr>
            <b/>
            <sz val="9"/>
            <rFont val="宋体"/>
            <charset val="134"/>
          </rPr>
          <t>Administrator:</t>
        </r>
        <r>
          <rPr>
            <sz val="9"/>
            <rFont val="宋体"/>
            <charset val="134"/>
          </rPr>
          <t xml:space="preserve">
2021.5.6收32852.6
J4005 J4006一起付的</t>
        </r>
      </text>
    </comment>
    <comment ref="Q872" authorId="0">
      <text>
        <r>
          <rPr>
            <b/>
            <sz val="9"/>
            <rFont val="宋体"/>
            <charset val="134"/>
          </rPr>
          <t>Administrator:</t>
        </r>
        <r>
          <rPr>
            <sz val="9"/>
            <rFont val="宋体"/>
            <charset val="134"/>
          </rPr>
          <t xml:space="preserve">
2021.3.24收</t>
        </r>
      </text>
    </comment>
    <comment ref="T872" authorId="0">
      <text>
        <r>
          <rPr>
            <b/>
            <sz val="9"/>
            <rFont val="宋体"/>
            <charset val="134"/>
          </rPr>
          <t>Administrator:</t>
        </r>
        <r>
          <rPr>
            <sz val="9"/>
            <rFont val="宋体"/>
            <charset val="134"/>
          </rPr>
          <t xml:space="preserve">
2021.5.6收32852.6
J4005 J4006一起付的</t>
        </r>
      </text>
    </comment>
    <comment ref="Q873" authorId="0">
      <text>
        <r>
          <rPr>
            <b/>
            <sz val="9"/>
            <rFont val="宋体"/>
            <charset val="134"/>
          </rPr>
          <t>Administrator:</t>
        </r>
        <r>
          <rPr>
            <sz val="9"/>
            <rFont val="宋体"/>
            <charset val="134"/>
          </rPr>
          <t xml:space="preserve">
2021.3.25收19988水单2万美金</t>
        </r>
      </text>
    </comment>
    <comment ref="T873" authorId="0">
      <text>
        <r>
          <rPr>
            <b/>
            <sz val="9"/>
            <rFont val="宋体"/>
            <charset val="134"/>
          </rPr>
          <t>Administrator:</t>
        </r>
        <r>
          <rPr>
            <sz val="9"/>
            <rFont val="宋体"/>
            <charset val="134"/>
          </rPr>
          <t xml:space="preserve">
2021.7.29收$19988</t>
        </r>
      </text>
    </comment>
    <comment ref="T874" authorId="0">
      <text>
        <r>
          <rPr>
            <b/>
            <sz val="9"/>
            <rFont val="宋体"/>
            <charset val="134"/>
          </rPr>
          <t>Administrator:</t>
        </r>
        <r>
          <rPr>
            <sz val="9"/>
            <rFont val="宋体"/>
            <charset val="134"/>
          </rPr>
          <t xml:space="preserve">
2021.5.6收17779.6</t>
        </r>
      </text>
    </comment>
    <comment ref="T875" authorId="0">
      <text>
        <r>
          <rPr>
            <b/>
            <sz val="9"/>
            <rFont val="宋体"/>
            <charset val="134"/>
          </rPr>
          <t>Administrator:</t>
        </r>
        <r>
          <rPr>
            <sz val="9"/>
            <rFont val="宋体"/>
            <charset val="134"/>
          </rPr>
          <t xml:space="preserve">
2021.7.13收4036.4</t>
        </r>
      </text>
    </comment>
    <comment ref="U875" authorId="0">
      <text>
        <r>
          <rPr>
            <b/>
            <sz val="9"/>
            <rFont val="宋体"/>
            <charset val="134"/>
          </rPr>
          <t>Administrator:</t>
        </r>
        <r>
          <rPr>
            <sz val="9"/>
            <rFont val="宋体"/>
            <charset val="134"/>
          </rPr>
          <t xml:space="preserve">
2021.7.13收19988</t>
        </r>
      </text>
    </comment>
    <comment ref="T876" authorId="0">
      <text>
        <r>
          <rPr>
            <b/>
            <sz val="9"/>
            <rFont val="宋体"/>
            <charset val="134"/>
          </rPr>
          <t>Administrator:</t>
        </r>
        <r>
          <rPr>
            <sz val="9"/>
            <rFont val="宋体"/>
            <charset val="134"/>
          </rPr>
          <t xml:space="preserve">
2021.6.16收19988</t>
        </r>
      </text>
    </comment>
    <comment ref="U876" authorId="0">
      <text>
        <r>
          <rPr>
            <b/>
            <sz val="9"/>
            <rFont val="宋体"/>
            <charset val="134"/>
          </rPr>
          <t>Administrator:</t>
        </r>
        <r>
          <rPr>
            <sz val="9"/>
            <rFont val="宋体"/>
            <charset val="134"/>
          </rPr>
          <t xml:space="preserve">
2021.7.26收3980.86</t>
        </r>
      </text>
    </comment>
    <comment ref="T877" authorId="0">
      <text>
        <r>
          <rPr>
            <b/>
            <sz val="9"/>
            <rFont val="宋体"/>
            <charset val="134"/>
          </rPr>
          <t>Administrator:</t>
        </r>
        <r>
          <rPr>
            <sz val="9"/>
            <rFont val="宋体"/>
            <charset val="134"/>
          </rPr>
          <t xml:space="preserve">
2021.7.26收$19988</t>
        </r>
      </text>
    </comment>
    <comment ref="U877" authorId="0">
      <text>
        <r>
          <rPr>
            <b/>
            <sz val="9"/>
            <rFont val="宋体"/>
            <charset val="134"/>
          </rPr>
          <t>Administrator:</t>
        </r>
        <r>
          <rPr>
            <sz val="9"/>
            <rFont val="宋体"/>
            <charset val="134"/>
          </rPr>
          <t xml:space="preserve">
2021.7.30收9234.74</t>
        </r>
      </text>
    </comment>
    <comment ref="Q878" authorId="0">
      <text>
        <r>
          <rPr>
            <b/>
            <sz val="9"/>
            <rFont val="宋体"/>
            <charset val="134"/>
          </rPr>
          <t>Administrator:</t>
        </r>
        <r>
          <rPr>
            <sz val="9"/>
            <rFont val="宋体"/>
            <charset val="134"/>
          </rPr>
          <t xml:space="preserve">
2021.4.1收21962.8</t>
        </r>
      </text>
    </comment>
    <comment ref="T878" authorId="0">
      <text>
        <r>
          <rPr>
            <b/>
            <sz val="9"/>
            <rFont val="宋体"/>
            <charset val="134"/>
          </rPr>
          <t>Administrator:</t>
        </r>
        <r>
          <rPr>
            <sz val="9"/>
            <rFont val="宋体"/>
            <charset val="134"/>
          </rPr>
          <t xml:space="preserve">
2021.7.28收49132</t>
        </r>
      </text>
    </comment>
    <comment ref="Q879" authorId="0">
      <text>
        <r>
          <rPr>
            <b/>
            <sz val="9"/>
            <rFont val="宋体"/>
            <charset val="134"/>
          </rPr>
          <t>Administrator:</t>
        </r>
        <r>
          <rPr>
            <sz val="9"/>
            <rFont val="宋体"/>
            <charset val="134"/>
          </rPr>
          <t xml:space="preserve">
2021.4.27收4799</t>
        </r>
      </text>
    </comment>
    <comment ref="T879" authorId="0">
      <text>
        <r>
          <rPr>
            <b/>
            <sz val="9"/>
            <rFont val="宋体"/>
            <charset val="134"/>
          </rPr>
          <t>Administrator:</t>
        </r>
        <r>
          <rPr>
            <sz val="9"/>
            <rFont val="宋体"/>
            <charset val="134"/>
          </rPr>
          <t xml:space="preserve">
2021.6.10收27306</t>
        </r>
      </text>
    </comment>
    <comment ref="Q880" authorId="0">
      <text>
        <r>
          <rPr>
            <b/>
            <sz val="9"/>
            <rFont val="宋体"/>
            <charset val="134"/>
          </rPr>
          <t>Administrator:</t>
        </r>
        <r>
          <rPr>
            <sz val="9"/>
            <rFont val="宋体"/>
            <charset val="134"/>
          </rPr>
          <t xml:space="preserve">
2021.6.2收9966</t>
        </r>
      </text>
    </comment>
    <comment ref="T880" authorId="0">
      <text>
        <r>
          <rPr>
            <b/>
            <sz val="9"/>
            <rFont val="宋体"/>
            <charset val="134"/>
          </rPr>
          <t>Administrator:</t>
        </r>
        <r>
          <rPr>
            <sz val="9"/>
            <rFont val="宋体"/>
            <charset val="134"/>
          </rPr>
          <t xml:space="preserve">
2021.9.9收26966
2021.9.10收26966</t>
        </r>
      </text>
    </comment>
    <comment ref="U880" authorId="0">
      <text>
        <r>
          <rPr>
            <b/>
            <sz val="9"/>
            <rFont val="宋体"/>
            <charset val="134"/>
          </rPr>
          <t>Administrator:</t>
        </r>
        <r>
          <rPr>
            <sz val="9"/>
            <rFont val="宋体"/>
            <charset val="134"/>
          </rPr>
          <t xml:space="preserve">
2021.9.13收9630</t>
        </r>
      </text>
    </comment>
    <comment ref="Q881" authorId="0">
      <text>
        <r>
          <rPr>
            <b/>
            <sz val="9"/>
            <rFont val="宋体"/>
            <charset val="134"/>
          </rPr>
          <t>Administrator:</t>
        </r>
        <r>
          <rPr>
            <sz val="9"/>
            <rFont val="宋体"/>
            <charset val="134"/>
          </rPr>
          <t xml:space="preserve">
2021.6.9收8147</t>
        </r>
      </text>
    </comment>
    <comment ref="T881" authorId="0">
      <text>
        <r>
          <rPr>
            <b/>
            <sz val="9"/>
            <rFont val="宋体"/>
            <charset val="134"/>
          </rPr>
          <t>Administrator:</t>
        </r>
        <r>
          <rPr>
            <sz val="9"/>
            <rFont val="宋体"/>
            <charset val="134"/>
          </rPr>
          <t xml:space="preserve">
2021.6.29收19050.76</t>
        </r>
      </text>
    </comment>
    <comment ref="Q882" authorId="0">
      <text>
        <r>
          <rPr>
            <b/>
            <sz val="9"/>
            <rFont val="宋体"/>
            <charset val="134"/>
          </rPr>
          <t>Administrator:</t>
        </r>
        <r>
          <rPr>
            <sz val="9"/>
            <rFont val="宋体"/>
            <charset val="134"/>
          </rPr>
          <t xml:space="preserve">
2021.7.28收14008</t>
        </r>
      </text>
    </comment>
    <comment ref="T882" authorId="0">
      <text>
        <r>
          <rPr>
            <b/>
            <sz val="9"/>
            <rFont val="宋体"/>
            <charset val="134"/>
          </rPr>
          <t>Administrator:</t>
        </r>
        <r>
          <rPr>
            <sz val="9"/>
            <rFont val="宋体"/>
            <charset val="134"/>
          </rPr>
          <t xml:space="preserve">
2021.10.14收57895.7</t>
        </r>
      </text>
    </comment>
    <comment ref="T883" authorId="0">
      <text>
        <r>
          <rPr>
            <b/>
            <sz val="9"/>
            <rFont val="宋体"/>
            <charset val="134"/>
          </rPr>
          <t>Administrator:</t>
        </r>
        <r>
          <rPr>
            <sz val="9"/>
            <rFont val="宋体"/>
            <charset val="134"/>
          </rPr>
          <t xml:space="preserve">
2021.11.29收109860.81</t>
        </r>
      </text>
    </comment>
    <comment ref="T884" authorId="0">
      <text>
        <r>
          <rPr>
            <b/>
            <sz val="9"/>
            <rFont val="宋体"/>
            <charset val="134"/>
          </rPr>
          <t>Administrator:</t>
        </r>
        <r>
          <rPr>
            <sz val="9"/>
            <rFont val="宋体"/>
            <charset val="134"/>
          </rPr>
          <t xml:space="preserve">
2021.11.9收104969.61</t>
        </r>
      </text>
    </comment>
    <comment ref="Q885" authorId="0">
      <text>
        <r>
          <rPr>
            <b/>
            <sz val="9"/>
            <rFont val="宋体"/>
            <charset val="134"/>
          </rPr>
          <t>Administrator:</t>
        </r>
        <r>
          <rPr>
            <sz val="9"/>
            <rFont val="宋体"/>
            <charset val="134"/>
          </rPr>
          <t xml:space="preserve">
2021.9.2收16946</t>
        </r>
      </text>
    </comment>
    <comment ref="T885" authorId="0">
      <text>
        <r>
          <rPr>
            <b/>
            <sz val="9"/>
            <rFont val="宋体"/>
            <charset val="134"/>
          </rPr>
          <t>Administrator:</t>
        </r>
        <r>
          <rPr>
            <sz val="9"/>
            <rFont val="宋体"/>
            <charset val="134"/>
          </rPr>
          <t xml:space="preserve">
2021.10.8收39581.45</t>
        </r>
      </text>
    </comment>
    <comment ref="P886" authorId="0">
      <text>
        <r>
          <rPr>
            <b/>
            <sz val="9"/>
            <rFont val="宋体"/>
            <charset val="134"/>
          </rPr>
          <t>Administrator:</t>
        </r>
        <r>
          <rPr>
            <sz val="9"/>
            <rFont val="宋体"/>
            <charset val="134"/>
          </rPr>
          <t xml:space="preserve">
客户按发票值29776.45付款的</t>
        </r>
      </text>
    </comment>
    <comment ref="T886" authorId="0">
      <text>
        <r>
          <rPr>
            <b/>
            <sz val="9"/>
            <rFont val="宋体"/>
            <charset val="134"/>
          </rPr>
          <t>Administrator:</t>
        </r>
        <r>
          <rPr>
            <sz val="9"/>
            <rFont val="宋体"/>
            <charset val="134"/>
          </rPr>
          <t xml:space="preserve">
2021.10.8收39581.45
</t>
        </r>
      </text>
    </comment>
    <comment ref="Q887" authorId="0">
      <text>
        <r>
          <rPr>
            <b/>
            <sz val="9"/>
            <rFont val="宋体"/>
            <charset val="134"/>
          </rPr>
          <t>Administrator:</t>
        </r>
        <r>
          <rPr>
            <sz val="9"/>
            <rFont val="宋体"/>
            <charset val="134"/>
          </rPr>
          <t xml:space="preserve">
2021.9.6RMB3万+J3994多付的¥24233，一共¥54233，折合美金8408，汇率6.45
2021.10.21收RMB11万</t>
        </r>
      </text>
    </comment>
    <comment ref="T887" authorId="0">
      <text>
        <r>
          <rPr>
            <b/>
            <sz val="9"/>
            <rFont val="宋体"/>
            <charset val="134"/>
          </rPr>
          <t>Administrator:</t>
        </r>
        <r>
          <rPr>
            <sz val="9"/>
            <rFont val="宋体"/>
            <charset val="134"/>
          </rPr>
          <t xml:space="preserve">
2022.1.17收RMB368667 汇率6.3636</t>
        </r>
      </text>
    </comment>
    <comment ref="Q888" authorId="0">
      <text>
        <r>
          <rPr>
            <b/>
            <sz val="9"/>
            <rFont val="宋体"/>
            <charset val="134"/>
          </rPr>
          <t>Administrator:</t>
        </r>
        <r>
          <rPr>
            <sz val="9"/>
            <rFont val="宋体"/>
            <charset val="134"/>
          </rPr>
          <t xml:space="preserve">
2021.9.9收14491</t>
        </r>
      </text>
    </comment>
    <comment ref="T888" authorId="0">
      <text>
        <r>
          <rPr>
            <b/>
            <sz val="9"/>
            <rFont val="宋体"/>
            <charset val="134"/>
          </rPr>
          <t>Administrator:</t>
        </r>
        <r>
          <rPr>
            <sz val="9"/>
            <rFont val="宋体"/>
            <charset val="134"/>
          </rPr>
          <t xml:space="preserve">
2021.12.27收29261</t>
        </r>
      </text>
    </comment>
    <comment ref="T889" authorId="0">
      <text>
        <r>
          <rPr>
            <b/>
            <sz val="9"/>
            <rFont val="宋体"/>
            <charset val="134"/>
          </rPr>
          <t>Administrator:</t>
        </r>
        <r>
          <rPr>
            <sz val="9"/>
            <rFont val="宋体"/>
            <charset val="134"/>
          </rPr>
          <t xml:space="preserve">
2021.12.30收27997</t>
        </r>
      </text>
    </comment>
    <comment ref="Q890" authorId="0">
      <text>
        <r>
          <rPr>
            <b/>
            <sz val="9"/>
            <rFont val="宋体"/>
            <charset val="134"/>
          </rPr>
          <t>Administrator:</t>
        </r>
        <r>
          <rPr>
            <sz val="9"/>
            <rFont val="宋体"/>
            <charset val="134"/>
          </rPr>
          <t xml:space="preserve">
2021.9.15收8699</t>
        </r>
      </text>
    </comment>
    <comment ref="T890" authorId="0">
      <text>
        <r>
          <rPr>
            <b/>
            <sz val="9"/>
            <rFont val="宋体"/>
            <charset val="134"/>
          </rPr>
          <t>Administrator:</t>
        </r>
        <r>
          <rPr>
            <sz val="9"/>
            <rFont val="宋体"/>
            <charset val="134"/>
          </rPr>
          <t xml:space="preserve">
2021.10.28收19703.7 水单19723.7
少付了J4117甩货的款619.2美金</t>
        </r>
      </text>
    </comment>
    <comment ref="Q891" authorId="0">
      <text>
        <r>
          <rPr>
            <b/>
            <sz val="9"/>
            <rFont val="宋体"/>
            <charset val="134"/>
          </rPr>
          <t>Administrator:</t>
        </r>
        <r>
          <rPr>
            <sz val="9"/>
            <rFont val="宋体"/>
            <charset val="134"/>
          </rPr>
          <t xml:space="preserve">
2021.9.22收18421.06</t>
        </r>
      </text>
    </comment>
    <comment ref="T891" authorId="0">
      <text>
        <r>
          <rPr>
            <b/>
            <sz val="9"/>
            <rFont val="宋体"/>
            <charset val="134"/>
          </rPr>
          <t>Administrator:</t>
        </r>
        <r>
          <rPr>
            <sz val="9"/>
            <rFont val="宋体"/>
            <charset val="134"/>
          </rPr>
          <t xml:space="preserve">
2021.11.30收44185.9
J4135-1: $33430.26
J4174: $10787.64
</t>
        </r>
      </text>
    </comment>
    <comment ref="T892" authorId="0">
      <text>
        <r>
          <rPr>
            <b/>
            <sz val="9"/>
            <rFont val="宋体"/>
            <charset val="134"/>
          </rPr>
          <t>Administrator:</t>
        </r>
        <r>
          <rPr>
            <sz val="9"/>
            <rFont val="宋体"/>
            <charset val="134"/>
          </rPr>
          <t xml:space="preserve">
2021.12.10收68766.42</t>
        </r>
      </text>
    </comment>
    <comment ref="Q893" authorId="0">
      <text>
        <r>
          <rPr>
            <b/>
            <sz val="9"/>
            <rFont val="宋体"/>
            <charset val="134"/>
          </rPr>
          <t>Administrator:</t>
        </r>
        <r>
          <rPr>
            <sz val="9"/>
            <rFont val="宋体"/>
            <charset val="134"/>
          </rPr>
          <t xml:space="preserve">
定金一共49305=24305+25000
2021.9.22收24276
2021.9.27收24981.8</t>
        </r>
      </text>
    </comment>
    <comment ref="T893" authorId="0">
      <text>
        <r>
          <rPr>
            <b/>
            <sz val="9"/>
            <rFont val="宋体"/>
            <charset val="134"/>
          </rPr>
          <t>Administrator:</t>
        </r>
        <r>
          <rPr>
            <sz val="9"/>
            <rFont val="宋体"/>
            <charset val="134"/>
          </rPr>
          <t xml:space="preserve">
2021.12.21收19981.8+19981.8
2021.12.22收19981.8</t>
        </r>
      </text>
    </comment>
    <comment ref="U893" authorId="0">
      <text>
        <r>
          <rPr>
            <b/>
            <sz val="9"/>
            <rFont val="宋体"/>
            <charset val="134"/>
          </rPr>
          <t>Administrator:</t>
        </r>
        <r>
          <rPr>
            <sz val="9"/>
            <rFont val="宋体"/>
            <charset val="134"/>
          </rPr>
          <t xml:space="preserve">
18552.49来自J4136-1
15470.51来自J4136-3</t>
        </r>
      </text>
    </comment>
    <comment ref="T894" authorId="0">
      <text>
        <r>
          <rPr>
            <b/>
            <sz val="9"/>
            <rFont val="宋体"/>
            <charset val="134"/>
          </rPr>
          <t>Administrator:</t>
        </r>
        <r>
          <rPr>
            <sz val="9"/>
            <rFont val="宋体"/>
            <charset val="134"/>
          </rPr>
          <t xml:space="preserve">
2021.12.24收19981.8
水单两万 $15470.51用于J4136-2  $4529.49用于J4136-3
2021.12.28收19971</t>
        </r>
      </text>
    </comment>
    <comment ref="U894" authorId="0">
      <text>
        <r>
          <rPr>
            <b/>
            <sz val="9"/>
            <rFont val="宋体"/>
            <charset val="134"/>
          </rPr>
          <t>Administrator:</t>
        </r>
        <r>
          <rPr>
            <sz val="9"/>
            <rFont val="宋体"/>
            <charset val="134"/>
          </rPr>
          <t xml:space="preserve">
2021.12.30收200422021.12.14收19981.8</t>
        </r>
      </text>
    </comment>
    <comment ref="T895" authorId="0">
      <text>
        <r>
          <rPr>
            <b/>
            <sz val="9"/>
            <rFont val="宋体"/>
            <charset val="134"/>
          </rPr>
          <t>Administrator:</t>
        </r>
        <r>
          <rPr>
            <sz val="9"/>
            <rFont val="宋体"/>
            <charset val="134"/>
          </rPr>
          <t xml:space="preserve">
2021.12.15收19971+19971
2021.12.15收19971
2021.12.16收19971</t>
        </r>
      </text>
    </comment>
    <comment ref="U895" authorId="0">
      <text>
        <r>
          <rPr>
            <b/>
            <sz val="9"/>
            <rFont val="宋体"/>
            <charset val="134"/>
          </rPr>
          <t>Administrator:</t>
        </r>
        <r>
          <rPr>
            <sz val="9"/>
            <rFont val="宋体"/>
            <charset val="134"/>
          </rPr>
          <t xml:space="preserve">
2021.12.20收19971
水单2万 剩18552.4用于J4136-2</t>
        </r>
      </text>
    </comment>
    <comment ref="Q896" authorId="0">
      <text>
        <r>
          <rPr>
            <b/>
            <sz val="9"/>
            <rFont val="宋体"/>
            <charset val="134"/>
          </rPr>
          <t>Administrator:</t>
        </r>
        <r>
          <rPr>
            <sz val="9"/>
            <rFont val="宋体"/>
            <charset val="134"/>
          </rPr>
          <t xml:space="preserve">
2021.11.9收8031.45</t>
        </r>
      </text>
    </comment>
    <comment ref="T896" authorId="0">
      <text>
        <r>
          <rPr>
            <b/>
            <sz val="9"/>
            <rFont val="宋体"/>
            <charset val="134"/>
          </rPr>
          <t>Administrator:</t>
        </r>
        <r>
          <rPr>
            <sz val="9"/>
            <rFont val="宋体"/>
            <charset val="134"/>
          </rPr>
          <t xml:space="preserve">
2021.12.9收18759.73</t>
        </r>
      </text>
    </comment>
    <comment ref="Q897" authorId="0">
      <text>
        <r>
          <rPr>
            <b/>
            <sz val="9"/>
            <rFont val="宋体"/>
            <charset val="134"/>
          </rPr>
          <t>Administrator:</t>
        </r>
        <r>
          <rPr>
            <sz val="9"/>
            <rFont val="宋体"/>
            <charset val="134"/>
          </rPr>
          <t xml:space="preserve">
2021.11.15收21563
水单21600</t>
        </r>
      </text>
    </comment>
    <comment ref="T897" authorId="0">
      <text>
        <r>
          <rPr>
            <b/>
            <sz val="9"/>
            <rFont val="宋体"/>
            <charset val="134"/>
          </rPr>
          <t>Administrator:</t>
        </r>
        <r>
          <rPr>
            <sz val="9"/>
            <rFont val="宋体"/>
            <charset val="134"/>
          </rPr>
          <t xml:space="preserve">
2022.2.16收59083</t>
        </r>
      </text>
    </comment>
    <comment ref="T898" authorId="0">
      <text>
        <r>
          <rPr>
            <b/>
            <sz val="9"/>
            <rFont val="宋体"/>
            <charset val="134"/>
          </rPr>
          <t>Administrator:</t>
        </r>
        <r>
          <rPr>
            <sz val="9"/>
            <rFont val="宋体"/>
            <charset val="134"/>
          </rPr>
          <t xml:space="preserve">
2022.3.10收32109</t>
        </r>
      </text>
    </comment>
    <comment ref="Q899" authorId="0">
      <text>
        <r>
          <rPr>
            <b/>
            <sz val="9"/>
            <rFont val="宋体"/>
            <charset val="134"/>
          </rPr>
          <t>Administrator:</t>
        </r>
        <r>
          <rPr>
            <sz val="9"/>
            <rFont val="宋体"/>
            <charset val="134"/>
          </rPr>
          <t xml:space="preserve">
2021.11.30收</t>
        </r>
      </text>
    </comment>
    <comment ref="T899" authorId="0">
      <text>
        <r>
          <rPr>
            <b/>
            <sz val="9"/>
            <rFont val="宋体"/>
            <charset val="134"/>
          </rPr>
          <t>Administrator:</t>
        </r>
        <r>
          <rPr>
            <sz val="9"/>
            <rFont val="宋体"/>
            <charset val="134"/>
          </rPr>
          <t xml:space="preserve">
2022.2.14收62797.96</t>
        </r>
      </text>
    </comment>
    <comment ref="T900" authorId="0">
      <text>
        <r>
          <rPr>
            <b/>
            <sz val="9"/>
            <rFont val="宋体"/>
            <charset val="134"/>
          </rPr>
          <t>Administrator:</t>
        </r>
        <r>
          <rPr>
            <sz val="9"/>
            <rFont val="宋体"/>
            <charset val="134"/>
          </rPr>
          <t xml:space="preserve">
2021.12.3收32660</t>
        </r>
      </text>
    </comment>
    <comment ref="P901" authorId="0">
      <text>
        <r>
          <rPr>
            <b/>
            <sz val="9"/>
            <rFont val="宋体"/>
            <charset val="134"/>
          </rPr>
          <t>Administrator:</t>
        </r>
        <r>
          <rPr>
            <sz val="9"/>
            <rFont val="宋体"/>
            <charset val="134"/>
          </rPr>
          <t xml:space="preserve">
实际发货34355美金
甩货已付</t>
        </r>
      </text>
    </comment>
    <comment ref="Q901" authorId="0">
      <text>
        <r>
          <rPr>
            <b/>
            <sz val="9"/>
            <rFont val="宋体"/>
            <charset val="134"/>
          </rPr>
          <t>Administrator:</t>
        </r>
        <r>
          <rPr>
            <sz val="9"/>
            <rFont val="宋体"/>
            <charset val="134"/>
          </rPr>
          <t xml:space="preserve">
2021.12.7收9498.95</t>
        </r>
      </text>
    </comment>
    <comment ref="T901" authorId="0">
      <text>
        <r>
          <rPr>
            <b/>
            <sz val="9"/>
            <rFont val="宋体"/>
            <charset val="134"/>
          </rPr>
          <t>Administrator:</t>
        </r>
        <r>
          <rPr>
            <sz val="9"/>
            <rFont val="宋体"/>
            <charset val="134"/>
          </rPr>
          <t xml:space="preserve">
2022.1.13收11537.05
2022.1.14收9463</t>
        </r>
      </text>
    </comment>
    <comment ref="U901" authorId="0">
      <text>
        <r>
          <rPr>
            <b/>
            <sz val="9"/>
            <rFont val="宋体"/>
            <charset val="134"/>
          </rPr>
          <t>Administrator:</t>
        </r>
        <r>
          <rPr>
            <sz val="9"/>
            <rFont val="宋体"/>
            <charset val="134"/>
          </rPr>
          <t xml:space="preserve">
2022.1.19收4468</t>
        </r>
      </text>
    </comment>
    <comment ref="Q902" authorId="0">
      <text>
        <r>
          <rPr>
            <b/>
            <sz val="9"/>
            <rFont val="宋体"/>
            <charset val="134"/>
          </rPr>
          <t>Administrator:</t>
        </r>
        <r>
          <rPr>
            <sz val="9"/>
            <rFont val="宋体"/>
            <charset val="134"/>
          </rPr>
          <t xml:space="preserve">
2021.12.7收19981.8
2021.12.8收18981.8
2021.12.9收19981.8
2021.12.15收21598.8
80617=20000+19000+20000+21617</t>
        </r>
      </text>
    </comment>
    <comment ref="T902" authorId="0">
      <text>
        <r>
          <rPr>
            <b/>
            <sz val="9"/>
            <rFont val="宋体"/>
            <charset val="134"/>
          </rPr>
          <t>Administrator:</t>
        </r>
        <r>
          <rPr>
            <sz val="9"/>
            <rFont val="宋体"/>
            <charset val="134"/>
          </rPr>
          <t xml:space="preserve">
2022.5.19收24981.8
水单25000
J4237  $24807.44
J4185-4  $192.56</t>
        </r>
      </text>
    </comment>
    <comment ref="U902" authorId="0">
      <text>
        <r>
          <rPr>
            <b/>
            <sz val="9"/>
            <rFont val="宋体"/>
            <charset val="134"/>
          </rPr>
          <t>Administrator:</t>
        </r>
        <r>
          <rPr>
            <sz val="9"/>
            <rFont val="宋体"/>
            <charset val="134"/>
          </rPr>
          <t xml:space="preserve">
2022.5.26收25132</t>
        </r>
      </text>
    </comment>
    <comment ref="T903" authorId="0">
      <text>
        <r>
          <rPr>
            <b/>
            <sz val="9"/>
            <rFont val="宋体"/>
            <charset val="134"/>
          </rPr>
          <t>Administrator:</t>
        </r>
        <r>
          <rPr>
            <sz val="9"/>
            <rFont val="宋体"/>
            <charset val="134"/>
          </rPr>
          <t xml:space="preserve">
2022.5.11收24971
2022.5.12收24971</t>
        </r>
      </text>
    </comment>
    <comment ref="U903" authorId="0">
      <text>
        <r>
          <rPr>
            <b/>
            <sz val="9"/>
            <rFont val="宋体"/>
            <charset val="134"/>
          </rPr>
          <t>Administrator:</t>
        </r>
        <r>
          <rPr>
            <sz val="9"/>
            <rFont val="宋体"/>
            <charset val="134"/>
          </rPr>
          <t xml:space="preserve">
2022.5.18收24981.80
J4185-3  $19058.4
J4237  $5941.6</t>
        </r>
      </text>
    </comment>
    <comment ref="T904" authorId="0">
      <text>
        <r>
          <rPr>
            <b/>
            <sz val="9"/>
            <rFont val="宋体"/>
            <charset val="134"/>
          </rPr>
          <t>Administrator:</t>
        </r>
        <r>
          <rPr>
            <sz val="9"/>
            <rFont val="宋体"/>
            <charset val="134"/>
          </rPr>
          <t xml:space="preserve">
2022.2.15收19981.8
2022.2.15收19981.8</t>
        </r>
      </text>
    </comment>
    <comment ref="U904" authorId="0">
      <text>
        <r>
          <rPr>
            <b/>
            <sz val="9"/>
            <rFont val="宋体"/>
            <charset val="134"/>
          </rPr>
          <t>Administrator:</t>
        </r>
        <r>
          <rPr>
            <sz val="9"/>
            <rFont val="宋体"/>
            <charset val="134"/>
          </rPr>
          <t xml:space="preserve">
2022.2.16收19981.8+19981.8
多付7027.4用于J4237定金</t>
        </r>
      </text>
    </comment>
    <comment ref="T905" authorId="0">
      <text>
        <r>
          <rPr>
            <b/>
            <sz val="9"/>
            <rFont val="宋体"/>
            <charset val="134"/>
          </rPr>
          <t>Administrator:</t>
        </r>
        <r>
          <rPr>
            <sz val="9"/>
            <rFont val="宋体"/>
            <charset val="134"/>
          </rPr>
          <t xml:space="preserve">
2022.4.6收24981.8</t>
        </r>
      </text>
    </comment>
    <comment ref="U905" authorId="0">
      <text>
        <r>
          <rPr>
            <b/>
            <sz val="9"/>
            <rFont val="宋体"/>
            <charset val="134"/>
          </rPr>
          <t>Administrator:</t>
        </r>
        <r>
          <rPr>
            <sz val="9"/>
            <rFont val="宋体"/>
            <charset val="134"/>
          </rPr>
          <t xml:space="preserve">
2022.4.7收18061.8
2022.4.7收24981.8</t>
        </r>
      </text>
    </comment>
    <comment ref="Q906" authorId="0">
      <text>
        <r>
          <rPr>
            <b/>
            <sz val="9"/>
            <rFont val="宋体"/>
            <charset val="134"/>
          </rPr>
          <t>Administrator:</t>
        </r>
        <r>
          <rPr>
            <sz val="9"/>
            <rFont val="宋体"/>
            <charset val="134"/>
          </rPr>
          <t xml:space="preserve">
2021.12.22收19951
2021.12.30收26971
2022.1.19收10086</t>
        </r>
      </text>
    </comment>
    <comment ref="Q907" authorId="0">
      <text>
        <r>
          <rPr>
            <b/>
            <sz val="9"/>
            <rFont val="宋体"/>
            <charset val="134"/>
          </rPr>
          <t>Administrator:</t>
        </r>
        <r>
          <rPr>
            <sz val="9"/>
            <rFont val="宋体"/>
            <charset val="134"/>
          </rPr>
          <t xml:space="preserve">
2021.12.21收124256.91 作为J4197 4198定金</t>
        </r>
      </text>
    </comment>
    <comment ref="Q908" authorId="0">
      <text>
        <r>
          <rPr>
            <b/>
            <sz val="9"/>
            <rFont val="宋体"/>
            <charset val="134"/>
          </rPr>
          <t>Administrator:</t>
        </r>
        <r>
          <rPr>
            <sz val="9"/>
            <rFont val="宋体"/>
            <charset val="134"/>
          </rPr>
          <t xml:space="preserve">
$74661.01见J4197
2021.12.24收3481.34</t>
        </r>
      </text>
    </comment>
    <comment ref="Q909" authorId="0">
      <text>
        <r>
          <rPr>
            <b/>
            <sz val="9"/>
            <rFont val="宋体"/>
            <charset val="134"/>
          </rPr>
          <t>Administrator:</t>
        </r>
        <r>
          <rPr>
            <sz val="9"/>
            <rFont val="宋体"/>
            <charset val="134"/>
          </rPr>
          <t xml:space="preserve">
2022.1.25收7981.8</t>
        </r>
      </text>
    </comment>
    <comment ref="T909" authorId="0">
      <text>
        <r>
          <rPr>
            <b/>
            <sz val="9"/>
            <rFont val="宋体"/>
            <charset val="134"/>
          </rPr>
          <t>Administrator:</t>
        </r>
        <r>
          <rPr>
            <sz val="9"/>
            <rFont val="宋体"/>
            <charset val="134"/>
          </rPr>
          <t xml:space="preserve">
2022.4.7收23438.8</t>
        </r>
      </text>
    </comment>
    <comment ref="Q910" authorId="0">
      <text>
        <r>
          <rPr>
            <b/>
            <sz val="9"/>
            <rFont val="宋体"/>
            <charset val="134"/>
          </rPr>
          <t>Administrator:</t>
        </r>
        <r>
          <rPr>
            <sz val="9"/>
            <rFont val="宋体"/>
            <charset val="134"/>
          </rPr>
          <t xml:space="preserve">
来自J4185-1</t>
        </r>
      </text>
    </comment>
    <comment ref="T910" authorId="0">
      <text>
        <r>
          <rPr>
            <b/>
            <sz val="9"/>
            <rFont val="宋体"/>
            <charset val="134"/>
          </rPr>
          <t>Administrator:</t>
        </r>
        <r>
          <rPr>
            <sz val="9"/>
            <rFont val="宋体"/>
            <charset val="134"/>
          </rPr>
          <t xml:space="preserve">
2022.5.18收24981.80
J4185-3  $19058.4
J4237  $5941.6</t>
        </r>
      </text>
    </comment>
    <comment ref="U910" authorId="0">
      <text>
        <r>
          <rPr>
            <b/>
            <sz val="9"/>
            <rFont val="宋体"/>
            <charset val="134"/>
          </rPr>
          <t>Administrator:</t>
        </r>
        <r>
          <rPr>
            <sz val="9"/>
            <rFont val="宋体"/>
            <charset val="134"/>
          </rPr>
          <t xml:space="preserve">
2022.5.19收24981.8
水单25000
J4237  $24807.44
J4185-4  $192.56</t>
        </r>
      </text>
    </comment>
    <comment ref="Q911" authorId="0">
      <text>
        <r>
          <rPr>
            <b/>
            <sz val="9"/>
            <rFont val="宋体"/>
            <charset val="134"/>
          </rPr>
          <t>Administrator:</t>
        </r>
        <r>
          <rPr>
            <sz val="9"/>
            <rFont val="宋体"/>
            <charset val="134"/>
          </rPr>
          <t xml:space="preserve">
2022.3.8收19981.07</t>
        </r>
      </text>
    </comment>
    <comment ref="T913" authorId="0">
      <text>
        <r>
          <rPr>
            <b/>
            <sz val="9"/>
            <rFont val="宋体"/>
            <charset val="134"/>
          </rPr>
          <t>Administrator:</t>
        </r>
        <r>
          <rPr>
            <sz val="9"/>
            <rFont val="宋体"/>
            <charset val="134"/>
          </rPr>
          <t xml:space="preserve">
2022.6.8收28867.55</t>
        </r>
      </text>
    </comment>
    <comment ref="Q914" authorId="0">
      <text>
        <r>
          <rPr>
            <b/>
            <sz val="9"/>
            <rFont val="宋体"/>
            <charset val="134"/>
          </rPr>
          <t>Administrator:</t>
        </r>
        <r>
          <rPr>
            <sz val="9"/>
            <rFont val="宋体"/>
            <charset val="134"/>
          </rPr>
          <t xml:space="preserve">
2022.3.8收汇率6.3061，折合美金$6343.06</t>
        </r>
      </text>
    </comment>
    <comment ref="Q915" authorId="0">
      <text>
        <r>
          <rPr>
            <b/>
            <sz val="9"/>
            <rFont val="宋体"/>
            <charset val="134"/>
          </rPr>
          <t>Administrator:</t>
        </r>
        <r>
          <rPr>
            <sz val="9"/>
            <rFont val="宋体"/>
            <charset val="134"/>
          </rPr>
          <t xml:space="preserve">
2022.3.11收9635.5</t>
        </r>
      </text>
    </comment>
    <comment ref="T915" authorId="0">
      <text>
        <r>
          <rPr>
            <b/>
            <sz val="9"/>
            <rFont val="宋体"/>
            <charset val="134"/>
          </rPr>
          <t>Administrator:</t>
        </r>
        <r>
          <rPr>
            <sz val="9"/>
            <rFont val="宋体"/>
            <charset val="134"/>
          </rPr>
          <t xml:space="preserve">
2022.5.16收51950.5</t>
        </r>
      </text>
    </comment>
    <comment ref="P916" authorId="0">
      <text>
        <r>
          <rPr>
            <b/>
            <sz val="9"/>
            <rFont val="宋体"/>
            <charset val="134"/>
          </rPr>
          <t>Administrator:</t>
        </r>
        <r>
          <rPr>
            <sz val="9"/>
            <rFont val="宋体"/>
            <charset val="134"/>
          </rPr>
          <t xml:space="preserve">
实际发票值26483.69 甩货已付款</t>
        </r>
      </text>
    </comment>
    <comment ref="Q916" authorId="0">
      <text>
        <r>
          <rPr>
            <b/>
            <sz val="9"/>
            <rFont val="宋体"/>
            <charset val="134"/>
          </rPr>
          <t>Administrator:</t>
        </r>
        <r>
          <rPr>
            <sz val="9"/>
            <rFont val="宋体"/>
            <charset val="134"/>
          </rPr>
          <t xml:space="preserve">
2022.4.6收8350</t>
        </r>
      </text>
    </comment>
    <comment ref="T916" authorId="0">
      <text>
        <r>
          <rPr>
            <b/>
            <sz val="9"/>
            <rFont val="宋体"/>
            <charset val="134"/>
          </rPr>
          <t>Administrator:</t>
        </r>
        <r>
          <rPr>
            <sz val="9"/>
            <rFont val="宋体"/>
            <charset val="134"/>
          </rPr>
          <t xml:space="preserve">
2022.5.27收19410.48</t>
        </r>
      </text>
    </comment>
    <comment ref="Q917" authorId="0">
      <text>
        <r>
          <rPr>
            <b/>
            <sz val="9"/>
            <rFont val="宋体"/>
            <charset val="134"/>
          </rPr>
          <t>Administrator:</t>
        </r>
        <r>
          <rPr>
            <sz val="9"/>
            <rFont val="宋体"/>
            <charset val="134"/>
          </rPr>
          <t xml:space="preserve">
2022.4.6收8366</t>
        </r>
      </text>
    </comment>
    <comment ref="T917" authorId="0">
      <text>
        <r>
          <rPr>
            <b/>
            <sz val="9"/>
            <rFont val="宋体"/>
            <charset val="134"/>
          </rPr>
          <t>Administrator:</t>
        </r>
        <r>
          <rPr>
            <sz val="9"/>
            <rFont val="宋体"/>
            <charset val="134"/>
          </rPr>
          <t xml:space="preserve">
2022.5.26收19506.2</t>
        </r>
      </text>
    </comment>
    <comment ref="Q918" authorId="0">
      <text>
        <r>
          <rPr>
            <b/>
            <sz val="9"/>
            <rFont val="宋体"/>
            <charset val="134"/>
          </rPr>
          <t>Administrator:</t>
        </r>
        <r>
          <rPr>
            <sz val="9"/>
            <rFont val="宋体"/>
            <charset val="134"/>
          </rPr>
          <t xml:space="preserve">
2022.4.2收</t>
        </r>
      </text>
    </comment>
    <comment ref="Q919" authorId="0">
      <text>
        <r>
          <rPr>
            <b/>
            <sz val="9"/>
            <rFont val="宋体"/>
            <charset val="134"/>
          </rPr>
          <t>Administrator:</t>
        </r>
        <r>
          <rPr>
            <sz val="9"/>
            <rFont val="宋体"/>
            <charset val="134"/>
          </rPr>
          <t xml:space="preserve">
2022.4.3收5万
2022.4.5收75000</t>
        </r>
      </text>
    </comment>
    <comment ref="Q920" authorId="0">
      <text>
        <r>
          <rPr>
            <b/>
            <sz val="9"/>
            <rFont val="宋体"/>
            <charset val="134"/>
          </rPr>
          <t>Administrator:</t>
        </r>
        <r>
          <rPr>
            <sz val="9"/>
            <rFont val="宋体"/>
            <charset val="134"/>
          </rPr>
          <t xml:space="preserve">
2022.4.19收14477</t>
        </r>
      </text>
    </comment>
    <comment ref="Q921" authorId="0">
      <text>
        <r>
          <rPr>
            <b/>
            <sz val="9"/>
            <rFont val="宋体"/>
            <charset val="134"/>
          </rPr>
          <t>Administrator:</t>
        </r>
        <r>
          <rPr>
            <sz val="9"/>
            <rFont val="宋体"/>
            <charset val="134"/>
          </rPr>
          <t xml:space="preserve">
2022.4.21收15233.1</t>
        </r>
      </text>
    </comment>
    <comment ref="P922" authorId="0">
      <text>
        <r>
          <rPr>
            <b/>
            <sz val="9"/>
            <rFont val="宋体"/>
            <charset val="134"/>
          </rPr>
          <t>Administrator:</t>
        </r>
        <r>
          <rPr>
            <sz val="9"/>
            <rFont val="宋体"/>
            <charset val="134"/>
          </rPr>
          <t xml:space="preserve">
甩货之前付款了</t>
        </r>
      </text>
    </comment>
    <comment ref="Q922" authorId="0">
      <text>
        <r>
          <rPr>
            <b/>
            <sz val="9"/>
            <rFont val="宋体"/>
            <charset val="134"/>
          </rPr>
          <t>Administrator:</t>
        </r>
        <r>
          <rPr>
            <sz val="9"/>
            <rFont val="宋体"/>
            <charset val="134"/>
          </rPr>
          <t xml:space="preserve">
2022.4.29收24928</t>
        </r>
      </text>
    </comment>
    <comment ref="T922" authorId="0">
      <text>
        <r>
          <rPr>
            <b/>
            <sz val="9"/>
            <rFont val="宋体"/>
            <charset val="134"/>
          </rPr>
          <t>Administrator:</t>
        </r>
        <r>
          <rPr>
            <sz val="9"/>
            <rFont val="宋体"/>
            <charset val="134"/>
          </rPr>
          <t xml:space="preserve">
2022.5.27收57268.78</t>
        </r>
      </text>
    </comment>
    <comment ref="P923" authorId="0">
      <text>
        <r>
          <rPr>
            <b/>
            <sz val="9"/>
            <rFont val="宋体"/>
            <charset val="134"/>
          </rPr>
          <t>Administrator:</t>
        </r>
        <r>
          <rPr>
            <sz val="9"/>
            <rFont val="宋体"/>
            <charset val="134"/>
          </rPr>
          <t xml:space="preserve">
J4261甩货1335.79美金已付款</t>
        </r>
      </text>
    </comment>
    <comment ref="Q924" authorId="0">
      <text>
        <r>
          <rPr>
            <b/>
            <sz val="9"/>
            <rFont val="宋体"/>
            <charset val="134"/>
          </rPr>
          <t>Administrator:</t>
        </r>
        <r>
          <rPr>
            <sz val="9"/>
            <rFont val="宋体"/>
            <charset val="134"/>
          </rPr>
          <t xml:space="preserve">
2022.5.12收</t>
        </r>
      </text>
    </comment>
    <comment ref="Q925" authorId="0">
      <text>
        <r>
          <rPr>
            <b/>
            <sz val="9"/>
            <rFont val="宋体"/>
            <charset val="134"/>
          </rPr>
          <t>Administrator:</t>
        </r>
        <r>
          <rPr>
            <sz val="9"/>
            <rFont val="宋体"/>
            <charset val="134"/>
          </rPr>
          <t xml:space="preserve">
2022.5.16收24966+24966+24981.8
2022.5.17收 24981.8</t>
        </r>
      </text>
    </comment>
    <comment ref="Q927" authorId="0">
      <text>
        <r>
          <rPr>
            <b/>
            <sz val="9"/>
            <rFont val="宋体"/>
            <charset val="134"/>
          </rPr>
          <t>Administrator:</t>
        </r>
        <r>
          <rPr>
            <sz val="9"/>
            <rFont val="宋体"/>
            <charset val="134"/>
          </rPr>
          <t xml:space="preserve">
2022.6.6收10038</t>
        </r>
      </text>
    </comment>
    <comment ref="Q928" authorId="0">
      <text>
        <r>
          <rPr>
            <b/>
            <sz val="9"/>
            <rFont val="宋体"/>
            <charset val="134"/>
          </rPr>
          <t>Administrator:</t>
        </r>
        <r>
          <rPr>
            <sz val="9"/>
            <rFont val="宋体"/>
            <charset val="134"/>
          </rPr>
          <t xml:space="preserve">
2022.6.9收</t>
        </r>
      </text>
    </comment>
    <comment ref="T933" authorId="0">
      <text>
        <r>
          <rPr>
            <b/>
            <sz val="9"/>
            <rFont val="宋体"/>
            <charset val="134"/>
          </rPr>
          <t>Administrator:</t>
        </r>
        <r>
          <rPr>
            <sz val="9"/>
            <rFont val="宋体"/>
            <charset val="134"/>
          </rPr>
          <t xml:space="preserve">
2020.4.7收</t>
        </r>
      </text>
    </comment>
    <comment ref="Q934" authorId="0">
      <text>
        <r>
          <rPr>
            <b/>
            <sz val="9"/>
            <rFont val="宋体"/>
            <charset val="134"/>
          </rPr>
          <t>Administrator:</t>
        </r>
        <r>
          <rPr>
            <sz val="9"/>
            <rFont val="宋体"/>
            <charset val="134"/>
          </rPr>
          <t xml:space="preserve">
2020.9.14收</t>
        </r>
      </text>
    </comment>
    <comment ref="T934" authorId="0">
      <text>
        <r>
          <rPr>
            <b/>
            <sz val="9"/>
            <rFont val="宋体"/>
            <charset val="134"/>
          </rPr>
          <t>Administrator:</t>
        </r>
        <r>
          <rPr>
            <sz val="9"/>
            <rFont val="宋体"/>
            <charset val="134"/>
          </rPr>
          <t xml:space="preserve">
2021.1.18共收29626美金
X3882: $ 11807.55
J3884: $13628.65
客户多打了$4189.8转走了</t>
        </r>
      </text>
    </comment>
    <comment ref="Q935" authorId="0">
      <text>
        <r>
          <rPr>
            <b/>
            <sz val="9"/>
            <rFont val="宋体"/>
            <charset val="134"/>
          </rPr>
          <t>Administrator:</t>
        </r>
        <r>
          <rPr>
            <sz val="9"/>
            <rFont val="宋体"/>
            <charset val="134"/>
          </rPr>
          <t xml:space="preserve">
2020.9.29收2291.8</t>
        </r>
      </text>
    </comment>
    <comment ref="T935" authorId="0">
      <text>
        <r>
          <rPr>
            <b/>
            <sz val="9"/>
            <rFont val="宋体"/>
            <charset val="134"/>
          </rPr>
          <t>Administrator:</t>
        </r>
        <r>
          <rPr>
            <sz val="9"/>
            <rFont val="宋体"/>
            <charset val="134"/>
          </rPr>
          <t xml:space="preserve">
2020.11.13收6662.8</t>
        </r>
      </text>
    </comment>
    <comment ref="Q939" authorId="0">
      <text>
        <r>
          <rPr>
            <b/>
            <sz val="9"/>
            <rFont val="Tahoma"/>
            <charset val="134"/>
          </rPr>
          <t>Administrator:</t>
        </r>
        <r>
          <rPr>
            <sz val="9"/>
            <rFont val="Tahoma"/>
            <charset val="134"/>
          </rPr>
          <t xml:space="preserve">
2018.7.24 </t>
        </r>
        <r>
          <rPr>
            <sz val="9"/>
            <rFont val="宋体"/>
            <charset val="134"/>
          </rPr>
          <t>到款</t>
        </r>
      </text>
    </comment>
    <comment ref="Q940" authorId="1">
      <text>
        <r>
          <rPr>
            <b/>
            <sz val="11"/>
            <rFont val="MS PGothic"/>
            <charset val="134"/>
          </rPr>
          <t>Microsoft Office 用户: USD4622 汇率 6.49</t>
        </r>
      </text>
    </comment>
    <comment ref="Q941"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41" authorId="0">
      <text>
        <r>
          <rPr>
            <b/>
            <sz val="9"/>
            <rFont val="宋体"/>
            <charset val="134"/>
          </rPr>
          <t>Administrator:</t>
        </r>
        <r>
          <rPr>
            <sz val="9"/>
            <rFont val="宋体"/>
            <charset val="134"/>
          </rPr>
          <t xml:space="preserve">
9.7日到账全款，20000人民币是待在账户里的定金</t>
        </r>
      </text>
    </comment>
    <comment ref="T941" authorId="0">
      <text>
        <r>
          <rPr>
            <b/>
            <sz val="9"/>
            <rFont val="宋体"/>
            <charset val="134"/>
          </rPr>
          <t>Administrator:</t>
        </r>
        <r>
          <rPr>
            <sz val="9"/>
            <rFont val="宋体"/>
            <charset val="134"/>
          </rPr>
          <t xml:space="preserve">
9.7日到账全款，20000人民币是待在账户里的定金</t>
        </r>
      </text>
    </comment>
    <comment ref="U941" authorId="0">
      <text>
        <r>
          <rPr>
            <b/>
            <sz val="9"/>
            <rFont val="宋体"/>
            <charset val="134"/>
          </rPr>
          <t>Administrator:</t>
        </r>
        <r>
          <rPr>
            <sz val="9"/>
            <rFont val="宋体"/>
            <charset val="134"/>
          </rPr>
          <t xml:space="preserve">
9.7日到账全款，20000人民币是待在账户里的定金</t>
        </r>
      </text>
    </comment>
    <comment ref="Q950" authorId="0">
      <text>
        <r>
          <rPr>
            <b/>
            <sz val="9"/>
            <rFont val="宋体"/>
            <charset val="134"/>
          </rPr>
          <t xml:space="preserve">Administrator:
</t>
        </r>
        <r>
          <rPr>
            <sz val="9"/>
            <rFont val="宋体"/>
            <charset val="134"/>
          </rPr>
          <t>汇率6.9  50000RMB</t>
        </r>
      </text>
    </comment>
    <comment ref="R950" authorId="0">
      <text>
        <r>
          <rPr>
            <b/>
            <sz val="9"/>
            <rFont val="宋体"/>
            <charset val="134"/>
          </rPr>
          <t>Administrator:</t>
        </r>
        <r>
          <rPr>
            <sz val="9"/>
            <rFont val="宋体"/>
            <charset val="134"/>
          </rPr>
          <t xml:space="preserve">
托收金额
差188差额部分打RMB1.9 到0215卡</t>
        </r>
      </text>
    </comment>
    <comment ref="U950" authorId="0">
      <text>
        <r>
          <rPr>
            <b/>
            <sz val="9"/>
            <rFont val="宋体"/>
            <charset val="134"/>
          </rPr>
          <t>Administrator:</t>
        </r>
        <r>
          <rPr>
            <sz val="9"/>
            <rFont val="宋体"/>
            <charset val="134"/>
          </rPr>
          <t xml:space="preserve">
托收金额
差188差额部分</t>
        </r>
      </text>
    </comment>
    <comment ref="R956" authorId="0">
      <text>
        <r>
          <rPr>
            <b/>
            <sz val="9"/>
            <rFont val="宋体"/>
            <charset val="134"/>
          </rPr>
          <t xml:space="preserve">Administrator:
</t>
        </r>
        <r>
          <rPr>
            <sz val="9"/>
            <rFont val="宋体"/>
            <charset val="134"/>
          </rPr>
          <t>有20000 RMB 定金</t>
        </r>
      </text>
    </comment>
    <comment ref="T956" authorId="0">
      <text>
        <r>
          <rPr>
            <b/>
            <sz val="9"/>
            <rFont val="宋体"/>
            <charset val="134"/>
          </rPr>
          <t>Administrator:</t>
        </r>
        <r>
          <rPr>
            <sz val="9"/>
            <rFont val="宋体"/>
            <charset val="134"/>
          </rPr>
          <t xml:space="preserve">
38427  1.11</t>
        </r>
      </text>
    </comment>
    <comment ref="U956" authorId="0">
      <text>
        <r>
          <rPr>
            <b/>
            <sz val="9"/>
            <rFont val="宋体"/>
            <charset val="134"/>
          </rPr>
          <t xml:space="preserve">Administrator:
</t>
        </r>
        <r>
          <rPr>
            <sz val="9"/>
            <rFont val="宋体"/>
            <charset val="134"/>
          </rPr>
          <t>有20000 RMB 定金</t>
        </r>
      </text>
    </comment>
    <comment ref="Q959" authorId="0">
      <text>
        <r>
          <rPr>
            <b/>
            <sz val="9"/>
            <rFont val="宋体"/>
            <charset val="134"/>
          </rPr>
          <t>Administrator:
6693.5  实际收</t>
        </r>
      </text>
    </comment>
    <comment ref="Q961" authorId="0">
      <text>
        <r>
          <rPr>
            <b/>
            <sz val="9"/>
            <rFont val="宋体"/>
            <charset val="134"/>
          </rPr>
          <t>Administrator:</t>
        </r>
        <r>
          <rPr>
            <sz val="9"/>
            <rFont val="宋体"/>
            <charset val="134"/>
          </rPr>
          <t xml:space="preserve">
6510</t>
        </r>
      </text>
    </comment>
    <comment ref="Q962" authorId="0">
      <text>
        <r>
          <rPr>
            <b/>
            <sz val="9"/>
            <rFont val="宋体"/>
            <charset val="134"/>
          </rPr>
          <t>Administrator:</t>
        </r>
        <r>
          <rPr>
            <sz val="9"/>
            <rFont val="宋体"/>
            <charset val="134"/>
          </rPr>
          <t xml:space="preserve">
3.4 2075模具费 3.18</t>
        </r>
      </text>
    </comment>
    <comment ref="P966" authorId="0">
      <text>
        <r>
          <rPr>
            <b/>
            <sz val="9"/>
            <rFont val="宋体"/>
            <charset val="134"/>
          </rPr>
          <t>Administrator:</t>
        </r>
        <r>
          <rPr>
            <sz val="9"/>
            <rFont val="宋体"/>
            <charset val="134"/>
          </rPr>
          <t xml:space="preserve">
5.15</t>
        </r>
      </text>
    </comment>
    <comment ref="T970" authorId="0">
      <text>
        <r>
          <rPr>
            <b/>
            <sz val="9"/>
            <rFont val="宋体"/>
            <charset val="134"/>
          </rPr>
          <t>Administrator:</t>
        </r>
        <r>
          <rPr>
            <sz val="9"/>
            <rFont val="宋体"/>
            <charset val="134"/>
          </rPr>
          <t xml:space="preserve">
尾款一共USD15388.1
19.12.9实收RMB38600   2109.12.12实收USD9869.1</t>
        </r>
      </text>
    </comment>
    <comment ref="Q972" authorId="0">
      <text>
        <r>
          <rPr>
            <b/>
            <sz val="9"/>
            <rFont val="宋体"/>
            <charset val="134"/>
          </rPr>
          <t>Administrator:</t>
        </r>
        <r>
          <rPr>
            <sz val="9"/>
            <rFont val="宋体"/>
            <charset val="134"/>
          </rPr>
          <t xml:space="preserve">
实收10850.75</t>
        </r>
      </text>
    </comment>
    <comment ref="P974" authorId="0">
      <text>
        <r>
          <rPr>
            <b/>
            <sz val="9"/>
            <rFont val="宋体"/>
            <charset val="134"/>
          </rPr>
          <t>Administrator:
包括岩棉1413.36</t>
        </r>
      </text>
    </comment>
    <comment ref="Q975" authorId="0">
      <text>
        <r>
          <rPr>
            <b/>
            <sz val="9"/>
            <rFont val="宋体"/>
            <charset val="134"/>
          </rPr>
          <t>Administrator:</t>
        </r>
        <r>
          <rPr>
            <sz val="9"/>
            <rFont val="宋体"/>
            <charset val="134"/>
          </rPr>
          <t xml:space="preserve">
付6765美金收到6689.76美金</t>
        </r>
      </text>
    </comment>
    <comment ref="Q977" authorId="0">
      <text>
        <r>
          <rPr>
            <b/>
            <sz val="9"/>
            <rFont val="宋体"/>
            <charset val="134"/>
          </rPr>
          <t>Administrator:实收</t>
        </r>
        <r>
          <rPr>
            <sz val="9"/>
            <rFont val="宋体"/>
            <charset val="134"/>
          </rPr>
          <t>6159.5</t>
        </r>
      </text>
    </comment>
    <comment ref="T977" authorId="0">
      <text>
        <r>
          <rPr>
            <b/>
            <sz val="9"/>
            <rFont val="宋体"/>
            <charset val="134"/>
          </rPr>
          <t>Administrator:</t>
        </r>
        <r>
          <rPr>
            <sz val="9"/>
            <rFont val="宋体"/>
            <charset val="134"/>
          </rPr>
          <t xml:space="preserve">
应付15637.9</t>
        </r>
      </text>
    </comment>
    <comment ref="P978" authorId="0">
      <text>
        <r>
          <rPr>
            <b/>
            <sz val="9"/>
            <rFont val="宋体"/>
            <charset val="134"/>
          </rPr>
          <t>Administrator:</t>
        </r>
        <r>
          <rPr>
            <sz val="9"/>
            <rFont val="宋体"/>
            <charset val="134"/>
          </rPr>
          <t xml:space="preserve">
给客户寄200个口罩 快递费37美金</t>
        </r>
      </text>
    </comment>
    <comment ref="T978" authorId="0">
      <text>
        <r>
          <rPr>
            <b/>
            <sz val="9"/>
            <rFont val="宋体"/>
            <charset val="134"/>
          </rPr>
          <t>Administrator:</t>
        </r>
        <r>
          <rPr>
            <sz val="9"/>
            <rFont val="宋体"/>
            <charset val="134"/>
          </rPr>
          <t xml:space="preserve">
2020.4.25收</t>
        </r>
      </text>
    </comment>
    <comment ref="P979" authorId="0">
      <text>
        <r>
          <rPr>
            <b/>
            <sz val="9"/>
            <rFont val="宋体"/>
            <charset val="134"/>
          </rPr>
          <t>Administrator:</t>
        </r>
        <r>
          <rPr>
            <sz val="9"/>
            <rFont val="宋体"/>
            <charset val="134"/>
          </rPr>
          <t xml:space="preserve">
轻钢17365岩棉664.56</t>
        </r>
      </text>
    </comment>
    <comment ref="Q981" authorId="0">
      <text>
        <r>
          <rPr>
            <b/>
            <sz val="9"/>
            <rFont val="宋体"/>
            <charset val="134"/>
          </rPr>
          <t>Administrator:</t>
        </r>
        <r>
          <rPr>
            <sz val="9"/>
            <rFont val="宋体"/>
            <charset val="134"/>
          </rPr>
          <t xml:space="preserve">
19.12.12  19.12.14打款</t>
        </r>
      </text>
    </comment>
    <comment ref="P982" authorId="0">
      <text>
        <r>
          <rPr>
            <b/>
            <sz val="9"/>
            <rFont val="宋体"/>
            <charset val="134"/>
          </rPr>
          <t>Administrator:</t>
        </r>
        <r>
          <rPr>
            <sz val="9"/>
            <rFont val="宋体"/>
            <charset val="134"/>
          </rPr>
          <t xml:space="preserve">
发票值25229美金 多装的836美金之前付款 J3667甩货</t>
        </r>
      </text>
    </comment>
    <comment ref="Q982" authorId="0">
      <text>
        <r>
          <rPr>
            <b/>
            <sz val="9"/>
            <rFont val="宋体"/>
            <charset val="134"/>
          </rPr>
          <t>Administrator:</t>
        </r>
        <r>
          <rPr>
            <sz val="9"/>
            <rFont val="宋体"/>
            <charset val="134"/>
          </rPr>
          <t xml:space="preserve">
2020.1.16</t>
        </r>
      </text>
    </comment>
    <comment ref="T982" authorId="0">
      <text>
        <r>
          <rPr>
            <b/>
            <sz val="9"/>
            <rFont val="宋体"/>
            <charset val="134"/>
          </rPr>
          <t>Administrator:水单</t>
        </r>
        <r>
          <rPr>
            <sz val="9"/>
            <rFont val="宋体"/>
            <charset val="134"/>
          </rPr>
          <t xml:space="preserve">
19583美金2020.6.9收</t>
        </r>
      </text>
    </comment>
    <comment ref="Q983" authorId="0">
      <text>
        <r>
          <rPr>
            <b/>
            <sz val="9"/>
            <rFont val="宋体"/>
            <charset val="134"/>
          </rPr>
          <t>Administrator:</t>
        </r>
        <r>
          <rPr>
            <sz val="9"/>
            <rFont val="宋体"/>
            <charset val="134"/>
          </rPr>
          <t xml:space="preserve">
2020.1.21 收RMB30750 汇率6.84</t>
        </r>
      </text>
    </comment>
    <comment ref="T983" authorId="0">
      <text>
        <r>
          <rPr>
            <b/>
            <sz val="9"/>
            <rFont val="宋体"/>
            <charset val="134"/>
          </rPr>
          <t>Administrator:</t>
        </r>
        <r>
          <rPr>
            <sz val="9"/>
            <rFont val="宋体"/>
            <charset val="134"/>
          </rPr>
          <t xml:space="preserve">
2020.6.11收</t>
        </r>
      </text>
    </comment>
    <comment ref="T984" authorId="0">
      <text>
        <r>
          <rPr>
            <b/>
            <sz val="9"/>
            <rFont val="宋体"/>
            <charset val="134"/>
          </rPr>
          <t>Administrator:</t>
        </r>
        <r>
          <rPr>
            <sz val="9"/>
            <rFont val="宋体"/>
            <charset val="134"/>
          </rPr>
          <t xml:space="preserve">
2020.6.15收</t>
        </r>
      </text>
    </comment>
    <comment ref="T985" authorId="0">
      <text>
        <r>
          <rPr>
            <b/>
            <sz val="9"/>
            <rFont val="宋体"/>
            <charset val="134"/>
          </rPr>
          <t>Administrator:</t>
        </r>
        <r>
          <rPr>
            <sz val="9"/>
            <rFont val="宋体"/>
            <charset val="134"/>
          </rPr>
          <t xml:space="preserve">
2020.6.5收</t>
        </r>
      </text>
    </comment>
    <comment ref="Q986" authorId="0">
      <text>
        <r>
          <rPr>
            <b/>
            <sz val="9"/>
            <rFont val="宋体"/>
            <charset val="134"/>
          </rPr>
          <t>Administrator:</t>
        </r>
        <r>
          <rPr>
            <sz val="9"/>
            <rFont val="宋体"/>
            <charset val="134"/>
          </rPr>
          <t xml:space="preserve">
2020.2.18收到五万人民币  其中一万折合$1410.84做定金  剩下四万做J3834定金</t>
        </r>
      </text>
    </comment>
    <comment ref="T986" authorId="0">
      <text>
        <r>
          <rPr>
            <b/>
            <sz val="9"/>
            <rFont val="宋体"/>
            <charset val="134"/>
          </rPr>
          <t>Administrator:</t>
        </r>
        <r>
          <rPr>
            <sz val="9"/>
            <rFont val="宋体"/>
            <charset val="134"/>
          </rPr>
          <t xml:space="preserve">
2020.5.22收</t>
        </r>
      </text>
    </comment>
    <comment ref="Q987" authorId="0">
      <text>
        <r>
          <rPr>
            <b/>
            <sz val="9"/>
            <rFont val="宋体"/>
            <charset val="134"/>
          </rPr>
          <t>Administrator:</t>
        </r>
        <r>
          <rPr>
            <sz val="9"/>
            <rFont val="宋体"/>
            <charset val="134"/>
          </rPr>
          <t xml:space="preserve">
2020.3.9收6295.74美金</t>
        </r>
      </text>
    </comment>
    <comment ref="T987" authorId="0">
      <text>
        <r>
          <rPr>
            <b/>
            <sz val="9"/>
            <rFont val="宋体"/>
            <charset val="134"/>
          </rPr>
          <t>Administrator:</t>
        </r>
        <r>
          <rPr>
            <sz val="9"/>
            <rFont val="宋体"/>
            <charset val="134"/>
          </rPr>
          <t xml:space="preserve">
2020.7.8收</t>
        </r>
      </text>
    </comment>
    <comment ref="Q988" authorId="0">
      <text>
        <r>
          <rPr>
            <b/>
            <sz val="9"/>
            <rFont val="宋体"/>
            <charset val="134"/>
          </rPr>
          <t>Administrator:</t>
        </r>
        <r>
          <rPr>
            <sz val="9"/>
            <rFont val="宋体"/>
            <charset val="134"/>
          </rPr>
          <t xml:space="preserve">
2020.3.5收3973美金</t>
        </r>
      </text>
    </comment>
    <comment ref="T988" authorId="0">
      <text>
        <r>
          <rPr>
            <b/>
            <sz val="9"/>
            <rFont val="宋体"/>
            <charset val="134"/>
          </rPr>
          <t>Administrator:</t>
        </r>
        <r>
          <rPr>
            <sz val="9"/>
            <rFont val="宋体"/>
            <charset val="134"/>
          </rPr>
          <t xml:space="preserve">
2020.7.22</t>
        </r>
      </text>
    </comment>
    <comment ref="Q989" authorId="0">
      <text>
        <r>
          <rPr>
            <b/>
            <sz val="9"/>
            <rFont val="宋体"/>
            <charset val="134"/>
          </rPr>
          <t>Administrator:</t>
        </r>
        <r>
          <rPr>
            <sz val="9"/>
            <rFont val="宋体"/>
            <charset val="134"/>
          </rPr>
          <t xml:space="preserve">
2020.3.5收22700RMB 汇率6.92</t>
        </r>
      </text>
    </comment>
    <comment ref="T989" authorId="0">
      <text>
        <r>
          <rPr>
            <b/>
            <sz val="9"/>
            <rFont val="宋体"/>
            <charset val="134"/>
          </rPr>
          <t>Administrator:</t>
        </r>
        <r>
          <rPr>
            <sz val="9"/>
            <rFont val="宋体"/>
            <charset val="134"/>
          </rPr>
          <t xml:space="preserve">
2020.9.27收13026.4
实际尾款13052.65客户按13066.4付款的</t>
        </r>
      </text>
    </comment>
    <comment ref="Q990" authorId="0">
      <text>
        <r>
          <rPr>
            <b/>
            <sz val="9"/>
            <rFont val="宋体"/>
            <charset val="134"/>
          </rPr>
          <t>Administrator:</t>
        </r>
        <r>
          <rPr>
            <sz val="9"/>
            <rFont val="宋体"/>
            <charset val="134"/>
          </rPr>
          <t xml:space="preserve">
2020.3.9收</t>
        </r>
      </text>
    </comment>
    <comment ref="T990" authorId="0">
      <text>
        <r>
          <rPr>
            <b/>
            <sz val="9"/>
            <rFont val="宋体"/>
            <charset val="134"/>
          </rPr>
          <t>Administrator:</t>
        </r>
        <r>
          <rPr>
            <sz val="9"/>
            <rFont val="宋体"/>
            <charset val="134"/>
          </rPr>
          <t xml:space="preserve">
2020.9.1收11048.53</t>
        </r>
      </text>
    </comment>
    <comment ref="Q991"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91" authorId="0">
      <text>
        <r>
          <rPr>
            <b/>
            <sz val="9"/>
            <rFont val="宋体"/>
            <charset val="134"/>
          </rPr>
          <t>Administrator:</t>
        </r>
        <r>
          <rPr>
            <sz val="9"/>
            <rFont val="宋体"/>
            <charset val="134"/>
          </rPr>
          <t xml:space="preserve">
2020.7.7收</t>
        </r>
      </text>
    </comment>
    <comment ref="T992" authorId="0">
      <text>
        <r>
          <rPr>
            <b/>
            <sz val="9"/>
            <rFont val="宋体"/>
            <charset val="134"/>
          </rPr>
          <t>Administrator:</t>
        </r>
        <r>
          <rPr>
            <sz val="9"/>
            <rFont val="宋体"/>
            <charset val="134"/>
          </rPr>
          <t xml:space="preserve">
2020.5.7收</t>
        </r>
      </text>
    </comment>
    <comment ref="T993" authorId="0">
      <text>
        <r>
          <rPr>
            <b/>
            <sz val="9"/>
            <rFont val="宋体"/>
            <charset val="134"/>
          </rPr>
          <t>Administrator:</t>
        </r>
        <r>
          <rPr>
            <sz val="9"/>
            <rFont val="宋体"/>
            <charset val="134"/>
          </rPr>
          <t xml:space="preserve">
2020.5.29收65851.08美金
J3778部分尾款 $53930 + J3813订金 $11934</t>
        </r>
      </text>
    </comment>
    <comment ref="T994" authorId="0">
      <text>
        <r>
          <rPr>
            <b/>
            <sz val="9"/>
            <rFont val="宋体"/>
            <charset val="134"/>
          </rPr>
          <t>Administrator:</t>
        </r>
        <r>
          <rPr>
            <sz val="9"/>
            <rFont val="宋体"/>
            <charset val="134"/>
          </rPr>
          <t xml:space="preserve">
2020.5.29收 
-2-3尾款91544美金 一起安排的</t>
        </r>
      </text>
    </comment>
    <comment ref="Q995"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95" authorId="0">
      <text>
        <r>
          <rPr>
            <b/>
            <sz val="9"/>
            <rFont val="宋体"/>
            <charset val="134"/>
          </rPr>
          <t>Administrator:</t>
        </r>
        <r>
          <rPr>
            <sz val="9"/>
            <rFont val="宋体"/>
            <charset val="134"/>
          </rPr>
          <t xml:space="preserve">
2020.7.14收 打的人民币</t>
        </r>
      </text>
    </comment>
    <comment ref="U995" authorId="0">
      <text>
        <r>
          <rPr>
            <b/>
            <sz val="9"/>
            <rFont val="宋体"/>
            <charset val="134"/>
          </rPr>
          <t>Administrator:</t>
        </r>
        <r>
          <rPr>
            <sz val="9"/>
            <rFont val="宋体"/>
            <charset val="134"/>
          </rPr>
          <t xml:space="preserve">
2020.7.15收</t>
        </r>
      </text>
    </comment>
    <comment ref="Q996" authorId="0">
      <text>
        <r>
          <rPr>
            <b/>
            <sz val="9"/>
            <rFont val="宋体"/>
            <charset val="134"/>
          </rPr>
          <t>Administrator:</t>
        </r>
        <r>
          <rPr>
            <sz val="9"/>
            <rFont val="宋体"/>
            <charset val="134"/>
          </rPr>
          <t xml:space="preserve">
2020.4.2收到83184港币 按汇率7.761 折合美金10718</t>
        </r>
      </text>
    </comment>
    <comment ref="T996" authorId="0">
      <text>
        <r>
          <rPr>
            <b/>
            <sz val="9"/>
            <rFont val="宋体"/>
            <charset val="134"/>
          </rPr>
          <t>Administrator:</t>
        </r>
        <r>
          <rPr>
            <sz val="9"/>
            <rFont val="宋体"/>
            <charset val="134"/>
          </rPr>
          <t xml:space="preserve">
港币入账 手续费多 2020.7.8到账</t>
        </r>
      </text>
    </comment>
    <comment ref="Q997" authorId="0">
      <text>
        <r>
          <rPr>
            <b/>
            <sz val="9"/>
            <rFont val="宋体"/>
            <charset val="134"/>
          </rPr>
          <t>Administrator:</t>
        </r>
        <r>
          <rPr>
            <sz val="9"/>
            <rFont val="宋体"/>
            <charset val="134"/>
          </rPr>
          <t xml:space="preserve">
2020.4.16 收 农行</t>
        </r>
      </text>
    </comment>
    <comment ref="T997" authorId="0">
      <text>
        <r>
          <rPr>
            <b/>
            <sz val="9"/>
            <rFont val="宋体"/>
            <charset val="134"/>
          </rPr>
          <t>Administrator:</t>
        </r>
        <r>
          <rPr>
            <sz val="9"/>
            <rFont val="宋体"/>
            <charset val="134"/>
          </rPr>
          <t xml:space="preserve">
2020.11.3收</t>
        </r>
      </text>
    </comment>
    <comment ref="Q998" authorId="0">
      <text>
        <r>
          <rPr>
            <b/>
            <sz val="9"/>
            <rFont val="宋体"/>
            <charset val="134"/>
          </rPr>
          <t>Administrator:</t>
        </r>
        <r>
          <rPr>
            <sz val="9"/>
            <rFont val="宋体"/>
            <charset val="134"/>
          </rPr>
          <t xml:space="preserve">
四万定金汇率7.06</t>
        </r>
      </text>
    </comment>
    <comment ref="T998" authorId="0">
      <text>
        <r>
          <rPr>
            <b/>
            <sz val="9"/>
            <rFont val="宋体"/>
            <charset val="134"/>
          </rPr>
          <t>Administrator:</t>
        </r>
        <r>
          <rPr>
            <sz val="9"/>
            <rFont val="宋体"/>
            <charset val="134"/>
          </rPr>
          <t xml:space="preserve">
2020.6.8收 107480RMB 汇率7.07
</t>
        </r>
      </text>
    </comment>
    <comment ref="Q999" authorId="0">
      <text>
        <r>
          <rPr>
            <b/>
            <sz val="9"/>
            <rFont val="宋体"/>
            <charset val="134"/>
          </rPr>
          <t>Administrator:</t>
        </r>
        <r>
          <rPr>
            <sz val="9"/>
            <rFont val="宋体"/>
            <charset val="134"/>
          </rPr>
          <t xml:space="preserve">
2020.5.9收8337.9</t>
        </r>
      </text>
    </comment>
    <comment ref="T999" authorId="0">
      <text>
        <r>
          <rPr>
            <b/>
            <sz val="9"/>
            <rFont val="宋体"/>
            <charset val="134"/>
          </rPr>
          <t>Administrator:</t>
        </r>
        <r>
          <rPr>
            <sz val="9"/>
            <rFont val="宋体"/>
            <charset val="134"/>
          </rPr>
          <t xml:space="preserve">
2020.8.5收20015.66美金</t>
        </r>
      </text>
    </comment>
    <comment ref="Q1000" authorId="0">
      <text>
        <r>
          <rPr>
            <b/>
            <sz val="9"/>
            <rFont val="宋体"/>
            <charset val="134"/>
          </rPr>
          <t>Administrator:</t>
        </r>
        <r>
          <rPr>
            <sz val="9"/>
            <rFont val="宋体"/>
            <charset val="134"/>
          </rPr>
          <t xml:space="preserve">
2020.5.29收</t>
        </r>
      </text>
    </comment>
    <comment ref="T1000" authorId="0">
      <text>
        <r>
          <rPr>
            <b/>
            <sz val="9"/>
            <rFont val="宋体"/>
            <charset val="134"/>
          </rPr>
          <t>Administrator:</t>
        </r>
        <r>
          <rPr>
            <sz val="9"/>
            <rFont val="宋体"/>
            <charset val="134"/>
          </rPr>
          <t xml:space="preserve">
2020.7.21收</t>
        </r>
      </text>
    </comment>
    <comment ref="Q1001"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1001" authorId="0">
      <text>
        <r>
          <rPr>
            <b/>
            <sz val="9"/>
            <rFont val="宋体"/>
            <charset val="134"/>
          </rPr>
          <t>Administrator:</t>
        </r>
        <r>
          <rPr>
            <sz val="9"/>
            <rFont val="宋体"/>
            <charset val="134"/>
          </rPr>
          <t xml:space="preserve">
2020.7.16</t>
        </r>
      </text>
    </comment>
    <comment ref="Q1002" authorId="0">
      <text>
        <r>
          <rPr>
            <b/>
            <sz val="9"/>
            <rFont val="宋体"/>
            <charset val="134"/>
          </rPr>
          <t>Administrator:</t>
        </r>
        <r>
          <rPr>
            <sz val="9"/>
            <rFont val="宋体"/>
            <charset val="134"/>
          </rPr>
          <t xml:space="preserve">
2020.6.18收</t>
        </r>
      </text>
    </comment>
    <comment ref="T1002" authorId="0">
      <text>
        <r>
          <rPr>
            <b/>
            <sz val="9"/>
            <rFont val="宋体"/>
            <charset val="134"/>
          </rPr>
          <t>Administrator:</t>
        </r>
        <r>
          <rPr>
            <sz val="9"/>
            <rFont val="宋体"/>
            <charset val="134"/>
          </rPr>
          <t xml:space="preserve">
2020.7.31收</t>
        </r>
      </text>
    </comment>
    <comment ref="T1003" authorId="0">
      <text>
        <r>
          <rPr>
            <b/>
            <sz val="9"/>
            <rFont val="宋体"/>
            <charset val="134"/>
          </rPr>
          <t>Administrator:</t>
        </r>
        <r>
          <rPr>
            <sz val="9"/>
            <rFont val="宋体"/>
            <charset val="134"/>
          </rPr>
          <t xml:space="preserve">
2020.7.23</t>
        </r>
      </text>
    </comment>
    <comment ref="T1004" authorId="0">
      <text>
        <r>
          <rPr>
            <b/>
            <sz val="9"/>
            <rFont val="宋体"/>
            <charset val="134"/>
          </rPr>
          <t>Administrator:</t>
        </r>
        <r>
          <rPr>
            <sz val="9"/>
            <rFont val="宋体"/>
            <charset val="134"/>
          </rPr>
          <t xml:space="preserve">
2020.8.4收19703美金</t>
        </r>
      </text>
    </comment>
    <comment ref="Q1005" authorId="0">
      <text>
        <r>
          <rPr>
            <b/>
            <sz val="9"/>
            <rFont val="宋体"/>
            <charset val="134"/>
          </rPr>
          <t>Administrator:</t>
        </r>
        <r>
          <rPr>
            <sz val="9"/>
            <rFont val="宋体"/>
            <charset val="134"/>
          </rPr>
          <t xml:space="preserve">
2020.7.9收13308</t>
        </r>
      </text>
    </comment>
    <comment ref="T1005" authorId="0">
      <text>
        <r>
          <rPr>
            <b/>
            <sz val="9"/>
            <rFont val="宋体"/>
            <charset val="134"/>
          </rPr>
          <t>Administrator:</t>
        </r>
        <r>
          <rPr>
            <sz val="9"/>
            <rFont val="宋体"/>
            <charset val="134"/>
          </rPr>
          <t xml:space="preserve">
2020.8.20收29743美金</t>
        </r>
      </text>
    </comment>
    <comment ref="Q1006" authorId="0">
      <text>
        <r>
          <rPr>
            <b/>
            <sz val="9"/>
            <rFont val="宋体"/>
            <charset val="134"/>
          </rPr>
          <t>Administrator:</t>
        </r>
        <r>
          <rPr>
            <sz val="9"/>
            <rFont val="宋体"/>
            <charset val="134"/>
          </rPr>
          <t xml:space="preserve">
2020.7.9收9179</t>
        </r>
      </text>
    </comment>
    <comment ref="T1006" authorId="0">
      <text>
        <r>
          <rPr>
            <b/>
            <sz val="9"/>
            <rFont val="宋体"/>
            <charset val="134"/>
          </rPr>
          <t>Administrator:</t>
        </r>
        <r>
          <rPr>
            <sz val="9"/>
            <rFont val="宋体"/>
            <charset val="134"/>
          </rPr>
          <t xml:space="preserve">
2020.8.19收18742.25</t>
        </r>
      </text>
    </comment>
    <comment ref="Q1007" authorId="0">
      <text>
        <r>
          <rPr>
            <b/>
            <sz val="9"/>
            <rFont val="宋体"/>
            <charset val="134"/>
          </rPr>
          <t>Administrator:</t>
        </r>
        <r>
          <rPr>
            <sz val="9"/>
            <rFont val="宋体"/>
            <charset val="134"/>
          </rPr>
          <t xml:space="preserve">
2020.7.15收 47000RMB 汇率6.98</t>
        </r>
      </text>
    </comment>
    <comment ref="T1007" authorId="0">
      <text>
        <r>
          <rPr>
            <b/>
            <sz val="9"/>
            <rFont val="宋体"/>
            <charset val="134"/>
          </rPr>
          <t>Administrator:</t>
        </r>
        <r>
          <rPr>
            <sz val="9"/>
            <rFont val="宋体"/>
            <charset val="134"/>
          </rPr>
          <t xml:space="preserve">
2020.8.14收</t>
        </r>
      </text>
    </comment>
    <comment ref="Q1008" authorId="0">
      <text>
        <r>
          <rPr>
            <b/>
            <sz val="9"/>
            <rFont val="宋体"/>
            <charset val="134"/>
          </rPr>
          <t>Administrator:</t>
        </r>
        <r>
          <rPr>
            <sz val="9"/>
            <rFont val="宋体"/>
            <charset val="134"/>
          </rPr>
          <t xml:space="preserve">
2020.7.19收 汇率6.98
打49200人民币 1200是打包带钱</t>
        </r>
      </text>
    </comment>
    <comment ref="T1008" authorId="0">
      <text>
        <r>
          <rPr>
            <b/>
            <sz val="9"/>
            <rFont val="宋体"/>
            <charset val="134"/>
          </rPr>
          <t>Administrator:</t>
        </r>
        <r>
          <rPr>
            <sz val="9"/>
            <rFont val="宋体"/>
            <charset val="134"/>
          </rPr>
          <t xml:space="preserve">
2020.9.8收RMB109100.65
汇率6.82</t>
        </r>
      </text>
    </comment>
    <comment ref="Q1009" authorId="0">
      <text>
        <r>
          <rPr>
            <b/>
            <sz val="9"/>
            <rFont val="宋体"/>
            <charset val="134"/>
          </rPr>
          <t>Administrator:</t>
        </r>
        <r>
          <rPr>
            <sz val="9"/>
            <rFont val="宋体"/>
            <charset val="134"/>
          </rPr>
          <t xml:space="preserve">
4万是J3746的订单打的，扣掉900模具费
15000RMB 2020.7.3收到</t>
        </r>
      </text>
    </comment>
    <comment ref="T1009" authorId="0">
      <text>
        <r>
          <rPr>
            <b/>
            <sz val="9"/>
            <rFont val="宋体"/>
            <charset val="134"/>
          </rPr>
          <t>Administrator:</t>
        </r>
        <r>
          <rPr>
            <sz val="9"/>
            <rFont val="宋体"/>
            <charset val="134"/>
          </rPr>
          <t xml:space="preserve">
2020.8.21收19747</t>
        </r>
      </text>
    </comment>
    <comment ref="Q1010" authorId="0">
      <text>
        <r>
          <rPr>
            <b/>
            <sz val="9"/>
            <rFont val="宋体"/>
            <charset val="134"/>
          </rPr>
          <t>Administrator:</t>
        </r>
        <r>
          <rPr>
            <sz val="9"/>
            <rFont val="宋体"/>
            <charset val="134"/>
          </rPr>
          <t xml:space="preserve">
2020.7.31收</t>
        </r>
      </text>
    </comment>
    <comment ref="T1010" authorId="0">
      <text>
        <r>
          <rPr>
            <b/>
            <sz val="9"/>
            <rFont val="宋体"/>
            <charset val="134"/>
          </rPr>
          <t>Administrator:</t>
        </r>
        <r>
          <rPr>
            <sz val="9"/>
            <rFont val="宋体"/>
            <charset val="134"/>
          </rPr>
          <t xml:space="preserve">
2020.9.2收</t>
        </r>
      </text>
    </comment>
    <comment ref="T1011" authorId="0">
      <text>
        <r>
          <rPr>
            <b/>
            <sz val="9"/>
            <rFont val="宋体"/>
            <charset val="134"/>
          </rPr>
          <t>Administrator:</t>
        </r>
        <r>
          <rPr>
            <sz val="9"/>
            <rFont val="宋体"/>
            <charset val="134"/>
          </rPr>
          <t xml:space="preserve">
2020.9.24收</t>
        </r>
      </text>
    </comment>
    <comment ref="Q1012" authorId="0">
      <text>
        <r>
          <rPr>
            <b/>
            <sz val="9"/>
            <rFont val="宋体"/>
            <charset val="134"/>
          </rPr>
          <t>Administrator:</t>
        </r>
        <r>
          <rPr>
            <sz val="9"/>
            <rFont val="宋体"/>
            <charset val="134"/>
          </rPr>
          <t xml:space="preserve">
39100+15000 J3849定金移过来的
730元 （此单返还的模具费）
2020.8.13 收三万人民币</t>
        </r>
      </text>
    </comment>
    <comment ref="T1012" authorId="0">
      <text>
        <r>
          <rPr>
            <b/>
            <sz val="9"/>
            <rFont val="宋体"/>
            <charset val="134"/>
          </rPr>
          <t>Administrator:</t>
        </r>
        <r>
          <rPr>
            <sz val="9"/>
            <rFont val="宋体"/>
            <charset val="134"/>
          </rPr>
          <t xml:space="preserve">
2020.10.13收39633.90美金</t>
        </r>
      </text>
    </comment>
    <comment ref="Q1013" authorId="0">
      <text>
        <r>
          <rPr>
            <b/>
            <sz val="9"/>
            <rFont val="宋体"/>
            <charset val="134"/>
          </rPr>
          <t>Administrator:</t>
        </r>
        <r>
          <rPr>
            <sz val="9"/>
            <rFont val="宋体"/>
            <charset val="134"/>
          </rPr>
          <t xml:space="preserve">
2020.8.17收8209.92美金
2020.8.18收4596.9美金</t>
        </r>
      </text>
    </comment>
    <comment ref="T1013" authorId="0">
      <text>
        <r>
          <rPr>
            <b/>
            <sz val="9"/>
            <rFont val="宋体"/>
            <charset val="134"/>
          </rPr>
          <t>Administrator:</t>
        </r>
        <r>
          <rPr>
            <sz val="9"/>
            <rFont val="宋体"/>
            <charset val="134"/>
          </rPr>
          <t xml:space="preserve">
2020.10.9收</t>
        </r>
      </text>
    </comment>
    <comment ref="U1013" authorId="0">
      <text>
        <r>
          <rPr>
            <b/>
            <sz val="9"/>
            <rFont val="宋体"/>
            <charset val="134"/>
          </rPr>
          <t>Administrator:</t>
        </r>
        <r>
          <rPr>
            <sz val="9"/>
            <rFont val="宋体"/>
            <charset val="134"/>
          </rPr>
          <t xml:space="preserve">
2020.10.10收</t>
        </r>
      </text>
    </comment>
    <comment ref="Q1014" authorId="0">
      <text>
        <r>
          <rPr>
            <b/>
            <sz val="9"/>
            <rFont val="宋体"/>
            <charset val="134"/>
          </rPr>
          <t>Administrator:</t>
        </r>
        <r>
          <rPr>
            <sz val="9"/>
            <rFont val="宋体"/>
            <charset val="134"/>
          </rPr>
          <t xml:space="preserve">
2020.8.25收</t>
        </r>
      </text>
    </comment>
    <comment ref="T1014" authorId="0">
      <text>
        <r>
          <rPr>
            <b/>
            <sz val="9"/>
            <rFont val="宋体"/>
            <charset val="134"/>
          </rPr>
          <t>Administrator:</t>
        </r>
        <r>
          <rPr>
            <sz val="9"/>
            <rFont val="宋体"/>
            <charset val="134"/>
          </rPr>
          <t xml:space="preserve">
2020.10.1收到13904</t>
        </r>
      </text>
    </comment>
    <comment ref="P1015" authorId="0">
      <text>
        <r>
          <rPr>
            <b/>
            <sz val="9"/>
            <rFont val="宋体"/>
            <charset val="134"/>
          </rPr>
          <t>Administrator:</t>
        </r>
        <r>
          <rPr>
            <sz val="9"/>
            <rFont val="宋体"/>
            <charset val="134"/>
          </rPr>
          <t xml:space="preserve">
4200运费
1000装卸费
补贴650</t>
        </r>
      </text>
    </comment>
    <comment ref="Q1015" authorId="0">
      <text>
        <r>
          <rPr>
            <b/>
            <sz val="9"/>
            <rFont val="宋体"/>
            <charset val="134"/>
          </rPr>
          <t>Administrator:</t>
        </r>
        <r>
          <rPr>
            <sz val="9"/>
            <rFont val="宋体"/>
            <charset val="134"/>
          </rPr>
          <t xml:space="preserve">
定金打给经理了</t>
        </r>
      </text>
    </comment>
    <comment ref="Q1016" authorId="0">
      <text>
        <r>
          <rPr>
            <b/>
            <sz val="9"/>
            <rFont val="宋体"/>
            <charset val="134"/>
          </rPr>
          <t>Administrator:</t>
        </r>
        <r>
          <rPr>
            <sz val="9"/>
            <rFont val="宋体"/>
            <charset val="134"/>
          </rPr>
          <t xml:space="preserve">
2020.9.16收</t>
        </r>
      </text>
    </comment>
    <comment ref="T1016" authorId="0">
      <text>
        <r>
          <rPr>
            <b/>
            <sz val="9"/>
            <rFont val="宋体"/>
            <charset val="134"/>
          </rPr>
          <t>Administrator:</t>
        </r>
        <r>
          <rPr>
            <sz val="9"/>
            <rFont val="宋体"/>
            <charset val="134"/>
          </rPr>
          <t xml:space="preserve">
2020.11.18收30889</t>
        </r>
      </text>
    </comment>
    <comment ref="T1017" authorId="0">
      <text>
        <r>
          <rPr>
            <b/>
            <sz val="9"/>
            <rFont val="宋体"/>
            <charset val="134"/>
          </rPr>
          <t>Administrator:</t>
        </r>
        <r>
          <rPr>
            <sz val="9"/>
            <rFont val="宋体"/>
            <charset val="134"/>
          </rPr>
          <t xml:space="preserve">
2020.9.19收</t>
        </r>
      </text>
    </comment>
    <comment ref="P1018" authorId="0">
      <text>
        <r>
          <rPr>
            <b/>
            <sz val="9"/>
            <rFont val="宋体"/>
            <charset val="134"/>
          </rPr>
          <t>Administrator:</t>
        </r>
        <r>
          <rPr>
            <sz val="9"/>
            <rFont val="宋体"/>
            <charset val="134"/>
          </rPr>
          <t xml:space="preserve">
J3840已付未装货款的50%  2722.75美金</t>
        </r>
      </text>
    </comment>
    <comment ref="Q1018" authorId="0">
      <text>
        <r>
          <rPr>
            <b/>
            <sz val="9"/>
            <rFont val="宋体"/>
            <charset val="134"/>
          </rPr>
          <t>Administrator:</t>
        </r>
        <r>
          <rPr>
            <sz val="9"/>
            <rFont val="宋体"/>
            <charset val="134"/>
          </rPr>
          <t xml:space="preserve">
2020.9.24收7490</t>
        </r>
      </text>
    </comment>
    <comment ref="T1018" authorId="0">
      <text>
        <r>
          <rPr>
            <b/>
            <sz val="9"/>
            <rFont val="宋体"/>
            <charset val="134"/>
          </rPr>
          <t>Administrator:</t>
        </r>
        <r>
          <rPr>
            <sz val="9"/>
            <rFont val="宋体"/>
            <charset val="134"/>
          </rPr>
          <t xml:space="preserve">
2020.11.2收17523.7</t>
        </r>
      </text>
    </comment>
    <comment ref="P1019" authorId="0">
      <text>
        <r>
          <rPr>
            <b/>
            <sz val="9"/>
            <rFont val="宋体"/>
            <charset val="134"/>
          </rPr>
          <t>Administrator:</t>
        </r>
        <r>
          <rPr>
            <sz val="9"/>
            <rFont val="宋体"/>
            <charset val="134"/>
          </rPr>
          <t xml:space="preserve">
10箱3.5*35的钉子的费用 3066RMB</t>
        </r>
      </text>
    </comment>
    <comment ref="Q1019" authorId="0">
      <text>
        <r>
          <rPr>
            <b/>
            <sz val="9"/>
            <rFont val="宋体"/>
            <charset val="134"/>
          </rPr>
          <t>Administrator:</t>
        </r>
        <r>
          <rPr>
            <sz val="9"/>
            <rFont val="宋体"/>
            <charset val="134"/>
          </rPr>
          <t xml:space="preserve">
2020.9.25收15000
2020.11.2收3066</t>
        </r>
      </text>
    </comment>
    <comment ref="Q1020" authorId="0">
      <text>
        <r>
          <rPr>
            <b/>
            <sz val="9"/>
            <rFont val="宋体"/>
            <charset val="134"/>
          </rPr>
          <t>Administrator:</t>
        </r>
        <r>
          <rPr>
            <sz val="9"/>
            <rFont val="宋体"/>
            <charset val="134"/>
          </rPr>
          <t xml:space="preserve">
2020.10.9收7465</t>
        </r>
      </text>
    </comment>
    <comment ref="T1020" authorId="0">
      <text>
        <r>
          <rPr>
            <b/>
            <sz val="9"/>
            <rFont val="宋体"/>
            <charset val="134"/>
          </rPr>
          <t>Administrator:</t>
        </r>
        <r>
          <rPr>
            <sz val="9"/>
            <rFont val="宋体"/>
            <charset val="134"/>
          </rPr>
          <t xml:space="preserve">
2021.1.21收15198.5</t>
        </r>
      </text>
    </comment>
    <comment ref="Q1021" authorId="0">
      <text>
        <r>
          <rPr>
            <b/>
            <sz val="9"/>
            <rFont val="宋体"/>
            <charset val="134"/>
          </rPr>
          <t>Administrator:</t>
        </r>
        <r>
          <rPr>
            <sz val="9"/>
            <rFont val="宋体"/>
            <charset val="134"/>
          </rPr>
          <t xml:space="preserve">
2020.10.10收</t>
        </r>
      </text>
    </comment>
    <comment ref="T1021" authorId="0">
      <text>
        <r>
          <rPr>
            <b/>
            <sz val="9"/>
            <rFont val="宋体"/>
            <charset val="134"/>
          </rPr>
          <t>Administrator:</t>
        </r>
        <r>
          <rPr>
            <sz val="9"/>
            <rFont val="宋体"/>
            <charset val="134"/>
          </rPr>
          <t xml:space="preserve">
2020.12.11收41646.65</t>
        </r>
      </text>
    </comment>
    <comment ref="Q1022" authorId="0">
      <text>
        <r>
          <rPr>
            <b/>
            <sz val="9"/>
            <rFont val="宋体"/>
            <charset val="134"/>
          </rPr>
          <t>Administrator:</t>
        </r>
        <r>
          <rPr>
            <sz val="9"/>
            <rFont val="宋体"/>
            <charset val="134"/>
          </rPr>
          <t xml:space="preserve">
2020.10.16收</t>
        </r>
      </text>
    </comment>
    <comment ref="T1022" authorId="0">
      <text>
        <r>
          <rPr>
            <b/>
            <sz val="9"/>
            <rFont val="宋体"/>
            <charset val="134"/>
          </rPr>
          <t>Administrator:</t>
        </r>
        <r>
          <rPr>
            <sz val="9"/>
            <rFont val="宋体"/>
            <charset val="134"/>
          </rPr>
          <t xml:space="preserve">
2020.12.29收16579.05</t>
        </r>
      </text>
    </comment>
    <comment ref="Q1023" authorId="0">
      <text>
        <r>
          <rPr>
            <b/>
            <sz val="9"/>
            <rFont val="宋体"/>
            <charset val="134"/>
          </rPr>
          <t>Administrator:</t>
        </r>
        <r>
          <rPr>
            <sz val="9"/>
            <rFont val="宋体"/>
            <charset val="134"/>
          </rPr>
          <t xml:space="preserve">
2020.10.15收</t>
        </r>
      </text>
    </comment>
    <comment ref="T1023" authorId="0">
      <text>
        <r>
          <rPr>
            <b/>
            <sz val="9"/>
            <rFont val="宋体"/>
            <charset val="134"/>
          </rPr>
          <t>Administrator:</t>
        </r>
        <r>
          <rPr>
            <sz val="9"/>
            <rFont val="宋体"/>
            <charset val="134"/>
          </rPr>
          <t xml:space="preserve">
2021.2.20收</t>
        </r>
      </text>
    </comment>
    <comment ref="T1024" authorId="0">
      <text>
        <r>
          <rPr>
            <b/>
            <sz val="9"/>
            <rFont val="宋体"/>
            <charset val="134"/>
          </rPr>
          <t>Administrator:</t>
        </r>
        <r>
          <rPr>
            <sz val="9"/>
            <rFont val="宋体"/>
            <charset val="134"/>
          </rPr>
          <t xml:space="preserve">
2020.12.15收21379.26</t>
        </r>
      </text>
    </comment>
    <comment ref="Q1025" authorId="0">
      <text>
        <r>
          <rPr>
            <b/>
            <sz val="9"/>
            <rFont val="宋体"/>
            <charset val="134"/>
          </rPr>
          <t>Administrator:</t>
        </r>
        <r>
          <rPr>
            <sz val="9"/>
            <rFont val="宋体"/>
            <charset val="134"/>
          </rPr>
          <t xml:space="preserve">
2020.10.20收四万人民币定金
减掉港杂装卸费RMB1694
返还模具费170</t>
        </r>
      </text>
    </comment>
    <comment ref="T1025" authorId="0">
      <text>
        <r>
          <rPr>
            <b/>
            <sz val="9"/>
            <rFont val="宋体"/>
            <charset val="134"/>
          </rPr>
          <t>Administrator:</t>
        </r>
        <r>
          <rPr>
            <sz val="9"/>
            <rFont val="宋体"/>
            <charset val="134"/>
          </rPr>
          <t xml:space="preserve">
2021.1.5收14864.72</t>
        </r>
      </text>
    </comment>
    <comment ref="Q1026" authorId="0">
      <text>
        <r>
          <rPr>
            <b/>
            <sz val="9"/>
            <rFont val="宋体"/>
            <charset val="134"/>
          </rPr>
          <t>Administrator:</t>
        </r>
        <r>
          <rPr>
            <sz val="9"/>
            <rFont val="宋体"/>
            <charset val="134"/>
          </rPr>
          <t xml:space="preserve">
2020.11.4收</t>
        </r>
      </text>
    </comment>
    <comment ref="Q1027" authorId="0">
      <text>
        <r>
          <rPr>
            <b/>
            <sz val="9"/>
            <rFont val="宋体"/>
            <charset val="134"/>
          </rPr>
          <t>Administrator:</t>
        </r>
        <r>
          <rPr>
            <sz val="9"/>
            <rFont val="宋体"/>
            <charset val="134"/>
          </rPr>
          <t xml:space="preserve">
2020.11.9收13303</t>
        </r>
      </text>
    </comment>
    <comment ref="T1027" authorId="0">
      <text>
        <r>
          <rPr>
            <b/>
            <sz val="9"/>
            <rFont val="宋体"/>
            <charset val="134"/>
          </rPr>
          <t>Administrator:</t>
        </r>
        <r>
          <rPr>
            <sz val="9"/>
            <rFont val="宋体"/>
            <charset val="134"/>
          </rPr>
          <t xml:space="preserve">
2021.1.13收37848</t>
        </r>
      </text>
    </comment>
    <comment ref="P1028" authorId="0">
      <text>
        <r>
          <rPr>
            <b/>
            <sz val="9"/>
            <rFont val="宋体"/>
            <charset val="134"/>
          </rPr>
          <t>Administrator:</t>
        </r>
        <r>
          <rPr>
            <sz val="9"/>
            <rFont val="宋体"/>
            <charset val="134"/>
          </rPr>
          <t xml:space="preserve">
纸箱费RMB6500 汇率6.44折合1009美金</t>
        </r>
      </text>
    </comment>
    <comment ref="Q1028" authorId="0">
      <text>
        <r>
          <rPr>
            <b/>
            <sz val="9"/>
            <rFont val="宋体"/>
            <charset val="134"/>
          </rPr>
          <t>Administrator:</t>
        </r>
        <r>
          <rPr>
            <sz val="9"/>
            <rFont val="宋体"/>
            <charset val="134"/>
          </rPr>
          <t xml:space="preserve">
2020.11.13收9075.34</t>
        </r>
      </text>
    </comment>
    <comment ref="T1028" authorId="0">
      <text>
        <r>
          <rPr>
            <b/>
            <sz val="9"/>
            <rFont val="宋体"/>
            <charset val="134"/>
          </rPr>
          <t>Administrator:</t>
        </r>
        <r>
          <rPr>
            <sz val="9"/>
            <rFont val="宋体"/>
            <charset val="134"/>
          </rPr>
          <t xml:space="preserve">
2021.1.14收22231.46</t>
        </r>
      </text>
    </comment>
    <comment ref="Q1029" authorId="0">
      <text>
        <r>
          <rPr>
            <b/>
            <sz val="9"/>
            <rFont val="宋体"/>
            <charset val="134"/>
          </rPr>
          <t>Administrator:</t>
        </r>
        <r>
          <rPr>
            <sz val="9"/>
            <rFont val="宋体"/>
            <charset val="134"/>
          </rPr>
          <t xml:space="preserve">
2020.11.19收3575</t>
        </r>
      </text>
    </comment>
    <comment ref="T1029" authorId="0">
      <text>
        <r>
          <rPr>
            <b/>
            <sz val="9"/>
            <rFont val="宋体"/>
            <charset val="134"/>
          </rPr>
          <t>Administrator:</t>
        </r>
        <r>
          <rPr>
            <sz val="9"/>
            <rFont val="宋体"/>
            <charset val="134"/>
          </rPr>
          <t xml:space="preserve">
2021.2.3收14360</t>
        </r>
      </text>
    </comment>
    <comment ref="Q1030" authorId="0">
      <text>
        <r>
          <rPr>
            <b/>
            <sz val="9"/>
            <rFont val="宋体"/>
            <charset val="134"/>
          </rPr>
          <t>Administrator:</t>
        </r>
        <r>
          <rPr>
            <sz val="9"/>
            <rFont val="宋体"/>
            <charset val="134"/>
          </rPr>
          <t xml:space="preserve">
2020.11.23收23575</t>
        </r>
      </text>
    </comment>
    <comment ref="T1030" authorId="0">
      <text>
        <r>
          <rPr>
            <b/>
            <sz val="9"/>
            <rFont val="宋体"/>
            <charset val="134"/>
          </rPr>
          <t>Administrator:</t>
        </r>
        <r>
          <rPr>
            <sz val="9"/>
            <rFont val="宋体"/>
            <charset val="134"/>
          </rPr>
          <t xml:space="preserve">
2021.2.1收39953</t>
        </r>
      </text>
    </comment>
    <comment ref="U1030" authorId="0">
      <text>
        <r>
          <rPr>
            <b/>
            <sz val="9"/>
            <rFont val="宋体"/>
            <charset val="134"/>
          </rPr>
          <t>Administrator:</t>
        </r>
        <r>
          <rPr>
            <sz val="9"/>
            <rFont val="宋体"/>
            <charset val="134"/>
          </rPr>
          <t xml:space="preserve">
2021.2.2收6043</t>
        </r>
      </text>
    </comment>
    <comment ref="Q1031" authorId="0">
      <text>
        <r>
          <rPr>
            <b/>
            <sz val="9"/>
            <rFont val="宋体"/>
            <charset val="134"/>
          </rPr>
          <t>Administrator:</t>
        </r>
        <r>
          <rPr>
            <sz val="9"/>
            <rFont val="宋体"/>
            <charset val="134"/>
          </rPr>
          <t xml:space="preserve">
2020.12.2收3675</t>
        </r>
      </text>
    </comment>
    <comment ref="T1031" authorId="0">
      <text>
        <r>
          <rPr>
            <b/>
            <sz val="9"/>
            <rFont val="宋体"/>
            <charset val="134"/>
          </rPr>
          <t>Administrator:</t>
        </r>
        <r>
          <rPr>
            <sz val="9"/>
            <rFont val="宋体"/>
            <charset val="134"/>
          </rPr>
          <t xml:space="preserve">
2021.3.9收14917.5</t>
        </r>
      </text>
    </comment>
    <comment ref="Q1032" authorId="0">
      <text>
        <r>
          <rPr>
            <b/>
            <sz val="9"/>
            <rFont val="宋体"/>
            <charset val="134"/>
          </rPr>
          <t>Administrator:</t>
        </r>
        <r>
          <rPr>
            <sz val="9"/>
            <rFont val="宋体"/>
            <charset val="134"/>
          </rPr>
          <t xml:space="preserve">
2020.12.4收52000人民币  汇率6.53</t>
        </r>
      </text>
    </comment>
    <comment ref="T1032" authorId="0">
      <text>
        <r>
          <rPr>
            <b/>
            <sz val="9"/>
            <rFont val="宋体"/>
            <charset val="134"/>
          </rPr>
          <t>Administrator:</t>
        </r>
        <r>
          <rPr>
            <sz val="9"/>
            <rFont val="宋体"/>
            <charset val="134"/>
          </rPr>
          <t xml:space="preserve">
2021.1.26收RMB117424.95
汇率6.46</t>
        </r>
      </text>
    </comment>
    <comment ref="T1033" authorId="0">
      <text>
        <r>
          <rPr>
            <b/>
            <sz val="9"/>
            <rFont val="宋体"/>
            <charset val="134"/>
          </rPr>
          <t>Administrator:</t>
        </r>
        <r>
          <rPr>
            <sz val="9"/>
            <rFont val="宋体"/>
            <charset val="134"/>
          </rPr>
          <t xml:space="preserve">
2021.4.6收43883.9</t>
        </r>
      </text>
    </comment>
    <comment ref="Q1034" authorId="0">
      <text>
        <r>
          <rPr>
            <b/>
            <sz val="9"/>
            <rFont val="宋体"/>
            <charset val="134"/>
          </rPr>
          <t>Administrator:</t>
        </r>
        <r>
          <rPr>
            <sz val="9"/>
            <rFont val="宋体"/>
            <charset val="134"/>
          </rPr>
          <t xml:space="preserve">
2020.12.8收13192.68</t>
        </r>
      </text>
    </comment>
    <comment ref="T1034" authorId="0">
      <text>
        <r>
          <rPr>
            <b/>
            <sz val="9"/>
            <rFont val="宋体"/>
            <charset val="134"/>
          </rPr>
          <t>Administrator:</t>
        </r>
        <r>
          <rPr>
            <sz val="9"/>
            <rFont val="宋体"/>
            <charset val="134"/>
          </rPr>
          <t xml:space="preserve">
2021.5.11收54011.39</t>
        </r>
      </text>
    </comment>
    <comment ref="Q1035" authorId="0">
      <text>
        <r>
          <rPr>
            <b/>
            <sz val="9"/>
            <rFont val="宋体"/>
            <charset val="134"/>
          </rPr>
          <t>Administrator:</t>
        </r>
        <r>
          <rPr>
            <sz val="9"/>
            <rFont val="宋体"/>
            <charset val="134"/>
          </rPr>
          <t xml:space="preserve">
2020.12.22收7448.3</t>
        </r>
      </text>
    </comment>
    <comment ref="T1035" authorId="0">
      <text>
        <r>
          <rPr>
            <b/>
            <sz val="9"/>
            <rFont val="宋体"/>
            <charset val="134"/>
          </rPr>
          <t>Administrator:</t>
        </r>
        <r>
          <rPr>
            <sz val="9"/>
            <rFont val="宋体"/>
            <charset val="134"/>
          </rPr>
          <t xml:space="preserve">
2021.1.22收20350</t>
        </r>
      </text>
    </comment>
    <comment ref="Q1036" authorId="0">
      <text>
        <r>
          <rPr>
            <b/>
            <sz val="9"/>
            <rFont val="宋体"/>
            <charset val="134"/>
          </rPr>
          <t>Administrator:</t>
        </r>
        <r>
          <rPr>
            <sz val="9"/>
            <rFont val="宋体"/>
            <charset val="134"/>
          </rPr>
          <t xml:space="preserve">
2021.1.15收50000人民币 汇率6.46</t>
        </r>
      </text>
    </comment>
    <comment ref="T1036"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37" authorId="0">
      <text>
        <r>
          <rPr>
            <b/>
            <sz val="9"/>
            <rFont val="宋体"/>
            <charset val="134"/>
          </rPr>
          <t>Administrator:</t>
        </r>
        <r>
          <rPr>
            <sz val="9"/>
            <rFont val="宋体"/>
            <charset val="134"/>
          </rPr>
          <t xml:space="preserve">
2021.2.26收30000
2021.3.15收10000
共四万</t>
        </r>
      </text>
    </comment>
    <comment ref="T1037" authorId="0">
      <text>
        <r>
          <rPr>
            <b/>
            <sz val="9"/>
            <rFont val="宋体"/>
            <charset val="134"/>
          </rPr>
          <t>Administrator:</t>
        </r>
        <r>
          <rPr>
            <sz val="9"/>
            <rFont val="宋体"/>
            <charset val="134"/>
          </rPr>
          <t xml:space="preserve">
2021.4.25收143535</t>
        </r>
      </text>
    </comment>
    <comment ref="U1038" authorId="0">
      <text>
        <r>
          <rPr>
            <b/>
            <sz val="9"/>
            <rFont val="宋体"/>
            <charset val="134"/>
          </rPr>
          <t>Administrator:</t>
        </r>
        <r>
          <rPr>
            <sz val="9"/>
            <rFont val="宋体"/>
            <charset val="134"/>
          </rPr>
          <t xml:space="preserve">
2021.6.19收2万
2021.6.21收890</t>
        </r>
      </text>
    </comment>
    <comment ref="T1039" authorId="0">
      <text>
        <r>
          <rPr>
            <b/>
            <sz val="9"/>
            <rFont val="宋体"/>
            <charset val="134"/>
          </rPr>
          <t>Administrator:</t>
        </r>
        <r>
          <rPr>
            <sz val="9"/>
            <rFont val="宋体"/>
            <charset val="134"/>
          </rPr>
          <t xml:space="preserve">
2021.5.30收</t>
        </r>
      </text>
    </comment>
    <comment ref="Q1040" authorId="0">
      <text>
        <r>
          <rPr>
            <b/>
            <sz val="9"/>
            <rFont val="宋体"/>
            <charset val="134"/>
          </rPr>
          <t>Administrator:</t>
        </r>
        <r>
          <rPr>
            <sz val="9"/>
            <rFont val="宋体"/>
            <charset val="134"/>
          </rPr>
          <t xml:space="preserve">
2021.3.2收6506.76</t>
        </r>
      </text>
    </comment>
    <comment ref="T1040" authorId="0">
      <text>
        <r>
          <rPr>
            <b/>
            <sz val="9"/>
            <rFont val="宋体"/>
            <charset val="134"/>
          </rPr>
          <t>Administrator:</t>
        </r>
        <r>
          <rPr>
            <sz val="9"/>
            <rFont val="宋体"/>
            <charset val="134"/>
          </rPr>
          <t xml:space="preserve">
21.3.25收15229.12</t>
        </r>
      </text>
    </comment>
    <comment ref="Q1041" authorId="0">
      <text>
        <r>
          <rPr>
            <b/>
            <sz val="9"/>
            <rFont val="宋体"/>
            <charset val="134"/>
          </rPr>
          <t>Administrator:</t>
        </r>
        <r>
          <rPr>
            <sz val="9"/>
            <rFont val="宋体"/>
            <charset val="134"/>
          </rPr>
          <t xml:space="preserve">
2021.3.4收</t>
        </r>
      </text>
    </comment>
    <comment ref="Q1042" authorId="0">
      <text>
        <r>
          <rPr>
            <b/>
            <sz val="9"/>
            <rFont val="宋体"/>
            <charset val="134"/>
          </rPr>
          <t>Administrator:</t>
        </r>
        <r>
          <rPr>
            <sz val="9"/>
            <rFont val="宋体"/>
            <charset val="134"/>
          </rPr>
          <t xml:space="preserve">
2021.3.4收7202</t>
        </r>
      </text>
    </comment>
    <comment ref="Q1043" authorId="0">
      <text>
        <r>
          <rPr>
            <b/>
            <sz val="9"/>
            <rFont val="宋体"/>
            <charset val="134"/>
          </rPr>
          <t>Administrator:</t>
        </r>
        <r>
          <rPr>
            <sz val="9"/>
            <rFont val="宋体"/>
            <charset val="134"/>
          </rPr>
          <t xml:space="preserve">
2021.3.15收7960</t>
        </r>
      </text>
    </comment>
    <comment ref="T1043" authorId="0">
      <text>
        <r>
          <rPr>
            <b/>
            <sz val="9"/>
            <rFont val="宋体"/>
            <charset val="134"/>
          </rPr>
          <t>Administrator:</t>
        </r>
        <r>
          <rPr>
            <sz val="9"/>
            <rFont val="宋体"/>
            <charset val="134"/>
          </rPr>
          <t xml:space="preserve">
2021.6.9收17919.23</t>
        </r>
      </text>
    </comment>
    <comment ref="T1044" authorId="0">
      <text>
        <r>
          <rPr>
            <b/>
            <sz val="9"/>
            <rFont val="宋体"/>
            <charset val="134"/>
          </rPr>
          <t>Administrator:</t>
        </r>
        <r>
          <rPr>
            <sz val="9"/>
            <rFont val="宋体"/>
            <charset val="134"/>
          </rPr>
          <t xml:space="preserve">
2021.4.23收27042.8</t>
        </r>
      </text>
    </comment>
    <comment ref="Q1045" authorId="0">
      <text>
        <r>
          <rPr>
            <b/>
            <sz val="9"/>
            <rFont val="宋体"/>
            <charset val="134"/>
          </rPr>
          <t>Administrator:</t>
        </r>
        <r>
          <rPr>
            <sz val="9"/>
            <rFont val="宋体"/>
            <charset val="134"/>
          </rPr>
          <t xml:space="preserve">
2021.3.26收15596.34</t>
        </r>
      </text>
    </comment>
    <comment ref="T1045" authorId="0">
      <text>
        <r>
          <rPr>
            <b/>
            <sz val="9"/>
            <rFont val="宋体"/>
            <charset val="134"/>
          </rPr>
          <t>Administrator:</t>
        </r>
        <r>
          <rPr>
            <sz val="9"/>
            <rFont val="宋体"/>
            <charset val="134"/>
          </rPr>
          <t xml:space="preserve">
2021.7.20收33774.29</t>
        </r>
      </text>
    </comment>
    <comment ref="U1045" authorId="0">
      <text>
        <r>
          <rPr>
            <b/>
            <sz val="9"/>
            <rFont val="宋体"/>
            <charset val="134"/>
          </rPr>
          <t>Administrator:</t>
        </r>
        <r>
          <rPr>
            <sz val="9"/>
            <rFont val="宋体"/>
            <charset val="134"/>
          </rPr>
          <t xml:space="preserve">
2021.7.30收31815.58</t>
        </r>
      </text>
    </comment>
    <comment ref="Q1046" authorId="0">
      <text>
        <r>
          <rPr>
            <b/>
            <sz val="9"/>
            <rFont val="宋体"/>
            <charset val="134"/>
          </rPr>
          <t>Administrator:</t>
        </r>
        <r>
          <rPr>
            <sz val="9"/>
            <rFont val="宋体"/>
            <charset val="134"/>
          </rPr>
          <t xml:space="preserve">
2021.3.31收8563</t>
        </r>
      </text>
    </comment>
    <comment ref="T1046" authorId="0">
      <text>
        <r>
          <rPr>
            <b/>
            <sz val="9"/>
            <rFont val="宋体"/>
            <charset val="134"/>
          </rPr>
          <t>Administrator:</t>
        </r>
        <r>
          <rPr>
            <sz val="9"/>
            <rFont val="宋体"/>
            <charset val="134"/>
          </rPr>
          <t xml:space="preserve">
2021.8.10收23060.6</t>
        </r>
      </text>
    </comment>
    <comment ref="Q1047" authorId="0">
      <text>
        <r>
          <rPr>
            <b/>
            <sz val="9"/>
            <rFont val="宋体"/>
            <charset val="134"/>
          </rPr>
          <t>Administrator:</t>
        </r>
        <r>
          <rPr>
            <sz val="9"/>
            <rFont val="宋体"/>
            <charset val="134"/>
          </rPr>
          <t xml:space="preserve">
2021.4.2收十万人民币 汇率6.55</t>
        </r>
      </text>
    </comment>
    <comment ref="T1047" authorId="0">
      <text>
        <r>
          <rPr>
            <b/>
            <sz val="9"/>
            <rFont val="宋体"/>
            <charset val="134"/>
          </rPr>
          <t>Administrator:</t>
        </r>
        <r>
          <rPr>
            <sz val="9"/>
            <rFont val="宋体"/>
            <charset val="134"/>
          </rPr>
          <t xml:space="preserve">
2021.5.31收RMB150000</t>
        </r>
      </text>
    </comment>
    <comment ref="Q1048" authorId="0">
      <text>
        <r>
          <rPr>
            <b/>
            <sz val="9"/>
            <rFont val="宋体"/>
            <charset val="134"/>
          </rPr>
          <t>Administrator:</t>
        </r>
        <r>
          <rPr>
            <sz val="9"/>
            <rFont val="宋体"/>
            <charset val="134"/>
          </rPr>
          <t xml:space="preserve">
2021.4.2收十万人民币 汇率6.55</t>
        </r>
      </text>
    </comment>
    <comment ref="T1048" authorId="0">
      <text>
        <r>
          <rPr>
            <b/>
            <sz val="9"/>
            <rFont val="宋体"/>
            <charset val="134"/>
          </rPr>
          <t>Administrator:</t>
        </r>
        <r>
          <rPr>
            <sz val="9"/>
            <rFont val="宋体"/>
            <charset val="134"/>
          </rPr>
          <t xml:space="preserve">
2021.6.7收RMB3+12万</t>
        </r>
      </text>
    </comment>
    <comment ref="U1048" authorId="0">
      <text>
        <r>
          <rPr>
            <b/>
            <sz val="9"/>
            <rFont val="宋体"/>
            <charset val="134"/>
          </rPr>
          <t>Administrator:</t>
        </r>
        <r>
          <rPr>
            <sz val="9"/>
            <rFont val="宋体"/>
            <charset val="134"/>
          </rPr>
          <t xml:space="preserve">
2021.6.16收24970.5</t>
        </r>
      </text>
    </comment>
    <comment ref="P1049" authorId="0">
      <text>
        <r>
          <rPr>
            <b/>
            <sz val="9"/>
            <rFont val="宋体"/>
            <charset val="134"/>
          </rPr>
          <t>Administrator:</t>
        </r>
        <r>
          <rPr>
            <sz val="9"/>
            <rFont val="宋体"/>
            <charset val="134"/>
          </rPr>
          <t xml:space="preserve">
发票值24445.4 甩13件也付款了</t>
        </r>
      </text>
    </comment>
    <comment ref="Q1049" authorId="0">
      <text>
        <r>
          <rPr>
            <b/>
            <sz val="9"/>
            <rFont val="宋体"/>
            <charset val="134"/>
          </rPr>
          <t>Administrator:</t>
        </r>
        <r>
          <rPr>
            <sz val="9"/>
            <rFont val="宋体"/>
            <charset val="134"/>
          </rPr>
          <t xml:space="preserve">
2021.4.12收7363.8</t>
        </r>
      </text>
    </comment>
    <comment ref="T1049" authorId="0">
      <text>
        <r>
          <rPr>
            <b/>
            <sz val="9"/>
            <rFont val="宋体"/>
            <charset val="134"/>
          </rPr>
          <t>Administrator:</t>
        </r>
        <r>
          <rPr>
            <sz val="9"/>
            <rFont val="宋体"/>
            <charset val="134"/>
          </rPr>
          <t xml:space="preserve">
2021.6.18收17217.33</t>
        </r>
      </text>
    </comment>
    <comment ref="T1050" authorId="0">
      <text>
        <r>
          <rPr>
            <b/>
            <sz val="9"/>
            <rFont val="宋体"/>
            <charset val="134"/>
          </rPr>
          <t>Administrator:</t>
        </r>
        <r>
          <rPr>
            <sz val="9"/>
            <rFont val="宋体"/>
            <charset val="134"/>
          </rPr>
          <t xml:space="preserve">
2021.5.18收29007</t>
        </r>
      </text>
    </comment>
    <comment ref="Q1051" authorId="0">
      <text>
        <r>
          <rPr>
            <b/>
            <sz val="9"/>
            <rFont val="宋体"/>
            <charset val="134"/>
          </rPr>
          <t>Administrator:</t>
        </r>
        <r>
          <rPr>
            <sz val="9"/>
            <rFont val="宋体"/>
            <charset val="134"/>
          </rPr>
          <t xml:space="preserve">
2021.4.17收5万人民币
J4032-2+J4043-1用掉4万
剩一万移到J4043-2</t>
        </r>
      </text>
    </comment>
    <comment ref="T1051" authorId="0">
      <text>
        <r>
          <rPr>
            <b/>
            <sz val="9"/>
            <rFont val="宋体"/>
            <charset val="134"/>
          </rPr>
          <t>Administrator:</t>
        </r>
        <r>
          <rPr>
            <sz val="9"/>
            <rFont val="宋体"/>
            <charset val="134"/>
          </rPr>
          <t xml:space="preserve">
2021.6.8收51631.22 J4032-2+J4043-1</t>
        </r>
      </text>
    </comment>
    <comment ref="Q1053"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53" authorId="0">
      <text>
        <r>
          <rPr>
            <b/>
            <sz val="9"/>
            <rFont val="宋体"/>
            <charset val="134"/>
          </rPr>
          <t>Administrator:</t>
        </r>
        <r>
          <rPr>
            <sz val="9"/>
            <rFont val="宋体"/>
            <charset val="134"/>
          </rPr>
          <t xml:space="preserve">
2021.6.25收48036</t>
        </r>
      </text>
    </comment>
    <comment ref="U1053" authorId="0">
      <text>
        <r>
          <rPr>
            <b/>
            <sz val="9"/>
            <rFont val="宋体"/>
            <charset val="134"/>
          </rPr>
          <t>Administrator:</t>
        </r>
        <r>
          <rPr>
            <sz val="9"/>
            <rFont val="宋体"/>
            <charset val="134"/>
          </rPr>
          <t xml:space="preserve">
2021.6.28收</t>
        </r>
      </text>
    </comment>
    <comment ref="Q1055" authorId="0">
      <text>
        <r>
          <rPr>
            <b/>
            <sz val="9"/>
            <rFont val="宋体"/>
            <charset val="134"/>
          </rPr>
          <t>Administrator:</t>
        </r>
        <r>
          <rPr>
            <sz val="9"/>
            <rFont val="宋体"/>
            <charset val="134"/>
          </rPr>
          <t xml:space="preserve">
2021.5.26收10130.2</t>
        </r>
      </text>
    </comment>
    <comment ref="T1055" authorId="0">
      <text>
        <r>
          <rPr>
            <b/>
            <sz val="9"/>
            <rFont val="宋体"/>
            <charset val="134"/>
          </rPr>
          <t>Administrator:</t>
        </r>
        <r>
          <rPr>
            <sz val="9"/>
            <rFont val="宋体"/>
            <charset val="134"/>
          </rPr>
          <t xml:space="preserve">
2021.8.5收20220.41</t>
        </r>
      </text>
    </comment>
    <comment ref="Q1056" authorId="0">
      <text>
        <r>
          <rPr>
            <b/>
            <sz val="9"/>
            <rFont val="宋体"/>
            <charset val="134"/>
          </rPr>
          <t>Administrator:</t>
        </r>
        <r>
          <rPr>
            <sz val="9"/>
            <rFont val="宋体"/>
            <charset val="134"/>
          </rPr>
          <t xml:space="preserve">
2021.5.27收</t>
        </r>
      </text>
    </comment>
    <comment ref="T1056" authorId="0">
      <text>
        <r>
          <rPr>
            <b/>
            <sz val="9"/>
            <rFont val="宋体"/>
            <charset val="134"/>
          </rPr>
          <t>Administrator:</t>
        </r>
        <r>
          <rPr>
            <sz val="9"/>
            <rFont val="宋体"/>
            <charset val="134"/>
          </rPr>
          <t xml:space="preserve">
2021.8.2收</t>
        </r>
      </text>
    </comment>
    <comment ref="Q1057" authorId="0">
      <text>
        <r>
          <rPr>
            <b/>
            <sz val="9"/>
            <rFont val="宋体"/>
            <charset val="134"/>
          </rPr>
          <t>Administrator:</t>
        </r>
        <r>
          <rPr>
            <sz val="9"/>
            <rFont val="宋体"/>
            <charset val="134"/>
          </rPr>
          <t xml:space="preserve">
2021.6.9收RMB60000
汇率6.38</t>
        </r>
      </text>
    </comment>
    <comment ref="T1057" authorId="0">
      <text>
        <r>
          <rPr>
            <b/>
            <sz val="9"/>
            <rFont val="宋体"/>
            <charset val="134"/>
          </rPr>
          <t>Administrator:</t>
        </r>
        <r>
          <rPr>
            <sz val="9"/>
            <rFont val="宋体"/>
            <charset val="134"/>
          </rPr>
          <t xml:space="preserve">
2021.7.20收30989.5</t>
        </r>
      </text>
    </comment>
    <comment ref="Q1058" authorId="0">
      <text>
        <r>
          <rPr>
            <b/>
            <sz val="9"/>
            <rFont val="宋体"/>
            <charset val="134"/>
          </rPr>
          <t>Administrator:</t>
        </r>
        <r>
          <rPr>
            <sz val="9"/>
            <rFont val="宋体"/>
            <charset val="134"/>
          </rPr>
          <t xml:space="preserve">
2021.6.9收RMB40000
10000</t>
        </r>
      </text>
    </comment>
    <comment ref="T1058" authorId="0">
      <text>
        <r>
          <rPr>
            <b/>
            <sz val="9"/>
            <rFont val="宋体"/>
            <charset val="134"/>
          </rPr>
          <t>Administrator:</t>
        </r>
        <r>
          <rPr>
            <sz val="9"/>
            <rFont val="宋体"/>
            <charset val="134"/>
          </rPr>
          <t xml:space="preserve">
J4066多付的</t>
        </r>
      </text>
    </comment>
    <comment ref="U1058" authorId="0">
      <text>
        <r>
          <rPr>
            <b/>
            <sz val="9"/>
            <rFont val="宋体"/>
            <charset val="134"/>
          </rPr>
          <t>Administrator:</t>
        </r>
        <r>
          <rPr>
            <sz val="9"/>
            <rFont val="宋体"/>
            <charset val="134"/>
          </rPr>
          <t xml:space="preserve">
2021.8.6收19973 水单2万美金
J4066-J4067客户佣金 1981.2美金
客户多付23.8美金</t>
        </r>
      </text>
    </comment>
    <comment ref="T1059" authorId="0">
      <text>
        <r>
          <rPr>
            <b/>
            <sz val="9"/>
            <rFont val="宋体"/>
            <charset val="134"/>
          </rPr>
          <t>Administrator:</t>
        </r>
        <r>
          <rPr>
            <sz val="9"/>
            <rFont val="宋体"/>
            <charset val="134"/>
          </rPr>
          <t xml:space="preserve">
2021.7.23收27941.5</t>
        </r>
      </text>
    </comment>
    <comment ref="T1060" authorId="0">
      <text>
        <r>
          <rPr>
            <b/>
            <sz val="9"/>
            <rFont val="宋体"/>
            <charset val="134"/>
          </rPr>
          <t>Administrator:</t>
        </r>
        <r>
          <rPr>
            <sz val="9"/>
            <rFont val="宋体"/>
            <charset val="134"/>
          </rPr>
          <t xml:space="preserve">
2021.6.29收</t>
        </r>
      </text>
    </comment>
    <comment ref="T1061" authorId="0">
      <text>
        <r>
          <rPr>
            <b/>
            <sz val="9"/>
            <rFont val="宋体"/>
            <charset val="134"/>
          </rPr>
          <t>Administrator:</t>
        </r>
        <r>
          <rPr>
            <sz val="9"/>
            <rFont val="宋体"/>
            <charset val="134"/>
          </rPr>
          <t xml:space="preserve">
2021.11.17收19904.58</t>
        </r>
      </text>
    </comment>
    <comment ref="Q1062" authorId="0">
      <text>
        <r>
          <rPr>
            <b/>
            <sz val="9"/>
            <rFont val="宋体"/>
            <charset val="134"/>
          </rPr>
          <t>Administrator:</t>
        </r>
        <r>
          <rPr>
            <sz val="9"/>
            <rFont val="宋体"/>
            <charset val="134"/>
          </rPr>
          <t xml:space="preserve">
2021.7.2收
55573人民币
汇率6.45</t>
        </r>
      </text>
    </comment>
    <comment ref="T1062" authorId="0">
      <text>
        <r>
          <rPr>
            <b/>
            <sz val="9"/>
            <rFont val="宋体"/>
            <charset val="134"/>
          </rPr>
          <t>Administrator:</t>
        </r>
        <r>
          <rPr>
            <sz val="9"/>
            <rFont val="宋体"/>
            <charset val="134"/>
          </rPr>
          <t xml:space="preserve">
2021.8.18收</t>
        </r>
      </text>
    </comment>
    <comment ref="Q1063" authorId="0">
      <text>
        <r>
          <rPr>
            <b/>
            <sz val="9"/>
            <rFont val="宋体"/>
            <charset val="134"/>
          </rPr>
          <t>Administrator:</t>
        </r>
        <r>
          <rPr>
            <sz val="9"/>
            <rFont val="宋体"/>
            <charset val="134"/>
          </rPr>
          <t xml:space="preserve">
2021.7.2收4万人民币</t>
        </r>
      </text>
    </comment>
    <comment ref="T1063" authorId="0">
      <text>
        <r>
          <rPr>
            <b/>
            <sz val="9"/>
            <rFont val="宋体"/>
            <charset val="134"/>
          </rPr>
          <t>Administrator:</t>
        </r>
        <r>
          <rPr>
            <sz val="9"/>
            <rFont val="宋体"/>
            <charset val="134"/>
          </rPr>
          <t xml:space="preserve">
2021.8.13收</t>
        </r>
      </text>
    </comment>
    <comment ref="Q1064" authorId="0">
      <text>
        <r>
          <rPr>
            <b/>
            <sz val="9"/>
            <rFont val="宋体"/>
            <charset val="134"/>
          </rPr>
          <t>Administrator:</t>
        </r>
        <r>
          <rPr>
            <sz val="9"/>
            <rFont val="宋体"/>
            <charset val="134"/>
          </rPr>
          <t xml:space="preserve">
2021.7.5收16854.79</t>
        </r>
      </text>
    </comment>
    <comment ref="T1064" authorId="0">
      <text>
        <r>
          <rPr>
            <b/>
            <sz val="9"/>
            <rFont val="宋体"/>
            <charset val="134"/>
          </rPr>
          <t>Administrator:</t>
        </r>
        <r>
          <rPr>
            <sz val="9"/>
            <rFont val="宋体"/>
            <charset val="134"/>
          </rPr>
          <t xml:space="preserve">
2021.9.24收39089.19</t>
        </r>
      </text>
    </comment>
    <comment ref="Q1065" authorId="0">
      <text>
        <r>
          <rPr>
            <b/>
            <sz val="9"/>
            <rFont val="宋体"/>
            <charset val="134"/>
          </rPr>
          <t>Administrator:</t>
        </r>
        <r>
          <rPr>
            <sz val="9"/>
            <rFont val="宋体"/>
            <charset val="134"/>
          </rPr>
          <t xml:space="preserve">
2021.7.23收8426.38</t>
        </r>
      </text>
    </comment>
    <comment ref="T1065" authorId="0">
      <text>
        <r>
          <rPr>
            <b/>
            <sz val="9"/>
            <rFont val="宋体"/>
            <charset val="134"/>
          </rPr>
          <t>Administrator:</t>
        </r>
        <r>
          <rPr>
            <sz val="9"/>
            <rFont val="宋体"/>
            <charset val="134"/>
          </rPr>
          <t xml:space="preserve">
2021.9.23收19782.87</t>
        </r>
      </text>
    </comment>
    <comment ref="T1066" authorId="0">
      <text>
        <r>
          <rPr>
            <b/>
            <sz val="9"/>
            <rFont val="宋体"/>
            <charset val="134"/>
          </rPr>
          <t>Administrator:</t>
        </r>
        <r>
          <rPr>
            <sz val="9"/>
            <rFont val="宋体"/>
            <charset val="134"/>
          </rPr>
          <t xml:space="preserve">
2021.8.24收29871.3</t>
        </r>
      </text>
    </comment>
    <comment ref="P1067" authorId="0">
      <text>
        <r>
          <rPr>
            <b/>
            <sz val="9"/>
            <rFont val="宋体"/>
            <charset val="134"/>
          </rPr>
          <t>Administrator:</t>
        </r>
        <r>
          <rPr>
            <sz val="9"/>
            <rFont val="宋体"/>
            <charset val="134"/>
          </rPr>
          <t xml:space="preserve">
与印尼客户发票值33896.8
与中冶
实际发货32349.7
含甩货是33557.2</t>
        </r>
      </text>
    </comment>
    <comment ref="Q1067" authorId="0">
      <text>
        <r>
          <rPr>
            <b/>
            <sz val="9"/>
            <rFont val="宋体"/>
            <charset val="134"/>
          </rPr>
          <t>Administrator:</t>
        </r>
        <r>
          <rPr>
            <sz val="9"/>
            <rFont val="宋体"/>
            <charset val="134"/>
          </rPr>
          <t xml:space="preserve">
2021.8.5收RMB5万</t>
        </r>
      </text>
    </comment>
    <comment ref="T1067" authorId="0">
      <text>
        <r>
          <rPr>
            <b/>
            <sz val="9"/>
            <rFont val="宋体"/>
            <charset val="134"/>
          </rPr>
          <t>Administrator:</t>
        </r>
        <r>
          <rPr>
            <sz val="9"/>
            <rFont val="宋体"/>
            <charset val="134"/>
          </rPr>
          <t xml:space="preserve">
2021.8.23收15081.5</t>
        </r>
      </text>
    </comment>
    <comment ref="U1067" authorId="0">
      <text>
        <r>
          <rPr>
            <b/>
            <sz val="9"/>
            <rFont val="宋体"/>
            <charset val="134"/>
          </rPr>
          <t>Administrator:</t>
        </r>
        <r>
          <rPr>
            <sz val="9"/>
            <rFont val="宋体"/>
            <charset val="134"/>
          </rPr>
          <t xml:space="preserve">
2021.9.2收35108</t>
        </r>
      </text>
    </comment>
    <comment ref="Q1068" authorId="0">
      <text>
        <r>
          <rPr>
            <b/>
            <sz val="9"/>
            <rFont val="宋体"/>
            <charset val="134"/>
          </rPr>
          <t>Administrator:</t>
        </r>
        <r>
          <rPr>
            <sz val="9"/>
            <rFont val="宋体"/>
            <charset val="134"/>
          </rPr>
          <t xml:space="preserve">
2021.8.16收6965</t>
        </r>
      </text>
    </comment>
    <comment ref="T1068" authorId="0">
      <text>
        <r>
          <rPr>
            <b/>
            <sz val="9"/>
            <rFont val="宋体"/>
            <charset val="134"/>
          </rPr>
          <t>Administrator:</t>
        </r>
        <r>
          <rPr>
            <sz val="9"/>
            <rFont val="宋体"/>
            <charset val="134"/>
          </rPr>
          <t xml:space="preserve">
2021.9.27收27475</t>
        </r>
      </text>
    </comment>
    <comment ref="U1068" authorId="0">
      <text>
        <r>
          <rPr>
            <b/>
            <sz val="9"/>
            <rFont val="宋体"/>
            <charset val="134"/>
          </rPr>
          <t>Administrator:</t>
        </r>
        <r>
          <rPr>
            <sz val="9"/>
            <rFont val="宋体"/>
            <charset val="134"/>
          </rPr>
          <t xml:space="preserve">
2021.11.15收11784.9</t>
        </r>
      </text>
    </comment>
    <comment ref="T1069" authorId="0">
      <text>
        <r>
          <rPr>
            <b/>
            <sz val="9"/>
            <rFont val="宋体"/>
            <charset val="134"/>
          </rPr>
          <t>Administrator:</t>
        </r>
        <r>
          <rPr>
            <sz val="9"/>
            <rFont val="宋体"/>
            <charset val="134"/>
          </rPr>
          <t xml:space="preserve">
2021.8.18收9611.25</t>
        </r>
      </text>
    </comment>
    <comment ref="T1070" authorId="0">
      <text>
        <r>
          <rPr>
            <b/>
            <sz val="9"/>
            <rFont val="宋体"/>
            <charset val="134"/>
          </rPr>
          <t>Administrator:</t>
        </r>
        <r>
          <rPr>
            <sz val="9"/>
            <rFont val="宋体"/>
            <charset val="134"/>
          </rPr>
          <t xml:space="preserve">
2021.9.17收29133.64</t>
        </r>
      </text>
    </comment>
    <comment ref="Q1071" authorId="0">
      <text>
        <r>
          <rPr>
            <b/>
            <sz val="9"/>
            <rFont val="宋体"/>
            <charset val="134"/>
          </rPr>
          <t>Administrator:</t>
        </r>
        <r>
          <rPr>
            <sz val="9"/>
            <rFont val="宋体"/>
            <charset val="134"/>
          </rPr>
          <t xml:space="preserve">
2021.8.25收4万
2万来自J4043-2
共6万人民币 于2021.11.2退回</t>
        </r>
      </text>
    </comment>
    <comment ref="T1071" authorId="0">
      <text>
        <r>
          <rPr>
            <b/>
            <sz val="9"/>
            <rFont val="宋体"/>
            <charset val="134"/>
          </rPr>
          <t>Administrator:</t>
        </r>
        <r>
          <rPr>
            <sz val="9"/>
            <rFont val="宋体"/>
            <charset val="134"/>
          </rPr>
          <t xml:space="preserve">
2021.10.11收57973.14</t>
        </r>
      </text>
    </comment>
    <comment ref="U1073" authorId="0">
      <text>
        <r>
          <rPr>
            <b/>
            <sz val="9"/>
            <rFont val="宋体"/>
            <charset val="134"/>
          </rPr>
          <t>Administrator:</t>
        </r>
        <r>
          <rPr>
            <sz val="9"/>
            <rFont val="宋体"/>
            <charset val="134"/>
          </rPr>
          <t xml:space="preserve">
2021.9.30收</t>
        </r>
      </text>
    </comment>
    <comment ref="T1074" authorId="0">
      <text>
        <r>
          <rPr>
            <b/>
            <sz val="9"/>
            <rFont val="宋体"/>
            <charset val="134"/>
          </rPr>
          <t>Administrator:</t>
        </r>
        <r>
          <rPr>
            <sz val="9"/>
            <rFont val="宋体"/>
            <charset val="134"/>
          </rPr>
          <t xml:space="preserve">
2021.9.22收7218含运费</t>
        </r>
      </text>
    </comment>
    <comment ref="Q1075" authorId="0">
      <text>
        <r>
          <rPr>
            <b/>
            <sz val="9"/>
            <rFont val="宋体"/>
            <charset val="134"/>
          </rPr>
          <t>Administrator:</t>
        </r>
        <r>
          <rPr>
            <sz val="9"/>
            <rFont val="宋体"/>
            <charset val="134"/>
          </rPr>
          <t xml:space="preserve">
见J4097收款备注
多付24095.12  4095返给客户了 两万美金作为J4120和J4123定金</t>
        </r>
      </text>
    </comment>
    <comment ref="T1075" authorId="0">
      <text>
        <r>
          <rPr>
            <b/>
            <sz val="9"/>
            <rFont val="宋体"/>
            <charset val="134"/>
          </rPr>
          <t>Administrator:</t>
        </r>
        <r>
          <rPr>
            <sz val="9"/>
            <rFont val="宋体"/>
            <charset val="134"/>
          </rPr>
          <t xml:space="preserve">
2021.10.13收34526.5</t>
        </r>
      </text>
    </comment>
    <comment ref="Q1076" authorId="0">
      <text>
        <r>
          <rPr>
            <b/>
            <sz val="9"/>
            <rFont val="宋体"/>
            <charset val="134"/>
          </rPr>
          <t>Administrator:</t>
        </r>
        <r>
          <rPr>
            <sz val="9"/>
            <rFont val="宋体"/>
            <charset val="134"/>
          </rPr>
          <t xml:space="preserve">
见J4097和J4120收款备注</t>
        </r>
      </text>
    </comment>
    <comment ref="T1076" authorId="0">
      <text>
        <r>
          <rPr>
            <b/>
            <sz val="9"/>
            <rFont val="宋体"/>
            <charset val="134"/>
          </rPr>
          <t>Administrator:</t>
        </r>
        <r>
          <rPr>
            <sz val="9"/>
            <rFont val="宋体"/>
            <charset val="134"/>
          </rPr>
          <t xml:space="preserve">
2021.11.12收35033</t>
        </r>
      </text>
    </comment>
    <comment ref="P1077" authorId="0">
      <text>
        <r>
          <rPr>
            <b/>
            <sz val="9"/>
            <rFont val="宋体"/>
            <charset val="134"/>
          </rPr>
          <t>Administrator:</t>
        </r>
        <r>
          <rPr>
            <sz val="9"/>
            <rFont val="宋体"/>
            <charset val="134"/>
          </rPr>
          <t xml:space="preserve">
含5120运费</t>
        </r>
      </text>
    </comment>
    <comment ref="Q1077" authorId="0">
      <text>
        <r>
          <rPr>
            <b/>
            <sz val="9"/>
            <rFont val="宋体"/>
            <charset val="134"/>
          </rPr>
          <t>Administrator:</t>
        </r>
        <r>
          <rPr>
            <sz val="9"/>
            <rFont val="宋体"/>
            <charset val="134"/>
          </rPr>
          <t xml:space="preserve">
2021.9.7收</t>
        </r>
      </text>
    </comment>
    <comment ref="T1077" authorId="0">
      <text>
        <r>
          <rPr>
            <b/>
            <sz val="9"/>
            <rFont val="宋体"/>
            <charset val="134"/>
          </rPr>
          <t>Administrator:</t>
        </r>
        <r>
          <rPr>
            <sz val="9"/>
            <rFont val="宋体"/>
            <charset val="134"/>
          </rPr>
          <t xml:space="preserve">
2021.10.13收</t>
        </r>
      </text>
    </comment>
    <comment ref="P1078" authorId="0">
      <text>
        <r>
          <rPr>
            <b/>
            <sz val="9"/>
            <rFont val="宋体"/>
            <charset val="134"/>
          </rPr>
          <t>Administrator:</t>
        </r>
        <r>
          <rPr>
            <sz val="9"/>
            <rFont val="宋体"/>
            <charset val="134"/>
          </rPr>
          <t xml:space="preserve">
减掉清关赔偿270美金</t>
        </r>
      </text>
    </comment>
    <comment ref="T1078" authorId="0">
      <text>
        <r>
          <rPr>
            <b/>
            <sz val="9"/>
            <rFont val="宋体"/>
            <charset val="134"/>
          </rPr>
          <t>Administrator:</t>
        </r>
        <r>
          <rPr>
            <sz val="9"/>
            <rFont val="宋体"/>
            <charset val="134"/>
          </rPr>
          <t xml:space="preserve">
2021.10.28收26841.63</t>
        </r>
      </text>
    </comment>
    <comment ref="P1079" authorId="0">
      <text>
        <r>
          <rPr>
            <b/>
            <sz val="9"/>
            <rFont val="宋体"/>
            <charset val="134"/>
          </rPr>
          <t>Administrator:</t>
        </r>
        <r>
          <rPr>
            <sz val="9"/>
            <rFont val="宋体"/>
            <charset val="134"/>
          </rPr>
          <t xml:space="preserve">
清关赔偿减掉了最后的388美金</t>
        </r>
      </text>
    </comment>
    <comment ref="T1079" authorId="0">
      <text>
        <r>
          <rPr>
            <b/>
            <sz val="9"/>
            <rFont val="宋体"/>
            <charset val="134"/>
          </rPr>
          <t>Administrator:</t>
        </r>
        <r>
          <rPr>
            <sz val="9"/>
            <rFont val="宋体"/>
            <charset val="134"/>
          </rPr>
          <t xml:space="preserve">
2021.11.12收56770</t>
        </r>
      </text>
    </comment>
    <comment ref="Q1080" authorId="0">
      <text>
        <r>
          <rPr>
            <b/>
            <sz val="9"/>
            <rFont val="宋体"/>
            <charset val="134"/>
          </rPr>
          <t>Administrator:</t>
        </r>
        <r>
          <rPr>
            <sz val="9"/>
            <rFont val="宋体"/>
            <charset val="134"/>
          </rPr>
          <t xml:space="preserve">
2021.10.14收990.09
2021.10.20收16475</t>
        </r>
      </text>
    </comment>
    <comment ref="T1080" authorId="0">
      <text>
        <r>
          <rPr>
            <b/>
            <sz val="9"/>
            <rFont val="宋体"/>
            <charset val="134"/>
          </rPr>
          <t>Administrator:</t>
        </r>
        <r>
          <rPr>
            <sz val="9"/>
            <rFont val="宋体"/>
            <charset val="134"/>
          </rPr>
          <t xml:space="preserve">
2022.1.14收25540.63
2022.1.20收25540.63
2022.1.20收25540.63</t>
        </r>
      </text>
    </comment>
    <comment ref="Q1081" authorId="0">
      <text>
        <r>
          <rPr>
            <b/>
            <sz val="9"/>
            <rFont val="宋体"/>
            <charset val="134"/>
          </rPr>
          <t>Administrator:</t>
        </r>
        <r>
          <rPr>
            <sz val="9"/>
            <rFont val="宋体"/>
            <charset val="134"/>
          </rPr>
          <t xml:space="preserve">
来源于J4120备注</t>
        </r>
      </text>
    </comment>
    <comment ref="T1081" authorId="0">
      <text>
        <r>
          <rPr>
            <b/>
            <sz val="9"/>
            <rFont val="宋体"/>
            <charset val="134"/>
          </rPr>
          <t>Administrator:</t>
        </r>
        <r>
          <rPr>
            <sz val="9"/>
            <rFont val="宋体"/>
            <charset val="134"/>
          </rPr>
          <t xml:space="preserve">
2021.12.10收36406.5</t>
        </r>
      </text>
    </comment>
    <comment ref="Q1082" authorId="0">
      <text>
        <r>
          <rPr>
            <b/>
            <sz val="9"/>
            <rFont val="宋体"/>
            <charset val="134"/>
          </rPr>
          <t>Administrator:</t>
        </r>
        <r>
          <rPr>
            <sz val="9"/>
            <rFont val="宋体"/>
            <charset val="134"/>
          </rPr>
          <t xml:space="preserve">
2021.10.20收9599.58</t>
        </r>
      </text>
    </comment>
    <comment ref="T1082" authorId="0">
      <text>
        <r>
          <rPr>
            <b/>
            <sz val="9"/>
            <rFont val="宋体"/>
            <charset val="134"/>
          </rPr>
          <t>Administrator:</t>
        </r>
        <r>
          <rPr>
            <sz val="9"/>
            <rFont val="宋体"/>
            <charset val="134"/>
          </rPr>
          <t xml:space="preserve">
2021.12.30
水单50836.02 实收50836.02</t>
        </r>
      </text>
    </comment>
    <comment ref="T1083" authorId="0">
      <text>
        <r>
          <rPr>
            <b/>
            <sz val="9"/>
            <rFont val="宋体"/>
            <charset val="134"/>
          </rPr>
          <t>Administrator:</t>
        </r>
        <r>
          <rPr>
            <sz val="9"/>
            <rFont val="宋体"/>
            <charset val="134"/>
          </rPr>
          <t xml:space="preserve">
2021.12.19水单$37611实收37584</t>
        </r>
      </text>
    </comment>
    <comment ref="Q1084" authorId="0">
      <text>
        <r>
          <rPr>
            <b/>
            <sz val="9"/>
            <rFont val="宋体"/>
            <charset val="134"/>
          </rPr>
          <t>Administrator:</t>
        </r>
        <r>
          <rPr>
            <sz val="9"/>
            <rFont val="宋体"/>
            <charset val="134"/>
          </rPr>
          <t xml:space="preserve">
2021.10.27收</t>
        </r>
      </text>
    </comment>
    <comment ref="T1084" authorId="0">
      <text>
        <r>
          <rPr>
            <b/>
            <sz val="9"/>
            <rFont val="宋体"/>
            <charset val="134"/>
          </rPr>
          <t>Administrator:</t>
        </r>
        <r>
          <rPr>
            <sz val="9"/>
            <rFont val="宋体"/>
            <charset val="134"/>
          </rPr>
          <t xml:space="preserve">
2021.12.2收20175.12</t>
        </r>
      </text>
    </comment>
    <comment ref="U1084" authorId="0">
      <text>
        <r>
          <rPr>
            <b/>
            <sz val="9"/>
            <rFont val="宋体"/>
            <charset val="134"/>
          </rPr>
          <t>Administrator:</t>
        </r>
        <r>
          <rPr>
            <sz val="9"/>
            <rFont val="宋体"/>
            <charset val="134"/>
          </rPr>
          <t xml:space="preserve">
2021.12.22收1238.1</t>
        </r>
      </text>
    </comment>
    <comment ref="T1085" authorId="0">
      <text>
        <r>
          <rPr>
            <b/>
            <sz val="9"/>
            <rFont val="宋体"/>
            <charset val="134"/>
          </rPr>
          <t>Administrator:</t>
        </r>
        <r>
          <rPr>
            <sz val="9"/>
            <rFont val="宋体"/>
            <charset val="134"/>
          </rPr>
          <t xml:space="preserve">
2021.12.16收56167</t>
        </r>
      </text>
    </comment>
    <comment ref="Q1086" authorId="0">
      <text>
        <r>
          <rPr>
            <b/>
            <sz val="9"/>
            <rFont val="宋体"/>
            <charset val="134"/>
          </rPr>
          <t>Administrator:</t>
        </r>
        <r>
          <rPr>
            <sz val="9"/>
            <rFont val="宋体"/>
            <charset val="134"/>
          </rPr>
          <t xml:space="preserve">
2021.9.10收16652
来自J4129定金  转移到这单</t>
        </r>
      </text>
    </comment>
    <comment ref="T1086" authorId="0">
      <text>
        <r>
          <rPr>
            <b/>
            <sz val="9"/>
            <rFont val="宋体"/>
            <charset val="134"/>
          </rPr>
          <t>Administrator:</t>
        </r>
        <r>
          <rPr>
            <sz val="9"/>
            <rFont val="宋体"/>
            <charset val="134"/>
          </rPr>
          <t xml:space="preserve">
2022.1.10收7371
925美金来自J4129-2
42美金来自J4163-1</t>
        </r>
      </text>
    </comment>
    <comment ref="U1086" authorId="0">
      <text>
        <r>
          <rPr>
            <b/>
            <sz val="9"/>
            <rFont val="宋体"/>
            <charset val="134"/>
          </rPr>
          <t>Administrator:</t>
        </r>
        <r>
          <rPr>
            <sz val="9"/>
            <rFont val="宋体"/>
            <charset val="134"/>
          </rPr>
          <t xml:space="preserve">
2022.1.26收
来自J4217</t>
        </r>
      </text>
    </comment>
    <comment ref="Q1087" authorId="0">
      <text>
        <r>
          <rPr>
            <b/>
            <sz val="9"/>
            <rFont val="宋体"/>
            <charset val="134"/>
          </rPr>
          <t>Administrator:</t>
        </r>
        <r>
          <rPr>
            <sz val="9"/>
            <rFont val="宋体"/>
            <charset val="134"/>
          </rPr>
          <t xml:space="preserve">
2021.11.25收19000人民币</t>
        </r>
      </text>
    </comment>
    <comment ref="T1087" authorId="0">
      <text>
        <r>
          <rPr>
            <b/>
            <sz val="9"/>
            <rFont val="宋体"/>
            <charset val="134"/>
          </rPr>
          <t>Administrator:</t>
        </r>
        <r>
          <rPr>
            <sz val="9"/>
            <rFont val="宋体"/>
            <charset val="134"/>
          </rPr>
          <t xml:space="preserve">
2022.1.6收45481</t>
        </r>
      </text>
    </comment>
    <comment ref="P1088" authorId="0">
      <text>
        <r>
          <rPr>
            <b/>
            <sz val="9"/>
            <rFont val="宋体"/>
            <charset val="134"/>
          </rPr>
          <t>Administrator:</t>
        </r>
        <r>
          <rPr>
            <sz val="9"/>
            <rFont val="宋体"/>
            <charset val="134"/>
          </rPr>
          <t xml:space="preserve">
含客户承担的海运费153美金</t>
        </r>
      </text>
    </comment>
    <comment ref="T1088" authorId="0">
      <text>
        <r>
          <rPr>
            <b/>
            <sz val="9"/>
            <rFont val="宋体"/>
            <charset val="134"/>
          </rPr>
          <t>Administrator:</t>
        </r>
        <r>
          <rPr>
            <sz val="9"/>
            <rFont val="宋体"/>
            <charset val="134"/>
          </rPr>
          <t xml:space="preserve">
2022.1.20收150000人民币 汇率6.32</t>
        </r>
      </text>
    </comment>
    <comment ref="U1088" authorId="0">
      <text>
        <r>
          <rPr>
            <b/>
            <sz val="9"/>
            <rFont val="宋体"/>
            <charset val="134"/>
          </rPr>
          <t>Administrator:</t>
        </r>
        <r>
          <rPr>
            <sz val="9"/>
            <rFont val="宋体"/>
            <charset val="134"/>
          </rPr>
          <t xml:space="preserve">
2022.2.7收13137</t>
        </r>
      </text>
    </comment>
    <comment ref="T1089" authorId="0">
      <text>
        <r>
          <rPr>
            <b/>
            <sz val="9"/>
            <rFont val="宋体"/>
            <charset val="134"/>
          </rPr>
          <t>Administrator:</t>
        </r>
        <r>
          <rPr>
            <sz val="9"/>
            <rFont val="宋体"/>
            <charset val="134"/>
          </rPr>
          <t xml:space="preserve">
2022.1.28收24213</t>
        </r>
      </text>
    </comment>
    <comment ref="Q1090" authorId="0">
      <text>
        <r>
          <rPr>
            <b/>
            <sz val="9"/>
            <rFont val="宋体"/>
            <charset val="134"/>
          </rPr>
          <t>Administrator:</t>
        </r>
        <r>
          <rPr>
            <sz val="9"/>
            <rFont val="宋体"/>
            <charset val="134"/>
          </rPr>
          <t xml:space="preserve">
2021.12.1收</t>
        </r>
      </text>
    </comment>
    <comment ref="T1090" authorId="0">
      <text>
        <r>
          <rPr>
            <b/>
            <sz val="9"/>
            <rFont val="宋体"/>
            <charset val="134"/>
          </rPr>
          <t>Administrator:</t>
        </r>
        <r>
          <rPr>
            <sz val="9"/>
            <rFont val="宋体"/>
            <charset val="134"/>
          </rPr>
          <t xml:space="preserve">
2021.12.29收</t>
        </r>
      </text>
    </comment>
    <comment ref="U1090" authorId="0">
      <text>
        <r>
          <rPr>
            <b/>
            <sz val="9"/>
            <rFont val="宋体"/>
            <charset val="134"/>
          </rPr>
          <t>Administrator:</t>
        </r>
        <r>
          <rPr>
            <sz val="9"/>
            <rFont val="宋体"/>
            <charset val="134"/>
          </rPr>
          <t xml:space="preserve">
2022.1.17收</t>
        </r>
      </text>
    </comment>
    <comment ref="Q1091" authorId="0">
      <text>
        <r>
          <rPr>
            <b/>
            <sz val="9"/>
            <rFont val="宋体"/>
            <charset val="134"/>
          </rPr>
          <t>Administrator:</t>
        </r>
        <r>
          <rPr>
            <sz val="9"/>
            <rFont val="宋体"/>
            <charset val="134"/>
          </rPr>
          <t xml:space="preserve">
2021.12.1收25189</t>
        </r>
      </text>
    </comment>
    <comment ref="T1091" authorId="0">
      <text>
        <r>
          <rPr>
            <b/>
            <sz val="9"/>
            <rFont val="宋体"/>
            <charset val="134"/>
          </rPr>
          <t>Administrator:</t>
        </r>
        <r>
          <rPr>
            <sz val="9"/>
            <rFont val="宋体"/>
            <charset val="134"/>
          </rPr>
          <t xml:space="preserve">
2022.3.4收72305</t>
        </r>
      </text>
    </comment>
    <comment ref="Q1092" authorId="0">
      <text>
        <r>
          <rPr>
            <b/>
            <sz val="9"/>
            <rFont val="宋体"/>
            <charset val="134"/>
          </rPr>
          <t>Administrator:</t>
        </r>
        <r>
          <rPr>
            <sz val="9"/>
            <rFont val="宋体"/>
            <charset val="134"/>
          </rPr>
          <t xml:space="preserve">
2021.12.3收7435.03</t>
        </r>
      </text>
    </comment>
    <comment ref="T1092" authorId="0">
      <text>
        <r>
          <rPr>
            <b/>
            <sz val="9"/>
            <rFont val="宋体"/>
            <charset val="134"/>
          </rPr>
          <t>Administrator:</t>
        </r>
        <r>
          <rPr>
            <sz val="9"/>
            <rFont val="宋体"/>
            <charset val="134"/>
          </rPr>
          <t xml:space="preserve">
2022.1.19收17376.72</t>
        </r>
      </text>
    </comment>
    <comment ref="Q1093" authorId="0">
      <text>
        <r>
          <rPr>
            <b/>
            <sz val="9"/>
            <rFont val="宋体"/>
            <charset val="134"/>
          </rPr>
          <t>Administrator:</t>
        </r>
        <r>
          <rPr>
            <sz val="9"/>
            <rFont val="宋体"/>
            <charset val="134"/>
          </rPr>
          <t xml:space="preserve">
2021.12.3收8575.58</t>
        </r>
      </text>
    </comment>
    <comment ref="T1093" authorId="0">
      <text>
        <r>
          <rPr>
            <b/>
            <sz val="9"/>
            <rFont val="宋体"/>
            <charset val="134"/>
          </rPr>
          <t>Administrator:</t>
        </r>
        <r>
          <rPr>
            <sz val="9"/>
            <rFont val="宋体"/>
            <charset val="134"/>
          </rPr>
          <t xml:space="preserve">
2022.1.12收20009.67</t>
        </r>
      </text>
    </comment>
    <comment ref="Q1094" authorId="0">
      <text>
        <r>
          <rPr>
            <b/>
            <sz val="9"/>
            <rFont val="宋体"/>
            <charset val="134"/>
          </rPr>
          <t>Administrator:</t>
        </r>
        <r>
          <rPr>
            <sz val="9"/>
            <rFont val="宋体"/>
            <charset val="134"/>
          </rPr>
          <t xml:space="preserve">
2021.12.9收25206</t>
        </r>
      </text>
    </comment>
    <comment ref="T1094" authorId="0">
      <text>
        <r>
          <rPr>
            <b/>
            <sz val="9"/>
            <rFont val="宋体"/>
            <charset val="134"/>
          </rPr>
          <t>Administrator:</t>
        </r>
        <r>
          <rPr>
            <sz val="9"/>
            <rFont val="宋体"/>
            <charset val="134"/>
          </rPr>
          <t xml:space="preserve">
2022.3.1收84447</t>
        </r>
      </text>
    </comment>
    <comment ref="Q1096" authorId="0">
      <text>
        <r>
          <rPr>
            <b/>
            <sz val="9"/>
            <rFont val="宋体"/>
            <charset val="134"/>
          </rPr>
          <t>Administrator:</t>
        </r>
        <r>
          <rPr>
            <sz val="9"/>
            <rFont val="宋体"/>
            <charset val="134"/>
          </rPr>
          <t xml:space="preserve">
2021.12.14收9898</t>
        </r>
      </text>
    </comment>
    <comment ref="T1096" authorId="0">
      <text>
        <r>
          <rPr>
            <b/>
            <sz val="9"/>
            <rFont val="宋体"/>
            <charset val="134"/>
          </rPr>
          <t>Administrator:</t>
        </r>
        <r>
          <rPr>
            <sz val="9"/>
            <rFont val="宋体"/>
            <charset val="134"/>
          </rPr>
          <t xml:space="preserve">
2021.12.30收36390.8</t>
        </r>
      </text>
    </comment>
    <comment ref="Q1097" authorId="0">
      <text>
        <r>
          <rPr>
            <b/>
            <sz val="9"/>
            <rFont val="宋体"/>
            <charset val="134"/>
          </rPr>
          <t>Administrator:</t>
        </r>
        <r>
          <rPr>
            <sz val="9"/>
            <rFont val="宋体"/>
            <charset val="134"/>
          </rPr>
          <t xml:space="preserve">
2021.12.22收</t>
        </r>
      </text>
    </comment>
    <comment ref="T1097" authorId="0">
      <text>
        <r>
          <rPr>
            <b/>
            <sz val="9"/>
            <rFont val="宋体"/>
            <charset val="134"/>
          </rPr>
          <t>Administrator:</t>
        </r>
        <r>
          <rPr>
            <sz val="9"/>
            <rFont val="宋体"/>
            <charset val="134"/>
          </rPr>
          <t xml:space="preserve">
2021.12.29收1910 含250运费</t>
        </r>
      </text>
    </comment>
    <comment ref="Q1098" authorId="0">
      <text>
        <r>
          <rPr>
            <b/>
            <sz val="9"/>
            <rFont val="宋体"/>
            <charset val="134"/>
          </rPr>
          <t>Administrator:</t>
        </r>
        <r>
          <rPr>
            <sz val="9"/>
            <rFont val="宋体"/>
            <charset val="134"/>
          </rPr>
          <t xml:space="preserve">
2022.3.10收34333.74
12214.34美金 之前剩的定金</t>
        </r>
      </text>
    </comment>
    <comment ref="T1098" authorId="0">
      <text>
        <r>
          <rPr>
            <b/>
            <sz val="9"/>
            <rFont val="宋体"/>
            <charset val="134"/>
          </rPr>
          <t>Administrator:</t>
        </r>
        <r>
          <rPr>
            <sz val="9"/>
            <rFont val="宋体"/>
            <charset val="134"/>
          </rPr>
          <t xml:space="preserve">
2022.4.21收14968</t>
        </r>
      </text>
    </comment>
    <comment ref="Q1099" authorId="0">
      <text>
        <r>
          <rPr>
            <b/>
            <sz val="9"/>
            <rFont val="宋体"/>
            <charset val="134"/>
          </rPr>
          <t>Administrator:</t>
        </r>
        <r>
          <rPr>
            <sz val="9"/>
            <rFont val="宋体"/>
            <charset val="134"/>
          </rPr>
          <t xml:space="preserve">
2021.12.29</t>
        </r>
      </text>
    </comment>
    <comment ref="T1099" authorId="0">
      <text>
        <r>
          <rPr>
            <b/>
            <sz val="9"/>
            <rFont val="宋体"/>
            <charset val="134"/>
          </rPr>
          <t>Administrator:</t>
        </r>
        <r>
          <rPr>
            <sz val="9"/>
            <rFont val="宋体"/>
            <charset val="134"/>
          </rPr>
          <t xml:space="preserve">
2022.1.15收</t>
        </r>
      </text>
    </comment>
    <comment ref="Q1100" authorId="0">
      <text>
        <r>
          <rPr>
            <b/>
            <sz val="9"/>
            <rFont val="宋体"/>
            <charset val="134"/>
          </rPr>
          <t>Administrator:</t>
        </r>
        <r>
          <rPr>
            <sz val="9"/>
            <rFont val="宋体"/>
            <charset val="134"/>
          </rPr>
          <t xml:space="preserve">
2022.1.26收12120.20
水单12135.2
1836用于J4163-2尾款</t>
        </r>
      </text>
    </comment>
    <comment ref="T1100" authorId="0">
      <text>
        <r>
          <rPr>
            <b/>
            <sz val="9"/>
            <rFont val="宋体"/>
            <charset val="134"/>
          </rPr>
          <t>Administrator:</t>
        </r>
        <r>
          <rPr>
            <sz val="9"/>
            <rFont val="宋体"/>
            <charset val="134"/>
          </rPr>
          <t xml:space="preserve">
2022.4.19收16669.8水单16695.8  134美金来自J4217-1</t>
        </r>
      </text>
    </comment>
    <comment ref="Q1101" authorId="0">
      <text>
        <r>
          <rPr>
            <b/>
            <sz val="9"/>
            <rFont val="宋体"/>
            <charset val="134"/>
          </rPr>
          <t>Administrator:</t>
        </r>
        <r>
          <rPr>
            <sz val="9"/>
            <rFont val="宋体"/>
            <charset val="134"/>
          </rPr>
          <t xml:space="preserve">
2022.3.15收39974
J4217-1定金24367
剩下用于J4239</t>
        </r>
      </text>
    </comment>
    <comment ref="P1102" authorId="0">
      <text>
        <r>
          <rPr>
            <b/>
            <sz val="9"/>
            <rFont val="宋体"/>
            <charset val="134"/>
          </rPr>
          <t>Administrator:</t>
        </r>
        <r>
          <rPr>
            <sz val="9"/>
            <rFont val="宋体"/>
            <charset val="134"/>
          </rPr>
          <t xml:space="preserve">
甩货已付 按163053付款的</t>
        </r>
      </text>
    </comment>
    <comment ref="Q1102" authorId="0">
      <text>
        <r>
          <rPr>
            <b/>
            <sz val="9"/>
            <rFont val="宋体"/>
            <charset val="134"/>
          </rPr>
          <t>Administrator:</t>
        </r>
        <r>
          <rPr>
            <sz val="9"/>
            <rFont val="宋体"/>
            <charset val="134"/>
          </rPr>
          <t xml:space="preserve">
2022.1.26收
2022.1.28收38915.9</t>
        </r>
      </text>
    </comment>
    <comment ref="T1102" authorId="0">
      <text>
        <r>
          <rPr>
            <b/>
            <sz val="9"/>
            <rFont val="宋体"/>
            <charset val="134"/>
          </rPr>
          <t>Administrator:</t>
        </r>
        <r>
          <rPr>
            <sz val="9"/>
            <rFont val="宋体"/>
            <charset val="134"/>
          </rPr>
          <t xml:space="preserve">
2022.4.20收</t>
        </r>
      </text>
    </comment>
    <comment ref="U1102" authorId="0">
      <text>
        <r>
          <rPr>
            <b/>
            <sz val="9"/>
            <rFont val="宋体"/>
            <charset val="134"/>
          </rPr>
          <t>Administrator:</t>
        </r>
        <r>
          <rPr>
            <sz val="9"/>
            <rFont val="宋体"/>
            <charset val="134"/>
          </rPr>
          <t xml:space="preserve">
2022.4.28收J4218 尾款 54137.1
J4275 补定金 43966.4</t>
        </r>
      </text>
    </comment>
    <comment ref="Q1103" authorId="0">
      <text>
        <r>
          <rPr>
            <b/>
            <sz val="9"/>
            <rFont val="宋体"/>
            <charset val="134"/>
          </rPr>
          <t>Administrator:</t>
        </r>
        <r>
          <rPr>
            <sz val="9"/>
            <rFont val="宋体"/>
            <charset val="134"/>
          </rPr>
          <t xml:space="preserve">
2022.2.25收</t>
        </r>
      </text>
    </comment>
    <comment ref="T1103" authorId="0">
      <text>
        <r>
          <rPr>
            <b/>
            <sz val="9"/>
            <rFont val="宋体"/>
            <charset val="134"/>
          </rPr>
          <t>Administrator:</t>
        </r>
        <r>
          <rPr>
            <sz val="9"/>
            <rFont val="宋体"/>
            <charset val="134"/>
          </rPr>
          <t xml:space="preserve">
2022.4.2收4541.5 含海运费</t>
        </r>
      </text>
    </comment>
    <comment ref="Q1104" authorId="0">
      <text>
        <r>
          <rPr>
            <b/>
            <sz val="9"/>
            <rFont val="宋体"/>
            <charset val="134"/>
          </rPr>
          <t>Administrator:</t>
        </r>
        <r>
          <rPr>
            <sz val="9"/>
            <rFont val="宋体"/>
            <charset val="134"/>
          </rPr>
          <t xml:space="preserve">
2022.2.23收9993.42</t>
        </r>
      </text>
    </comment>
    <comment ref="T1104" authorId="0">
      <text>
        <r>
          <rPr>
            <b/>
            <sz val="9"/>
            <rFont val="宋体"/>
            <charset val="134"/>
          </rPr>
          <t>Administrator:</t>
        </r>
        <r>
          <rPr>
            <sz val="9"/>
            <rFont val="宋体"/>
            <charset val="134"/>
          </rPr>
          <t xml:space="preserve">
2022.6.1收23981.8
付了J4235 600美金退仓费</t>
        </r>
      </text>
    </comment>
    <comment ref="Q1105" authorId="0">
      <text>
        <r>
          <rPr>
            <b/>
            <sz val="9"/>
            <rFont val="宋体"/>
            <charset val="134"/>
          </rPr>
          <t>Administrator:</t>
        </r>
        <r>
          <rPr>
            <sz val="9"/>
            <rFont val="宋体"/>
            <charset val="134"/>
          </rPr>
          <t xml:space="preserve">
2022.3.3收9974</t>
        </r>
      </text>
    </comment>
    <comment ref="T1106" authorId="0">
      <text>
        <r>
          <rPr>
            <b/>
            <sz val="9"/>
            <rFont val="宋体"/>
            <charset val="134"/>
          </rPr>
          <t>Administrator:</t>
        </r>
        <r>
          <rPr>
            <sz val="9"/>
            <rFont val="宋体"/>
            <charset val="134"/>
          </rPr>
          <t xml:space="preserve">
2022.5.16收39532.5  20001是J4233-1的
19557.5是J4285-2尾款</t>
        </r>
      </text>
    </comment>
    <comment ref="Q1107" authorId="0">
      <text>
        <r>
          <rPr>
            <b/>
            <sz val="9"/>
            <rFont val="宋体"/>
            <charset val="134"/>
          </rPr>
          <t>Administrator:</t>
        </r>
        <r>
          <rPr>
            <sz val="9"/>
            <rFont val="宋体"/>
            <charset val="134"/>
          </rPr>
          <t xml:space="preserve">
2022.3.1收</t>
        </r>
      </text>
    </comment>
    <comment ref="Q1108" authorId="0">
      <text>
        <r>
          <rPr>
            <b/>
            <sz val="9"/>
            <rFont val="宋体"/>
            <charset val="134"/>
          </rPr>
          <t>Administrator:</t>
        </r>
        <r>
          <rPr>
            <sz val="9"/>
            <rFont val="宋体"/>
            <charset val="134"/>
          </rPr>
          <t xml:space="preserve">
2022.3.3收10368.46</t>
        </r>
      </text>
    </comment>
    <comment ref="Q1109" authorId="0">
      <text>
        <r>
          <rPr>
            <b/>
            <sz val="9"/>
            <rFont val="宋体"/>
            <charset val="134"/>
          </rPr>
          <t>Administrator:</t>
        </r>
        <r>
          <rPr>
            <sz val="9"/>
            <rFont val="宋体"/>
            <charset val="134"/>
          </rPr>
          <t xml:space="preserve">
2022.3.8收11360
2022.3.10收6219.85</t>
        </r>
      </text>
    </comment>
    <comment ref="Q1110" authorId="0">
      <text>
        <r>
          <rPr>
            <b/>
            <sz val="9"/>
            <rFont val="宋体"/>
            <charset val="134"/>
          </rPr>
          <t>Administrator:</t>
        </r>
        <r>
          <rPr>
            <sz val="9"/>
            <rFont val="宋体"/>
            <charset val="134"/>
          </rPr>
          <t xml:space="preserve">
2022.3.11收16320.45</t>
        </r>
      </text>
    </comment>
    <comment ref="Q1111" authorId="0">
      <text>
        <r>
          <rPr>
            <b/>
            <sz val="9"/>
            <rFont val="宋体"/>
            <charset val="134"/>
          </rPr>
          <t>Administrator:见J4205备注
2022.4.28收21166</t>
        </r>
      </text>
    </comment>
    <comment ref="T1111" authorId="0">
      <text>
        <r>
          <rPr>
            <b/>
            <sz val="9"/>
            <rFont val="宋体"/>
            <charset val="134"/>
          </rPr>
          <t>Administrator:</t>
        </r>
        <r>
          <rPr>
            <sz val="9"/>
            <rFont val="宋体"/>
            <charset val="134"/>
          </rPr>
          <t xml:space="preserve">
2022.5.28收33099.58</t>
        </r>
      </text>
    </comment>
    <comment ref="Q1113" authorId="0">
      <text>
        <r>
          <rPr>
            <b/>
            <sz val="9"/>
            <rFont val="宋体"/>
            <charset val="134"/>
          </rPr>
          <t>Administrator:</t>
        </r>
        <r>
          <rPr>
            <sz val="9"/>
            <rFont val="宋体"/>
            <charset val="134"/>
          </rPr>
          <t xml:space="preserve">
2022.3.9</t>
        </r>
      </text>
    </comment>
    <comment ref="T1113" authorId="0">
      <text>
        <r>
          <rPr>
            <b/>
            <sz val="9"/>
            <rFont val="宋体"/>
            <charset val="134"/>
          </rPr>
          <t>Administrator:</t>
        </r>
        <r>
          <rPr>
            <sz val="9"/>
            <rFont val="宋体"/>
            <charset val="134"/>
          </rPr>
          <t xml:space="preserve">
2022.6.16收</t>
        </r>
      </text>
    </comment>
    <comment ref="Q1114" authorId="0">
      <text>
        <r>
          <rPr>
            <b/>
            <sz val="9"/>
            <rFont val="宋体"/>
            <charset val="134"/>
          </rPr>
          <t>Administrator:</t>
        </r>
        <r>
          <rPr>
            <sz val="9"/>
            <rFont val="宋体"/>
            <charset val="134"/>
          </rPr>
          <t xml:space="preserve">
2022.3.15收39974
J4239定金15633
剩下用于J4217-1</t>
        </r>
      </text>
    </comment>
    <comment ref="T1115" authorId="0">
      <text>
        <r>
          <rPr>
            <b/>
            <sz val="9"/>
            <rFont val="宋体"/>
            <charset val="134"/>
          </rPr>
          <t>Administrator:</t>
        </r>
        <r>
          <rPr>
            <sz val="9"/>
            <rFont val="宋体"/>
            <charset val="134"/>
          </rPr>
          <t xml:space="preserve">
2022.5.26收22866</t>
        </r>
      </text>
    </comment>
    <comment ref="Q1116" authorId="0">
      <text>
        <r>
          <rPr>
            <b/>
            <sz val="9"/>
            <rFont val="宋体"/>
            <charset val="134"/>
          </rPr>
          <t>Administrator:</t>
        </r>
        <r>
          <rPr>
            <sz val="9"/>
            <rFont val="宋体"/>
            <charset val="134"/>
          </rPr>
          <t xml:space="preserve">
2022.4.6收7990</t>
        </r>
      </text>
    </comment>
    <comment ref="Q1117" authorId="0">
      <text>
        <r>
          <rPr>
            <b/>
            <sz val="9"/>
            <rFont val="宋体"/>
            <charset val="134"/>
          </rPr>
          <t>Administrator:</t>
        </r>
        <r>
          <rPr>
            <sz val="9"/>
            <rFont val="宋体"/>
            <charset val="134"/>
          </rPr>
          <t xml:space="preserve">
2022.4.12收11156.01</t>
        </r>
      </text>
    </comment>
    <comment ref="T1117" authorId="0">
      <text>
        <r>
          <rPr>
            <b/>
            <sz val="9"/>
            <rFont val="宋体"/>
            <charset val="134"/>
          </rPr>
          <t>Administrator:</t>
        </r>
        <r>
          <rPr>
            <sz val="9"/>
            <rFont val="宋体"/>
            <charset val="134"/>
          </rPr>
          <t xml:space="preserve">
2022.5.26收26050.69</t>
        </r>
      </text>
    </comment>
    <comment ref="Q1118" authorId="0">
      <text>
        <r>
          <rPr>
            <b/>
            <sz val="9"/>
            <rFont val="宋体"/>
            <charset val="134"/>
          </rPr>
          <t>Administrator:</t>
        </r>
        <r>
          <rPr>
            <sz val="9"/>
            <rFont val="宋体"/>
            <charset val="134"/>
          </rPr>
          <t xml:space="preserve">
2022.4.8收34225.68
水单34375.68  17000是J4268定金  17375.68美金是J4273定金</t>
        </r>
      </text>
    </comment>
    <comment ref="T1118" authorId="0">
      <text>
        <r>
          <rPr>
            <b/>
            <sz val="9"/>
            <rFont val="宋体"/>
            <charset val="134"/>
          </rPr>
          <t>Administrator:</t>
        </r>
        <r>
          <rPr>
            <sz val="9"/>
            <rFont val="宋体"/>
            <charset val="134"/>
          </rPr>
          <t xml:space="preserve">
2022.5.26收87112.12</t>
        </r>
      </text>
    </comment>
    <comment ref="Q1119" authorId="0">
      <text>
        <r>
          <rPr>
            <b/>
            <sz val="9"/>
            <rFont val="宋体"/>
            <charset val="134"/>
          </rPr>
          <t>Administrator:</t>
        </r>
        <r>
          <rPr>
            <sz val="9"/>
            <rFont val="宋体"/>
            <charset val="134"/>
          </rPr>
          <t xml:space="preserve">
2022.4.15收</t>
        </r>
      </text>
    </comment>
    <comment ref="Q1120" authorId="0">
      <text>
        <r>
          <rPr>
            <b/>
            <sz val="9"/>
            <rFont val="宋体"/>
            <charset val="134"/>
          </rPr>
          <t>Administrator:</t>
        </r>
        <r>
          <rPr>
            <sz val="9"/>
            <rFont val="宋体"/>
            <charset val="134"/>
          </rPr>
          <t xml:space="preserve">
2022.4.19收
2022.4.28收J4275 补定金 43966.4</t>
        </r>
      </text>
    </comment>
    <comment ref="Q1121" authorId="0">
      <text>
        <r>
          <rPr>
            <b/>
            <sz val="9"/>
            <rFont val="宋体"/>
            <charset val="134"/>
          </rPr>
          <t>Administrator:</t>
        </r>
        <r>
          <rPr>
            <sz val="9"/>
            <rFont val="宋体"/>
            <charset val="134"/>
          </rPr>
          <t xml:space="preserve">
2022.4.8收</t>
        </r>
      </text>
    </comment>
    <comment ref="Q1122" authorId="0">
      <text>
        <r>
          <rPr>
            <b/>
            <sz val="9"/>
            <rFont val="宋体"/>
            <charset val="134"/>
          </rPr>
          <t>Administrator:</t>
        </r>
        <r>
          <rPr>
            <sz val="9"/>
            <rFont val="宋体"/>
            <charset val="134"/>
          </rPr>
          <t xml:space="preserve">
2022.4.29收16974</t>
        </r>
      </text>
    </comment>
    <comment ref="T1122" authorId="0">
      <text>
        <r>
          <rPr>
            <b/>
            <sz val="9"/>
            <rFont val="宋体"/>
            <charset val="134"/>
          </rPr>
          <t>Administrator:</t>
        </r>
        <r>
          <rPr>
            <sz val="9"/>
            <rFont val="宋体"/>
            <charset val="134"/>
          </rPr>
          <t xml:space="preserve">
2022.5.9收19853</t>
        </r>
      </text>
    </comment>
    <comment ref="T1123" authorId="0">
      <text>
        <r>
          <rPr>
            <b/>
            <sz val="9"/>
            <rFont val="宋体"/>
            <charset val="134"/>
          </rPr>
          <t>Administrator:</t>
        </r>
        <r>
          <rPr>
            <sz val="9"/>
            <rFont val="宋体"/>
            <charset val="134"/>
          </rPr>
          <t xml:space="preserve">
2022.5.16收39532.5  20001是J4233-1的
19557.5是J4285-2尾款
</t>
        </r>
      </text>
    </comment>
    <comment ref="Q1124" authorId="0">
      <text>
        <r>
          <rPr>
            <b/>
            <sz val="9"/>
            <rFont val="宋体"/>
            <charset val="134"/>
          </rPr>
          <t>Administrator:</t>
        </r>
        <r>
          <rPr>
            <sz val="9"/>
            <rFont val="宋体"/>
            <charset val="134"/>
          </rPr>
          <t xml:space="preserve">
2022.5.10收9462.96</t>
        </r>
      </text>
    </comment>
    <comment ref="Q1125" authorId="0">
      <text>
        <r>
          <rPr>
            <b/>
            <sz val="9"/>
            <rFont val="宋体"/>
            <charset val="134"/>
          </rPr>
          <t>Administrator:</t>
        </r>
        <r>
          <rPr>
            <sz val="9"/>
            <rFont val="宋体"/>
            <charset val="134"/>
          </rPr>
          <t xml:space="preserve">
2022.5.17收</t>
        </r>
      </text>
    </comment>
    <comment ref="Q1128" authorId="0">
      <text>
        <r>
          <rPr>
            <b/>
            <sz val="9"/>
            <rFont val="宋体"/>
            <charset val="134"/>
          </rPr>
          <t>Administrator:</t>
        </r>
        <r>
          <rPr>
            <sz val="9"/>
            <rFont val="宋体"/>
            <charset val="134"/>
          </rPr>
          <t xml:space="preserve">
2022.6.13</t>
        </r>
      </text>
    </comment>
    <comment ref="Q1131" authorId="0">
      <text>
        <r>
          <rPr>
            <b/>
            <sz val="9"/>
            <rFont val="宋体"/>
            <charset val="134"/>
          </rPr>
          <t>Administrator:</t>
        </r>
        <r>
          <rPr>
            <sz val="9"/>
            <rFont val="宋体"/>
            <charset val="134"/>
          </rPr>
          <t xml:space="preserve">
2020.共收到1万美金定金 平分到-1 -2</t>
        </r>
      </text>
    </comment>
    <comment ref="T1131" authorId="0">
      <text>
        <r>
          <rPr>
            <b/>
            <sz val="9"/>
            <rFont val="宋体"/>
            <charset val="134"/>
          </rPr>
          <t>Administrator:</t>
        </r>
        <r>
          <rPr>
            <sz val="9"/>
            <rFont val="宋体"/>
            <charset val="134"/>
          </rPr>
          <t xml:space="preserve">
2020.7.10收</t>
        </r>
      </text>
    </comment>
    <comment ref="T1132" authorId="0">
      <text>
        <r>
          <rPr>
            <b/>
            <sz val="9"/>
            <rFont val="宋体"/>
            <charset val="134"/>
          </rPr>
          <t>Administrator:</t>
        </r>
        <r>
          <rPr>
            <sz val="9"/>
            <rFont val="宋体"/>
            <charset val="134"/>
          </rPr>
          <t xml:space="preserve">
2020.4.22收</t>
        </r>
      </text>
    </comment>
    <comment ref="T1133" authorId="0">
      <text>
        <r>
          <rPr>
            <b/>
            <sz val="9"/>
            <rFont val="宋体"/>
            <charset val="134"/>
          </rPr>
          <t>Administrator:</t>
        </r>
        <r>
          <rPr>
            <sz val="9"/>
            <rFont val="宋体"/>
            <charset val="134"/>
          </rPr>
          <t xml:space="preserve">
2020.7.7</t>
        </r>
      </text>
    </comment>
    <comment ref="T1134" authorId="0">
      <text>
        <r>
          <rPr>
            <b/>
            <sz val="9"/>
            <rFont val="宋体"/>
            <charset val="134"/>
          </rPr>
          <t>Administrator:</t>
        </r>
        <r>
          <rPr>
            <sz val="9"/>
            <rFont val="宋体"/>
            <charset val="134"/>
          </rPr>
          <t xml:space="preserve">
2020.10.26收12058.8</t>
        </r>
      </text>
    </comment>
    <comment ref="Q1135" authorId="0">
      <text>
        <r>
          <rPr>
            <b/>
            <sz val="9"/>
            <rFont val="宋体"/>
            <charset val="134"/>
          </rPr>
          <t>Administrator:</t>
        </r>
        <r>
          <rPr>
            <sz val="9"/>
            <rFont val="宋体"/>
            <charset val="134"/>
          </rPr>
          <t xml:space="preserve">
X3748多打的</t>
        </r>
      </text>
    </comment>
    <comment ref="T1135" authorId="0">
      <text>
        <r>
          <rPr>
            <b/>
            <sz val="9"/>
            <rFont val="宋体"/>
            <charset val="134"/>
          </rPr>
          <t>Administrator:</t>
        </r>
        <r>
          <rPr>
            <sz val="9"/>
            <rFont val="宋体"/>
            <charset val="134"/>
          </rPr>
          <t xml:space="preserve">
2020.10.16收</t>
        </r>
      </text>
    </comment>
    <comment ref="Q1136" authorId="0">
      <text>
        <r>
          <rPr>
            <b/>
            <sz val="9"/>
            <rFont val="宋体"/>
            <charset val="134"/>
          </rPr>
          <t>Administrator:</t>
        </r>
        <r>
          <rPr>
            <sz val="9"/>
            <rFont val="宋体"/>
            <charset val="134"/>
          </rPr>
          <t xml:space="preserve">
2020.10.16收</t>
        </r>
      </text>
    </comment>
    <comment ref="T1136" authorId="0">
      <text>
        <r>
          <rPr>
            <b/>
            <sz val="9"/>
            <rFont val="宋体"/>
            <charset val="134"/>
          </rPr>
          <t>Administrator:</t>
        </r>
        <r>
          <rPr>
            <sz val="9"/>
            <rFont val="宋体"/>
            <charset val="134"/>
          </rPr>
          <t xml:space="preserve">
2021.9.17收27739.64</t>
        </r>
      </text>
    </comment>
    <comment ref="Q1137" authorId="0">
      <text>
        <r>
          <rPr>
            <b/>
            <sz val="9"/>
            <rFont val="宋体"/>
            <charset val="134"/>
          </rPr>
          <t>Administrator:</t>
        </r>
        <r>
          <rPr>
            <sz val="9"/>
            <rFont val="宋体"/>
            <charset val="134"/>
          </rPr>
          <t xml:space="preserve">
2021.1.26收6216.88</t>
        </r>
      </text>
    </comment>
    <comment ref="T1137" authorId="0">
      <text>
        <r>
          <rPr>
            <b/>
            <sz val="9"/>
            <rFont val="宋体"/>
            <charset val="134"/>
          </rPr>
          <t>Administrator:</t>
        </r>
        <r>
          <rPr>
            <sz val="9"/>
            <rFont val="宋体"/>
            <charset val="134"/>
          </rPr>
          <t xml:space="preserve">
2021.3.29收11944.76</t>
        </r>
      </text>
    </comment>
    <comment ref="Q1138" authorId="0">
      <text>
        <r>
          <rPr>
            <b/>
            <sz val="9"/>
            <rFont val="宋体"/>
            <charset val="134"/>
          </rPr>
          <t>Administrator:</t>
        </r>
        <r>
          <rPr>
            <sz val="9"/>
            <rFont val="宋体"/>
            <charset val="134"/>
          </rPr>
          <t xml:space="preserve">
2021.12.16收6321.9</t>
        </r>
      </text>
    </comment>
    <comment ref="T1138" authorId="0">
      <text>
        <r>
          <rPr>
            <b/>
            <sz val="9"/>
            <rFont val="宋体"/>
            <charset val="134"/>
          </rPr>
          <t>Administrator:</t>
        </r>
        <r>
          <rPr>
            <sz val="9"/>
            <rFont val="宋体"/>
            <charset val="134"/>
          </rPr>
          <t xml:space="preserve">
来自M4151</t>
        </r>
      </text>
    </comment>
    <comment ref="T1143" authorId="0">
      <text>
        <r>
          <rPr>
            <b/>
            <sz val="9"/>
            <rFont val="宋体"/>
            <charset val="134"/>
          </rPr>
          <t>Administrator:</t>
        </r>
        <r>
          <rPr>
            <sz val="9"/>
            <rFont val="宋体"/>
            <charset val="134"/>
          </rPr>
          <t xml:space="preserve">
2020.3.31收</t>
        </r>
      </text>
    </comment>
    <comment ref="T1144" authorId="0">
      <text>
        <r>
          <rPr>
            <b/>
            <sz val="9"/>
            <rFont val="宋体"/>
            <charset val="134"/>
          </rPr>
          <t>Administrator:</t>
        </r>
        <r>
          <rPr>
            <sz val="9"/>
            <rFont val="宋体"/>
            <charset val="134"/>
          </rPr>
          <t xml:space="preserve">
2020.4.15收</t>
        </r>
      </text>
    </comment>
    <comment ref="T1145" authorId="0">
      <text>
        <r>
          <rPr>
            <b/>
            <sz val="9"/>
            <rFont val="宋体"/>
            <charset val="134"/>
          </rPr>
          <t>Administrator:</t>
        </r>
        <r>
          <rPr>
            <sz val="9"/>
            <rFont val="宋体"/>
            <charset val="134"/>
          </rPr>
          <t xml:space="preserve">
水单18779 2020.6.30收</t>
        </r>
      </text>
    </comment>
    <comment ref="T1146" authorId="0">
      <text>
        <r>
          <rPr>
            <b/>
            <sz val="9"/>
            <rFont val="宋体"/>
            <charset val="134"/>
          </rPr>
          <t>Administrator:</t>
        </r>
        <r>
          <rPr>
            <sz val="9"/>
            <rFont val="宋体"/>
            <charset val="134"/>
          </rPr>
          <t xml:space="preserve">
2020.7.1收</t>
        </r>
      </text>
    </comment>
    <comment ref="U1146" authorId="0">
      <text>
        <r>
          <rPr>
            <b/>
            <sz val="9"/>
            <rFont val="宋体"/>
            <charset val="134"/>
          </rPr>
          <t>Administrator:</t>
        </r>
        <r>
          <rPr>
            <sz val="9"/>
            <rFont val="宋体"/>
            <charset val="134"/>
          </rPr>
          <t xml:space="preserve">
2020.9.30收5365.05</t>
        </r>
      </text>
    </comment>
    <comment ref="R1154" authorId="0">
      <text>
        <r>
          <rPr>
            <b/>
            <sz val="9"/>
            <rFont val="宋体"/>
            <charset val="134"/>
          </rPr>
          <t>Administrator:</t>
        </r>
        <r>
          <rPr>
            <sz val="9"/>
            <rFont val="宋体"/>
            <charset val="134"/>
          </rPr>
          <t xml:space="preserve">
9.12</t>
        </r>
      </text>
    </comment>
    <comment ref="U1154" authorId="0">
      <text>
        <r>
          <rPr>
            <b/>
            <sz val="9"/>
            <rFont val="宋体"/>
            <charset val="134"/>
          </rPr>
          <t>Administrator:</t>
        </r>
        <r>
          <rPr>
            <sz val="9"/>
            <rFont val="宋体"/>
            <charset val="134"/>
          </rPr>
          <t xml:space="preserve">
9.12</t>
        </r>
      </text>
    </comment>
    <comment ref="T1161" authorId="0">
      <text>
        <r>
          <rPr>
            <b/>
            <sz val="9"/>
            <rFont val="宋体"/>
            <charset val="134"/>
          </rPr>
          <t>Administrator:</t>
        </r>
        <r>
          <rPr>
            <sz val="9"/>
            <rFont val="宋体"/>
            <charset val="134"/>
          </rPr>
          <t xml:space="preserve">
1.10</t>
        </r>
      </text>
    </comment>
    <comment ref="Q1167" authorId="0">
      <text>
        <r>
          <rPr>
            <b/>
            <sz val="9"/>
            <rFont val="宋体"/>
            <charset val="134"/>
          </rPr>
          <t>Administrator:</t>
        </r>
        <r>
          <rPr>
            <sz val="9"/>
            <rFont val="宋体"/>
            <charset val="134"/>
          </rPr>
          <t xml:space="preserve">
7872.5  1/3</t>
        </r>
      </text>
    </comment>
    <comment ref="R1167" authorId="0">
      <text>
        <r>
          <rPr>
            <b/>
            <sz val="9"/>
            <rFont val="宋体"/>
            <charset val="134"/>
          </rPr>
          <t>Administrator:</t>
        </r>
        <r>
          <rPr>
            <sz val="9"/>
            <rFont val="宋体"/>
            <charset val="134"/>
          </rPr>
          <t xml:space="preserve">
这个款下单安排</t>
        </r>
      </text>
    </comment>
    <comment ref="Q1168" authorId="0">
      <text>
        <r>
          <rPr>
            <b/>
            <sz val="9"/>
            <rFont val="宋体"/>
            <charset val="134"/>
          </rPr>
          <t>Administrator:</t>
        </r>
        <r>
          <rPr>
            <sz val="9"/>
            <rFont val="宋体"/>
            <charset val="134"/>
          </rPr>
          <t xml:space="preserve">
45094  1.7  6.85</t>
        </r>
      </text>
    </comment>
    <comment ref="Q1171" authorId="0">
      <text>
        <r>
          <rPr>
            <b/>
            <sz val="9"/>
            <rFont val="宋体"/>
            <charset val="134"/>
          </rPr>
          <t>Administrator:</t>
        </r>
        <r>
          <rPr>
            <sz val="9"/>
            <rFont val="宋体"/>
            <charset val="134"/>
          </rPr>
          <t xml:space="preserve">
19963  2.15
4个柜的定金2万美金
-1用掉4千 -3用掉5千</t>
        </r>
      </text>
    </comment>
    <comment ref="Q1173" authorId="0">
      <text>
        <r>
          <rPr>
            <b/>
            <sz val="9"/>
            <rFont val="宋体"/>
            <charset val="134"/>
          </rPr>
          <t>Administrator:</t>
        </r>
        <r>
          <rPr>
            <sz val="9"/>
            <rFont val="宋体"/>
            <charset val="134"/>
          </rPr>
          <t xml:space="preserve">
7593 2.14</t>
        </r>
      </text>
    </comment>
    <comment ref="Q1174" authorId="0">
      <text>
        <r>
          <rPr>
            <b/>
            <sz val="9"/>
            <rFont val="宋体"/>
            <charset val="134"/>
          </rPr>
          <t>Administrator:</t>
        </r>
        <r>
          <rPr>
            <sz val="9"/>
            <rFont val="宋体"/>
            <charset val="134"/>
          </rPr>
          <t xml:space="preserve">
6450  3.5</t>
        </r>
      </text>
    </comment>
    <comment ref="P1179"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80" authorId="0">
      <text>
        <r>
          <rPr>
            <b/>
            <sz val="9"/>
            <rFont val="宋体"/>
            <charset val="134"/>
          </rPr>
          <t>Administrator:</t>
        </r>
        <r>
          <rPr>
            <sz val="9"/>
            <rFont val="宋体"/>
            <charset val="134"/>
          </rPr>
          <t xml:space="preserve">
2020.1.16收25067.48美金
多装的货是3510美金 从定金扣除</t>
        </r>
      </text>
    </comment>
    <comment ref="U1197" authorId="0">
      <text>
        <r>
          <rPr>
            <sz val="9"/>
            <rFont val="宋体"/>
            <charset val="134"/>
          </rPr>
          <t>Administrator:
5.13 收到 比实际少了300</t>
        </r>
      </text>
    </comment>
    <comment ref="U1198" authorId="0">
      <text>
        <r>
          <rPr>
            <sz val="9"/>
            <rFont val="宋体"/>
            <charset val="134"/>
          </rPr>
          <t>Administrator:
2016.5.13 比实际少140</t>
        </r>
      </text>
    </comment>
    <comment ref="Q1200" authorId="0">
      <text>
        <r>
          <rPr>
            <b/>
            <sz val="9"/>
            <rFont val="宋体"/>
            <charset val="134"/>
          </rPr>
          <t>Administrator:</t>
        </r>
        <r>
          <rPr>
            <sz val="9"/>
            <rFont val="宋体"/>
            <charset val="134"/>
          </rPr>
          <t xml:space="preserve">
20163.12.30  4803</t>
        </r>
      </text>
    </comment>
    <comment ref="T1201" authorId="0">
      <text>
        <r>
          <rPr>
            <b/>
            <sz val="9"/>
            <rFont val="宋体"/>
            <charset val="134"/>
          </rPr>
          <t>Administrator:</t>
        </r>
        <r>
          <rPr>
            <sz val="9"/>
            <rFont val="宋体"/>
            <charset val="134"/>
          </rPr>
          <t xml:space="preserve">
7940  10.9</t>
        </r>
      </text>
    </comment>
    <comment ref="U1201" authorId="0">
      <text>
        <r>
          <rPr>
            <b/>
            <sz val="9"/>
            <rFont val="宋体"/>
            <charset val="134"/>
          </rPr>
          <t>Administrator:</t>
        </r>
        <r>
          <rPr>
            <sz val="9"/>
            <rFont val="宋体"/>
            <charset val="134"/>
          </rPr>
          <t xml:space="preserve">
7940  10.9</t>
        </r>
      </text>
    </comment>
    <comment ref="U1202" authorId="0">
      <text>
        <r>
          <rPr>
            <b/>
            <sz val="9"/>
            <rFont val="宋体"/>
            <charset val="134"/>
          </rPr>
          <t>Administrator:</t>
        </r>
        <r>
          <rPr>
            <sz val="9"/>
            <rFont val="宋体"/>
            <charset val="134"/>
          </rPr>
          <t xml:space="preserve">
3000 4-8 收到
</t>
        </r>
      </text>
    </comment>
    <comment ref="T1204" authorId="0">
      <text>
        <r>
          <rPr>
            <b/>
            <sz val="9"/>
            <rFont val="宋体"/>
            <charset val="134"/>
          </rPr>
          <t>Administrator:</t>
        </r>
        <r>
          <rPr>
            <sz val="9"/>
            <rFont val="宋体"/>
            <charset val="134"/>
          </rPr>
          <t xml:space="preserve">
4-12</t>
        </r>
      </text>
    </comment>
    <comment ref="U1204" authorId="0">
      <text>
        <r>
          <rPr>
            <b/>
            <sz val="9"/>
            <rFont val="宋体"/>
            <charset val="134"/>
          </rPr>
          <t>Administrator:</t>
        </r>
        <r>
          <rPr>
            <sz val="9"/>
            <rFont val="宋体"/>
            <charset val="134"/>
          </rPr>
          <t xml:space="preserve">
4-12</t>
        </r>
      </text>
    </comment>
    <comment ref="T1210"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<sst xmlns="http://schemas.openxmlformats.org/spreadsheetml/2006/main" count="11040" uniqueCount="4737">
  <si>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</si>
  <si>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</si>
  <si>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</si>
  <si>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</si>
  <si>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</si>
  <si>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</si>
  <si>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</si>
  <si>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</si>
  <si>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</si>
  <si>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</si>
  <si>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</si>
  <si>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</si>
  <si>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</si>
  <si>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</si>
  <si>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</si>
  <si>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</si>
  <si>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</si>
  <si>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</si>
  <si>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</si>
  <si>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</si>
  <si>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</si>
  <si>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</si>
  <si>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</si>
  <si>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</si>
  <si>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</si>
  <si>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</si>
  <si>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</si>
  <si>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</si>
  <si>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</si>
  <si>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</si>
  <si>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</si>
  <si>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</si>
  <si>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</si>
  <si>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</si>
  <si>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</si>
  <si>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</si>
  <si>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</si>
  <si>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</si>
  <si>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</si>
  <si>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</si>
  <si>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</si>
  <si>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</si>
  <si>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</si>
  <si>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</si>
  <si>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</si>
  <si>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</si>
  <si>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</si>
  <si>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</si>
  <si>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</si>
  <si>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</si>
  <si>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</si>
  <si>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</si>
  <si>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</si>
  <si>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</si>
  <si>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</si>
  <si>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</si>
  <si>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</si>
  <si>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</si>
  <si>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</si>
  <si>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</si>
  <si>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</si>
  <si>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</si>
  <si>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</si>
  <si>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</si>
  <si>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</si>
  <si>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</si>
  <si>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</si>
  <si>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</si>
  <si>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</si>
  <si>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</si>
  <si>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</si>
  <si>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</si>
  <si>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</si>
  <si>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</si>
  <si>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</si>
  <si>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</si>
  <si>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</si>
  <si>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</si>
  <si>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</si>
  <si>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</si>
  <si>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</si>
  <si>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</si>
  <si>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</si>
  <si>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</si>
  <si>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</si>
  <si>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</si>
  <si>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</si>
  <si>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</si>
  <si>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</si>
  <si>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</si>
  <si>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</si>
  <si>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</si>
  <si>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</si>
  <si>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</si>
  <si>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</si>
  <si>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</si>
  <si>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</si>
  <si>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</si>
  <si>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</si>
  <si>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</si>
  <si>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</si>
  <si>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</si>
  <si>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</si>
  <si>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</si>
  <si>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</si>
  <si>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</si>
  <si>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</si>
  <si>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</si>
  <si>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</si>
  <si>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</si>
  <si>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</si>
  <si>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</si>
  <si>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</si>
  <si>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</si>
  <si>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</si>
  <si>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</si>
  <si>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</si>
  <si>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</si>
  <si>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</si>
  <si>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</si>
  <si>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</si>
  <si>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</si>
  <si>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</si>
  <si>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</si>
  <si>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</si>
  <si>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</si>
  <si>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</si>
  <si>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</si>
  <si>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</si>
  <si>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</si>
  <si>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</si>
  <si>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</si>
  <si>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</si>
  <si>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</si>
  <si>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</si>
  <si>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</si>
  <si>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</si>
  <si>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</si>
  <si>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</si>
  <si>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</si>
  <si>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</si>
  <si>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</si>
  <si>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</si>
  <si>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</si>
  <si>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</si>
  <si>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</si>
  <si>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</si>
  <si>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</si>
  <si>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</si>
  <si>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</si>
  <si>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</si>
  <si>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</si>
  <si>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</si>
  <si>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</si>
  <si>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</si>
  <si>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</si>
  <si>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</si>
  <si>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</si>
  <si>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</si>
  <si>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</si>
  <si>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</si>
  <si>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</si>
  <si>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</si>
  <si>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</si>
  <si>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</si>
  <si>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</si>
  <si>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</si>
  <si>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</si>
  <si>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</si>
  <si>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</si>
  <si>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</si>
  <si>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</si>
  <si>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</si>
  <si>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</si>
  <si>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</si>
  <si>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</si>
  <si>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</si>
  <si>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</si>
  <si>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</si>
  <si>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</si>
  <si>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</si>
  <si>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</si>
  <si>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</si>
  <si>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</si>
  <si>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</si>
  <si>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</si>
  <si>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</si>
  <si>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</si>
  <si>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</si>
  <si>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</si>
  <si>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</si>
  <si>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</si>
  <si>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</si>
  <si>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</si>
  <si>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</si>
  <si>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</si>
  <si>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</si>
  <si>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</si>
  <si>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</si>
  <si>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</si>
  <si>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</si>
  <si>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</si>
  <si>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</si>
  <si>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</si>
  <si>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</si>
  <si>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</si>
  <si>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</si>
  <si>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</si>
  <si>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</si>
  <si>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</si>
  <si>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</si>
  <si>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</si>
  <si>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</si>
  <si>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</si>
  <si>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</si>
  <si>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</si>
  <si>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</si>
  <si>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</si>
  <si>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</si>
  <si>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</si>
  <si>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</si>
  <si>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</si>
  <si>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</si>
  <si>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</si>
  <si>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</si>
  <si>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</si>
  <si>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</si>
  <si>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</si>
  <si>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</si>
  <si>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</si>
  <si>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</si>
  <si>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</si>
  <si>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</si>
  <si>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</si>
  <si>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</si>
  <si>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</si>
  <si>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</si>
  <si>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</si>
  <si>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</si>
  <si>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</si>
  <si>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</si>
  <si>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</si>
  <si>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</si>
  <si>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</si>
  <si>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</si>
  <si>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</si>
  <si>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</si>
  <si>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</si>
  <si>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</si>
  <si>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</si>
  <si>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</si>
  <si>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</si>
  <si>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</si>
  <si>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</si>
  <si>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</si>
  <si>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</si>
  <si>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</si>
  <si>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</si>
  <si>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</si>
  <si>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</si>
  <si>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</si>
  <si>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</si>
  <si>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</si>
  <si>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</si>
  <si>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</si>
  <si>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</si>
  <si>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</si>
  <si>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</si>
  <si>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</si>
  <si>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</si>
  <si>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</si>
  <si>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</si>
  <si>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</si>
  <si>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</si>
  <si>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</si>
  <si>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</si>
  <si>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</si>
  <si>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</si>
  <si>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</si>
  <si>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</si>
  <si>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</si>
  <si>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</si>
  <si>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</si>
  <si>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</si>
  <si>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</si>
  <si>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</si>
  <si>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</si>
  <si>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</si>
  <si>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</si>
  <si>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</si>
  <si>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</si>
  <si>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</si>
  <si>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</si>
  <si>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</si>
  <si>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</si>
  <si>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</si>
  <si>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</si>
  <si>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</si>
  <si>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</si>
  <si>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</si>
  <si>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</si>
  <si>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</si>
  <si>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</si>
  <si>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</si>
  <si>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</si>
  <si>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</si>
  <si>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</si>
  <si>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</si>
  <si>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</si>
  <si>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</si>
  <si>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</si>
  <si>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</si>
  <si>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</si>
  <si>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</si>
  <si>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</si>
  <si>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</si>
  <si>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</si>
  <si>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</si>
  <si>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</si>
  <si>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</si>
  <si>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</si>
  <si>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</si>
  <si>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</si>
  <si>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</si>
  <si>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</si>
  <si>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</si>
  <si>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</si>
  <si>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</si>
  <si>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</si>
  <si>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</si>
  <si>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</si>
  <si>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</si>
  <si>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</si>
  <si>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</si>
  <si>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</si>
  <si>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</si>
  <si>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</si>
  <si>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</si>
  <si>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</si>
  <si>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</si>
  <si>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</si>
  <si>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</si>
  <si>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</si>
  <si>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</si>
  <si>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</si>
  <si>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</si>
  <si>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</si>
  <si>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</si>
  <si>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</si>
  <si>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</si>
  <si>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</si>
  <si>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</si>
  <si>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</si>
  <si>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</si>
  <si>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</si>
  <si>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</si>
  <si>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</si>
  <si>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</si>
  <si>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</si>
  <si>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</si>
  <si>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</si>
  <si>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</si>
  <si>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</si>
  <si>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</si>
  <si>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</si>
  <si>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</si>
  <si>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</si>
  <si>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</si>
  <si>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</si>
  <si>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</si>
  <si>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</si>
  <si>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</si>
  <si>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</si>
  <si>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</si>
  <si>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</si>
  <si>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</si>
  <si>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</si>
  <si>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</si>
  <si>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</si>
  <si>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</si>
  <si>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</si>
  <si>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</si>
  <si>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</si>
  <si>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</si>
  <si>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</si>
  <si>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</si>
  <si>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</si>
  <si>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</si>
  <si>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</si>
  <si>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</si>
  <si>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</si>
  <si>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</si>
  <si>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</si>
  <si>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</si>
  <si>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</si>
  <si>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</si>
  <si>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</si>
  <si>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</si>
  <si>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</si>
  <si>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</si>
  <si>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</si>
  <si>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</si>
  <si>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</si>
  <si>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</si>
  <si>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</si>
  <si>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</si>
  <si>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</si>
  <si>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</si>
  <si>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</si>
  <si>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</si>
  <si>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</si>
  <si>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</si>
  <si>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</si>
  <si>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</si>
  <si>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</si>
  <si>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</si>
  <si>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</si>
  <si>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</si>
  <si>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</si>
  <si>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</si>
  <si>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</si>
  <si>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</si>
  <si>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</si>
  <si>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</si>
  <si>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</si>
  <si>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</si>
  <si>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</si>
  <si>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</si>
  <si>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</si>
  <si>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</si>
  <si>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</si>
  <si>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</si>
  <si>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</si>
  <si>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</si>
  <si>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</si>
  <si>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</si>
  <si>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</si>
  <si>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</si>
  <si>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</si>
  <si>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</si>
  <si>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</si>
  <si>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</si>
  <si>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</si>
  <si>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</si>
  <si>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</si>
  <si>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</si>
  <si>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</si>
  <si>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</si>
  <si>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</si>
  <si>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</si>
  <si>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</si>
  <si>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</si>
  <si>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</si>
  <si>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</si>
  <si>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</si>
  <si>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</si>
  <si>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</si>
  <si>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</si>
  <si>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</si>
  <si>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</si>
  <si>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</si>
  <si>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</si>
  <si>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</si>
  <si>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</si>
  <si>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</si>
  <si>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</si>
  <si>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</si>
  <si>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</si>
  <si>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</si>
  <si>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</si>
  <si>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</si>
  <si>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</si>
  <si>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</si>
  <si>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</si>
  <si>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</si>
  <si>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</si>
  <si>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</si>
  <si>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</si>
  <si>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</si>
  <si>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</si>
  <si>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</si>
  <si>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</si>
  <si>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</si>
  <si>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</si>
  <si>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</si>
  <si>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</si>
  <si>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</si>
  <si>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</si>
  <si>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</si>
  <si>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</si>
  <si>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</si>
  <si>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</si>
  <si>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</si>
  <si>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</si>
  <si>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</si>
  <si>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</si>
  <si>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</si>
  <si>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</si>
  <si>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</si>
  <si>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</si>
  <si>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</si>
  <si>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</si>
  <si>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</si>
  <si>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</si>
  <si>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</si>
  <si>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</si>
  <si>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</si>
  <si>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</si>
  <si>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</si>
  <si>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</si>
  <si>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</si>
  <si>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</si>
  <si>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</si>
  <si>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</si>
  <si>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</si>
  <si>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</si>
  <si>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</si>
  <si>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</si>
  <si>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</si>
  <si>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</si>
  <si>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</si>
  <si>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</si>
  <si>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</si>
  <si>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</si>
  <si>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</si>
  <si>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</si>
  <si>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</si>
  <si>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</si>
  <si>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</si>
  <si>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</si>
  <si>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</si>
  <si>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</si>
  <si>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</si>
  <si>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</si>
  <si>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</si>
  <si>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</si>
  <si>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</si>
  <si>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</si>
  <si>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</si>
  <si>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</si>
  <si>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</si>
  <si>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</si>
  <si>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</si>
  <si>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</si>
  <si>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</si>
  <si>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</si>
  <si>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</si>
  <si>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</si>
  <si>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</si>
  <si>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</si>
  <si>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</si>
  <si>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</si>
  <si>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</si>
  <si>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</si>
  <si>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</si>
  <si>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</si>
  <si>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</si>
  <si>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</si>
  <si>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</si>
  <si>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</si>
  <si>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</si>
  <si>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</si>
  <si>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</si>
  <si>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</si>
  <si>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</si>
  <si>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</si>
  <si>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</si>
  <si>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</si>
  <si>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</si>
  <si>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</si>
  <si>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</si>
  <si>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</si>
  <si>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</si>
  <si>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</si>
  <si>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</si>
  <si>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</si>
  <si>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</si>
  <si>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</si>
  <si>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</si>
  <si>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</si>
  <si>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</si>
  <si>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</si>
  <si>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</si>
  <si>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</si>
  <si>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</si>
  <si>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</si>
  <si>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</si>
  <si>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</si>
  <si>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</si>
  <si>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</si>
  <si>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</si>
  <si>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</si>
  <si>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</si>
  <si>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</si>
  <si>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</si>
  <si>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</si>
  <si>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</si>
  <si>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</si>
  <si>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</si>
  <si>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</si>
  <si>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</si>
  <si>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</si>
  <si>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</si>
  <si>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</si>
  <si>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</si>
  <si>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</si>
  <si>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</si>
  <si>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</si>
  <si>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</si>
  <si>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</si>
  <si>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</si>
  <si>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</si>
  <si>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</si>
  <si>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</si>
  <si>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</si>
  <si>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</si>
  <si>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</si>
  <si>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</si>
  <si>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</si>
  <si>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</si>
  <si>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</si>
  <si>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</si>
  <si>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</si>
  <si>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</si>
  <si>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</si>
  <si>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</si>
  <si>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</si>
  <si>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</si>
  <si>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</si>
  <si>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</si>
  <si>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</si>
  <si>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</si>
  <si>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</si>
  <si>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</si>
  <si>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</si>
  <si>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</si>
  <si>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</si>
  <si>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</si>
  <si>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</si>
  <si>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</si>
  <si>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</si>
  <si>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</si>
  <si>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</si>
  <si>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</si>
  <si>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</si>
  <si>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</si>
  <si>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</si>
  <si>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</si>
  <si>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</si>
  <si>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</si>
  <si>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</si>
  <si>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</si>
  <si>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</si>
  <si>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</si>
  <si>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</si>
  <si>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</si>
  <si>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</si>
  <si>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</si>
  <si>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</si>
  <si>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</si>
  <si>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</si>
  <si>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</si>
  <si>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</si>
  <si>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</si>
  <si>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</si>
  <si>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</si>
  <si>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</si>
  <si>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</si>
  <si>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</si>
  <si>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</si>
  <si>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</si>
  <si>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</si>
  <si>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</si>
  <si>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</si>
  <si>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</si>
  <si>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</si>
  <si>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</si>
  <si>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</si>
  <si>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</si>
  <si>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</si>
  <si>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</si>
  <si>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</si>
  <si>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</si>
  <si>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</si>
  <si>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</si>
  <si>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</si>
  <si>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</si>
  <si>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</si>
  <si>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</si>
  <si>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</si>
  <si>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</si>
  <si>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</si>
  <si>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</si>
  <si>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</si>
  <si>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</si>
  <si>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</si>
  <si>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</si>
  <si>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</si>
  <si>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</si>
  <si>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</si>
  <si>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</si>
  <si>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</si>
  <si>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</si>
  <si>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</si>
  <si>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</si>
  <si>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</si>
  <si>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</si>
  <si>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</si>
  <si>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</si>
  <si>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</si>
  <si>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</si>
  <si>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</si>
  <si>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</si>
  <si>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</si>
  <si>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</si>
  <si>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</si>
  <si>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</si>
  <si>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</si>
  <si>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</si>
  <si>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</si>
  <si>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</si>
  <si>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</si>
  <si>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</si>
  <si>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</si>
  <si>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</si>
  <si>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</si>
  <si>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</si>
  <si>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</si>
  <si>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</si>
  <si>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</si>
  <si>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</si>
  <si>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</si>
  <si>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</si>
  <si>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</si>
  <si>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</si>
  <si>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</si>
  <si>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</si>
  <si>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</si>
  <si>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</si>
  <si>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</si>
  <si>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</si>
  <si>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</si>
  <si>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</si>
  <si>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</si>
  <si>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</si>
  <si>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</si>
  <si>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</si>
  <si>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</si>
  <si>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</si>
  <si>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</si>
  <si>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</si>
  <si>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</si>
  <si>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</si>
  <si>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</si>
  <si>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</si>
  <si>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</si>
  <si>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</si>
  <si>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</si>
  <si>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</si>
  <si>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</si>
  <si>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</si>
  <si>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</si>
  <si>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</si>
  <si>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</si>
  <si>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</si>
  <si>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</si>
  <si>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</si>
  <si>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</si>
  <si>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</si>
  <si>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</si>
  <si>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</si>
  <si>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</si>
  <si>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</si>
  <si>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</si>
  <si>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</si>
  <si>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</si>
  <si>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</si>
  <si>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</si>
  <si>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</si>
  <si>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</si>
  <si>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</si>
  <si>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</si>
  <si>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</si>
  <si>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</si>
  <si>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</si>
  <si>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</si>
  <si>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</si>
  <si>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</si>
  <si>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</si>
  <si>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</si>
  <si>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</si>
  <si>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</si>
  <si>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</si>
  <si>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</si>
  <si>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</si>
  <si>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</si>
  <si>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</si>
  <si>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</si>
  <si>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</si>
  <si>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</si>
  <si>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</si>
  <si>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</si>
  <si>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</si>
  <si>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</si>
  <si>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</si>
  <si>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</si>
  <si>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</si>
  <si>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</si>
  <si>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</si>
  <si>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</si>
  <si>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</si>
  <si>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</si>
  <si>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</si>
  <si>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</si>
  <si>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</si>
  <si>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</si>
  <si>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</si>
  <si>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</si>
  <si>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</si>
  <si>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</si>
  <si>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</si>
  <si>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</si>
  <si>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</si>
  <si>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</si>
  <si>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</si>
  <si>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</si>
  <si>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</si>
  <si>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</si>
  <si>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</si>
  <si>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</si>
  <si>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</si>
  <si>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</si>
  <si>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</si>
  <si>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</si>
  <si>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</si>
  <si>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</si>
  <si>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</si>
  <si>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</si>
  <si>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</si>
  <si>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</si>
  <si>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</si>
  <si>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</si>
  <si>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</si>
  <si>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</si>
  <si>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</si>
  <si>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</si>
  <si>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</si>
  <si>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</si>
  <si>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</si>
  <si>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</si>
  <si>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</si>
  <si>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</si>
  <si>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</si>
  <si>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</si>
  <si>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</si>
  <si>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</si>
  <si>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</si>
  <si>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</si>
  <si>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</si>
  <si>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</si>
  <si>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</si>
  <si>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</si>
  <si>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</si>
  <si>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</si>
  <si>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</si>
  <si>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</si>
  <si>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</si>
  <si>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</si>
  <si>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</si>
  <si>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</si>
  <si>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</si>
  <si>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</si>
  <si>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</si>
  <si>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</si>
  <si>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</si>
  <si>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</si>
  <si>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</si>
  <si>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</si>
  <si>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</si>
  <si>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</si>
  <si>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</si>
  <si>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</si>
  <si>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</si>
  <si>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</si>
  <si>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</si>
  <si>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</si>
  <si>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</si>
  <si>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</si>
  <si>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</si>
  <si>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</si>
  <si>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</si>
  <si>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</si>
  <si>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</si>
  <si>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</si>
  <si>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</si>
  <si>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</si>
  <si>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</si>
  <si>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</si>
  <si>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</si>
  <si>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</si>
  <si>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</si>
  <si>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</si>
  <si>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</si>
  <si>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</si>
  <si>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</si>
  <si>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</si>
  <si>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</si>
  <si>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</si>
  <si>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</si>
  <si>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</si>
  <si>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</si>
  <si>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</si>
  <si>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</si>
  <si>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</si>
  <si>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</si>
  <si>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</si>
  <si>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</si>
  <si>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</si>
  <si>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</si>
  <si>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</si>
  <si>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</si>
  <si>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</si>
  <si>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</si>
  <si>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</si>
  <si>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</si>
  <si>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</si>
  <si>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</si>
  <si>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</si>
  <si>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</si>
  <si>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</si>
  <si>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</si>
  <si>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</si>
  <si>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</si>
  <si>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</si>
  <si>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</si>
  <si>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</si>
  <si>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</si>
  <si>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</si>
  <si>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</si>
  <si>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</si>
  <si>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</si>
  <si>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</si>
  <si>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</si>
  <si>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</si>
  <si>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</si>
  <si>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</si>
  <si>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</si>
  <si>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</si>
  <si>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</si>
  <si>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</si>
  <si>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</si>
  <si>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</si>
  <si>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</si>
  <si>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</si>
  <si>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</si>
  <si>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</si>
  <si>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</si>
  <si>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</si>
  <si>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</si>
  <si>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</si>
  <si>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</si>
  <si>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</si>
  <si>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</si>
  <si>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</si>
  <si>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</si>
  <si>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</si>
  <si>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</si>
  <si>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</si>
  <si>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</si>
  <si>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</si>
  <si>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</si>
  <si>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</si>
  <si>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</si>
  <si>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</si>
  <si>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</si>
  <si>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</si>
  <si>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</si>
  <si>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</si>
  <si>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</si>
  <si>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</si>
  <si>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</si>
  <si>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</si>
  <si>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</si>
  <si>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</si>
  <si>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</si>
  <si>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</si>
  <si>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</si>
  <si>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</si>
  <si>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</si>
  <si>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</si>
  <si>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</si>
  <si>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</si>
  <si>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</si>
  <si>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</si>
  <si>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</si>
  <si>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</si>
  <si>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</si>
  <si>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</si>
  <si>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</si>
  <si>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</si>
  <si>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</si>
  <si>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</si>
  <si>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</si>
  <si>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</si>
  <si>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</si>
  <si>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</si>
  <si>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</si>
  <si>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</si>
  <si>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</si>
  <si>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</si>
  <si>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</si>
  <si>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</si>
  <si>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</si>
  <si>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</si>
  <si>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</si>
  <si>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</si>
  <si>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</si>
  <si>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</si>
  <si>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</si>
  <si>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</si>
  <si>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</si>
  <si>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</si>
  <si>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</si>
  <si>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</si>
  <si>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</si>
  <si>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</si>
  <si>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</si>
  <si>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</si>
  <si>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</si>
  <si>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</si>
  <si>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</si>
  <si>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</si>
  <si>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</si>
  <si>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</si>
  <si>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</si>
  <si>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</si>
  <si>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</si>
  <si>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</si>
  <si>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</si>
  <si>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</si>
  <si>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</si>
  <si>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</si>
  <si>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</si>
  <si>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</si>
  <si>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</si>
  <si>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</si>
  <si>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</si>
  <si>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</si>
  <si>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</si>
  <si>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</si>
  <si>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</si>
  <si>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</si>
  <si>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</si>
  <si>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</si>
  <si>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</si>
  <si>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</si>
  <si>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</si>
  <si>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</si>
  <si>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</si>
  <si>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</si>
  <si>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</si>
  <si>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</si>
  <si>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</si>
  <si>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</si>
  <si>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</si>
  <si>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</si>
  <si>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</si>
  <si>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</si>
  <si>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</si>
  <si>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</si>
  <si>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</si>
  <si>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</si>
  <si>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</si>
  <si>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</si>
  <si>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</si>
  <si>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</si>
  <si>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</si>
  <si>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</si>
  <si>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</si>
  <si>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</si>
  <si>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</si>
  <si>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</si>
  <si>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</si>
  <si>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</si>
  <si>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</si>
  <si>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</si>
  <si>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</si>
  <si>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</si>
  <si>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</si>
  <si>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</si>
  <si>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</si>
  <si>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</si>
  <si>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</si>
  <si>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</si>
  <si>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</si>
  <si>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</si>
  <si>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</si>
  <si>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</si>
  <si>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</si>
  <si>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</si>
  <si>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</si>
  <si>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</si>
  <si>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</si>
  <si>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</si>
  <si>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</si>
  <si>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</si>
  <si>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</si>
  <si>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</si>
  <si>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</si>
  <si>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</si>
  <si>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</si>
  <si>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</si>
  <si>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</si>
  <si>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</si>
  <si>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</si>
  <si>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</si>
  <si>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</si>
  <si>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</si>
  <si>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</si>
  <si>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</si>
  <si>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</si>
  <si>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</si>
  <si>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</si>
  <si>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</si>
  <si>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</si>
  <si>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</si>
  <si>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</si>
  <si>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</si>
  <si>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</si>
  <si>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</si>
  <si>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</si>
  <si>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</si>
  <si>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</si>
  <si>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</si>
  <si>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</si>
  <si>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</si>
  <si>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</si>
  <si>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</si>
  <si>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</si>
  <si>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</si>
  <si>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</si>
  <si>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</si>
  <si>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</si>
  <si>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</si>
  <si>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</si>
  <si>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</si>
  <si>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</si>
  <si>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</si>
  <si>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</si>
  <si>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</si>
  <si>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</si>
  <si>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</si>
  <si>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</si>
  <si>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</si>
  <si>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</si>
  <si>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</si>
  <si>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</si>
  <si>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</si>
  <si>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</si>
  <si>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</si>
  <si>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</si>
  <si>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</si>
  <si>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</si>
  <si>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</si>
  <si>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</si>
  <si>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</si>
  <si>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</si>
  <si>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</si>
  <si>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</si>
  <si>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</si>
  <si>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</si>
  <si>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</si>
  <si>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</si>
  <si>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</si>
  <si>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</si>
  <si>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</si>
  <si>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</si>
  <si>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</si>
  <si>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</si>
  <si>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</si>
  <si>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</si>
  <si>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</si>
  <si>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</si>
  <si>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</si>
  <si>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</si>
  <si>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</si>
  <si>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</si>
  <si>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</si>
  <si>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</si>
  <si>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</si>
  <si>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</si>
  <si>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</si>
  <si>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</si>
  <si>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</si>
  <si>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</si>
  <si>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</si>
  <si>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</si>
  <si>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</si>
  <si>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</si>
  <si>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</si>
  <si>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</si>
  <si>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</si>
  <si>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</si>
  <si>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</si>
  <si>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</si>
  <si>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</si>
  <si>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</si>
  <si>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</si>
  <si>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</si>
  <si>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</si>
  <si>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</si>
  <si>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</si>
  <si>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</si>
  <si>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</si>
  <si>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</si>
  <si>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</si>
  <si>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</si>
  <si>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</si>
  <si>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</si>
  <si>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</si>
  <si>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</si>
  <si>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</si>
  <si>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</si>
  <si>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</si>
  <si>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</si>
  <si>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</si>
  <si>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</si>
  <si>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</si>
  <si>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</si>
  <si>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</si>
  <si>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</si>
  <si>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</si>
  <si>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</si>
  <si>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</si>
  <si>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</si>
  <si>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</si>
  <si>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</si>
  <si>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</si>
  <si>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</si>
  <si>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</si>
  <si>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</si>
  <si>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</si>
  <si>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</si>
  <si>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</si>
  <si>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</si>
  <si>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</si>
  <si>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</si>
  <si>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</si>
  <si>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</si>
  <si>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</si>
  <si>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</si>
  <si>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</si>
  <si>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</si>
  <si>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</si>
  <si>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</si>
  <si>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</si>
  <si>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</si>
  <si>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</si>
  <si>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</si>
  <si>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</si>
  <si>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</si>
  <si>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</si>
  <si>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</si>
  <si>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</si>
  <si>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</si>
  <si>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</si>
  <si>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</si>
  <si>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</si>
  <si>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</si>
  <si>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</si>
  <si>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</si>
  <si>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</si>
  <si>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</si>
  <si>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</si>
  <si>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</si>
  <si>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</si>
  <si>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</si>
  <si>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</si>
  <si>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</si>
  <si>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</si>
  <si>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</si>
  <si>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</si>
  <si>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</si>
  <si>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</si>
  <si>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</si>
  <si>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</si>
  <si>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</si>
  <si>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</si>
  <si>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</si>
  <si>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</si>
  <si>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</si>
  <si>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</si>
  <si>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</si>
  <si>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</si>
  <si>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</si>
  <si>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</si>
  <si>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</si>
  <si>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</si>
  <si>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</si>
  <si>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</si>
  <si>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</si>
  <si>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</si>
  <si>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</si>
  <si>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</si>
  <si>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</si>
  <si>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</si>
  <si>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</si>
  <si>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</si>
  <si>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</si>
  <si>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</si>
  <si>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</si>
  <si>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</si>
  <si>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</si>
  <si>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</si>
  <si>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</si>
  <si>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</si>
  <si>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</si>
  <si>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</si>
  <si>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</si>
  <si>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</si>
  <si>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</si>
  <si>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</si>
  <si>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</si>
  <si>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</si>
  <si>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</si>
  <si>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</si>
  <si>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</si>
  <si>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</si>
  <si>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</si>
  <si>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</si>
  <si>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</si>
  <si>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</si>
  <si>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</si>
  <si>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</si>
  <si>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</si>
  <si>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</si>
  <si>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</si>
  <si>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</si>
  <si>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</si>
  <si>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</si>
  <si>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</si>
  <si>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</si>
  <si>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</si>
  <si>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</si>
  <si>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</si>
  <si>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</si>
  <si>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</si>
  <si>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</si>
  <si>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</si>
  <si>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</si>
  <si>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</si>
  <si>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</si>
  <si>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</si>
  <si>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</si>
  <si>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</si>
  <si>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</si>
  <si>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</si>
  <si>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</si>
  <si>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</si>
  <si>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</si>
  <si>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</si>
  <si>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</si>
  <si>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</si>
  <si>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</si>
  <si>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</si>
  <si>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</si>
  <si>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</si>
  <si>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</si>
  <si>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</si>
  <si>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</si>
  <si>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</si>
  <si>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</si>
  <si>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</si>
  <si>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</si>
  <si>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</si>
  <si>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</si>
  <si>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</si>
  <si>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</si>
  <si>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</si>
  <si>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</si>
  <si>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</si>
  <si>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</si>
  <si>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</si>
  <si>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</si>
  <si>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</si>
  <si>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</si>
  <si>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</si>
  <si>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</si>
  <si>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</si>
  <si>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</si>
  <si>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</si>
  <si>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</si>
  <si>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</si>
  <si>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</si>
  <si>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</si>
  <si>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</si>
  <si>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</si>
  <si>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</si>
  <si>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</si>
  <si>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</si>
  <si>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</si>
  <si>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</si>
  <si>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</si>
  <si>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</si>
  <si>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</si>
  <si>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</si>
  <si>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</si>
  <si>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</si>
  <si>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</si>
  <si>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</si>
  <si>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</si>
  <si>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</si>
  <si>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</si>
  <si>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</si>
  <si>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</si>
  <si>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</si>
  <si>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</si>
  <si>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</si>
  <si>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</si>
  <si>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</si>
  <si>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</si>
  <si>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</si>
  <si>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</si>
  <si>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</si>
  <si>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</si>
  <si>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</si>
  <si>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</si>
  <si>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</si>
  <si>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</si>
  <si>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</si>
  <si>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</si>
  <si>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</si>
  <si>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</si>
  <si>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</si>
  <si>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</si>
  <si>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</si>
  <si>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</si>
  <si>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</si>
  <si>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</si>
  <si>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</si>
  <si>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</si>
  <si>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</si>
  <si>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</si>
  <si>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</si>
  <si>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</si>
  <si>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</si>
  <si>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</si>
  <si>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</si>
  <si>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</si>
  <si>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</si>
  <si>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</si>
  <si>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</si>
  <si>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</si>
  <si>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</si>
  <si>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</si>
  <si>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</si>
  <si>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</si>
  <si>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</si>
  <si>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</si>
  <si>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</si>
  <si>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</si>
  <si>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</si>
  <si>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</si>
  <si>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</si>
  <si>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</si>
  <si>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</si>
  <si>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</si>
  <si>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</si>
  <si>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</si>
  <si>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</si>
  <si>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</si>
  <si>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</si>
  <si>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</si>
  <si>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</si>
  <si>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</si>
  <si>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</si>
  <si>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</si>
  <si>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</si>
  <si>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</si>
  <si>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</si>
  <si>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</si>
  <si>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</si>
  <si>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</si>
  <si>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</si>
  <si>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</si>
  <si>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</si>
  <si>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</si>
  <si>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</si>
  <si>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</si>
  <si>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</si>
  <si>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</si>
  <si>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</si>
  <si>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</si>
  <si>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</si>
  <si>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</si>
  <si>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</si>
  <si>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</si>
  <si>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</si>
  <si>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</si>
  <si>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</si>
  <si>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</si>
  <si>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</si>
  <si>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</si>
  <si>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</si>
  <si>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</si>
  <si>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</si>
  <si>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</si>
  <si>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</si>
  <si>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</si>
  <si>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</si>
  <si>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</si>
  <si>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</si>
  <si>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</si>
  <si>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</si>
  <si>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</si>
  <si>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</si>
  <si>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</si>
  <si>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</si>
  <si>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</si>
  <si>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</si>
  <si>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</si>
  <si>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</si>
  <si>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</si>
  <si>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</si>
  <si>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</si>
  <si>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</si>
  <si>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</si>
  <si>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</si>
  <si>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</si>
  <si>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</si>
  <si>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</si>
  <si>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</si>
  <si>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</si>
  <si>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</si>
  <si>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</si>
  <si>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</si>
  <si>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</si>
  <si>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</si>
  <si>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</si>
  <si>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</si>
  <si>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</si>
  <si>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</si>
  <si>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</si>
  <si>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</si>
  <si>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</si>
  <si>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</si>
  <si>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</si>
  <si>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</si>
  <si>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</si>
  <si>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</si>
  <si>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</si>
  <si>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</si>
  <si>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</si>
  <si>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</si>
  <si>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</si>
  <si>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</si>
  <si>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</si>
  <si>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</si>
  <si>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</si>
  <si>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</si>
  <si>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</si>
  <si>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</si>
  <si>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</si>
  <si>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</si>
  <si>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</si>
  <si>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</si>
  <si>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</si>
  <si>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</si>
  <si>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</si>
  <si>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</si>
  <si>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</si>
  <si>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</si>
  <si>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</si>
  <si>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</si>
  <si>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</si>
  <si>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</si>
  <si>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</si>
  <si>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</si>
  <si>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</si>
  <si>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</si>
  <si>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</si>
  <si>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</si>
  <si>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</si>
  <si>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</si>
  <si>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</si>
  <si>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</si>
  <si>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</si>
  <si>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</si>
  <si>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</si>
  <si>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</si>
  <si>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</si>
  <si>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</si>
  <si>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</si>
  <si>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</si>
  <si>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</si>
  <si>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</si>
  <si>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</si>
  <si>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</si>
  <si>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</si>
  <si>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</si>
  <si>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</si>
  <si>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</si>
  <si>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</si>
  <si>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</si>
  <si>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</si>
  <si>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</si>
  <si>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</si>
  <si>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</si>
  <si>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</si>
  <si>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</si>
  <si>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</si>
  <si>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</si>
  <si>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</si>
  <si>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</si>
  <si>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</si>
  <si>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</si>
  <si>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</si>
  <si>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</si>
  <si>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</si>
  <si>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</si>
  <si>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</si>
  <si>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</si>
  <si>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</si>
  <si>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</si>
  <si>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</si>
  <si>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</si>
  <si>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</si>
  <si>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</si>
  <si>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</si>
  <si>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</si>
  <si>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</si>
  <si>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</si>
  <si>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</si>
  <si>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</si>
  <si>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</si>
  <si>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</si>
  <si>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</si>
  <si>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</si>
  <si>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</si>
  <si>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</si>
  <si>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</si>
  <si>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</si>
  <si>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</si>
  <si>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</si>
  <si>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</si>
  <si>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</si>
  <si>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</si>
  <si>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</si>
  <si>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</si>
  <si>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</si>
  <si>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</si>
  <si>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</si>
  <si>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</si>
  <si>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</si>
  <si>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</si>
  <si>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</si>
  <si>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</si>
  <si>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</si>
  <si>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</si>
  <si>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</si>
  <si>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</si>
  <si>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</si>
  <si>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</si>
  <si>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</si>
  <si>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</si>
  <si>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</si>
  <si>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</si>
  <si>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</si>
  <si>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</si>
  <si>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</si>
  <si>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</si>
  <si>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</si>
  <si>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</si>
  <si>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</si>
  <si>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</si>
  <si>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</si>
  <si>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</si>
  <si>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</si>
  <si>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</si>
  <si>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</si>
  <si>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</si>
  <si>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</si>
  <si>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</si>
  <si>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</si>
  <si>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</si>
  <si>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</si>
  <si>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</si>
  <si>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</si>
  <si>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</si>
  <si>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</si>
  <si>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</si>
  <si>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</si>
  <si>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</si>
  <si>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</si>
  <si>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</si>
  <si>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</si>
  <si>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</si>
  <si>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</si>
  <si>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</si>
  <si>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</si>
  <si>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</si>
  <si>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</si>
  <si>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</si>
  <si>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</si>
  <si>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</si>
  <si>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</si>
  <si>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</si>
  <si>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</si>
  <si>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</si>
  <si>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</si>
  <si>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</si>
  <si>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</si>
  <si>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</si>
  <si>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</si>
  <si>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</si>
  <si>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</si>
  <si>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</si>
  <si>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</si>
  <si>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</si>
  <si>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</si>
  <si>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</si>
  <si>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</si>
  <si>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</si>
  <si>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</si>
  <si>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</si>
  <si>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</si>
  <si>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</si>
  <si>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</si>
  <si>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</si>
  <si>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</si>
  <si>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</si>
  <si>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</si>
  <si>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</si>
  <si>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</si>
  <si>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</si>
  <si>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</si>
  <si>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</si>
  <si>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</si>
  <si>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</si>
  <si>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</si>
  <si>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</si>
  <si>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</si>
  <si>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</si>
  <si>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</si>
  <si>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</si>
  <si>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</si>
  <si>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</si>
  <si>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</si>
  <si>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</si>
  <si>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</si>
  <si>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</si>
  <si>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</si>
  <si>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</si>
  <si>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</si>
  <si>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</si>
  <si>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</si>
  <si>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</si>
  <si>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</si>
  <si>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</si>
  <si>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</si>
  <si>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</si>
  <si>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</si>
  <si>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</si>
  <si>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</si>
  <si>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</si>
  <si>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</si>
  <si>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</si>
  <si>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</si>
  <si>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</si>
  <si>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</si>
  <si>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</si>
  <si>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</si>
  <si>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</si>
  <si>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</si>
  <si>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</si>
  <si>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</si>
  <si>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</si>
  <si>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</si>
  <si>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</si>
  <si>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</si>
  <si>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</si>
  <si>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</si>
  <si>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</si>
  <si>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</si>
  <si>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</si>
  <si>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</si>
  <si>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J4169-1</t>
  </si>
  <si>
    <t>货好</t>
  </si>
  <si>
    <t>划线器装到迪拜 CO 保险单 箱子底部检查好 严防生锈问题，挑选合格的集装箱 申请14天免用箱 同J4143</t>
  </si>
  <si>
    <t>J4169-2</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</si>
  <si>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</si>
  <si>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</si>
  <si>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</si>
  <si>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</si>
  <si>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</si>
  <si>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</si>
  <si>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</si>
  <si>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</si>
  <si>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</si>
  <si>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</si>
  <si>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</si>
  <si>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</si>
  <si>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</si>
  <si>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</si>
  <si>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</si>
  <si>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</si>
  <si>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</si>
  <si>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</si>
  <si>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</si>
  <si>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</si>
  <si>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</si>
  <si>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</si>
  <si>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</si>
  <si>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</si>
  <si>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</si>
  <si>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</si>
  <si>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</si>
  <si>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</si>
  <si>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</si>
  <si>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</si>
  <si>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</si>
  <si>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</si>
  <si>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</si>
  <si>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</si>
  <si>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</si>
  <si>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</si>
  <si>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</si>
  <si>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</si>
  <si>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</si>
  <si>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</si>
  <si>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</si>
  <si>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</si>
  <si>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</si>
  <si>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</si>
  <si>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</si>
  <si>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</si>
  <si>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</si>
  <si>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</si>
  <si>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</si>
  <si>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t>做金凯抬头FB  同J4101</t>
  </si>
  <si>
    <r>
      <rPr>
        <sz val="8"/>
        <color theme="1"/>
        <rFont val="宋体"/>
        <charset val="134"/>
      </rPr>
      <t>浙江亚拓订舱长荣,汇昌拖车</t>
    </r>
    <r>
      <rPr>
        <sz val="8"/>
        <color rgb="FFFF0000"/>
        <rFont val="宋体"/>
        <charset val="134"/>
      </rPr>
      <t>华悦抬头报关 华悦9710</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</si>
  <si>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</si>
  <si>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</si>
  <si>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</si>
  <si>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</si>
  <si>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</si>
  <si>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</si>
  <si>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r>
      <rPr>
        <sz val="8"/>
        <color rgb="FF0000FF"/>
        <rFont val="宋体"/>
        <charset val="134"/>
      </rPr>
      <t>22号下午装箱 21号全天报数据</t>
    </r>
    <r>
      <rPr>
        <sz val="8"/>
        <rFont val="宋体"/>
        <charset val="134"/>
      </rPr>
      <t xml:space="preserve"> form E 提单显示26.66吨 申请21天免用箱 柜子少可以申请14天免用箱  同J4146 4200</t>
    </r>
  </si>
  <si>
    <t>迪斯泰订舱MCC2804/2840，迪斯泰拖车报关</t>
  </si>
  <si>
    <t>J4221-1</t>
  </si>
  <si>
    <t>DHL3339911890 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</si>
  <si>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</si>
  <si>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</si>
  <si>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</si>
  <si>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</si>
  <si>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</si>
  <si>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</si>
  <si>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</si>
  <si>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</si>
  <si>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</si>
  <si>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给客户优惠200海运费 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</si>
  <si>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</si>
  <si>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</si>
  <si>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</si>
  <si>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</si>
  <si>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</si>
  <si>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</si>
  <si>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</si>
  <si>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</si>
  <si>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</si>
  <si>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</si>
  <si>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</si>
  <si>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</si>
  <si>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</si>
  <si>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</si>
  <si>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</si>
  <si>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</si>
  <si>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</si>
  <si>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DHL2320875115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</si>
  <si>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</si>
  <si>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</si>
  <si>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</si>
  <si>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J4231-3</t>
  </si>
  <si>
    <r>
      <rPr>
        <sz val="8"/>
        <rFont val="Arial"/>
        <charset val="134"/>
      </rPr>
      <t xml:space="preserve">1x40H </t>
    </r>
    <r>
      <rPr>
        <sz val="8"/>
        <rFont val="宋体"/>
        <charset val="134"/>
      </rPr>
      <t>小付骨</t>
    </r>
  </si>
  <si>
    <t>换金凯德银账户 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</si>
  <si>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</si>
  <si>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</si>
  <si>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</si>
  <si>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</si>
  <si>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</si>
  <si>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</si>
  <si>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</si>
  <si>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20号到孟买新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</si>
  <si>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</si>
  <si>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</si>
  <si>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</si>
  <si>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</si>
  <si>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</si>
  <si>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</si>
  <si>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</si>
  <si>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</si>
  <si>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</si>
  <si>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</si>
  <si>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</si>
  <si>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单据齐等款 单据已发客户 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</si>
  <si>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</si>
  <si>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</si>
  <si>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</si>
  <si>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料齐 同J4190 J4203</t>
  </si>
  <si>
    <t>J4254</t>
  </si>
  <si>
    <r>
      <rPr>
        <sz val="8"/>
        <color rgb="FFFF0000"/>
        <rFont val="宋体"/>
        <charset val="134"/>
      </rPr>
      <t>18号装箱 20号一早报数据</t>
    </r>
    <r>
      <rPr>
        <sz val="8"/>
        <rFont val="宋体"/>
        <charset val="134"/>
      </rPr>
      <t xml:space="preserve"> 新厂装箱 要在靠近柜门的所有箱子上贴小标贴和A4纸 箱单发票签字盖章扫描 电放低报CCPIT CO，低报做CIF不显示运费 客户要求显示HScode 同J4161 4228</t>
    </r>
  </si>
  <si>
    <r>
      <rPr>
        <sz val="8"/>
        <color theme="1"/>
        <rFont val="宋体"/>
        <charset val="134"/>
      </rPr>
      <t xml:space="preserve">永鑫海订舱5590，汇昌拖车 </t>
    </r>
    <r>
      <rPr>
        <sz val="8"/>
        <color rgb="FFFF0000"/>
        <rFont val="宋体"/>
        <charset val="134"/>
      </rPr>
      <t>金凯抬头报关</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</si>
  <si>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</si>
  <si>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</si>
  <si>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</si>
  <si>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</si>
  <si>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</si>
  <si>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</si>
  <si>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</si>
  <si>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</si>
  <si>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</si>
  <si>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</si>
  <si>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出CO 60% of final invoice做低报发票  同J4095 4134</t>
  </si>
  <si>
    <t>代理Gateway订舱</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</si>
  <si>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</si>
  <si>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</si>
  <si>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</si>
  <si>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</si>
  <si>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</si>
  <si>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</si>
  <si>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</si>
  <si>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</si>
  <si>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</si>
  <si>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</si>
  <si>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</si>
  <si>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</si>
  <si>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</si>
  <si>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</si>
  <si>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</si>
  <si>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</si>
  <si>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</si>
  <si>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</si>
  <si>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</si>
  <si>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</si>
  <si>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</si>
  <si>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</si>
  <si>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</si>
  <si>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</si>
  <si>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</si>
  <si>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</si>
  <si>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</si>
  <si>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</si>
  <si>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</si>
  <si>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</si>
  <si>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</si>
  <si>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</si>
  <si>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</si>
  <si>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</si>
  <si>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</si>
  <si>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</si>
  <si>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</si>
  <si>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</si>
  <si>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</si>
  <si>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rPr>
        <sz val="8"/>
        <rFont val="宋体"/>
        <charset val="134"/>
      </rPr>
      <t>单据齐等款 单据已发客户</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</si>
  <si>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</si>
  <si>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</si>
  <si>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t>黄色CO 单拖昂 放中间 提单显示不能超25吨 同J4220</t>
  </si>
  <si>
    <r>
      <rPr>
        <sz val="8"/>
        <color theme="1"/>
        <rFont val="宋体"/>
        <charset val="134"/>
      </rPr>
      <t>指定代理</t>
    </r>
    <r>
      <rPr>
        <sz val="8"/>
        <color theme="1"/>
        <rFont val="Arial"/>
        <charset val="134"/>
      </rPr>
      <t>ACON LOGISTICS</t>
    </r>
    <r>
      <rPr>
        <sz val="8"/>
        <color theme="1"/>
        <rFont val="宋体"/>
        <charset val="134"/>
      </rPr>
      <t>订舱MSC，小杜拖车报关</t>
    </r>
  </si>
  <si>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</si>
  <si>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</si>
  <si>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</si>
  <si>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</si>
  <si>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</si>
  <si>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</si>
  <si>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</si>
  <si>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</si>
  <si>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</si>
  <si>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</si>
  <si>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</si>
  <si>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</si>
  <si>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</si>
  <si>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</si>
  <si>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</si>
  <si>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</si>
  <si>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</si>
  <si>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</si>
  <si>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</si>
  <si>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</si>
  <si>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</si>
  <si>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</si>
  <si>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</si>
  <si>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</si>
  <si>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</si>
  <si>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</si>
  <si>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</si>
  <si>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</si>
  <si>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</si>
  <si>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</si>
  <si>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J4314</t>
  </si>
  <si>
    <t>直接在原料厂装箱 Steel Strips Materials to produce wall angle   （品名订舱前再与客户确认一次）    显示HSCODE form E(PE前的件数 单词不能断行) 出保险 目的港14天免费期  同J4142 4162 4308</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</si>
  <si>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</si>
  <si>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</si>
  <si>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</si>
  <si>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</si>
  <si>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</si>
  <si>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</si>
  <si>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</si>
  <si>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</si>
  <si>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</si>
  <si>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</si>
  <si>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</si>
  <si>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</si>
  <si>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</si>
  <si>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</si>
  <si>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</si>
  <si>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</si>
  <si>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</si>
  <si>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</si>
  <si>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</si>
  <si>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</si>
  <si>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</si>
  <si>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</si>
  <si>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</si>
  <si>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</si>
  <si>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</si>
  <si>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</si>
  <si>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</si>
  <si>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</si>
  <si>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</si>
  <si>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</si>
  <si>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</si>
  <si>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</si>
  <si>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</si>
  <si>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</si>
  <si>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</si>
  <si>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</si>
  <si>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</si>
  <si>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</si>
  <si>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</si>
  <si>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</si>
  <si>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</si>
  <si>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</si>
  <si>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</si>
  <si>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</si>
  <si>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</si>
  <si>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</si>
  <si>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</si>
  <si>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</si>
  <si>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</si>
  <si>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</si>
  <si>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</si>
  <si>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</si>
  <si>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</si>
  <si>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</si>
  <si>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</si>
  <si>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</si>
  <si>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</si>
  <si>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</si>
  <si>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</si>
  <si>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</si>
  <si>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</si>
  <si>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</si>
  <si>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</si>
  <si>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</si>
  <si>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</si>
  <si>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</si>
  <si>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</si>
  <si>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</si>
  <si>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</si>
  <si>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</si>
  <si>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</si>
  <si>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</si>
  <si>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</si>
  <si>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</si>
  <si>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</si>
  <si>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</si>
  <si>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</si>
  <si>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</si>
  <si>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</si>
  <si>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</si>
  <si>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</si>
  <si>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</si>
  <si>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</si>
  <si>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</si>
  <si>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</si>
  <si>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</si>
  <si>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</si>
  <si>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</si>
  <si>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</si>
  <si>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</si>
  <si>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</si>
  <si>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</si>
  <si>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</si>
  <si>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</si>
  <si>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</si>
  <si>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</si>
  <si>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</si>
  <si>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</si>
  <si>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</si>
  <si>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</si>
  <si>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</si>
  <si>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</si>
  <si>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</si>
  <si>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</si>
  <si>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</si>
  <si>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</si>
  <si>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</si>
  <si>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</si>
  <si>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</si>
  <si>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</si>
  <si>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</si>
  <si>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</si>
  <si>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</si>
  <si>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</si>
  <si>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</si>
  <si>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</si>
  <si>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</si>
  <si>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</si>
  <si>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</si>
  <si>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</si>
  <si>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</si>
  <si>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</si>
  <si>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</si>
  <si>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</si>
  <si>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</si>
  <si>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</si>
  <si>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</si>
  <si>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</si>
  <si>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</si>
  <si>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</si>
  <si>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</si>
  <si>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</si>
  <si>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</si>
  <si>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</si>
  <si>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</si>
  <si>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</si>
  <si>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</si>
  <si>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</si>
  <si>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</si>
  <si>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</si>
  <si>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</si>
  <si>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</si>
  <si>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</si>
  <si>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</si>
  <si>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</si>
  <si>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</si>
  <si>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</si>
  <si>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</si>
  <si>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</si>
  <si>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</si>
  <si>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</si>
  <si>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</si>
  <si>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</si>
  <si>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</si>
  <si>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</si>
  <si>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</si>
  <si>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</si>
  <si>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</si>
  <si>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</si>
  <si>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</si>
  <si>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</si>
  <si>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</si>
  <si>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</si>
  <si>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</si>
  <si>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</si>
  <si>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</si>
  <si>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</si>
  <si>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</si>
  <si>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</si>
  <si>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</si>
  <si>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</si>
  <si>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</si>
  <si>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</si>
  <si>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</si>
  <si>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</si>
  <si>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</si>
  <si>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</si>
  <si>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</si>
  <si>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</si>
  <si>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</si>
  <si>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</si>
  <si>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</si>
  <si>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</si>
  <si>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</si>
  <si>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</si>
  <si>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</si>
  <si>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</si>
  <si>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</si>
  <si>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</si>
  <si>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</si>
  <si>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</si>
  <si>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</si>
  <si>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</si>
  <si>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</si>
  <si>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</si>
  <si>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</si>
  <si>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</si>
  <si>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</si>
  <si>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</si>
  <si>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</si>
  <si>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</si>
  <si>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</si>
  <si>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</si>
  <si>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</si>
  <si>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</si>
  <si>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</si>
  <si>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</si>
  <si>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</si>
  <si>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</si>
  <si>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</si>
  <si>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</si>
  <si>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</si>
  <si>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</si>
  <si>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</si>
  <si>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</si>
  <si>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</si>
  <si>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</si>
  <si>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</si>
  <si>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</si>
  <si>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</si>
  <si>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</si>
  <si>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color rgb="FFFF0000"/>
        <rFont val="Arial"/>
        <charset val="134"/>
      </rPr>
      <t>QINGDAO</t>
    </r>
    <r>
      <rPr>
        <sz val="8"/>
        <rFont val="Arial"/>
        <charset val="134"/>
      </rPr>
      <t>-DAMMAM ,SAUDI ARABIA</t>
    </r>
  </si>
  <si>
    <r>
      <rPr>
        <sz val="8"/>
        <color rgb="FFFF0000"/>
        <rFont val="宋体"/>
        <charset val="134"/>
      </rPr>
      <t>18号装箱20号10点报数据</t>
    </r>
    <r>
      <rPr>
        <sz val="8"/>
        <rFont val="宋体"/>
        <charset val="134"/>
      </rPr>
      <t xml:space="preserve"> </t>
    </r>
    <r>
      <rPr>
        <sz val="8"/>
        <color rgb="FFFF0000"/>
        <rFont val="宋体"/>
        <charset val="134"/>
      </rPr>
      <t>走9710， 开票退税</t>
    </r>
    <r>
      <rPr>
        <sz val="8"/>
        <rFont val="宋体"/>
        <charset val="134"/>
      </rPr>
      <t xml:space="preserve">  CCPIT CO SC证书，等信电放提单 其他单据不邮寄 同X4025 X3782-1</t>
    </r>
  </si>
  <si>
    <r>
      <rPr>
        <sz val="8"/>
        <color theme="1"/>
        <rFont val="宋体"/>
        <charset val="134"/>
      </rPr>
      <t xml:space="preserve">指定代理cathy订舱CMA，飞杰拖车 泽源报关 </t>
    </r>
    <r>
      <rPr>
        <sz val="8"/>
        <color rgb="FFFF0000"/>
        <rFont val="宋体"/>
        <charset val="134"/>
      </rPr>
      <t>9710模式</t>
    </r>
  </si>
  <si>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</si>
  <si>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</si>
  <si>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</si>
  <si>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</si>
  <si>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</si>
  <si>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</si>
  <si>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</si>
  <si>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</si>
  <si>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</si>
  <si>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</si>
  <si>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</si>
  <si>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</si>
  <si>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</si>
  <si>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</si>
  <si>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</si>
  <si>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</si>
  <si>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</si>
  <si>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</si>
  <si>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</si>
  <si>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</si>
  <si>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</si>
  <si>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</si>
  <si>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</si>
  <si>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</si>
  <si>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</si>
  <si>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</si>
  <si>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</si>
  <si>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</si>
  <si>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</si>
  <si>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</si>
  <si>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</si>
  <si>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</si>
  <si>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</si>
  <si>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</si>
  <si>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</si>
  <si>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</si>
  <si>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</si>
  <si>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</si>
  <si>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</si>
  <si>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</si>
  <si>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</si>
  <si>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</si>
  <si>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</si>
  <si>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</si>
  <si>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</si>
  <si>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</si>
  <si>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</si>
  <si>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</si>
  <si>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</si>
  <si>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</si>
  <si>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</si>
  <si>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</si>
  <si>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</si>
  <si>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</si>
  <si>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</si>
  <si>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</si>
  <si>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</si>
  <si>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</si>
  <si>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</si>
  <si>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</si>
  <si>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</si>
  <si>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</si>
  <si>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</si>
  <si>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</si>
  <si>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</si>
  <si>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</si>
  <si>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</si>
  <si>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</si>
  <si>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</si>
  <si>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</si>
  <si>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</si>
  <si>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</si>
  <si>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</si>
  <si>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</si>
  <si>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</si>
  <si>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</si>
  <si>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</si>
  <si>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</si>
  <si>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</si>
  <si>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</si>
  <si>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</si>
  <si>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</si>
  <si>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</si>
  <si>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</si>
  <si>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</si>
  <si>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</si>
  <si>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</si>
  <si>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</si>
  <si>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</si>
  <si>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</si>
  <si>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</si>
  <si>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</si>
  <si>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</si>
  <si>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</si>
  <si>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</si>
  <si>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</si>
  <si>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</si>
  <si>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</si>
  <si>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</si>
  <si>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</si>
  <si>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</si>
  <si>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</si>
  <si>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</si>
  <si>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</si>
  <si>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</si>
  <si>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</si>
  <si>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</si>
  <si>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</si>
  <si>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</si>
  <si>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</si>
  <si>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</si>
  <si>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</si>
  <si>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</si>
  <si>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</si>
  <si>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</si>
  <si>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</si>
  <si>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</si>
  <si>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</si>
  <si>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</si>
  <si>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</si>
  <si>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</si>
  <si>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</si>
  <si>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</si>
  <si>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</si>
  <si>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</si>
  <si>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</si>
  <si>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</si>
  <si>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</si>
  <si>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</si>
  <si>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</si>
  <si>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</si>
  <si>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</si>
  <si>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</si>
  <si>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</si>
  <si>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</si>
  <si>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</si>
  <si>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</si>
  <si>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</si>
  <si>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</si>
  <si>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</si>
  <si>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</si>
  <si>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</si>
  <si>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</si>
  <si>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</si>
  <si>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</si>
  <si>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</si>
  <si>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</si>
  <si>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</si>
  <si>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</si>
  <si>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</si>
  <si>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</si>
  <si>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</si>
  <si>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</si>
  <si>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</si>
  <si>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</si>
  <si>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</si>
  <si>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</si>
  <si>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</si>
  <si>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</si>
  <si>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</si>
  <si>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</si>
  <si>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</si>
  <si>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</si>
  <si>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</si>
  <si>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</si>
  <si>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</si>
  <si>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</si>
  <si>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</si>
  <si>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</si>
  <si>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</si>
  <si>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</si>
  <si>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</si>
  <si>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</si>
  <si>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</si>
  <si>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</si>
  <si>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</si>
  <si>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</si>
  <si>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</si>
  <si>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</si>
  <si>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</si>
  <si>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</si>
  <si>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</si>
  <si>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</si>
  <si>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</si>
  <si>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</si>
  <si>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</si>
  <si>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</si>
  <si>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</si>
  <si>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</si>
  <si>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</si>
  <si>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</si>
  <si>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</si>
  <si>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</si>
  <si>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</si>
  <si>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</si>
  <si>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</si>
  <si>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</si>
  <si>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</si>
  <si>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</si>
  <si>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</si>
  <si>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</si>
  <si>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</si>
  <si>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</si>
  <si>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</si>
  <si>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</si>
  <si>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</si>
  <si>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</si>
  <si>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</si>
  <si>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</si>
  <si>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</si>
  <si>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</si>
  <si>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</si>
  <si>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</si>
  <si>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</si>
  <si>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</si>
  <si>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</si>
  <si>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</si>
  <si>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</si>
  <si>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</si>
  <si>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</si>
  <si>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</si>
  <si>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</si>
  <si>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</si>
  <si>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</si>
  <si>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</si>
  <si>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</si>
  <si>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</si>
  <si>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</si>
  <si>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</si>
  <si>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</si>
  <si>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</si>
  <si>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</si>
  <si>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</si>
  <si>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</si>
  <si>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</si>
  <si>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</si>
  <si>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</si>
  <si>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</si>
  <si>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</si>
  <si>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</si>
  <si>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</si>
  <si>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</si>
  <si>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</si>
  <si>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</si>
  <si>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</si>
  <si>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</si>
  <si>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</si>
  <si>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</si>
  <si>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</si>
  <si>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</si>
  <si>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</si>
  <si>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</si>
  <si>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</si>
  <si>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</si>
  <si>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</si>
  <si>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</si>
  <si>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</si>
  <si>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</si>
  <si>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</si>
  <si>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</si>
  <si>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</si>
  <si>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</si>
  <si>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</si>
  <si>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</si>
  <si>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</si>
  <si>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</si>
  <si>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</si>
  <si>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</si>
  <si>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</si>
  <si>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</si>
  <si>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</si>
  <si>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</si>
  <si>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</si>
  <si>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</si>
  <si>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</si>
  <si>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</si>
  <si>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</si>
  <si>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</si>
  <si>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</si>
  <si>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</si>
  <si>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</si>
  <si>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</si>
  <si>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</si>
  <si>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</si>
  <si>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</si>
  <si>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</si>
  <si>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</si>
  <si>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</si>
  <si>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</si>
  <si>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</si>
  <si>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</si>
  <si>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</si>
  <si>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</si>
  <si>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</si>
  <si>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</si>
  <si>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</si>
  <si>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</si>
  <si>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</si>
  <si>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</si>
  <si>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</si>
  <si>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</si>
  <si>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</si>
  <si>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</si>
  <si>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</si>
  <si>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</si>
  <si>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</si>
  <si>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</si>
  <si>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</si>
  <si>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</si>
  <si>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</si>
  <si>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</si>
  <si>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</si>
  <si>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</si>
  <si>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</si>
  <si>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</si>
  <si>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</si>
  <si>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</si>
  <si>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</si>
  <si>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</si>
  <si>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</si>
  <si>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</si>
  <si>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</si>
  <si>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</si>
  <si>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</si>
  <si>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</si>
  <si>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</si>
  <si>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</si>
  <si>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</si>
  <si>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</si>
  <si>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</si>
  <si>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</si>
  <si>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</si>
  <si>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</si>
  <si>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</si>
  <si>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</si>
  <si>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</si>
  <si>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</si>
  <si>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</si>
  <si>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</si>
  <si>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</si>
  <si>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</si>
  <si>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</si>
  <si>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</si>
  <si>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</si>
  <si>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</si>
  <si>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</si>
  <si>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</si>
  <si>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</si>
  <si>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</si>
  <si>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</si>
  <si>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</si>
  <si>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</si>
  <si>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</si>
  <si>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</si>
  <si>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</si>
  <si>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</si>
  <si>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</si>
  <si>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</si>
  <si>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</si>
  <si>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</si>
  <si>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</si>
  <si>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</si>
  <si>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</si>
  <si>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</si>
  <si>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</si>
  <si>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</si>
  <si>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</si>
  <si>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</si>
  <si>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</si>
  <si>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</si>
  <si>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</si>
  <si>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</si>
  <si>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</si>
  <si>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</si>
  <si>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</si>
  <si>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</si>
  <si>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</si>
  <si>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</si>
  <si>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</si>
  <si>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</si>
  <si>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</si>
  <si>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</si>
  <si>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</si>
  <si>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</si>
  <si>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</si>
  <si>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</si>
  <si>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</si>
  <si>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</si>
  <si>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</si>
  <si>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</si>
  <si>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</si>
  <si>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</si>
  <si>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</si>
  <si>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</si>
  <si>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</si>
  <si>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</si>
  <si>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</si>
  <si>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</si>
  <si>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</si>
  <si>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</si>
  <si>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</si>
  <si>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</si>
  <si>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</si>
  <si>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</si>
  <si>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</si>
  <si>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</si>
  <si>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</si>
  <si>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</si>
  <si>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</si>
  <si>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</si>
  <si>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</si>
  <si>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</si>
  <si>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</si>
  <si>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</si>
  <si>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</si>
  <si>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</si>
  <si>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</si>
  <si>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</si>
  <si>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</si>
  <si>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</si>
  <si>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</si>
  <si>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</si>
  <si>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</si>
  <si>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</si>
  <si>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</si>
  <si>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</si>
  <si>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</si>
  <si>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</si>
  <si>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</si>
  <si>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</si>
  <si>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</si>
  <si>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</si>
  <si>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</si>
  <si>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</si>
  <si>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</si>
  <si>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</si>
  <si>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</si>
  <si>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</si>
  <si>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</si>
  <si>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</si>
  <si>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</si>
  <si>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</si>
  <si>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</si>
  <si>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</si>
  <si>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</si>
  <si>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</si>
  <si>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</si>
  <si>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</si>
  <si>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</si>
  <si>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</si>
  <si>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</si>
  <si>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</si>
  <si>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</si>
  <si>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</si>
  <si>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</si>
  <si>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</si>
  <si>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</si>
  <si>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</si>
  <si>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</si>
  <si>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</si>
  <si>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</si>
  <si>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</si>
  <si>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</si>
  <si>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</si>
  <si>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</si>
  <si>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</si>
  <si>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</si>
  <si>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</si>
  <si>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</si>
  <si>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</si>
  <si>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</si>
  <si>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</si>
  <si>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</si>
  <si>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</si>
  <si>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</si>
  <si>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</si>
  <si>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</si>
  <si>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</si>
  <si>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</si>
  <si>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</si>
  <si>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</si>
  <si>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</si>
  <si>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</si>
  <si>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</si>
  <si>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</si>
  <si>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</si>
  <si>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</si>
  <si>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</si>
  <si>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</si>
  <si>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</si>
  <si>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</si>
  <si>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</si>
  <si>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</si>
  <si>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</si>
  <si>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</si>
  <si>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</si>
  <si>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</si>
  <si>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</si>
  <si>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</si>
  <si>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</si>
  <si>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</si>
  <si>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</si>
  <si>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</si>
  <si>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</si>
  <si>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</si>
  <si>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</si>
  <si>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</si>
  <si>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</si>
  <si>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</si>
  <si>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</si>
  <si>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</si>
  <si>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</si>
  <si>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</si>
  <si>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</si>
  <si>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</si>
  <si>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</si>
  <si>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</si>
  <si>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</si>
  <si>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</si>
  <si>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</si>
  <si>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</si>
  <si>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</si>
  <si>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</si>
  <si>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</si>
  <si>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</si>
  <si>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</si>
  <si>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</si>
  <si>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</si>
  <si>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</si>
  <si>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</si>
  <si>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</si>
  <si>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</si>
  <si>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</si>
  <si>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</si>
  <si>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</si>
  <si>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</si>
  <si>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</si>
  <si>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</si>
  <si>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</si>
  <si>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</si>
  <si>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</si>
  <si>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</si>
  <si>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</si>
  <si>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</si>
  <si>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</si>
  <si>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</si>
  <si>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</si>
  <si>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</si>
  <si>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</si>
  <si>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</si>
  <si>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</si>
  <si>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</si>
  <si>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</si>
  <si>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</si>
  <si>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</si>
  <si>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</si>
  <si>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</si>
  <si>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</si>
  <si>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</si>
  <si>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</si>
  <si>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</si>
  <si>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</si>
  <si>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</si>
  <si>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</si>
  <si>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</si>
  <si>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</si>
  <si>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</si>
  <si>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</si>
  <si>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</si>
  <si>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</si>
  <si>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</si>
  <si>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</si>
  <si>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</si>
  <si>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</si>
  <si>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</si>
  <si>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</si>
  <si>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</si>
  <si>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</si>
  <si>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</si>
  <si>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</si>
  <si>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</si>
  <si>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</si>
  <si>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</si>
  <si>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</si>
  <si>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</si>
  <si>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</si>
  <si>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</si>
  <si>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</si>
  <si>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</si>
  <si>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</si>
  <si>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</si>
  <si>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</si>
  <si>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</si>
  <si>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</si>
  <si>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</si>
  <si>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</si>
  <si>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</si>
  <si>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</si>
  <si>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</si>
  <si>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</si>
  <si>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</si>
  <si>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</si>
  <si>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</si>
  <si>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</si>
  <si>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</si>
  <si>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</si>
  <si>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</si>
  <si>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</si>
  <si>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</si>
  <si>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</si>
  <si>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</si>
  <si>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</si>
  <si>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</si>
  <si>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</si>
  <si>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</si>
  <si>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</si>
  <si>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</si>
  <si>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</si>
  <si>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</si>
  <si>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</si>
  <si>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</si>
  <si>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</si>
  <si>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</si>
  <si>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</si>
  <si>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</si>
  <si>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</si>
  <si>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</si>
  <si>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</si>
  <si>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</si>
  <si>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</si>
  <si>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</si>
  <si>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</si>
  <si>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</si>
  <si>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</si>
  <si>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</si>
  <si>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</si>
  <si>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</si>
  <si>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</si>
  <si>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</si>
  <si>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</si>
  <si>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</si>
  <si>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</si>
  <si>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</si>
  <si>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</si>
  <si>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</si>
  <si>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</si>
  <si>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</si>
  <si>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</si>
  <si>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</si>
  <si>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</si>
  <si>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</si>
  <si>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</si>
  <si>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</si>
  <si>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</si>
  <si>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</si>
  <si>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</si>
  <si>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</si>
  <si>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</si>
  <si>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</si>
  <si>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</si>
  <si>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</si>
  <si>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</si>
  <si>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</si>
  <si>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</si>
  <si>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</si>
  <si>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</si>
  <si>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</si>
  <si>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</si>
  <si>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</si>
  <si>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</si>
  <si>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</si>
  <si>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</si>
  <si>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</si>
  <si>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</si>
  <si>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</si>
  <si>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</si>
  <si>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</si>
  <si>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</si>
  <si>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</si>
  <si>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</si>
  <si>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</si>
  <si>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</si>
  <si>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</si>
  <si>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</si>
  <si>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</si>
  <si>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</si>
  <si>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</si>
  <si>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</si>
  <si>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</si>
  <si>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</si>
  <si>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</si>
  <si>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</si>
  <si>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</si>
  <si>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</si>
  <si>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</si>
  <si>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</si>
  <si>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</si>
  <si>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</si>
  <si>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</si>
  <si>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</si>
  <si>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</si>
  <si>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</si>
  <si>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</si>
  <si>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</si>
  <si>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</si>
  <si>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</si>
  <si>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</si>
  <si>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</si>
  <si>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</si>
  <si>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</si>
  <si>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</si>
  <si>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</si>
  <si>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</si>
  <si>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</si>
  <si>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</si>
  <si>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</si>
  <si>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</si>
  <si>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</si>
  <si>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</si>
  <si>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</si>
  <si>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</si>
  <si>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</si>
  <si>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</si>
  <si>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</si>
  <si>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</si>
  <si>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</si>
  <si>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</si>
  <si>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</si>
  <si>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</si>
  <si>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</si>
  <si>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</si>
  <si>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</si>
  <si>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</si>
  <si>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</si>
  <si>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</si>
  <si>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</si>
  <si>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</si>
  <si>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</si>
  <si>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</si>
  <si>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</si>
  <si>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</si>
  <si>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</si>
  <si>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</si>
  <si>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</si>
  <si>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</si>
  <si>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</si>
  <si>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</si>
  <si>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</si>
  <si>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</si>
  <si>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</si>
  <si>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</si>
  <si>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</si>
  <si>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</si>
  <si>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</si>
  <si>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</si>
  <si>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</si>
  <si>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</si>
  <si>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</si>
  <si>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</si>
  <si>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</si>
  <si>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</si>
  <si>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</si>
  <si>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</si>
  <si>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</si>
  <si>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</si>
  <si>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</si>
  <si>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</si>
  <si>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</si>
  <si>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</si>
  <si>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</si>
  <si>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</si>
  <si>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</si>
  <si>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</si>
  <si>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</si>
  <si>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</si>
  <si>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</si>
  <si>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</si>
  <si>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</si>
  <si>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</si>
  <si>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</si>
  <si>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</si>
  <si>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</si>
  <si>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</si>
  <si>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</si>
  <si>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</si>
  <si>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</si>
  <si>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</si>
  <si>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</si>
  <si>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</si>
  <si>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</si>
  <si>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</si>
  <si>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</si>
  <si>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</si>
  <si>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</si>
  <si>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</si>
  <si>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</si>
  <si>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</si>
  <si>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</si>
  <si>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</si>
  <si>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</si>
  <si>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</si>
  <si>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</si>
  <si>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</si>
  <si>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</si>
  <si>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</si>
  <si>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</si>
  <si>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</si>
  <si>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</si>
  <si>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</si>
  <si>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</si>
  <si>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</si>
  <si>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</si>
  <si>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</si>
  <si>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</si>
  <si>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</si>
  <si>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</si>
  <si>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</si>
  <si>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</si>
  <si>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</si>
  <si>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</si>
  <si>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</si>
  <si>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</si>
  <si>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</si>
  <si>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</si>
  <si>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</si>
  <si>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</si>
  <si>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</si>
  <si>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</si>
  <si>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</si>
  <si>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</si>
  <si>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</si>
  <si>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</si>
  <si>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</si>
  <si>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</si>
  <si>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</si>
  <si>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</si>
  <si>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</si>
  <si>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</si>
  <si>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</si>
  <si>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</si>
  <si>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</si>
  <si>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</si>
  <si>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</si>
  <si>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</si>
  <si>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</si>
  <si>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</si>
  <si>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</si>
  <si>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</si>
  <si>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</si>
  <si>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</si>
  <si>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</si>
  <si>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</si>
  <si>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</si>
  <si>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</si>
  <si>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</si>
  <si>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</si>
  <si>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</si>
  <si>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</si>
  <si>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</si>
  <si>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</si>
  <si>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</si>
  <si>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</si>
  <si>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</si>
  <si>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</si>
  <si>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</si>
  <si>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</si>
  <si>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</si>
  <si>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</si>
  <si>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</si>
  <si>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</si>
  <si>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</si>
  <si>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</si>
  <si>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</si>
  <si>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</si>
  <si>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</si>
  <si>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</si>
  <si>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</si>
  <si>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</si>
  <si>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</si>
  <si>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</si>
  <si>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</si>
  <si>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</si>
  <si>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</si>
  <si>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</si>
  <si>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</si>
  <si>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</si>
  <si>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</si>
  <si>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</si>
  <si>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</si>
  <si>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</si>
  <si>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</si>
  <si>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</si>
  <si>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</si>
  <si>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</si>
  <si>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</si>
  <si>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</si>
  <si>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</si>
  <si>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</si>
  <si>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</si>
  <si>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</si>
  <si>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</si>
  <si>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</si>
  <si>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</si>
  <si>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</si>
  <si>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</si>
  <si>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</si>
  <si>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</si>
  <si>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</si>
  <si>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</si>
  <si>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</si>
  <si>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</si>
  <si>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</si>
  <si>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</si>
  <si>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</si>
  <si>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</si>
  <si>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</si>
  <si>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</si>
  <si>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</si>
  <si>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</si>
  <si>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</si>
  <si>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</si>
  <si>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</si>
  <si>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</si>
  <si>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</si>
  <si>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</si>
  <si>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</si>
  <si>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</si>
  <si>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</si>
  <si>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</si>
  <si>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</si>
  <si>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</si>
  <si>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</si>
  <si>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</si>
  <si>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</si>
  <si>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</si>
  <si>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</si>
  <si>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</si>
  <si>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</si>
  <si>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</si>
  <si>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</si>
  <si>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</si>
  <si>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</si>
  <si>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</si>
  <si>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</si>
  <si>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</si>
  <si>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</si>
  <si>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</si>
  <si>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</si>
  <si>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</si>
  <si>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</si>
  <si>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</si>
  <si>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</si>
  <si>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</si>
  <si>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</si>
  <si>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</si>
  <si>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</si>
  <si>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</si>
  <si>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</si>
  <si>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</si>
  <si>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</si>
  <si>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</si>
  <si>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</si>
  <si>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</si>
  <si>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</si>
  <si>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</si>
  <si>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</si>
  <si>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</si>
  <si>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</si>
  <si>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</si>
  <si>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</si>
  <si>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</si>
  <si>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</si>
  <si>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</si>
  <si>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</si>
  <si>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</si>
  <si>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</si>
  <si>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</si>
  <si>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</si>
  <si>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</si>
  <si>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</si>
  <si>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</si>
  <si>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</si>
  <si>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</si>
  <si>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</si>
  <si>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</si>
  <si>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</si>
  <si>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</si>
  <si>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</si>
  <si>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</si>
  <si>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</si>
  <si>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</si>
  <si>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</si>
  <si>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</si>
  <si>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</si>
  <si>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</si>
  <si>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</si>
  <si>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</si>
  <si>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</si>
  <si>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</si>
  <si>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</si>
  <si>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</si>
  <si>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</si>
  <si>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</si>
  <si>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</si>
  <si>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</si>
  <si>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</si>
  <si>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</si>
  <si>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</si>
  <si>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</si>
  <si>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</si>
  <si>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</si>
  <si>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</si>
  <si>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</si>
  <si>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</si>
  <si>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</si>
  <si>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</si>
  <si>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</si>
  <si>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</si>
  <si>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</si>
  <si>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</si>
  <si>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</si>
  <si>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</si>
  <si>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</si>
  <si>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</si>
  <si>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</si>
  <si>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</si>
  <si>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</si>
  <si>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</si>
  <si>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</si>
  <si>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</si>
  <si>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</si>
  <si>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</si>
  <si>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</si>
  <si>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</si>
  <si>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</si>
  <si>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</si>
  <si>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</si>
  <si>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</si>
  <si>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</si>
  <si>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</si>
  <si>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</si>
  <si>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</si>
  <si>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</si>
  <si>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</si>
  <si>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</si>
  <si>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</si>
  <si>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</si>
  <si>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</si>
  <si>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</si>
  <si>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</si>
  <si>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</si>
  <si>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</si>
  <si>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</si>
  <si>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</si>
  <si>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</si>
  <si>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</si>
  <si>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</si>
  <si>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</si>
  <si>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</si>
  <si>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</si>
  <si>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</si>
  <si>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</si>
  <si>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</si>
  <si>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</si>
  <si>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</si>
  <si>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</si>
  <si>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</si>
  <si>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</si>
  <si>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</si>
  <si>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</si>
  <si>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</si>
  <si>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</si>
  <si>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</si>
  <si>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</si>
  <si>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</si>
  <si>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</si>
  <si>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</si>
  <si>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</si>
  <si>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</si>
  <si>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</si>
  <si>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</si>
  <si>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</si>
  <si>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</si>
  <si>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</si>
  <si>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</si>
  <si>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</si>
  <si>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</si>
  <si>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</si>
  <si>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</si>
  <si>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</si>
  <si>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</si>
  <si>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</si>
  <si>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</si>
  <si>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</si>
  <si>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</si>
  <si>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</si>
  <si>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</si>
  <si>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</si>
  <si>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</si>
  <si>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</si>
  <si>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</si>
  <si>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</si>
  <si>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</si>
  <si>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</si>
  <si>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</si>
  <si>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</si>
  <si>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</si>
  <si>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</si>
  <si>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</si>
  <si>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</si>
  <si>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</si>
  <si>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</si>
  <si>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</si>
  <si>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</si>
  <si>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</si>
  <si>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</si>
  <si>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</si>
  <si>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</si>
  <si>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</si>
  <si>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</si>
  <si>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</si>
  <si>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</si>
  <si>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</si>
  <si>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</si>
  <si>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</si>
  <si>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</si>
  <si>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</si>
  <si>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</si>
  <si>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</si>
  <si>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</si>
  <si>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</si>
  <si>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</si>
  <si>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</si>
  <si>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</si>
  <si>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</si>
  <si>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</si>
  <si>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</si>
  <si>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</si>
  <si>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</si>
  <si>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</si>
  <si>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</si>
  <si>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</si>
  <si>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</si>
  <si>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</si>
  <si>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</si>
  <si>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</si>
  <si>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</si>
  <si>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</si>
  <si>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</si>
  <si>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</si>
  <si>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</si>
  <si>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</si>
  <si>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</si>
  <si>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</si>
  <si>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</si>
  <si>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</si>
  <si>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</si>
  <si>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</si>
  <si>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</si>
  <si>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</si>
  <si>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</si>
  <si>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</si>
  <si>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</si>
  <si>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</si>
  <si>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</si>
  <si>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</si>
  <si>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</si>
  <si>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</si>
  <si>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</si>
  <si>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</si>
  <si>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</si>
  <si>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</si>
  <si>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</si>
  <si>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</si>
  <si>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</si>
  <si>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</si>
  <si>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</si>
  <si>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</si>
  <si>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</si>
  <si>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</si>
  <si>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</si>
  <si>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</si>
  <si>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</si>
  <si>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</si>
  <si>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</si>
  <si>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</si>
  <si>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</si>
  <si>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</si>
  <si>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</si>
  <si>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</si>
  <si>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</si>
  <si>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</si>
  <si>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</si>
  <si>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</si>
  <si>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</si>
  <si>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</si>
  <si>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</si>
  <si>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</si>
  <si>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</si>
  <si>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</si>
  <si>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</si>
  <si>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</si>
  <si>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</si>
  <si>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</si>
  <si>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</si>
  <si>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</si>
  <si>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</si>
  <si>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</si>
  <si>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</si>
  <si>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</si>
  <si>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</si>
  <si>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</si>
  <si>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</si>
  <si>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</si>
  <si>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</si>
  <si>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</si>
  <si>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</si>
  <si>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</si>
  <si>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</si>
  <si>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</si>
  <si>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</si>
  <si>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</si>
  <si>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</si>
  <si>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</si>
  <si>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</si>
  <si>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</si>
  <si>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</si>
  <si>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</si>
  <si>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</si>
  <si>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</si>
  <si>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</si>
  <si>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</si>
  <si>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</si>
  <si>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</si>
  <si>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</si>
  <si>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</si>
  <si>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</si>
  <si>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</si>
  <si>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</si>
  <si>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</si>
  <si>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</si>
  <si>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</si>
  <si>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</si>
  <si>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</si>
  <si>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</si>
  <si>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</si>
  <si>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</si>
  <si>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</si>
  <si>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</si>
  <si>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</si>
  <si>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</si>
  <si>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</si>
  <si>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</si>
  <si>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</si>
  <si>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</si>
  <si>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</si>
  <si>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</si>
  <si>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</si>
  <si>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</si>
  <si>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</si>
  <si>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</si>
  <si>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</si>
  <si>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</si>
  <si>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</si>
  <si>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</si>
  <si>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</si>
  <si>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</si>
  <si>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</si>
  <si>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</si>
  <si>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</si>
  <si>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</si>
  <si>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</si>
  <si>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</si>
  <si>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</si>
  <si>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</si>
  <si>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</si>
  <si>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</si>
  <si>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</si>
  <si>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</si>
  <si>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</si>
  <si>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</si>
  <si>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</si>
  <si>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</si>
  <si>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</si>
  <si>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</si>
  <si>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</si>
  <si>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分两批发，分别发一半。 第一批：1*20FT+3*40HQ   第二批：1*20FT+3*40HQ</t>
  </si>
  <si>
    <t>J4242-2</t>
  </si>
  <si>
    <t>3*40HQ 轻钢</t>
  </si>
  <si>
    <t>xingang-DAMMAM</t>
  </si>
  <si>
    <t>客户订舱PIL，小杜拖车报关</t>
  </si>
  <si>
    <t>J4242-1</t>
  </si>
  <si>
    <t>1*20FT+2*40HQ 轻钢</t>
  </si>
  <si>
    <t>22号装一个小柜23号装两个高箱</t>
  </si>
  <si>
    <t>客户订舱中远，小杜拖车报关</t>
  </si>
  <si>
    <t>J4246</t>
  </si>
  <si>
    <t>2x40H 烤漆+轻钢+配件</t>
  </si>
  <si>
    <t>出CNCA 电放 同J4122</t>
  </si>
  <si>
    <t>J4250</t>
  </si>
  <si>
    <t>2x20FT 轻钢</t>
  </si>
  <si>
    <t>DHL9783577694 保单 CCPIT CO 海运估计4350 同J4174</t>
  </si>
  <si>
    <t>永鑫海订舱MSC2900/2950，盛汇通拖车报关</t>
  </si>
  <si>
    <t>J4261</t>
  </si>
  <si>
    <t>1x40 FCL 轻钢龙骨</t>
  </si>
  <si>
    <t>发箱单发票给验货老师TZA 2022 171373 要验货需要贴标签 160.1281 出CO 同J4160 4198</t>
  </si>
  <si>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</si>
  <si>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</si>
  <si>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</si>
  <si>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</si>
  <si>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</si>
  <si>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</si>
  <si>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</si>
  <si>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</si>
  <si>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</si>
  <si>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</si>
  <si>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</si>
  <si>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</si>
  <si>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</si>
  <si>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</si>
  <si>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t>保单 CCPIT CO 海运费小柜3600核算 多的客户出  同J4130 4164</t>
  </si>
  <si>
    <t>永鑫海订舱5590，小杜拖车报关</t>
  </si>
  <si>
    <t>J4281</t>
  </si>
  <si>
    <t>3x20FT轻钢</t>
  </si>
  <si>
    <t>保单 CCPIT CO 海运估计3000 同J4174 4250</t>
  </si>
  <si>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</si>
  <si>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</si>
  <si>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</si>
  <si>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</si>
  <si>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</si>
  <si>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</si>
  <si>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r>
      <rPr>
        <sz val="8"/>
        <color rgb="FFFF0000"/>
        <rFont val="宋体"/>
        <charset val="134"/>
      </rPr>
      <t>19号装箱 21号上午报数据</t>
    </r>
    <r>
      <rPr>
        <sz val="8"/>
        <rFont val="宋体"/>
        <charset val="134"/>
      </rPr>
      <t xml:space="preserve"> 15号验货TZA 2022 189335 0002 AGSB 库存2475支部分4198已付，做发票时减去  发箱单发票给验货老师 要验货需要贴标签 260.0052 出CO 同J4117 4160 4198</t>
    </r>
  </si>
  <si>
    <t>海进订舱MSK,小杜拖车报关</t>
  </si>
  <si>
    <t>J4292</t>
  </si>
  <si>
    <t>马来西亚 Muhibah/Pui Yinh</t>
  </si>
  <si>
    <t>1x20 FCL 小付骨</t>
  </si>
  <si>
    <t>xingang-KLANG, MALAYSIA</t>
  </si>
  <si>
    <t>只有10吨</t>
  </si>
  <si>
    <t>J4294</t>
  </si>
  <si>
    <t>5x20FT+4x40HQ 轻钢+烤漆</t>
  </si>
  <si>
    <t>按FOB低报60%？CCPIT  CO 同J4136 4185</t>
  </si>
  <si>
    <t>J4294-1</t>
  </si>
  <si>
    <t>3x20FT 轻钢</t>
  </si>
  <si>
    <t>按FOB低报60% CCPIT  CO 保险 同J4136 4185</t>
  </si>
  <si>
    <t>永鑫海订舱5590,小杜拖车报关</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</si>
  <si>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</si>
  <si>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</si>
  <si>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</si>
  <si>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</si>
  <si>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</si>
  <si>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</si>
  <si>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</si>
  <si>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</si>
  <si>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</si>
  <si>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</si>
  <si>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</si>
  <si>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</si>
  <si>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</si>
  <si>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</si>
  <si>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</si>
  <si>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</si>
  <si>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</si>
  <si>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</si>
  <si>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</si>
  <si>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</si>
  <si>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</si>
  <si>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</si>
  <si>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</si>
  <si>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</si>
  <si>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</si>
  <si>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</si>
  <si>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</si>
  <si>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</si>
  <si>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</si>
  <si>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</si>
  <si>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</si>
  <si>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</si>
  <si>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</si>
  <si>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</si>
  <si>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</si>
  <si>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</si>
  <si>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</si>
  <si>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</si>
  <si>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</si>
  <si>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</si>
  <si>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</si>
  <si>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</si>
  <si>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</si>
  <si>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</si>
  <si>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</si>
  <si>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</si>
  <si>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</si>
  <si>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</si>
  <si>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</si>
  <si>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</si>
  <si>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</si>
  <si>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</si>
  <si>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</si>
  <si>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</si>
  <si>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</si>
  <si>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</si>
  <si>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</si>
  <si>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</si>
  <si>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</si>
  <si>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</si>
  <si>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</si>
  <si>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</si>
  <si>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</si>
  <si>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</si>
  <si>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</si>
  <si>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</si>
  <si>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</si>
  <si>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</si>
  <si>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</si>
  <si>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</si>
  <si>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</si>
  <si>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</si>
  <si>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</si>
  <si>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</si>
  <si>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</si>
  <si>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</si>
  <si>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</si>
  <si>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</si>
  <si>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</si>
  <si>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</si>
  <si>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</si>
  <si>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</si>
  <si>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</si>
  <si>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</si>
  <si>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</si>
  <si>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</si>
  <si>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</si>
  <si>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</si>
  <si>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</si>
  <si>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</si>
  <si>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</si>
  <si>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</si>
  <si>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</si>
  <si>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</si>
  <si>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</si>
  <si>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</si>
  <si>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</si>
  <si>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</si>
  <si>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</si>
  <si>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</si>
  <si>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</si>
  <si>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</si>
  <si>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</si>
  <si>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</si>
  <si>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</si>
  <si>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</si>
  <si>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</si>
  <si>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</si>
  <si>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</si>
  <si>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</si>
  <si>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</si>
  <si>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</si>
  <si>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</si>
  <si>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</si>
  <si>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</si>
  <si>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</si>
  <si>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</si>
  <si>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</si>
  <si>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</si>
  <si>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</si>
  <si>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</si>
  <si>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</si>
  <si>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</si>
  <si>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</si>
  <si>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</si>
  <si>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</si>
  <si>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</si>
  <si>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</si>
  <si>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</si>
  <si>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</si>
  <si>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</si>
  <si>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</si>
  <si>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</si>
  <si>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</si>
  <si>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</si>
  <si>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</si>
  <si>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</si>
  <si>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</si>
  <si>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</si>
  <si>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</si>
  <si>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</si>
  <si>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</si>
  <si>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</si>
  <si>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</si>
  <si>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</si>
  <si>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</si>
  <si>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</si>
  <si>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</si>
  <si>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</si>
  <si>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</si>
  <si>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</si>
  <si>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</si>
  <si>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</si>
  <si>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</si>
  <si>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</si>
  <si>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</si>
  <si>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</si>
  <si>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</si>
  <si>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</si>
  <si>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</si>
  <si>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</si>
  <si>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</si>
  <si>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</si>
  <si>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</si>
  <si>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</si>
  <si>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</si>
  <si>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</si>
  <si>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</si>
  <si>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</si>
  <si>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</si>
  <si>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</si>
  <si>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</si>
  <si>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</si>
  <si>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</si>
  <si>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</si>
  <si>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</si>
  <si>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</si>
  <si>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</si>
  <si>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</si>
  <si>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</si>
  <si>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</si>
  <si>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</si>
  <si>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</si>
  <si>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</si>
  <si>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</si>
  <si>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</si>
  <si>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</si>
  <si>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</si>
  <si>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</si>
  <si>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</si>
  <si>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</si>
  <si>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</si>
  <si>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</si>
  <si>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</si>
  <si>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</si>
  <si>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</si>
  <si>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</si>
  <si>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</si>
  <si>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</si>
  <si>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</si>
  <si>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</si>
  <si>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</si>
  <si>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</si>
  <si>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</si>
  <si>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</si>
  <si>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</si>
  <si>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</si>
  <si>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</si>
  <si>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</si>
  <si>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</si>
  <si>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</si>
  <si>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</si>
  <si>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</si>
  <si>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</si>
  <si>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</si>
  <si>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</si>
  <si>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</si>
  <si>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</si>
  <si>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</si>
  <si>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</si>
  <si>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</si>
  <si>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</si>
  <si>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</si>
  <si>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</si>
  <si>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</si>
  <si>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</si>
  <si>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</si>
  <si>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</si>
  <si>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</si>
  <si>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</si>
  <si>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</si>
  <si>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</si>
  <si>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</si>
  <si>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</si>
  <si>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</si>
  <si>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</si>
  <si>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</si>
  <si>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</si>
  <si>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</si>
  <si>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</si>
  <si>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</si>
  <si>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</si>
  <si>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</si>
  <si>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</si>
  <si>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</si>
  <si>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</si>
  <si>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</si>
  <si>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</si>
  <si>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</si>
  <si>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</si>
  <si>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</si>
  <si>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</si>
  <si>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</si>
  <si>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</si>
  <si>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</si>
  <si>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</si>
  <si>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</si>
  <si>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</si>
  <si>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</si>
  <si>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</si>
  <si>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</si>
  <si>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</si>
  <si>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</si>
  <si>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</si>
  <si>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</si>
  <si>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</si>
  <si>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</si>
  <si>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</si>
  <si>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</si>
  <si>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</si>
  <si>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</si>
  <si>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</si>
  <si>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</si>
  <si>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</si>
  <si>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</si>
  <si>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</si>
  <si>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</si>
  <si>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</si>
  <si>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</si>
  <si>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</si>
  <si>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</si>
  <si>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</si>
  <si>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</si>
  <si>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</si>
  <si>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</si>
  <si>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</si>
  <si>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</si>
  <si>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</si>
  <si>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</si>
  <si>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</si>
  <si>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</si>
  <si>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</si>
  <si>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</si>
  <si>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</si>
  <si>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</si>
  <si>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</si>
  <si>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</si>
  <si>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</si>
  <si>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</si>
  <si>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</si>
  <si>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</si>
  <si>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</si>
  <si>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</si>
  <si>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</si>
  <si>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</si>
  <si>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</si>
  <si>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</si>
  <si>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</si>
  <si>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</si>
  <si>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</si>
  <si>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</si>
  <si>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</si>
  <si>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</si>
  <si>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</si>
  <si>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</si>
  <si>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</si>
  <si>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</si>
  <si>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</si>
  <si>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</si>
  <si>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</si>
  <si>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</si>
  <si>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</si>
  <si>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</si>
  <si>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</si>
  <si>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</si>
  <si>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</si>
  <si>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</si>
  <si>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</si>
  <si>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</si>
  <si>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</si>
  <si>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</si>
  <si>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</si>
  <si>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</si>
  <si>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</si>
  <si>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</si>
  <si>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</si>
  <si>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</si>
  <si>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</si>
  <si>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</si>
  <si>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</si>
  <si>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</si>
  <si>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</si>
  <si>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</si>
  <si>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</si>
  <si>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</si>
  <si>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</si>
  <si>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</si>
  <si>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</si>
  <si>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</si>
  <si>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</si>
  <si>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</si>
  <si>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</si>
  <si>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</si>
  <si>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</si>
  <si>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</si>
  <si>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</si>
  <si>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</si>
  <si>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</si>
  <si>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</si>
  <si>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</si>
  <si>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</si>
  <si>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</si>
  <si>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</si>
  <si>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</si>
  <si>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</si>
  <si>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</si>
  <si>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</si>
  <si>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</si>
  <si>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</si>
  <si>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</si>
  <si>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</si>
  <si>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</si>
  <si>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</si>
  <si>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</si>
  <si>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</si>
  <si>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</si>
  <si>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</si>
  <si>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</si>
  <si>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</si>
  <si>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</si>
  <si>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</si>
  <si>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</si>
  <si>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</si>
  <si>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</si>
  <si>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</si>
  <si>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</si>
  <si>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</si>
  <si>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</si>
  <si>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</si>
  <si>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</si>
  <si>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</si>
  <si>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</si>
  <si>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</si>
  <si>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</si>
  <si>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</si>
  <si>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</si>
  <si>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</si>
  <si>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</si>
  <si>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</si>
  <si>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</si>
  <si>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</si>
  <si>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</si>
  <si>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</si>
  <si>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</si>
  <si>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</si>
  <si>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</si>
  <si>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</si>
  <si>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</si>
  <si>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</si>
  <si>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</si>
  <si>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</si>
  <si>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</si>
  <si>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</si>
  <si>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</si>
  <si>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</si>
  <si>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</si>
  <si>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</si>
  <si>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</si>
  <si>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</si>
  <si>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</si>
  <si>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</si>
  <si>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</si>
  <si>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</si>
  <si>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</si>
  <si>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</si>
  <si>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</si>
  <si>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</si>
  <si>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</si>
  <si>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</si>
  <si>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</si>
  <si>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</si>
  <si>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</si>
  <si>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</si>
  <si>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</si>
  <si>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</si>
  <si>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</si>
  <si>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</si>
  <si>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</si>
  <si>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</si>
  <si>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</si>
  <si>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</si>
  <si>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</si>
  <si>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</si>
  <si>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</si>
  <si>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</si>
  <si>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</si>
  <si>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</si>
  <si>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</si>
  <si>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</si>
  <si>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</si>
  <si>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</si>
  <si>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</si>
  <si>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</si>
  <si>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</si>
  <si>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</si>
  <si>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</si>
  <si>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</si>
  <si>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</si>
  <si>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</si>
  <si>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</si>
  <si>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</si>
  <si>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</si>
  <si>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</si>
  <si>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</si>
  <si>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</si>
  <si>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</si>
  <si>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</si>
  <si>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</si>
  <si>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</si>
  <si>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</si>
  <si>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</si>
  <si>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</si>
  <si>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</si>
  <si>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</si>
  <si>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</si>
  <si>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</si>
  <si>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</si>
  <si>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</si>
  <si>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</si>
  <si>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</si>
  <si>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</si>
  <si>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</si>
  <si>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</si>
  <si>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</si>
  <si>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</si>
  <si>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</si>
  <si>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</si>
  <si>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</si>
  <si>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</si>
  <si>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</si>
  <si>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</si>
  <si>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</si>
  <si>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</si>
  <si>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</si>
  <si>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</si>
  <si>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</si>
  <si>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</si>
  <si>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</si>
  <si>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</si>
  <si>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</si>
  <si>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</si>
  <si>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</si>
  <si>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</si>
  <si>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</si>
  <si>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</si>
  <si>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</si>
  <si>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</si>
  <si>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</si>
  <si>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</si>
  <si>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</si>
  <si>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</si>
  <si>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</si>
  <si>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</si>
  <si>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</si>
  <si>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</si>
  <si>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</si>
  <si>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</si>
  <si>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</si>
  <si>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</si>
  <si>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</si>
  <si>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</si>
  <si>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</si>
  <si>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</si>
  <si>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</si>
  <si>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</si>
  <si>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</si>
  <si>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</si>
  <si>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</si>
  <si>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</si>
  <si>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</si>
  <si>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</si>
  <si>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</si>
  <si>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</si>
  <si>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</si>
  <si>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</si>
  <si>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</si>
  <si>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</si>
  <si>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</si>
  <si>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</si>
  <si>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</si>
  <si>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</si>
  <si>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</si>
  <si>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</si>
  <si>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</si>
  <si>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</si>
  <si>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</si>
  <si>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</si>
  <si>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</si>
  <si>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</si>
  <si>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</si>
  <si>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</si>
  <si>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</si>
  <si>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</si>
  <si>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</si>
  <si>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</si>
  <si>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</si>
  <si>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</si>
  <si>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</si>
  <si>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</si>
  <si>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</si>
  <si>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</si>
  <si>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</si>
  <si>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</si>
  <si>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</si>
  <si>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</si>
  <si>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</si>
  <si>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</si>
  <si>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</si>
  <si>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</si>
  <si>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</si>
  <si>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</si>
  <si>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</si>
  <si>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</si>
  <si>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</si>
  <si>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</si>
  <si>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</si>
  <si>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</si>
  <si>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</si>
  <si>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</si>
  <si>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</si>
  <si>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</si>
  <si>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</si>
  <si>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</si>
  <si>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</si>
  <si>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</si>
  <si>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</si>
  <si>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</si>
  <si>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</si>
  <si>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</si>
  <si>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</si>
  <si>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</si>
  <si>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</si>
  <si>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</si>
  <si>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</si>
  <si>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</si>
  <si>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</si>
  <si>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</si>
  <si>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</si>
  <si>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</si>
  <si>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</si>
  <si>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</si>
  <si>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</si>
  <si>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</si>
  <si>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</si>
  <si>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</si>
  <si>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</si>
  <si>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</si>
  <si>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</si>
  <si>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</si>
  <si>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</si>
  <si>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</si>
  <si>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</si>
  <si>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</si>
  <si>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</si>
  <si>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</si>
  <si>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</si>
  <si>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</si>
  <si>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</si>
  <si>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</si>
  <si>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</si>
  <si>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</si>
  <si>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</si>
  <si>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</si>
  <si>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</si>
  <si>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</si>
  <si>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</si>
  <si>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</si>
  <si>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</si>
  <si>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</si>
  <si>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</si>
  <si>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</si>
  <si>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</si>
  <si>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</si>
  <si>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</si>
  <si>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</si>
  <si>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</si>
  <si>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</si>
  <si>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</si>
  <si>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</si>
  <si>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</si>
  <si>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</si>
  <si>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</si>
  <si>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</si>
  <si>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</si>
  <si>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</si>
  <si>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</si>
  <si>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</si>
  <si>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</si>
  <si>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</si>
  <si>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</si>
  <si>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</si>
  <si>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</si>
  <si>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</si>
  <si>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</si>
  <si>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</si>
  <si>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</si>
  <si>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</si>
  <si>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</si>
  <si>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</si>
  <si>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</si>
  <si>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</si>
  <si>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</si>
  <si>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</si>
  <si>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</si>
  <si>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</si>
  <si>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</si>
  <si>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</si>
  <si>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</si>
  <si>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</si>
  <si>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</si>
  <si>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</si>
  <si>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</si>
  <si>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</si>
  <si>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</si>
  <si>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</si>
  <si>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</si>
  <si>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</si>
  <si>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</si>
  <si>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</si>
  <si>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</si>
  <si>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</si>
  <si>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</si>
  <si>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</si>
  <si>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</si>
  <si>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</si>
  <si>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</si>
  <si>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</si>
  <si>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</si>
  <si>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</si>
  <si>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</si>
  <si>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</si>
  <si>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</si>
  <si>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</si>
  <si>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</si>
  <si>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</si>
  <si>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</si>
  <si>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</si>
  <si>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</si>
  <si>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</si>
  <si>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</si>
  <si>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</si>
  <si>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</si>
  <si>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</si>
  <si>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</si>
  <si>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</si>
  <si>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</si>
  <si>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</si>
  <si>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</si>
  <si>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</si>
  <si>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</si>
  <si>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</si>
  <si>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</si>
  <si>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</si>
  <si>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</si>
  <si>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</si>
  <si>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</si>
  <si>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</si>
  <si>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</si>
  <si>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</si>
  <si>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</si>
  <si>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</si>
  <si>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</si>
  <si>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</si>
  <si>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</si>
  <si>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</si>
  <si>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</si>
  <si>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</si>
  <si>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</si>
  <si>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</si>
  <si>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</si>
  <si>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</si>
  <si>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</si>
  <si>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</si>
  <si>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</si>
  <si>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rFont val="宋体"/>
        <charset val="134"/>
      </rPr>
      <t xml:space="preserve">货好 新厂装箱 货好 经济危机 等消息订舱 </t>
    </r>
    <r>
      <rPr>
        <sz val="8"/>
        <color rgb="FF0000FF"/>
        <rFont val="宋体"/>
        <charset val="134"/>
      </rPr>
      <t>还换收货人？</t>
    </r>
    <r>
      <rPr>
        <sz val="8"/>
        <rFont val="宋体"/>
        <charset val="134"/>
      </rPr>
      <t xml:space="preserve">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</si>
  <si>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</si>
  <si>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</si>
  <si>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t>港杂报价高 岩棉 无单据 同M4149</t>
  </si>
  <si>
    <t>深圳WiseCargo订舱CMA,小杜拖车报关</t>
  </si>
  <si>
    <t>J4241</t>
  </si>
  <si>
    <t>岩棉 无单据 同M4149</t>
  </si>
  <si>
    <t>J4248</t>
  </si>
  <si>
    <t>1x40HQ 小付骨</t>
  </si>
  <si>
    <r>
      <rPr>
        <sz val="8"/>
        <color rgb="FFFF0000"/>
        <rFont val="宋体"/>
        <charset val="134"/>
      </rPr>
      <t>18号装21号全天报数据</t>
    </r>
    <r>
      <rPr>
        <sz val="8"/>
        <rFont val="宋体"/>
        <charset val="134"/>
      </rPr>
      <t xml:space="preserve"> 寄件地址变了 出form E VO金额和客户确定  寄件地址每次和客户确认 同J4171 4205</t>
    </r>
  </si>
  <si>
    <t>迪斯泰订舱MCC2764，小杜拖车报关</t>
  </si>
  <si>
    <t>J4249</t>
  </si>
  <si>
    <t>出form E VO金额和客户确定  寄件地址每次和客户确认 同J4171 4205</t>
  </si>
  <si>
    <t>J4247</t>
  </si>
  <si>
    <t>轻钢龙骨+烤漆</t>
  </si>
  <si>
    <t>已好 从工厂运到义乌货 工厂提供箱单，发票, 装箱照片 同J4126 4168</t>
  </si>
  <si>
    <t>J4239</t>
  </si>
  <si>
    <t>客户订舱 每捆上贴“条形码” 同J4127 4233</t>
  </si>
  <si>
    <t>J4239-1</t>
  </si>
  <si>
    <t>1*40HQ 轻钢龙骨</t>
  </si>
  <si>
    <t>J4266</t>
  </si>
  <si>
    <r>
      <rPr>
        <sz val="8"/>
        <color rgb="FF0000FF"/>
        <rFont val="宋体"/>
        <charset val="134"/>
      </rPr>
      <t>送货前收款</t>
    </r>
    <r>
      <rPr>
        <sz val="8"/>
        <rFont val="宋体"/>
        <charset val="134"/>
      </rPr>
      <t xml:space="preserve"> 出正本和FB 运费1千 本地费用1300+40舱单 卸货费240</t>
    </r>
  </si>
  <si>
    <t>中和赵洪玲订舱</t>
  </si>
  <si>
    <t>J4267</t>
  </si>
  <si>
    <t>天津WING CHONG/Alieen</t>
  </si>
  <si>
    <t>1x20GP 打孔边角</t>
  </si>
  <si>
    <t>生产前三天通知，我司去验货</t>
  </si>
  <si>
    <t>客户安排订舱CMA，小杜拖车报关</t>
  </si>
  <si>
    <t>J4268</t>
  </si>
  <si>
    <t>1x40HQ &amp;1x20FCL 轻钢龙骨</t>
  </si>
  <si>
    <t>CO 保单 电放 单据扫描件即可 同M4151</t>
  </si>
  <si>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</si>
  <si>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</si>
  <si>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</si>
  <si>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</si>
  <si>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</si>
  <si>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</si>
  <si>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</si>
  <si>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</si>
  <si>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</si>
  <si>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</si>
  <si>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</si>
  <si>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</si>
  <si>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</si>
  <si>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</si>
  <si>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</si>
  <si>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</si>
  <si>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代理Shipair订舱</t>
  </si>
  <si>
    <t>J4293</t>
  </si>
  <si>
    <t>烤漆龙骨</t>
  </si>
  <si>
    <t>同J3826</t>
  </si>
  <si>
    <t>J4311</t>
  </si>
  <si>
    <t>出form E VO金额和客户确定  寄件地址每次和客户确认 同J4205 4248 4249</t>
  </si>
  <si>
    <t>J4312</t>
  </si>
  <si>
    <t>出form E VO金额和客户确定  寄件地址每次和客户确认 同J4248 4249</t>
  </si>
  <si>
    <t>J4313</t>
  </si>
  <si>
    <t>石家庄北华矿棉板</t>
  </si>
  <si>
    <t>打孔边角</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</si>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</sst>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7" formatCode="&quot;￥&quot;#,##0.00;&quot;￥&quot;\-#,##0.00"/>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0.00"/>
    <numFmt numFmtId="178" formatCode="&quot;￥&quot;#,##0.00_);[Red]\(&quot;￥&quot;#,##0.00\)"/>
    <numFmt numFmtId="179" formatCode="m/d;@"/>
    <numFmt numFmtId="180" formatCode="&quot;￥&quot;#,##0.00"/>
    <numFmt numFmtId="181" formatCode="[$CAD]\ #,##0.00;[$CAD]\ \-#,##0.00"/>
    <numFmt numFmtId="182" formatCode="\$#,##0.00;[Red]\$#,##0.00"/>
    <numFmt numFmtId="183" formatCode="&quot;￥&quot;#,##0.00;[Red]&quot;￥&quot;#,##0.00"/>
    <numFmt numFmtId="184" formatCode="\$#,##0.0_);[Red]\(\$#,##0.0\)"/>
  </numFmts>
  <fonts count="15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sz val="8"/>
      <color rgb="FFC00000"/>
      <name val="Arial"/>
      <charset val="134"/>
    </font>
    <font>
      <b/>
      <sz val="6"/>
      <color theme="0" tint="-0.25"/>
      <name val="华文宋体"/>
      <charset val="134"/>
    </font>
    <font>
      <b/>
      <sz val="6"/>
      <color rgb="FF0000D4"/>
      <name val="华文宋体"/>
      <charset val="134"/>
    </font>
    <font>
      <b/>
      <sz val="6"/>
      <color theme="1"/>
      <name val="华文宋体"/>
      <charset val="134"/>
    </font>
    <font>
      <b/>
      <sz val="8"/>
      <color theme="1"/>
      <name val="华文宋体"/>
      <charset val="134"/>
    </font>
    <font>
      <b/>
      <sz val="8"/>
      <color rgb="FF000000"/>
      <name val="Arial"/>
      <charset val="134"/>
    </font>
    <font>
      <b/>
      <sz val="8"/>
      <color indexed="8"/>
      <name val="Arial"/>
      <charset val="134"/>
    </font>
    <font>
      <b/>
      <sz val="8"/>
      <color rgb="FF0000FF"/>
      <name val="Arial"/>
      <charset val="134"/>
    </font>
    <font>
      <b/>
      <sz val="8"/>
      <color rgb="FF000000"/>
      <name val="华文宋体"/>
      <charset val="134"/>
    </font>
    <font>
      <b/>
      <sz val="8"/>
      <color theme="1" tint="0.0499893185216834"/>
      <name val="Arial"/>
      <charset val="134"/>
    </font>
    <font>
      <sz val="6"/>
      <name val="Arial"/>
      <charset val="134"/>
    </font>
    <font>
      <sz val="8"/>
      <color rgb="FF000000"/>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theme="8"/>
      <name val="Arial"/>
      <charset val="134"/>
    </font>
    <font>
      <b/>
      <sz val="9"/>
      <color rgb="FFFF0000"/>
      <name val="Arial"/>
      <charset val="134"/>
    </font>
    <font>
      <b/>
      <sz val="9"/>
      <color rgb="FF0000FF"/>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sz val="8"/>
      <color theme="0" tint="-0.25"/>
      <name val="Arial"/>
      <charset val="134"/>
    </font>
    <font>
      <sz val="8"/>
      <color rgb="FF0000D4"/>
      <name val="Arial"/>
      <charset val="134"/>
    </font>
    <font>
      <b/>
      <sz val="8"/>
      <color rgb="FF000000"/>
      <name val="宋体"/>
      <charset val="134"/>
    </font>
    <font>
      <sz val="9"/>
      <color rgb="FF000000"/>
      <name val="宋体"/>
      <charset val="134"/>
    </font>
    <font>
      <b/>
      <u/>
      <sz val="9"/>
      <name val="Arial"/>
      <charset val="134"/>
    </font>
    <font>
      <b/>
      <u/>
      <sz val="8"/>
      <color indexed="8"/>
      <name val="Arial"/>
      <charset val="134"/>
    </font>
    <font>
      <b/>
      <u/>
      <sz val="8"/>
      <color theme="0" tint="-0.25"/>
      <name val="Arial"/>
      <charset val="134"/>
    </font>
    <font>
      <b/>
      <u/>
      <sz val="8"/>
      <color rgb="FF0000D4"/>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b/>
      <u/>
      <sz val="8"/>
      <color theme="1"/>
      <name val="Arial"/>
      <charset val="134"/>
    </font>
    <font>
      <b/>
      <u/>
      <sz val="8"/>
      <name val="Arial"/>
      <charset val="134"/>
    </font>
    <font>
      <u/>
      <sz val="8"/>
      <color theme="1"/>
      <name val="Arial"/>
      <charset val="134"/>
    </font>
    <font>
      <b/>
      <u/>
      <sz val="8"/>
      <color rgb="FF000000"/>
      <name val="Arial"/>
      <charset val="134"/>
    </font>
    <font>
      <sz val="8"/>
      <color indexed="10"/>
      <name val="Arial"/>
      <charset val="134"/>
    </font>
    <font>
      <b/>
      <sz val="8"/>
      <color rgb="FFFF0000"/>
      <name val="宋体"/>
      <charset val="134"/>
    </font>
    <font>
      <b/>
      <u/>
      <sz val="8"/>
      <color rgb="FF0000FF"/>
      <name val="Arial"/>
      <charset val="134"/>
    </font>
    <font>
      <u/>
      <sz val="8"/>
      <color rgb="FF0000FF"/>
      <name val="Arial"/>
      <charset val="134"/>
    </font>
    <font>
      <b/>
      <u/>
      <sz val="8"/>
      <color rgb="FFFF0000"/>
      <name val="Arial"/>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scheme val="minor"/>
    </font>
    <font>
      <sz val="12"/>
      <color indexed="60"/>
      <name val="宋体"/>
      <charset val="134"/>
    </font>
    <font>
      <sz val="11"/>
      <color indexed="8"/>
      <name val="Calibri"/>
      <charset val="134"/>
    </font>
    <font>
      <i/>
      <sz val="11"/>
      <color indexed="23"/>
      <name val="Calibri"/>
      <charset val="134"/>
    </font>
    <font>
      <i/>
      <sz val="12"/>
      <color indexed="23"/>
      <name val="宋体"/>
      <charset val="134"/>
    </font>
    <font>
      <sz val="11"/>
      <color indexed="60"/>
      <name val="Calibri"/>
      <charset val="134"/>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
      <sz val="11"/>
      <name val="宋体"/>
      <charset val="134"/>
    </font>
    <font>
      <b/>
      <sz val="9"/>
      <name val="宋体"/>
      <charset val="134"/>
    </font>
    <font>
      <sz val="9"/>
      <name val="宋体"/>
      <charset val="134"/>
    </font>
    <font>
      <b/>
      <sz val="11"/>
      <name val="MS PGothic"/>
      <charset val="134"/>
    </font>
    <font>
      <b/>
      <sz val="9"/>
      <name val="方正书宋_GBK"/>
      <charset val="134"/>
    </font>
    <font>
      <sz val="11"/>
      <name val="MS PGothic"/>
      <charset val="134"/>
    </font>
    <font>
      <sz val="9"/>
      <name val="方正书宋_GBK"/>
      <charset val="134"/>
    </font>
    <font>
      <b/>
      <sz val="9"/>
      <name val="Tahoma"/>
      <charset val="134"/>
    </font>
    <font>
      <sz val="9"/>
      <name val="Tahoma"/>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indexed="29"/>
        <bgColor indexed="64"/>
      </patternFill>
    </fill>
    <fill>
      <patternFill patternType="solid">
        <fgColor indexed="47"/>
        <bgColor indexed="64"/>
      </patternFill>
    </fill>
    <fill>
      <patternFill patternType="solid">
        <fgColor theme="6" tint="0.799981688894314"/>
        <bgColor indexed="64"/>
      </patternFill>
    </fill>
    <fill>
      <patternFill patternType="solid">
        <fgColor rgb="FFFFCC99"/>
        <bgColor indexed="64"/>
      </patternFill>
    </fill>
    <fill>
      <patternFill patternType="solid">
        <fgColor indexed="43"/>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indexed="22"/>
        <bgColor indexed="64"/>
      </patternFill>
    </fill>
    <fill>
      <patternFill patternType="solid">
        <fgColor rgb="FFFFFFCC"/>
        <bgColor indexed="64"/>
      </patternFill>
    </fill>
    <fill>
      <patternFill patternType="solid">
        <fgColor theme="5" tint="0.399975585192419"/>
        <bgColor indexed="64"/>
      </patternFill>
    </fill>
    <fill>
      <patternFill patternType="solid">
        <fgColor indexed="2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indexed="26"/>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7865">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42"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10"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4"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1" fontId="104" fillId="0" borderId="0" applyFont="0" applyFill="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104"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1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9" fontId="104" fillId="0" borderId="0" applyFont="0" applyFill="0" applyBorder="0" applyAlignment="0" applyProtection="0">
      <alignment vertical="center"/>
    </xf>
    <xf numFmtId="0" fontId="0" fillId="0" borderId="0">
      <alignment vertical="center"/>
    </xf>
    <xf numFmtId="0" fontId="1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4" fillId="16" borderId="7" applyNumberFormat="0" applyFont="0" applyAlignment="0" applyProtection="0">
      <alignment vertical="center"/>
    </xf>
    <xf numFmtId="0" fontId="0" fillId="0" borderId="0">
      <alignment vertical="center"/>
    </xf>
    <xf numFmtId="0" fontId="108" fillId="1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3" fillId="0" borderId="0" applyNumberFormat="0" applyFill="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5" fillId="0" borderId="8" applyNumberFormat="0" applyFill="0" applyAlignment="0" applyProtection="0">
      <alignment vertical="center"/>
    </xf>
    <xf numFmtId="0" fontId="116" fillId="0" borderId="8" applyNumberFormat="0" applyFill="0" applyAlignment="0" applyProtection="0">
      <alignment vertical="center"/>
    </xf>
    <xf numFmtId="0" fontId="0" fillId="0" borderId="0">
      <alignment vertical="center"/>
    </xf>
    <xf numFmtId="0" fontId="108"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1" fillId="0" borderId="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0"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17" fillId="21" borderId="10"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8" fillId="21"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3" borderId="1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8" fillId="2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0" fillId="0" borderId="1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21" fillId="0" borderId="13"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2"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3"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0"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3"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4"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6"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3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9"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42"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8" fillId="4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5" fillId="22" borderId="0" applyNumberFormat="0" applyBorder="0" applyAlignment="0" applyProtection="0"/>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28"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2"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9548"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24585"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76" fontId="18" fillId="0" borderId="0" xfId="0" applyNumberFormat="1" applyFont="1" applyFill="1" applyAlignment="1">
      <alignment horizontal="left" vertical="center" wrapText="1"/>
    </xf>
    <xf numFmtId="0" fontId="19" fillId="0" borderId="0" xfId="0" applyFont="1" applyFill="1" applyAlignment="1">
      <alignment vertical="center"/>
    </xf>
    <xf numFmtId="0" fontId="14" fillId="0" borderId="1" xfId="0" applyFont="1" applyBorder="1">
      <alignment vertical="center"/>
    </xf>
    <xf numFmtId="0" fontId="14" fillId="0" borderId="1" xfId="0" applyFont="1" applyBorder="1" applyAlignment="1">
      <alignment vertical="center" wrapText="1"/>
    </xf>
    <xf numFmtId="0" fontId="20" fillId="0" borderId="0" xfId="0" applyFont="1">
      <alignment vertical="center"/>
    </xf>
    <xf numFmtId="0" fontId="0" fillId="0" borderId="1" xfId="0" applyBorder="1">
      <alignment vertical="center"/>
    </xf>
    <xf numFmtId="176"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76" fontId="22" fillId="0" borderId="0" xfId="0" applyNumberFormat="1" applyFont="1" applyFill="1" applyAlignment="1">
      <alignment horizontal="left" vertical="center"/>
    </xf>
    <xf numFmtId="176" fontId="32" fillId="0" borderId="0" xfId="0" applyNumberFormat="1" applyFont="1" applyFill="1" applyAlignment="1">
      <alignment horizontal="left" vertical="center"/>
    </xf>
    <xf numFmtId="0" fontId="33" fillId="0" borderId="0" xfId="0" applyFont="1" applyFill="1" applyAlignment="1">
      <alignment horizontal="left" vertical="center"/>
    </xf>
    <xf numFmtId="177"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78"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1" fillId="2" borderId="0" xfId="0" applyFont="1" applyFill="1" applyAlignment="1">
      <alignment horizontal="center"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37"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23" fillId="4" borderId="0" xfId="0" applyNumberFormat="1" applyFont="1" applyFill="1" applyBorder="1" applyAlignment="1">
      <alignment horizontal="left" vertical="center"/>
    </xf>
    <xf numFmtId="0" fontId="38" fillId="4" borderId="0" xfId="0" applyNumberFormat="1" applyFont="1" applyFill="1" applyBorder="1" applyAlignment="1">
      <alignment horizontal="left" vertical="center" wrapText="1"/>
    </xf>
    <xf numFmtId="0" fontId="39" fillId="4" borderId="0" xfId="0" applyNumberFormat="1" applyFont="1" applyFill="1" applyBorder="1" applyAlignment="1">
      <alignment horizontal="left" vertical="center" wrapText="1"/>
    </xf>
    <xf numFmtId="179" fontId="40" fillId="4" borderId="0" xfId="0" applyNumberFormat="1" applyFont="1" applyFill="1" applyBorder="1" applyAlignment="1">
      <alignment horizontal="left" vertical="center" wrapText="1"/>
    </xf>
    <xf numFmtId="0" fontId="41" fillId="4" borderId="0" xfId="0" applyNumberFormat="1" applyFont="1" applyFill="1" applyBorder="1" applyAlignment="1">
      <alignment horizontal="left" vertical="center" wrapText="1"/>
    </xf>
    <xf numFmtId="179" fontId="23" fillId="4" borderId="0" xfId="0" applyNumberFormat="1" applyFont="1" applyFill="1" applyBorder="1" applyAlignment="1">
      <alignment horizontal="left" vertical="center"/>
    </xf>
    <xf numFmtId="179" fontId="23" fillId="4" borderId="0" xfId="0" applyNumberFormat="1" applyFont="1" applyFill="1" applyBorder="1" applyAlignment="1">
      <alignment horizontal="center" vertical="center"/>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7" fontId="42" fillId="2" borderId="2" xfId="0" applyNumberFormat="1" applyFont="1" applyFill="1" applyBorder="1" applyAlignment="1">
      <alignment horizontal="left" vertical="center"/>
    </xf>
    <xf numFmtId="176" fontId="22" fillId="2" borderId="0" xfId="0" applyNumberFormat="1" applyFont="1" applyFill="1" applyAlignment="1">
      <alignment horizontal="left" vertical="center"/>
    </xf>
    <xf numFmtId="176" fontId="32" fillId="2" borderId="0" xfId="0" applyNumberFormat="1" applyFont="1" applyFill="1" applyAlignment="1">
      <alignment horizontal="left" vertical="center"/>
    </xf>
    <xf numFmtId="0" fontId="33" fillId="2" borderId="0" xfId="0" applyFont="1" applyFill="1" applyAlignment="1">
      <alignment horizontal="left" vertical="center"/>
    </xf>
    <xf numFmtId="177" fontId="22" fillId="2" borderId="0" xfId="0" applyNumberFormat="1" applyFont="1" applyFill="1" applyAlignment="1">
      <alignment horizontal="left" vertical="center"/>
    </xf>
    <xf numFmtId="0" fontId="32" fillId="3" borderId="0" xfId="0" applyFont="1" applyFill="1" applyAlignment="1">
      <alignment horizontal="center" vertical="center"/>
    </xf>
    <xf numFmtId="0" fontId="33" fillId="3" borderId="0" xfId="0" applyFont="1" applyFill="1" applyAlignment="1">
      <alignment horizontal="left" vertical="center"/>
    </xf>
    <xf numFmtId="179" fontId="23" fillId="4" borderId="0" xfId="0" applyNumberFormat="1" applyFont="1" applyFill="1" applyAlignment="1">
      <alignment horizontal="center" vertical="center"/>
    </xf>
    <xf numFmtId="0" fontId="43" fillId="4" borderId="0" xfId="24585" applyNumberFormat="1" applyFont="1" applyFill="1" applyBorder="1" applyAlignment="1">
      <alignment horizontal="left" vertical="center"/>
    </xf>
    <xf numFmtId="176" fontId="23" fillId="4" borderId="0" xfId="0" applyNumberFormat="1" applyFont="1" applyFill="1" applyBorder="1" applyAlignment="1">
      <alignment horizontal="left" vertical="center"/>
    </xf>
    <xf numFmtId="176" fontId="44" fillId="4" borderId="0" xfId="0" applyNumberFormat="1" applyFont="1" applyFill="1" applyBorder="1" applyAlignment="1">
      <alignment horizontal="left" vertical="center"/>
    </xf>
    <xf numFmtId="179" fontId="33" fillId="4" borderId="0" xfId="0" applyNumberFormat="1" applyFont="1" applyFill="1" applyBorder="1" applyAlignment="1">
      <alignment horizontal="left" vertical="center"/>
    </xf>
    <xf numFmtId="0" fontId="45" fillId="4" borderId="0" xfId="0" applyNumberFormat="1" applyFont="1" applyFill="1" applyBorder="1" applyAlignment="1">
      <alignment horizontal="left" vertical="center" wrapText="1"/>
    </xf>
    <xf numFmtId="0" fontId="45" fillId="4" borderId="0" xfId="0" applyNumberFormat="1" applyFont="1" applyFill="1" applyAlignment="1">
      <alignment horizontal="left" vertical="center" wrapText="1"/>
    </xf>
    <xf numFmtId="177" fontId="41" fillId="4" borderId="0" xfId="0" applyNumberFormat="1" applyFont="1" applyFill="1" applyAlignment="1">
      <alignment horizontal="center" vertical="center" wrapText="1"/>
    </xf>
    <xf numFmtId="176" fontId="22"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xf>
    <xf numFmtId="177" fontId="22" fillId="2" borderId="2" xfId="0" applyNumberFormat="1" applyFont="1" applyFill="1" applyBorder="1" applyAlignment="1">
      <alignment horizontal="left" vertical="center"/>
    </xf>
    <xf numFmtId="176" fontId="28" fillId="2" borderId="2" xfId="0" applyNumberFormat="1" applyFont="1" applyFill="1" applyBorder="1" applyAlignment="1">
      <alignment horizontal="left" vertical="center"/>
    </xf>
    <xf numFmtId="176" fontId="33" fillId="2" borderId="2" xfId="9548"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xf>
    <xf numFmtId="176" fontId="46" fillId="2" borderId="2" xfId="0" applyNumberFormat="1" applyFont="1" applyFill="1" applyBorder="1" applyAlignment="1">
      <alignment horizontal="left" vertical="center"/>
    </xf>
    <xf numFmtId="177" fontId="47" fillId="2" borderId="2" xfId="0" applyNumberFormat="1" applyFont="1" applyFill="1" applyBorder="1" applyAlignment="1">
      <alignment horizontal="left" vertical="center"/>
    </xf>
    <xf numFmtId="176"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76" fontId="48" fillId="2" borderId="2" xfId="0" applyNumberFormat="1" applyFont="1" applyFill="1" applyBorder="1" applyAlignment="1">
      <alignment horizontal="left" vertical="center"/>
    </xf>
    <xf numFmtId="14" fontId="48" fillId="2" borderId="2" xfId="0" applyNumberFormat="1" applyFont="1" applyFill="1" applyBorder="1" applyAlignment="1">
      <alignment horizontal="left" vertical="center"/>
    </xf>
    <xf numFmtId="177"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176" fontId="48" fillId="2" borderId="2" xfId="0" applyNumberFormat="1" applyFont="1" applyFill="1" applyBorder="1" applyAlignment="1">
      <alignment horizontal="left" vertical="center" wrapText="1"/>
    </xf>
    <xf numFmtId="26" fontId="22" fillId="2" borderId="0" xfId="39" applyNumberFormat="1" applyFont="1" applyFill="1" applyAlignment="1">
      <alignment horizontal="left" vertical="center"/>
    </xf>
    <xf numFmtId="178" fontId="22" fillId="2" borderId="0" xfId="0" applyNumberFormat="1" applyFont="1" applyFill="1" applyAlignment="1">
      <alignment horizontal="left" vertical="center"/>
    </xf>
    <xf numFmtId="177" fontId="37" fillId="3" borderId="0" xfId="0" applyNumberFormat="1" applyFont="1" applyFill="1" applyAlignment="1">
      <alignment horizontal="left" vertical="center"/>
    </xf>
    <xf numFmtId="177" fontId="41" fillId="4" borderId="0" xfId="0" applyNumberFormat="1" applyFont="1" applyFill="1" applyBorder="1" applyAlignment="1">
      <alignment horizontal="left" vertical="center" wrapText="1"/>
    </xf>
    <xf numFmtId="26" fontId="49" fillId="4" borderId="0" xfId="39" applyNumberFormat="1" applyFont="1" applyFill="1" applyBorder="1" applyAlignment="1">
      <alignment horizontal="center" vertical="center" wrapText="1"/>
    </xf>
    <xf numFmtId="178" fontId="49" fillId="4" borderId="0" xfId="0" applyNumberFormat="1" applyFont="1" applyFill="1" applyBorder="1" applyAlignment="1">
      <alignment horizontal="center" vertical="center" wrapText="1"/>
    </xf>
    <xf numFmtId="177" fontId="49" fillId="4" borderId="0" xfId="0" applyNumberFormat="1" applyFont="1" applyFill="1" applyBorder="1" applyAlignment="1">
      <alignment horizontal="center" vertical="center"/>
    </xf>
    <xf numFmtId="177" fontId="41" fillId="4" borderId="0" xfId="0" applyNumberFormat="1" applyFont="1" applyFill="1" applyAlignment="1">
      <alignment horizontal="center" vertical="center"/>
    </xf>
    <xf numFmtId="0" fontId="23" fillId="4" borderId="0" xfId="24585" applyNumberFormat="1" applyFont="1" applyFill="1" applyAlignment="1">
      <alignment horizontal="left" vertical="center"/>
    </xf>
    <xf numFmtId="26" fontId="50" fillId="5" borderId="2" xfId="0" applyNumberFormat="1" applyFont="1" applyFill="1" applyBorder="1" applyAlignment="1">
      <alignment horizontal="left" vertical="center"/>
    </xf>
    <xf numFmtId="178" fontId="51" fillId="4" borderId="2" xfId="0" applyNumberFormat="1" applyFont="1" applyFill="1" applyBorder="1" applyAlignment="1">
      <alignment horizontal="left" vertical="center"/>
    </xf>
    <xf numFmtId="177" fontId="28" fillId="2" borderId="2" xfId="0" applyNumberFormat="1" applyFont="1" applyFill="1" applyBorder="1" applyAlignment="1">
      <alignment horizontal="left" vertical="center"/>
    </xf>
    <xf numFmtId="177" fontId="26" fillId="2" borderId="2" xfId="0" applyNumberFormat="1" applyFont="1" applyFill="1" applyBorder="1" applyAlignment="1">
      <alignment horizontal="left" vertical="center"/>
    </xf>
    <xf numFmtId="177"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78"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78" fontId="53" fillId="4" borderId="2" xfId="0" applyNumberFormat="1" applyFont="1" applyFill="1" applyBorder="1" applyAlignment="1">
      <alignment horizontal="left" vertical="center"/>
    </xf>
    <xf numFmtId="177" fontId="53" fillId="2" borderId="2" xfId="0" applyNumberFormat="1" applyFont="1" applyFill="1" applyBorder="1" applyAlignment="1">
      <alignment horizontal="left" vertical="center"/>
    </xf>
    <xf numFmtId="177" fontId="46" fillId="2"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78" fontId="55" fillId="4" borderId="2" xfId="0" applyNumberFormat="1" applyFont="1" applyFill="1" applyBorder="1" applyAlignment="1">
      <alignment horizontal="left" vertical="center"/>
    </xf>
    <xf numFmtId="177" fontId="31"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0" fontId="28" fillId="2" borderId="2" xfId="0" applyFont="1" applyFill="1" applyBorder="1" applyAlignment="1">
      <alignment horizontal="left" vertical="center"/>
    </xf>
    <xf numFmtId="0" fontId="42" fillId="2" borderId="2" xfId="0" applyFont="1" applyFill="1" applyBorder="1" applyAlignment="1">
      <alignment horizontal="left" vertical="center"/>
    </xf>
    <xf numFmtId="180"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176" fontId="22" fillId="2" borderId="2" xfId="0" applyNumberFormat="1" applyFont="1" applyFill="1" applyBorder="1" applyAlignment="1">
      <alignment horizontal="left" vertical="center" wrapText="1"/>
    </xf>
    <xf numFmtId="0" fontId="26" fillId="2" borderId="2" xfId="0" applyFont="1" applyFill="1" applyBorder="1" applyAlignment="1">
      <alignment horizontal="left" vertical="center" wrapText="1"/>
    </xf>
    <xf numFmtId="176" fontId="22" fillId="2" borderId="2" xfId="0" applyNumberFormat="1" applyFont="1" applyFill="1" applyBorder="1" applyAlignment="1">
      <alignment horizontal="left" vertical="top" wrapText="1"/>
    </xf>
    <xf numFmtId="176" fontId="57" fillId="2" borderId="2" xfId="0" applyNumberFormat="1" applyFont="1" applyFill="1" applyBorder="1" applyAlignment="1">
      <alignment horizontal="left" vertical="center" wrapText="1"/>
    </xf>
    <xf numFmtId="176" fontId="26" fillId="2" borderId="2" xfId="0" applyNumberFormat="1" applyFont="1" applyFill="1" applyBorder="1" applyAlignment="1">
      <alignment horizontal="left" vertical="center" wrapText="1"/>
    </xf>
    <xf numFmtId="176" fontId="58"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wrapText="1"/>
    </xf>
    <xf numFmtId="177" fontId="57" fillId="2" borderId="2" xfId="0" applyNumberFormat="1" applyFont="1" applyFill="1" applyBorder="1" applyAlignment="1">
      <alignment horizontal="left" vertical="center"/>
    </xf>
    <xf numFmtId="58" fontId="59" fillId="2" borderId="2" xfId="0" applyNumberFormat="1" applyFont="1" applyFill="1" applyBorder="1" applyAlignment="1">
      <alignment horizontal="left" vertical="center"/>
    </xf>
    <xf numFmtId="177" fontId="21" fillId="2" borderId="2" xfId="0" applyNumberFormat="1" applyFont="1" applyFill="1" applyBorder="1" applyAlignment="1">
      <alignment horizontal="left" vertical="center"/>
    </xf>
    <xf numFmtId="177" fontId="33"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26" fontId="60" fillId="5" borderId="2" xfId="0" applyNumberFormat="1" applyFont="1" applyFill="1" applyBorder="1" applyAlignment="1">
      <alignment horizontal="left" vertical="center"/>
    </xf>
    <xf numFmtId="178" fontId="61" fillId="4" borderId="2" xfId="0" applyNumberFormat="1" applyFont="1" applyFill="1" applyBorder="1" applyAlignment="1">
      <alignment horizontal="left" vertical="center"/>
    </xf>
    <xf numFmtId="177"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4" fontId="56" fillId="2" borderId="2" xfId="0" applyNumberFormat="1" applyFont="1" applyFill="1" applyBorder="1" applyAlignment="1">
      <alignment horizontal="left" vertical="center" wrapText="1"/>
    </xf>
    <xf numFmtId="176" fontId="5"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wrapText="1"/>
    </xf>
    <xf numFmtId="176" fontId="47" fillId="2" borderId="2" xfId="0" applyNumberFormat="1" applyFont="1" applyFill="1" applyBorder="1" applyAlignment="1">
      <alignment horizontal="left" vertical="center"/>
    </xf>
    <xf numFmtId="176" fontId="62" fillId="2" borderId="2" xfId="0" applyNumberFormat="1" applyFont="1" applyFill="1" applyBorder="1" applyAlignment="1">
      <alignment horizontal="left" vertical="center" wrapText="1"/>
    </xf>
    <xf numFmtId="176" fontId="28" fillId="2" borderId="2" xfId="0"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wrapText="1"/>
    </xf>
    <xf numFmtId="176"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77"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77" fontId="65" fillId="2" borderId="2" xfId="0" applyNumberFormat="1" applyFont="1" applyFill="1" applyBorder="1" applyAlignment="1">
      <alignment horizontal="left" vertical="center"/>
    </xf>
    <xf numFmtId="177"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9548" applyFont="1" applyFill="1" applyBorder="1" applyAlignment="1">
      <alignment horizontal="left" vertical="center"/>
    </xf>
    <xf numFmtId="0" fontId="22" fillId="2" borderId="2" xfId="9548" applyFont="1" applyFill="1" applyBorder="1" applyAlignment="1">
      <alignment horizontal="left" vertical="center"/>
    </xf>
    <xf numFmtId="0" fontId="4" fillId="2" borderId="2" xfId="9548" applyNumberFormat="1" applyFont="1" applyFill="1" applyBorder="1" applyAlignment="1">
      <alignment horizontal="left" vertical="center"/>
    </xf>
    <xf numFmtId="0" fontId="22" fillId="2" borderId="2" xfId="9548" applyNumberFormat="1" applyFont="1" applyFill="1" applyBorder="1" applyAlignment="1">
      <alignment horizontal="left" vertical="center"/>
    </xf>
    <xf numFmtId="0" fontId="66" fillId="2" borderId="2" xfId="0" applyFont="1" applyFill="1" applyBorder="1" applyAlignment="1">
      <alignment horizontal="left" vertical="center"/>
    </xf>
    <xf numFmtId="176" fontId="23"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xf>
    <xf numFmtId="176" fontId="7" fillId="2" borderId="2" xfId="0" applyNumberFormat="1" applyFont="1" applyFill="1" applyBorder="1" applyAlignment="1">
      <alignment horizontal="left" vertical="center" wrapText="1"/>
    </xf>
    <xf numFmtId="176" fontId="31" fillId="2" borderId="2" xfId="0" applyNumberFormat="1" applyFont="1" applyFill="1" applyBorder="1" applyAlignment="1">
      <alignment horizontal="left" vertical="center" wrapText="1"/>
    </xf>
    <xf numFmtId="176" fontId="33" fillId="2" borderId="2" xfId="0" applyNumberFormat="1" applyFont="1" applyFill="1" applyBorder="1" applyAlignment="1">
      <alignment horizontal="left" vertical="center"/>
    </xf>
    <xf numFmtId="176" fontId="67" fillId="2" borderId="2" xfId="0" applyNumberFormat="1" applyFont="1" applyFill="1" applyBorder="1" applyAlignment="1">
      <alignment horizontal="left" vertical="center" wrapText="1"/>
    </xf>
    <xf numFmtId="176" fontId="33" fillId="2" borderId="2" xfId="22498" applyNumberFormat="1" applyFont="1" applyFill="1" applyBorder="1" applyAlignment="1">
      <alignment horizontal="left" vertical="center" wrapText="1"/>
    </xf>
    <xf numFmtId="177" fontId="22" fillId="2" borderId="2" xfId="0" applyNumberFormat="1" applyFont="1" applyFill="1" applyBorder="1" applyAlignment="1">
      <alignment horizontal="left" vertical="center" wrapText="1"/>
    </xf>
    <xf numFmtId="0" fontId="22" fillId="2" borderId="2" xfId="22498" applyFont="1" applyFill="1" applyBorder="1" applyAlignment="1">
      <alignment horizontal="left" vertical="center"/>
    </xf>
    <xf numFmtId="176" fontId="22" fillId="2" borderId="2" xfId="9548" applyNumberFormat="1" applyFont="1" applyFill="1" applyBorder="1" applyAlignment="1">
      <alignment horizontal="left" vertical="center"/>
    </xf>
    <xf numFmtId="176" fontId="28" fillId="2" borderId="2" xfId="9548" applyNumberFormat="1" applyFont="1" applyFill="1" applyBorder="1" applyAlignment="1">
      <alignment horizontal="left" vertical="center" wrapText="1"/>
    </xf>
    <xf numFmtId="177" fontId="22" fillId="2" borderId="2" xfId="9548" applyNumberFormat="1" applyFont="1" applyFill="1" applyBorder="1" applyAlignment="1">
      <alignment horizontal="left" vertical="center"/>
    </xf>
    <xf numFmtId="176" fontId="22" fillId="2" borderId="2" xfId="9548" applyNumberFormat="1" applyFont="1" applyFill="1" applyBorder="1" applyAlignment="1">
      <alignment horizontal="left" vertical="center" wrapText="1"/>
    </xf>
    <xf numFmtId="0" fontId="63" fillId="2" borderId="2" xfId="0" applyFont="1" applyFill="1" applyBorder="1" applyAlignment="1">
      <alignment horizontal="left" vertical="center"/>
    </xf>
    <xf numFmtId="58" fontId="28" fillId="2" borderId="2" xfId="0" applyNumberFormat="1" applyFont="1" applyFill="1" applyBorder="1" applyAlignment="1">
      <alignment horizontal="left" vertical="center"/>
    </xf>
    <xf numFmtId="177" fontId="22" fillId="2" borderId="2" xfId="0" applyNumberFormat="1" applyFont="1" applyFill="1" applyBorder="1" applyAlignment="1">
      <alignment horizontal="center" vertical="center"/>
    </xf>
    <xf numFmtId="176" fontId="22" fillId="2" borderId="2" xfId="22498" applyNumberFormat="1" applyFont="1" applyFill="1" applyBorder="1" applyAlignment="1">
      <alignment horizontal="left" vertical="center"/>
    </xf>
    <xf numFmtId="177" fontId="22" fillId="2" borderId="2" xfId="22498" applyNumberFormat="1" applyFont="1" applyFill="1" applyBorder="1" applyAlignment="1">
      <alignment horizontal="left" vertical="center"/>
    </xf>
    <xf numFmtId="177" fontId="47" fillId="2" borderId="2" xfId="0" applyNumberFormat="1" applyFont="1" applyFill="1" applyBorder="1" applyAlignment="1">
      <alignment horizontal="left" vertical="center" wrapText="1"/>
    </xf>
    <xf numFmtId="177" fontId="44" fillId="2" borderId="2" xfId="9548" applyNumberFormat="1" applyFont="1" applyFill="1" applyBorder="1" applyAlignment="1">
      <alignment horizontal="left" vertical="center"/>
    </xf>
    <xf numFmtId="58" fontId="26" fillId="2" borderId="2" xfId="9548" applyNumberFormat="1" applyFont="1" applyFill="1" applyBorder="1" applyAlignment="1">
      <alignment horizontal="left" vertical="center"/>
    </xf>
    <xf numFmtId="177" fontId="44"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177"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26" fontId="22" fillId="2" borderId="2" xfId="0" applyNumberFormat="1" applyFont="1" applyFill="1" applyBorder="1" applyAlignment="1">
      <alignment horizontal="left" vertical="center"/>
    </xf>
    <xf numFmtId="0" fontId="13" fillId="2" borderId="2" xfId="0" applyFont="1" applyFill="1" applyBorder="1" applyAlignment="1">
      <alignment horizontal="left" vertical="center"/>
    </xf>
    <xf numFmtId="176" fontId="31" fillId="2" borderId="2" xfId="0" applyNumberFormat="1" applyFont="1" applyFill="1" applyBorder="1" applyAlignment="1">
      <alignment horizontal="left" vertical="center"/>
    </xf>
    <xf numFmtId="176" fontId="33" fillId="5" borderId="2" xfId="0" applyNumberFormat="1" applyFont="1" applyFill="1" applyBorder="1" applyAlignment="1">
      <alignment horizontal="left" vertical="center" wrapText="1"/>
    </xf>
    <xf numFmtId="176" fontId="22" fillId="5" borderId="2" xfId="0" applyNumberFormat="1" applyFont="1" applyFill="1" applyBorder="1" applyAlignment="1">
      <alignment horizontal="left" vertical="center"/>
    </xf>
    <xf numFmtId="176" fontId="4" fillId="5" borderId="2" xfId="0" applyNumberFormat="1" applyFont="1" applyFill="1" applyBorder="1" applyAlignment="1">
      <alignment horizontal="left" vertical="center" wrapText="1"/>
    </xf>
    <xf numFmtId="176" fontId="7" fillId="5" borderId="2" xfId="0" applyNumberFormat="1" applyFont="1" applyFill="1" applyBorder="1" applyAlignment="1">
      <alignment horizontal="left" vertical="center" wrapText="1"/>
    </xf>
    <xf numFmtId="176" fontId="33" fillId="5" borderId="2" xfId="9548" applyNumberFormat="1" applyFont="1" applyFill="1" applyBorder="1" applyAlignment="1">
      <alignment horizontal="left" vertical="center" wrapText="1"/>
    </xf>
    <xf numFmtId="177" fontId="22" fillId="5" borderId="2" xfId="0" applyNumberFormat="1" applyFont="1" applyFill="1" applyBorder="1" applyAlignment="1">
      <alignment horizontal="left" vertical="center"/>
    </xf>
    <xf numFmtId="176" fontId="22" fillId="5" borderId="2" xfId="0" applyNumberFormat="1" applyFont="1" applyFill="1" applyBorder="1" applyAlignment="1">
      <alignment horizontal="left" vertical="center" wrapText="1"/>
    </xf>
    <xf numFmtId="7" fontId="22" fillId="2" borderId="2" xfId="0" applyNumberFormat="1" applyFont="1" applyFill="1" applyBorder="1" applyAlignment="1">
      <alignment horizontal="left" vertical="center"/>
    </xf>
    <xf numFmtId="26" fontId="34" fillId="5" borderId="2" xfId="9548" applyNumberFormat="1" applyFont="1" applyFill="1" applyBorder="1" applyAlignment="1">
      <alignment horizontal="left" vertical="center"/>
    </xf>
    <xf numFmtId="178" fontId="44" fillId="4" borderId="2" xfId="9548" applyNumberFormat="1" applyFont="1" applyFill="1" applyBorder="1" applyAlignment="1">
      <alignment horizontal="left" vertical="center"/>
    </xf>
    <xf numFmtId="177" fontId="69" fillId="2" borderId="2" xfId="0" applyNumberFormat="1" applyFont="1" applyFill="1" applyBorder="1" applyAlignment="1">
      <alignment horizontal="left" vertical="center"/>
    </xf>
    <xf numFmtId="177" fontId="69" fillId="2" borderId="2" xfId="0" applyNumberFormat="1" applyFont="1" applyFill="1" applyBorder="1" applyAlignment="1">
      <alignment horizontal="left" vertical="center" wrapText="1"/>
    </xf>
    <xf numFmtId="177" fontId="68"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xf>
    <xf numFmtId="178" fontId="44" fillId="5" borderId="2" xfId="9548" applyNumberFormat="1" applyFont="1" applyFill="1" applyBorder="1" applyAlignment="1">
      <alignment horizontal="left" vertical="center"/>
    </xf>
    <xf numFmtId="177"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76" fontId="70" fillId="2" borderId="2" xfId="0" applyNumberFormat="1" applyFont="1" applyFill="1" applyBorder="1" applyAlignment="1">
      <alignment horizontal="left" vertical="center" wrapText="1"/>
    </xf>
    <xf numFmtId="176"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177" fontId="73" fillId="2" borderId="2" xfId="0" applyNumberFormat="1" applyFont="1" applyFill="1" applyBorder="1" applyAlignment="1">
      <alignment horizontal="left" vertical="center"/>
    </xf>
    <xf numFmtId="0" fontId="31" fillId="2" borderId="2" xfId="0" applyFont="1" applyFill="1" applyBorder="1" applyAlignment="1">
      <alignment horizontal="left" vertical="center"/>
    </xf>
    <xf numFmtId="0" fontId="34" fillId="2" borderId="2" xfId="0" applyFont="1" applyFill="1" applyBorder="1" applyAlignment="1">
      <alignment horizontal="left" vertical="center"/>
    </xf>
    <xf numFmtId="0" fontId="44" fillId="2" borderId="2" xfId="0" applyFont="1" applyFill="1" applyBorder="1" applyAlignment="1">
      <alignment horizontal="left" vertical="center"/>
    </xf>
    <xf numFmtId="0" fontId="42" fillId="2" borderId="2" xfId="9548" applyFont="1" applyFill="1" applyBorder="1" applyAlignment="1">
      <alignment horizontal="left" vertical="center"/>
    </xf>
    <xf numFmtId="0" fontId="29" fillId="2" borderId="2" xfId="9548" applyFont="1" applyFill="1" applyBorder="1" applyAlignment="1">
      <alignment horizontal="left" vertical="center"/>
    </xf>
    <xf numFmtId="0" fontId="30" fillId="2" borderId="2" xfId="9548" applyFont="1" applyFill="1" applyBorder="1" applyAlignment="1">
      <alignment horizontal="left" vertical="center"/>
    </xf>
    <xf numFmtId="0" fontId="42" fillId="2" borderId="2" xfId="0" applyFont="1" applyFill="1" applyBorder="1">
      <alignment vertical="center"/>
    </xf>
    <xf numFmtId="0" fontId="28" fillId="2" borderId="2" xfId="0" applyFont="1" applyFill="1" applyBorder="1">
      <alignment vertical="center"/>
    </xf>
    <xf numFmtId="181" fontId="22" fillId="2" borderId="2" xfId="0" applyNumberFormat="1" applyFont="1" applyFill="1" applyBorder="1" applyAlignment="1">
      <alignment horizontal="left" vertical="center"/>
    </xf>
    <xf numFmtId="181" fontId="31" fillId="2" borderId="2" xfId="0" applyNumberFormat="1" applyFont="1" applyFill="1" applyBorder="1" applyAlignment="1">
      <alignment horizontal="left" vertical="center"/>
    </xf>
    <xf numFmtId="26" fontId="22" fillId="2" borderId="2" xfId="6832" applyNumberFormat="1" applyFont="1" applyFill="1" applyBorder="1" applyAlignment="1">
      <alignment horizontal="left" vertical="center"/>
    </xf>
    <xf numFmtId="176" fontId="7" fillId="2" borderId="2" xfId="9548" applyNumberFormat="1" applyFont="1" applyFill="1" applyBorder="1" applyAlignment="1">
      <alignment horizontal="left" vertical="center" wrapText="1"/>
    </xf>
    <xf numFmtId="177" fontId="22" fillId="2" borderId="3" xfId="0" applyNumberFormat="1" applyFont="1" applyFill="1" applyBorder="1" applyAlignment="1">
      <alignment horizontal="left" vertical="center"/>
    </xf>
    <xf numFmtId="177" fontId="22" fillId="2" borderId="4" xfId="0" applyNumberFormat="1" applyFont="1" applyFill="1" applyBorder="1" applyAlignment="1">
      <alignment horizontal="left" vertical="center"/>
    </xf>
    <xf numFmtId="177" fontId="22" fillId="2" borderId="2" xfId="9548" applyNumberFormat="1" applyFont="1" applyFill="1" applyBorder="1" applyAlignment="1">
      <alignment horizontal="center"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17" fillId="2" borderId="2" xfId="0" applyFont="1" applyFill="1" applyBorder="1" applyAlignment="1">
      <alignment horizontal="left" vertical="center"/>
    </xf>
    <xf numFmtId="7" fontId="22" fillId="2" borderId="4" xfId="0" applyNumberFormat="1" applyFont="1" applyFill="1" applyBorder="1" applyAlignment="1">
      <alignment horizontal="left" vertical="center"/>
    </xf>
    <xf numFmtId="176" fontId="25" fillId="2" borderId="2" xfId="0" applyNumberFormat="1" applyFont="1" applyFill="1" applyBorder="1" applyAlignment="1">
      <alignment horizontal="left" vertical="center" wrapText="1"/>
    </xf>
    <xf numFmtId="176" fontId="78" fillId="2" borderId="2" xfId="0" applyNumberFormat="1" applyFont="1" applyFill="1" applyBorder="1" applyAlignment="1">
      <alignment horizontal="left" vertical="center" wrapText="1"/>
    </xf>
    <xf numFmtId="176" fontId="48" fillId="2" borderId="2" xfId="0" applyNumberFormat="1" applyFont="1" applyFill="1" applyBorder="1" applyAlignment="1">
      <alignment vertical="center" wrapText="1"/>
    </xf>
    <xf numFmtId="26" fontId="34" fillId="5" borderId="3" xfId="0" applyNumberFormat="1" applyFont="1" applyFill="1" applyBorder="1" applyAlignment="1">
      <alignment horizontal="left" vertical="center"/>
    </xf>
    <xf numFmtId="26" fontId="34" fillId="5" borderId="4" xfId="0" applyNumberFormat="1" applyFont="1" applyFill="1" applyBorder="1" applyAlignment="1">
      <alignment horizontal="left" vertical="center"/>
    </xf>
    <xf numFmtId="177" fontId="22" fillId="2" borderId="5" xfId="0" applyNumberFormat="1" applyFont="1" applyFill="1" applyBorder="1" applyAlignment="1">
      <alignment horizontal="left" vertical="center"/>
    </xf>
    <xf numFmtId="177" fontId="61" fillId="2" borderId="2" xfId="0" applyNumberFormat="1" applyFont="1" applyFill="1" applyBorder="1" applyAlignment="1">
      <alignment horizontal="left" vertical="center"/>
    </xf>
    <xf numFmtId="26" fontId="60" fillId="5" borderId="2" xfId="39" applyNumberFormat="1" applyFont="1" applyFill="1" applyBorder="1" applyAlignment="1">
      <alignment horizontal="left" vertical="center"/>
    </xf>
    <xf numFmtId="26" fontId="34" fillId="5" borderId="2" xfId="39"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76" fontId="80"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xf>
    <xf numFmtId="176" fontId="81" fillId="2" borderId="2" xfId="0" applyNumberFormat="1" applyFont="1" applyFill="1" applyBorder="1" applyAlignment="1">
      <alignment horizontal="left" vertical="center" wrapText="1"/>
    </xf>
    <xf numFmtId="182" fontId="22" fillId="2" borderId="2" xfId="6832"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0" fontId="33" fillId="2" borderId="2" xfId="0" applyFont="1" applyFill="1" applyBorder="1">
      <alignment vertical="center"/>
    </xf>
    <xf numFmtId="0" fontId="23" fillId="2" borderId="2" xfId="0" applyFont="1" applyFill="1" applyBorder="1">
      <alignment vertical="center"/>
    </xf>
    <xf numFmtId="0" fontId="34" fillId="2" borderId="2" xfId="0" applyFont="1" applyFill="1" applyBorder="1">
      <alignment vertical="center"/>
    </xf>
    <xf numFmtId="0" fontId="33" fillId="2" borderId="2" xfId="0" applyFont="1" applyFill="1" applyBorder="1" applyAlignment="1">
      <alignment horizontal="left"/>
    </xf>
    <xf numFmtId="17" fontId="82" fillId="2" borderId="2" xfId="0" applyNumberFormat="1" applyFont="1" applyFill="1" applyBorder="1" applyAlignment="1">
      <alignment horizontal="left" vertical="center"/>
    </xf>
    <xf numFmtId="17" fontId="83" fillId="2" borderId="2" xfId="0" applyNumberFormat="1" applyFont="1" applyFill="1" applyBorder="1" applyAlignment="1">
      <alignment horizontal="left" vertical="center"/>
    </xf>
    <xf numFmtId="183" fontId="31" fillId="2" borderId="2" xfId="0" applyNumberFormat="1" applyFont="1" applyFill="1" applyBorder="1" applyAlignment="1">
      <alignment horizontal="left" vertical="center"/>
    </xf>
    <xf numFmtId="177" fontId="32" fillId="2" borderId="2" xfId="0" applyNumberFormat="1" applyFont="1" applyFill="1" applyBorder="1" applyAlignment="1">
      <alignment horizontal="left" vertical="center" wrapText="1"/>
    </xf>
    <xf numFmtId="177" fontId="84" fillId="2" borderId="2" xfId="0" applyNumberFormat="1" applyFont="1" applyFill="1" applyBorder="1" applyAlignment="1">
      <alignment horizontal="left" vertical="center"/>
    </xf>
    <xf numFmtId="178"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33" fillId="2" borderId="2" xfId="9548" applyFont="1" applyFill="1" applyBorder="1" applyAlignment="1">
      <alignment horizontal="left" vertical="center"/>
    </xf>
    <xf numFmtId="0" fontId="23" fillId="2" borderId="2" xfId="0" applyNumberFormat="1" applyFont="1" applyFill="1" applyBorder="1" applyAlignment="1">
      <alignment horizontal="left" vertical="center"/>
    </xf>
    <xf numFmtId="0" fontId="47" fillId="2" borderId="2" xfId="9548" applyNumberFormat="1" applyFont="1" applyFill="1" applyBorder="1" applyAlignment="1">
      <alignment horizontal="left" vertical="center" wrapText="1"/>
    </xf>
    <xf numFmtId="0" fontId="33" fillId="2" borderId="2" xfId="9548" applyNumberFormat="1" applyFont="1" applyFill="1" applyBorder="1" applyAlignment="1">
      <alignment horizontal="left" vertical="center"/>
    </xf>
    <xf numFmtId="0" fontId="48" fillId="2" borderId="2" xfId="0" applyFont="1" applyFill="1" applyBorder="1">
      <alignment vertical="center"/>
    </xf>
    <xf numFmtId="0" fontId="5" fillId="2" borderId="2" xfId="0" applyFont="1" applyFill="1" applyBorder="1">
      <alignment vertical="center"/>
    </xf>
    <xf numFmtId="0" fontId="28" fillId="0" borderId="2" xfId="0" applyFont="1" applyFill="1" applyBorder="1">
      <alignment vertical="center"/>
    </xf>
    <xf numFmtId="177" fontId="63" fillId="2" borderId="2" xfId="0" applyNumberFormat="1" applyFont="1" applyFill="1" applyBorder="1" applyAlignment="1">
      <alignment horizontal="left" vertical="center"/>
    </xf>
    <xf numFmtId="176" fontId="69" fillId="2" borderId="2" xfId="9548" applyNumberFormat="1" applyFont="1" applyFill="1" applyBorder="1" applyAlignment="1">
      <alignment horizontal="left" vertical="center" wrapText="1"/>
    </xf>
    <xf numFmtId="26" fontId="22" fillId="2" borderId="2" xfId="9548" applyNumberFormat="1" applyFont="1" applyFill="1" applyBorder="1" applyAlignment="1">
      <alignment horizontal="left" vertical="center"/>
    </xf>
    <xf numFmtId="176" fontId="44" fillId="2" borderId="2" xfId="9548"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78"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58" fontId="28" fillId="2" borderId="2" xfId="9548" applyNumberFormat="1" applyFont="1" applyFill="1" applyBorder="1" applyAlignment="1">
      <alignment horizontal="left" vertical="center"/>
    </xf>
    <xf numFmtId="26" fontId="34" fillId="5" borderId="2" xfId="0" applyNumberFormat="1" applyFont="1" applyFill="1" applyBorder="1" applyAlignment="1">
      <alignment horizontal="left" vertical="center" wrapText="1"/>
    </xf>
    <xf numFmtId="178" fontId="44" fillId="4"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28" fillId="2" borderId="2" xfId="0" applyFont="1" applyFill="1" applyBorder="1" applyAlignment="1">
      <alignment vertical="center" wrapText="1"/>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8" fillId="2" borderId="2" xfId="0" applyNumberFormat="1" applyFont="1" applyFill="1" applyBorder="1" applyAlignment="1">
      <alignment horizontal="left" vertical="center"/>
    </xf>
    <xf numFmtId="177" fontId="4" fillId="2" borderId="2" xfId="0" applyNumberFormat="1" applyFont="1" applyFill="1" applyBorder="1" applyAlignment="1">
      <alignment horizontal="left" vertical="center" wrapText="1"/>
    </xf>
    <xf numFmtId="0" fontId="57" fillId="2" borderId="2" xfId="0" applyNumberFormat="1" applyFont="1" applyFill="1" applyBorder="1" applyAlignment="1">
      <alignment horizontal="left" vertical="center"/>
    </xf>
    <xf numFmtId="26" fontId="31" fillId="2" borderId="2" xfId="0" applyNumberFormat="1" applyFont="1" applyFill="1" applyBorder="1" applyAlignment="1">
      <alignment horizontal="left" vertical="center"/>
    </xf>
    <xf numFmtId="7" fontId="31" fillId="2" borderId="2" xfId="0" applyNumberFormat="1" applyFont="1" applyFill="1" applyBorder="1" applyAlignment="1">
      <alignment horizontal="left" vertical="center"/>
    </xf>
    <xf numFmtId="0" fontId="67" fillId="2" borderId="2" xfId="0" applyFont="1" applyFill="1" applyBorder="1" applyAlignment="1">
      <alignment vertical="center" wrapText="1"/>
    </xf>
    <xf numFmtId="176" fontId="17" fillId="2" borderId="2" xfId="0" applyNumberFormat="1" applyFont="1" applyFill="1" applyBorder="1" applyAlignment="1">
      <alignment horizontal="left" vertical="center" wrapText="1"/>
    </xf>
    <xf numFmtId="176" fontId="85" fillId="2" borderId="2" xfId="0" applyNumberFormat="1" applyFont="1" applyFill="1" applyBorder="1" applyAlignment="1">
      <alignment horizontal="left" vertical="center" wrapText="1"/>
    </xf>
    <xf numFmtId="0" fontId="33" fillId="2" borderId="2" xfId="0" applyFont="1" applyFill="1" applyBorder="1" applyAlignment="1">
      <alignment horizontal="left" vertical="center" wrapText="1"/>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76"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31" fillId="5" borderId="2" xfId="39" applyNumberFormat="1" applyFont="1" applyFill="1" applyBorder="1" applyAlignment="1">
      <alignment horizontal="left" vertical="center"/>
    </xf>
    <xf numFmtId="178" fontId="32" fillId="4" borderId="2" xfId="0" applyNumberFormat="1" applyFont="1" applyFill="1" applyBorder="1" applyAlignment="1">
      <alignment horizontal="left" vertical="center"/>
    </xf>
    <xf numFmtId="177" fontId="58" fillId="2"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78" fontId="28" fillId="4" borderId="2" xfId="0" applyNumberFormat="1" applyFont="1" applyFill="1" applyBorder="1" applyAlignment="1">
      <alignment horizontal="left" vertical="center"/>
    </xf>
    <xf numFmtId="178" fontId="22" fillId="0" borderId="2" xfId="0" applyNumberFormat="1" applyFont="1" applyFill="1" applyBorder="1" applyAlignment="1">
      <alignment horizontal="left" vertical="center"/>
    </xf>
    <xf numFmtId="0" fontId="44" fillId="2" borderId="2" xfId="0" applyFont="1" applyFill="1" applyBorder="1">
      <alignment vertical="center"/>
    </xf>
    <xf numFmtId="0" fontId="67" fillId="2" borderId="2" xfId="0" applyFont="1" applyFill="1" applyBorder="1" applyAlignment="1">
      <alignment horizontal="left" vertical="center"/>
    </xf>
    <xf numFmtId="0" fontId="86" fillId="2" borderId="2" xfId="0" applyFont="1" applyFill="1" applyBorder="1" applyAlignment="1">
      <alignment horizontal="left" vertical="center"/>
    </xf>
    <xf numFmtId="0" fontId="82" fillId="2" borderId="2" xfId="0" applyFont="1" applyFill="1" applyBorder="1" applyAlignment="1">
      <alignment horizontal="left" vertical="center"/>
    </xf>
    <xf numFmtId="0" fontId="83" fillId="2" borderId="2" xfId="0" applyFont="1" applyFill="1" applyBorder="1" applyAlignment="1">
      <alignment horizontal="left" vertical="center"/>
    </xf>
    <xf numFmtId="176" fontId="27" fillId="2" borderId="2" xfId="0" applyNumberFormat="1" applyFont="1" applyFill="1" applyBorder="1" applyAlignment="1">
      <alignment horizontal="left" vertical="center"/>
    </xf>
    <xf numFmtId="0" fontId="51" fillId="2" borderId="2" xfId="0" applyFont="1" applyFill="1" applyBorder="1" applyAlignment="1">
      <alignment horizontal="left" vertical="center"/>
    </xf>
    <xf numFmtId="14" fontId="33" fillId="2" borderId="2" xfId="0" applyNumberFormat="1" applyFont="1" applyFill="1" applyBorder="1" applyAlignment="1">
      <alignment horizontal="left" vertical="center" wrapText="1"/>
    </xf>
    <xf numFmtId="0" fontId="32" fillId="2" borderId="2" xfId="0" applyFont="1" applyFill="1" applyBorder="1" applyAlignment="1">
      <alignment horizontal="left" wrapText="1"/>
    </xf>
    <xf numFmtId="0" fontId="22" fillId="2" borderId="2" xfId="0" applyFont="1" applyFill="1" applyBorder="1" applyAlignment="1">
      <alignment horizontal="left"/>
    </xf>
    <xf numFmtId="26" fontId="22" fillId="5" borderId="2" xfId="39" applyNumberFormat="1"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28" fillId="6" borderId="2" xfId="0" applyFont="1" applyFill="1" applyBorder="1" applyAlignment="1">
      <alignment horizontal="left" vertical="center"/>
    </xf>
    <xf numFmtId="0" fontId="87" fillId="2" borderId="2" xfId="0" applyNumberFormat="1"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91" fillId="2" borderId="2" xfId="0" applyNumberFormat="1" applyFont="1" applyFill="1" applyBorder="1" applyAlignment="1">
      <alignment horizontal="left" vertical="center"/>
    </xf>
    <xf numFmtId="0" fontId="87" fillId="2" borderId="2" xfId="0"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1" fillId="2" borderId="2" xfId="0" applyFont="1" applyFill="1" applyBorder="1" applyAlignment="1">
      <alignment horizontal="left" vertical="center"/>
    </xf>
    <xf numFmtId="14" fontId="91" fillId="2" borderId="2" xfId="0" applyNumberFormat="1" applyFont="1" applyFill="1" applyBorder="1" applyAlignment="1">
      <alignment horizontal="left" vertical="center"/>
    </xf>
    <xf numFmtId="0" fontId="92" fillId="2" borderId="2" xfId="0" applyFont="1" applyFill="1" applyBorder="1" applyAlignment="1">
      <alignment horizontal="left" vertical="center"/>
    </xf>
    <xf numFmtId="0" fontId="91" fillId="2" borderId="2" xfId="0" applyNumberFormat="1" applyFont="1" applyFill="1" applyBorder="1" applyAlignment="1">
      <alignment horizontal="left" vertical="center" wrapText="1"/>
    </xf>
    <xf numFmtId="0" fontId="93" fillId="2" borderId="2" xfId="0" applyFont="1" applyFill="1" applyBorder="1" applyAlignment="1">
      <alignment horizontal="left" vertical="center"/>
    </xf>
    <xf numFmtId="0" fontId="94" fillId="2" borderId="2" xfId="0" applyFont="1" applyFill="1" applyBorder="1" applyAlignment="1">
      <alignment horizontal="left" vertical="center"/>
    </xf>
    <xf numFmtId="0" fontId="95" fillId="2" borderId="2" xfId="0" applyFont="1" applyFill="1" applyBorder="1" applyAlignment="1">
      <alignment horizontal="left" vertical="center"/>
    </xf>
    <xf numFmtId="0" fontId="96" fillId="2" borderId="2" xfId="0" applyFont="1" applyFill="1" applyBorder="1" applyAlignment="1">
      <alignment horizontal="left" vertical="center"/>
    </xf>
    <xf numFmtId="0" fontId="97" fillId="2" borderId="2" xfId="0" applyFont="1" applyFill="1" applyBorder="1" applyAlignment="1">
      <alignment horizontal="left" vertical="center"/>
    </xf>
    <xf numFmtId="0" fontId="98"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8"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58" fontId="24" fillId="2" borderId="2" xfId="0" applyNumberFormat="1" applyFont="1" applyFill="1" applyBorder="1" applyAlignment="1">
      <alignment horizontal="left" vertical="center"/>
    </xf>
    <xf numFmtId="176" fontId="96" fillId="2" borderId="2" xfId="0" applyNumberFormat="1" applyFont="1" applyFill="1" applyBorder="1" applyAlignment="1">
      <alignment horizontal="left" vertical="center" wrapText="1"/>
    </xf>
    <xf numFmtId="176" fontId="90"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xf>
    <xf numFmtId="176" fontId="96" fillId="2" borderId="2" xfId="0" applyNumberFormat="1" applyFont="1" applyFill="1" applyBorder="1" applyAlignment="1">
      <alignment horizontal="left" vertical="center"/>
    </xf>
    <xf numFmtId="177" fontId="90" fillId="2" borderId="2" xfId="0" applyNumberFormat="1" applyFont="1" applyFill="1" applyBorder="1" applyAlignment="1">
      <alignment horizontal="left" vertical="center"/>
    </xf>
    <xf numFmtId="14" fontId="96"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wrapText="1"/>
    </xf>
    <xf numFmtId="177" fontId="96" fillId="2" borderId="2" xfId="0" applyNumberFormat="1" applyFont="1" applyFill="1" applyBorder="1" applyAlignment="1">
      <alignment horizontal="left" vertical="center"/>
    </xf>
    <xf numFmtId="177" fontId="99" fillId="2" borderId="2" xfId="0" applyNumberFormat="1" applyFont="1" applyFill="1" applyBorder="1" applyAlignment="1">
      <alignment horizontal="left" vertical="center"/>
    </xf>
    <xf numFmtId="178" fontId="100" fillId="4" borderId="2" xfId="0" applyNumberFormat="1" applyFont="1" applyFill="1" applyBorder="1" applyAlignment="1">
      <alignment horizontal="left" vertical="center"/>
    </xf>
    <xf numFmtId="14" fontId="91" fillId="2" borderId="2" xfId="24585" applyNumberFormat="1" applyFont="1" applyFill="1" applyBorder="1" applyAlignment="1">
      <alignment horizontal="left" vertical="center"/>
    </xf>
    <xf numFmtId="177" fontId="91" fillId="2" borderId="2" xfId="0" applyNumberFormat="1" applyFont="1" applyFill="1" applyBorder="1" applyAlignment="1">
      <alignment horizontal="left" vertical="center" wrapText="1"/>
    </xf>
    <xf numFmtId="178" fontId="100" fillId="4" borderId="2" xfId="0" applyNumberFormat="1" applyFont="1" applyFill="1" applyBorder="1" applyAlignment="1">
      <alignment horizontal="left" vertical="center" wrapText="1"/>
    </xf>
    <xf numFmtId="184" fontId="91" fillId="2" borderId="2" xfId="0" applyNumberFormat="1" applyFont="1" applyFill="1" applyBorder="1" applyAlignment="1">
      <alignment horizontal="left" vertical="center"/>
    </xf>
    <xf numFmtId="177" fontId="94" fillId="2" borderId="2" xfId="0" applyNumberFormat="1" applyFont="1" applyFill="1" applyBorder="1" applyAlignment="1">
      <alignment horizontal="left" vertical="center"/>
    </xf>
    <xf numFmtId="177" fontId="101" fillId="2" borderId="2" xfId="0" applyNumberFormat="1" applyFont="1" applyFill="1" applyBorder="1" applyAlignment="1">
      <alignment horizontal="left" vertical="center"/>
    </xf>
    <xf numFmtId="178" fontId="44" fillId="4" borderId="0" xfId="0" applyNumberFormat="1" applyFont="1" applyFill="1" applyAlignment="1">
      <alignment horizontal="left" vertical="center"/>
    </xf>
    <xf numFmtId="177" fontId="102" fillId="4" borderId="2" xfId="0" applyNumberFormat="1" applyFont="1" applyFill="1" applyBorder="1" applyAlignment="1">
      <alignment horizontal="left" vertical="center"/>
    </xf>
  </cellXfs>
  <cellStyles count="27865">
    <cellStyle name="常规" xfId="0" builtinId="0"/>
    <cellStyle name="40% - 强调文字颜色 2 2 3 2 3 3 2" xfId="1"/>
    <cellStyle name="汇总 2 5 5 2" xfId="2"/>
    <cellStyle name="货币[0]" xfId="3" builtinId="7"/>
    <cellStyle name="计算 2 2 4 2 3 3" xfId="4"/>
    <cellStyle name="常规 3 3 2 2 4 2" xfId="5"/>
    <cellStyle name="20% - 强调文字颜色 6 2 5 2 2 2" xfId="6"/>
    <cellStyle name="强调文字颜色 6 2 2 2 2 3 2 2 2" xfId="7"/>
    <cellStyle name="汇总 2 2 7 2 9" xfId="8"/>
    <cellStyle name="60% - 强调文字颜色 3 3 2 3 2 2" xfId="9"/>
    <cellStyle name="强调文字颜色 1 2 2 2 2 2 4" xfId="10"/>
    <cellStyle name="计算 2 3 2 2 5 2" xfId="11"/>
    <cellStyle name="常规 10 3 4 2 2" xfId="12"/>
    <cellStyle name="计算 2 4 7 3" xfId="13"/>
    <cellStyle name="60% - 强调文字颜色 1 2 2 2 6 2" xfId="14"/>
    <cellStyle name="汇总 2 12 3 2" xfId="15"/>
    <cellStyle name="60% - 强调文字颜色 6 2 3 5 2 2 3" xfId="16"/>
    <cellStyle name="20% - 强调文字颜色 3" xfId="17" builtinId="38"/>
    <cellStyle name="汇总 2 6 11" xfId="18"/>
    <cellStyle name="汇总 3 12" xfId="19"/>
    <cellStyle name="差 2 2 3 3 4" xfId="20"/>
    <cellStyle name="20% - 强调文字颜色 2 4 2 3" xfId="21"/>
    <cellStyle name="强调文字颜色 2 2 3 3 2 3" xfId="22"/>
    <cellStyle name="输出 3" xfId="23"/>
    <cellStyle name="计算 3 2 2 5 2 2" xfId="24"/>
    <cellStyle name="汇总 2 2 5 2 9 2" xfId="25"/>
    <cellStyle name="输入 2 6 2 2 4" xfId="26"/>
    <cellStyle name="汇总 2 2 4 2 2 2 8" xfId="27"/>
    <cellStyle name="输入" xfId="28" builtinId="20"/>
    <cellStyle name="计算 2 8 11" xfId="29"/>
    <cellStyle name="注释 2 2 3 4 2 2 3" xfId="30"/>
    <cellStyle name="强调文字颜色 2 3 2" xfId="31"/>
    <cellStyle name="输出 3 2 3 3" xfId="32"/>
    <cellStyle name="常规 2 2 2 5 3 2" xfId="33"/>
    <cellStyle name="注释 2 2 4 2 2 4 2" xfId="34"/>
    <cellStyle name="计算 3 2 8 3" xfId="35"/>
    <cellStyle name="输入 2 2 10 2 5" xfId="36"/>
    <cellStyle name="常规 12 3 2 2 2" xfId="37"/>
    <cellStyle name="强调文字颜色 6 2 2 2 2 5 2 2" xfId="38"/>
    <cellStyle name="货币" xfId="39" builtinId="4"/>
    <cellStyle name="强调文字颜色 2 2 3 2 6" xfId="40"/>
    <cellStyle name="计算 2 2 3 2 2 5" xfId="41"/>
    <cellStyle name="20% - 强调文字颜色 2 3 6" xfId="42"/>
    <cellStyle name="常规 9 2 5" xfId="43"/>
    <cellStyle name="注释 2 2 6 3 3 2" xfId="44"/>
    <cellStyle name="40% - 强调文字颜色 3 2 6 2 2 2" xfId="45"/>
    <cellStyle name="适中 2 2 3 6" xfId="46"/>
    <cellStyle name="汇总 2 2 7 3 2 6" xfId="47"/>
    <cellStyle name="超链接 2 3 2 2 3" xfId="48"/>
    <cellStyle name="标题 2 4 2 3 2 2 2" xfId="49"/>
    <cellStyle name="千位分隔[0]" xfId="50" builtinId="6"/>
    <cellStyle name="40% - 强调文字颜色 2 2 3 2 2" xfId="51"/>
    <cellStyle name="差 2 2 2 2 2 3 3" xfId="52"/>
    <cellStyle name="链接单元格 2 2 2 3 6" xfId="53"/>
    <cellStyle name="常规 3 4 3" xfId="54"/>
    <cellStyle name="输入 2 5 10 2" xfId="55"/>
    <cellStyle name="强调文字颜色 6 3 3 3 2" xfId="56"/>
    <cellStyle name="注释 2 2 3 2 2 2 3 2 2" xfId="57"/>
    <cellStyle name="输入 4 3 3" xfId="58"/>
    <cellStyle name="汇总 2 3 9 2" xfId="59"/>
    <cellStyle name="解释性文本 2 3 6" xfId="60"/>
    <cellStyle name="40% - 强调文字颜色 3" xfId="61" builtinId="39"/>
    <cellStyle name="强调文字颜色 3 2 2 5 3 2" xfId="62"/>
    <cellStyle name="汇总 2 3 4 7" xfId="63"/>
    <cellStyle name="输入 2 2 7 2 2 3" xfId="64"/>
    <cellStyle name="汇总 2 2 2 2 2 2 2 2" xfId="65"/>
    <cellStyle name="链接单元格 2 5" xfId="66"/>
    <cellStyle name="警告文本 2 3 3 7" xfId="67"/>
    <cellStyle name="注释 2 3 2 5" xfId="68"/>
    <cellStyle name="差" xfId="69" builtinId="27"/>
    <cellStyle name="标题 1 2 4 4" xfId="70"/>
    <cellStyle name="强调文字颜色 5 2 3 3 2 2" xfId="71"/>
    <cellStyle name="计算 2 5 3" xfId="72"/>
    <cellStyle name="适中 2 4 10" xfId="73"/>
    <cellStyle name="超链接 2 3 7 2" xfId="74"/>
    <cellStyle name="常规 5 6 5 2" xfId="75"/>
    <cellStyle name="汇总 2 7 2 3 2" xfId="76"/>
    <cellStyle name="常规 4 3 4 5 2" xfId="77"/>
    <cellStyle name="40% - 强调文字颜色 6 2 2 2 5 2" xfId="78"/>
    <cellStyle name="60% - 强调文字颜色 6 2 3 3 3" xfId="79"/>
    <cellStyle name="计算 2 2 5 2 3 4" xfId="80"/>
    <cellStyle name="输入 2 7 3 4 2" xfId="81"/>
    <cellStyle name="超链接 3 3 2 4 2" xfId="82"/>
    <cellStyle name="汇总 2 4 2 4 4" xfId="83"/>
    <cellStyle name="60% - 强调文字颜色 2 2 2 4 2 3 2" xfId="84"/>
    <cellStyle name="解释性文本 2 3 2 4" xfId="85"/>
    <cellStyle name="千位分隔" xfId="86" builtinId="3"/>
    <cellStyle name="输入 2 2 4 2 3 5" xfId="87"/>
    <cellStyle name="输出 2 3 13" xfId="88"/>
    <cellStyle name="计算 2 2 8 2 2 2" xfId="89"/>
    <cellStyle name="40% - 强调文字颜色 2 2 2 2 2 2 5 2" xfId="90"/>
    <cellStyle name="60% - 强调文字颜色 5 2 5 3 2" xfId="91"/>
    <cellStyle name="差 2 3 4 3 2 2" xfId="92"/>
    <cellStyle name="解释性文本 2 2 2 3 2" xfId="93"/>
    <cellStyle name="注释 2 2 8" xfId="94"/>
    <cellStyle name="计算 2 2 3 4 5 2" xfId="95"/>
    <cellStyle name="标题 5 2 2 2 2 3 3" xfId="96"/>
    <cellStyle name="60% - 强调文字颜色 1 4 2 2" xfId="97"/>
    <cellStyle name="输出 2 2 3 2 2 2" xfId="98"/>
    <cellStyle name="常规 7 3 3 3 2" xfId="99"/>
    <cellStyle name="注释 2 2 3 3 2 2 2 2 2" xfId="100"/>
    <cellStyle name="60% - 强调文字颜色 3" xfId="101" builtinId="40"/>
    <cellStyle name="20% - 强调文字颜色 1 2 2 3 3 2 2" xfId="102"/>
    <cellStyle name="计算 2 2 6 3 2 2 3" xfId="103"/>
    <cellStyle name="好 4 2 2 3" xfId="104"/>
    <cellStyle name="常规 12 2 3" xfId="105"/>
    <cellStyle name="常规 4 13" xfId="106"/>
    <cellStyle name="输入 2 6 2 2 2 2 2 2" xfId="107"/>
    <cellStyle name="汇总 2 2 2 9 3" xfId="108"/>
    <cellStyle name="汇总 2 4 3 5 2 2" xfId="109"/>
    <cellStyle name="注释 2 6 3 3" xfId="110"/>
    <cellStyle name="输入 2 2 4 2 2 2 6" xfId="111"/>
    <cellStyle name="标题 2 3 3 2 3" xfId="112"/>
    <cellStyle name="输出 2 5 2 4 2" xfId="113"/>
    <cellStyle name="解释性文本 2 4 3 2 2" xfId="114"/>
    <cellStyle name="强调文字颜色 4 2 2 6 3 2" xfId="115"/>
    <cellStyle name="计算 2 7 3 2 4 2" xfId="116"/>
    <cellStyle name="计算 2 5 2 6 5" xfId="117"/>
    <cellStyle name="输入 2 2 6 3 2 5" xfId="118"/>
    <cellStyle name="20% - 强调文字颜色 2 2 3 3 5" xfId="119"/>
    <cellStyle name="超链接" xfId="120" builtinId="8"/>
    <cellStyle name="计算 2 2 4 2 2 2 3 3" xfId="121"/>
    <cellStyle name="汇总 2 5 3 6 2" xfId="122"/>
    <cellStyle name="计算 2 6 3 5 2 2" xfId="123"/>
    <cellStyle name="强调文字颜色 6 2 6 2 3" xfId="124"/>
    <cellStyle name="汇总 2 2 4 11 2 2" xfId="125"/>
    <cellStyle name="百分比" xfId="126" builtinId="5"/>
    <cellStyle name="适中 2 4 2" xfId="127"/>
    <cellStyle name="已访问的超链接" xfId="128" builtinId="9"/>
    <cellStyle name="注释 3 2 2 2 2 2" xfId="129"/>
    <cellStyle name="计算 2 7 3 2 2 3" xfId="130"/>
    <cellStyle name="60% - 强调文字颜色 4 2 4 2 2 2 2" xfId="131"/>
    <cellStyle name="输出 2 5 2 2 3" xfId="132"/>
    <cellStyle name="40% - 强调文字颜色 2 3 3 4" xfId="133"/>
    <cellStyle name="汇总 2 2 4 2 11 2 2" xfId="134"/>
    <cellStyle name="注释" xfId="135" builtinId="10"/>
    <cellStyle name="标题 5 2 2 4 3 2 2" xfId="136"/>
    <cellStyle name="60% - 强调文字颜色 2" xfId="137" builtinId="36"/>
    <cellStyle name="强调文字颜色 1 2 3 2 3 3 2 2" xfId="138"/>
    <cellStyle name="计算 2 2 4 2 5 4" xfId="139"/>
    <cellStyle name="60% - 强调文字颜色 2 2 2 4" xfId="140"/>
    <cellStyle name="计算 2 10 4" xfId="141"/>
    <cellStyle name="注释 3 3 3 2 2" xfId="142"/>
    <cellStyle name="常规 9 4 4 2" xfId="143"/>
    <cellStyle name="常规 13 2 3 2 2 2" xfId="144"/>
    <cellStyle name="标题 4" xfId="145" builtinId="19"/>
    <cellStyle name="汇总 2 5 5 2 3" xfId="146"/>
    <cellStyle name="输出 2 3 2 2 5" xfId="147"/>
    <cellStyle name="20% - 强调文字颜色 5 2 2 3 4 2 2 2" xfId="148"/>
    <cellStyle name="20% - 强调文字颜色 5 3 6" xfId="149"/>
    <cellStyle name="标题 1 5 2 2 2" xfId="150"/>
    <cellStyle name="汇总 2 7 8" xfId="151"/>
    <cellStyle name="计算 2 5 2 3 5 2" xfId="152"/>
    <cellStyle name="常规 3 3 7 2 4" xfId="153"/>
    <cellStyle name="常规 12 3 5 2 2" xfId="154"/>
    <cellStyle name="强调文字颜色 1 2 3 4" xfId="155"/>
    <cellStyle name="注释 2 2 2 2 10" xfId="156"/>
    <cellStyle name="差 2 2 2 2 3 3 3" xfId="157"/>
    <cellStyle name="警告文本" xfId="158" builtinId="11"/>
    <cellStyle name="常规 4 4 3" xfId="159"/>
    <cellStyle name="输入 5 3 3" xfId="160"/>
    <cellStyle name="注释 5" xfId="161"/>
    <cellStyle name="计算 2 5 2 3 2 3 2" xfId="162"/>
    <cellStyle name="输入 2 5 2 3 2 5" xfId="163"/>
    <cellStyle name="计算 2 2 4 3 8" xfId="164"/>
    <cellStyle name="60% - 强调文字颜色 2 3 5" xfId="165"/>
    <cellStyle name="汇总 2 5 2 6 3 3" xfId="166"/>
    <cellStyle name="标题 3 2 4 3 4" xfId="167"/>
    <cellStyle name="标题" xfId="168" builtinId="15"/>
    <cellStyle name="汇总 2 2 4 2 2 3 2 2 2" xfId="169"/>
    <cellStyle name="20% - 强调文字颜色 5 2 3 4 2 2" xfId="170"/>
    <cellStyle name="标题 4 5 2 2 3" xfId="171"/>
    <cellStyle name="输出 2 2 5 3 2 4" xfId="172"/>
    <cellStyle name="汇总 2 2 7 8 2" xfId="173"/>
    <cellStyle name="强调文字颜色 6 2 2 2 4 3 3" xfId="174"/>
    <cellStyle name="适中 2 7 3" xfId="175"/>
    <cellStyle name="解释性文本" xfId="176" builtinId="53"/>
    <cellStyle name="汇总 4 3 2 2 2" xfId="177"/>
    <cellStyle name="汇总 2 2 4 2 3 3 3 2" xfId="178"/>
    <cellStyle name="注释 2 6 4 5" xfId="179"/>
    <cellStyle name="常规 2 2 9 2" xfId="180"/>
    <cellStyle name="计算 2 2 4 2 4 2 7" xfId="181"/>
    <cellStyle name="计算 2 3 2 4 5" xfId="182"/>
    <cellStyle name="标题 1" xfId="183" builtinId="16"/>
    <cellStyle name="标题 2" xfId="184" builtinId="17"/>
    <cellStyle name="注释 2 2 4 4 2 2 2 2" xfId="185"/>
    <cellStyle name="60% - 强调文字颜色 1" xfId="186" builtinId="32"/>
    <cellStyle name="汇总 3 3 6 2 2" xfId="187"/>
    <cellStyle name="强调文字颜色 5 2 4 6" xfId="188"/>
    <cellStyle name="汇总 2 6 3 3 2" xfId="189"/>
    <cellStyle name="常规 9 7 2" xfId="190"/>
    <cellStyle name="20% - 强调文字颜色 5 2 3 3" xfId="191"/>
    <cellStyle name="汇总 2 6 5 3" xfId="192"/>
    <cellStyle name="计算 2 2 4 3 3 4" xfId="193"/>
    <cellStyle name="常规 9 5 2 2" xfId="194"/>
    <cellStyle name="40% - 强调文字颜色 1 6 2 2" xfId="195"/>
    <cellStyle name="常规 4 2 5 3 2 2" xfId="196"/>
    <cellStyle name="说明文本 2 3" xfId="197"/>
    <cellStyle name="计算 2 2 4 2 3 3 2" xfId="198"/>
    <cellStyle name="标题 3" xfId="199" builtinId="18"/>
    <cellStyle name="输出 2 3 2 2 4" xfId="200"/>
    <cellStyle name="好 2 2 2 2 3 2 2 2" xfId="201"/>
    <cellStyle name="强调文字颜色 1 2 2 2 2 4 4" xfId="202"/>
    <cellStyle name="常规 5 3 3 2 5" xfId="203"/>
    <cellStyle name="输入 2 2 6 2 2 2 2" xfId="204"/>
    <cellStyle name="汇总 2 5 7 2" xfId="205"/>
    <cellStyle name="计算 2 2 4 2 5 3" xfId="206"/>
    <cellStyle name="60% - 强调文字颜色 2 2 2 3" xfId="207"/>
    <cellStyle name="计算 2 10 3" xfId="208"/>
    <cellStyle name="适中 2 6 2" xfId="209"/>
    <cellStyle name="60% - 强调文字颜色 4" xfId="210" builtinId="44"/>
    <cellStyle name="常规 8 2 2 3 2 2 2" xfId="211"/>
    <cellStyle name="20% - 强调文字颜色 5 2 2 2 2 4 3 2 2" xfId="212"/>
    <cellStyle name="输出" xfId="213" builtinId="21"/>
    <cellStyle name="计算 2 7 2 2 2 4 2" xfId="214"/>
    <cellStyle name="差 2 2 2 3 2 2 2 2 2" xfId="215"/>
    <cellStyle name="汇总 2 2 2 4 2 5 2" xfId="216"/>
    <cellStyle name="20% - 强调文字颜色 3 2 9 2" xfId="217"/>
    <cellStyle name="计算 2 2 2 2 5" xfId="218"/>
    <cellStyle name="汇总 2 2 9 3 3" xfId="219"/>
    <cellStyle name="注释 2 5 3 4 2 2" xfId="220"/>
    <cellStyle name="标题 1 2 2 4 2 3 3" xfId="221"/>
    <cellStyle name="计算" xfId="222" builtinId="22"/>
    <cellStyle name="常规 5 6 3 2" xfId="223"/>
    <cellStyle name="强调文字颜色 3 2 3 3 4" xfId="224"/>
    <cellStyle name="计算 2 3 3 2 3 3" xfId="225"/>
    <cellStyle name="输入 2 2 4 2 8 3" xfId="226"/>
    <cellStyle name="输出 2 4 11" xfId="227"/>
    <cellStyle name="差 2 2 7" xfId="228"/>
    <cellStyle name="链接单元格 3 4 3" xfId="229"/>
    <cellStyle name="汇总 2 2 4 4 2 3 2" xfId="230"/>
    <cellStyle name="汇总 2 5 2 3 3 4" xfId="231"/>
    <cellStyle name="检查单元格" xfId="232" builtinId="23"/>
    <cellStyle name="汇总 3 6 2" xfId="233"/>
    <cellStyle name="注释 2 3 3 4 3" xfId="234"/>
    <cellStyle name="汇总 2 2 4 2 3 6" xfId="235"/>
    <cellStyle name="60% - 强调文字颜色 6 2 2 2 8" xfId="236"/>
    <cellStyle name="40% - 强调文字颜色 3 3 3 3 2" xfId="237"/>
    <cellStyle name="输出 2 6 2 2 2 2" xfId="238"/>
    <cellStyle name="汇总 2 4 2 9 2" xfId="239"/>
    <cellStyle name="标题 5 3 4" xfId="240"/>
    <cellStyle name="输入 2 2 5 8 2" xfId="241"/>
    <cellStyle name="20% - 强调文字颜色 6" xfId="242" builtinId="50"/>
    <cellStyle name="计算 2 4 2 2 2 5 2" xfId="243"/>
    <cellStyle name="常规 5 2 4 2 4 2" xfId="244"/>
    <cellStyle name="输出 2 2 4 3 3" xfId="245"/>
    <cellStyle name="60% - 强调文字颜色 5 2 4 3 2 2" xfId="246"/>
    <cellStyle name="计算 2 2 4 5 6" xfId="247"/>
    <cellStyle name="汇总 2 2 3 11" xfId="248"/>
    <cellStyle name="计算 2 2 9 3 3" xfId="249"/>
    <cellStyle name="输出 2 3 2 12" xfId="250"/>
    <cellStyle name="常规 5 3 2 6 3" xfId="251"/>
    <cellStyle name="计算 2 7 2 2 6" xfId="252"/>
    <cellStyle name="输入 2 5 2 2 2 2 2 2" xfId="253"/>
    <cellStyle name="计算 2 9 5 3" xfId="254"/>
    <cellStyle name="计算 2 2 8 2 3 2" xfId="255"/>
    <cellStyle name="输入 2 2 4 2 4 5" xfId="256"/>
    <cellStyle name="常规 5 2 5 3 4" xfId="257"/>
    <cellStyle name="超链接 2 2 2 2 2 2 3" xfId="258"/>
    <cellStyle name="解释性文本 2 2 2 4 2" xfId="259"/>
    <cellStyle name="40% - 强调文字颜色 1 2 9" xfId="260"/>
    <cellStyle name="解释性文本 2 2 5 3" xfId="261"/>
    <cellStyle name="强调文字颜色 2" xfId="262" builtinId="33"/>
    <cellStyle name="标题 5 2 3 4 2 2 2" xfId="263"/>
    <cellStyle name="输出 2 3 4 5" xfId="264"/>
    <cellStyle name="常规 2 2 2 5" xfId="265"/>
    <cellStyle name="汇总 2 2 2 3 8" xfId="266"/>
    <cellStyle name="标题 3 4 3 2" xfId="267"/>
    <cellStyle name="计算 2 2 8 5 2" xfId="268"/>
    <cellStyle name="60% - 强调文字颜色 3 2 2 7 2 2" xfId="269"/>
    <cellStyle name="输出 3 9 2" xfId="270"/>
    <cellStyle name="强调文字颜色 6 2 2 2 3 3" xfId="271"/>
    <cellStyle name="链接单元格" xfId="272" builtinId="24"/>
    <cellStyle name="注释 2 3" xfId="273"/>
    <cellStyle name="汇总 2 6 7 2" xfId="274"/>
    <cellStyle name="常规 4 2 3 2 2 3 3" xfId="275"/>
    <cellStyle name="汇总 2 4 2 3 3 3" xfId="276"/>
    <cellStyle name="60% - 强调文字颜色 6 6 2 2 2" xfId="277"/>
    <cellStyle name="输入 2 3 6" xfId="278"/>
    <cellStyle name="计算 2 9 3 2 3" xfId="279"/>
    <cellStyle name="差 2 3 5 2 2 3" xfId="280"/>
    <cellStyle name="好 2 2 2 2 3 3 2 2" xfId="281"/>
    <cellStyle name="计算 2 2 4 2 3 2 2 2" xfId="282"/>
    <cellStyle name="汇总 2 2 4 14" xfId="283"/>
    <cellStyle name="20% - 强调文字颜色 3 2 3 2 2 5 2 2" xfId="284"/>
    <cellStyle name="Normal 2 3 2 2" xfId="285"/>
    <cellStyle name="汇总" xfId="286" builtinId="25"/>
    <cellStyle name="适中 2 2 3 2 2 2 2" xfId="287"/>
    <cellStyle name="强调文字颜色 3 2 2 2 2 3 3" xfId="288"/>
    <cellStyle name="60% - 强调文字颜色 5 2 2 3 5" xfId="289"/>
    <cellStyle name="适中 2 5" xfId="290"/>
    <cellStyle name="计算 2 4 2 2 4 2 2" xfId="291"/>
    <cellStyle name="40% - 强调文字颜色 6 5" xfId="292"/>
    <cellStyle name="好 3 6" xfId="293"/>
    <cellStyle name="输入 2 2 2 3 5 3" xfId="294"/>
    <cellStyle name="好" xfId="295" builtinId="26"/>
    <cellStyle name="差 2 3 2" xfId="296"/>
    <cellStyle name="60% - 强调文字颜色 6 2 2 2 2 2" xfId="297"/>
    <cellStyle name="超链接 2 3 8" xfId="298"/>
    <cellStyle name="汇总 2 2 5 4 2 4 2 2" xfId="299"/>
    <cellStyle name="计算 2 5 3 2 3 2" xfId="300"/>
    <cellStyle name="强调文字颜色 5 2 3 3 3" xfId="301"/>
    <cellStyle name="常规 5 6 6" xfId="302"/>
    <cellStyle name="汇总 2 7 2 4" xfId="303"/>
    <cellStyle name="常规 4 3 4 6" xfId="304"/>
    <cellStyle name="40% - 强调文字颜色 6 2 2 2 6" xfId="305"/>
    <cellStyle name="强调文字颜色 3 2 2 4 3 2" xfId="306"/>
    <cellStyle name="汇总 2 2 5 2 2 3 3 2 2" xfId="307"/>
    <cellStyle name="汇总 2 2 4 7" xfId="308"/>
    <cellStyle name="强调文字颜色 4 2 2 2 2 4" xfId="309"/>
    <cellStyle name="强调文字颜色 5 2 3 2 2 2" xfId="310"/>
    <cellStyle name="强调文字颜色 3 2 2 5 4" xfId="311"/>
    <cellStyle name="常规 4 3 3 5 2" xfId="312"/>
    <cellStyle name="汇总 2 2 2 2 2 2 3" xfId="313"/>
    <cellStyle name="汇总 2 2 3 6 2" xfId="314"/>
    <cellStyle name="差 3 4" xfId="315"/>
    <cellStyle name="注释 2 2 3 2 2 4 2 2" xfId="316"/>
    <cellStyle name="警告文本 2 2 2 6 2" xfId="317"/>
    <cellStyle name="超链接 3 3 3 2 2 2" xfId="318"/>
    <cellStyle name="输入 2 7 4 2 2 2" xfId="319"/>
    <cellStyle name="适中" xfId="320" builtinId="28"/>
    <cellStyle name="注释 2 3 5 3" xfId="321"/>
    <cellStyle name="汇总 2 4 3 2 4 2" xfId="322"/>
    <cellStyle name="输出 3 3" xfId="323"/>
    <cellStyle name="强调文字颜色 1 2 2 2 2 5 2 2" xfId="324"/>
    <cellStyle name="汇总 2 3 4 2 2 2 2" xfId="325"/>
    <cellStyle name="输入 2 2 4 2 4 2 3" xfId="326"/>
    <cellStyle name="计算 2 4 2 2 3 2 2 2" xfId="327"/>
    <cellStyle name="注释 5 3 2 2" xfId="328"/>
    <cellStyle name="强调文字颜色 6 2 2 4 3" xfId="329"/>
    <cellStyle name="20% - 强调文字颜色 5" xfId="330" builtinId="46"/>
    <cellStyle name="汇总 2 6 13" xfId="331"/>
    <cellStyle name="常规 2 3 2 2 3 2 2 2" xfId="332"/>
    <cellStyle name="超链接 2 5 2 3 2" xfId="333"/>
    <cellStyle name="常规 12 2 2 5 2" xfId="334"/>
    <cellStyle name="汇总 2 4 2 5 3" xfId="335"/>
    <cellStyle name="好 2 2 3 2 2 2 2 2" xfId="336"/>
    <cellStyle name="计算 2 2 6 11 2" xfId="337"/>
    <cellStyle name="计算 2 9 5 2" xfId="338"/>
    <cellStyle name="常规 8 2" xfId="339"/>
    <cellStyle name="链接单元格 2 2 3 5 3" xfId="340"/>
    <cellStyle name="输出 4 7 2" xfId="341"/>
    <cellStyle name="注释 2 3 2 2 3" xfId="342"/>
    <cellStyle name="解释性文本 2 2 5 2" xfId="343"/>
    <cellStyle name="强调文字颜色 1" xfId="344" builtinId="29"/>
    <cellStyle name="60% - 强调文字颜色 5 2 8 2" xfId="345"/>
    <cellStyle name="输出 2 3 4 4" xfId="346"/>
    <cellStyle name="常规 2 2 2 4" xfId="347"/>
    <cellStyle name="汇总 2 2 2 3 7" xfId="348"/>
    <cellStyle name="汇总 2 4 2" xfId="349"/>
    <cellStyle name="汇总 2 3 4 4 3" xfId="350"/>
    <cellStyle name="输入 2 2 8 6" xfId="351"/>
    <cellStyle name="计算 2 7 10" xfId="352"/>
    <cellStyle name="检查单元格 3 2" xfId="353"/>
    <cellStyle name="警告文本 2 2 4 3 2 2" xfId="354"/>
    <cellStyle name="检查单元格 2 4 4 3" xfId="355"/>
    <cellStyle name="计算 2 2 4 2 3 2 7" xfId="356"/>
    <cellStyle name="20% - 强调文字颜色 1" xfId="357" builtinId="30"/>
    <cellStyle name="注释 2 5 4 5" xfId="358"/>
    <cellStyle name="40% - 强调文字颜色 1 3 3 2 2 2 2" xfId="359"/>
    <cellStyle name="超链接 2 2 2 4" xfId="360"/>
    <cellStyle name="差 2 5 3 2" xfId="361"/>
    <cellStyle name="常规 9 2 3 2 2 2 2" xfId="362"/>
    <cellStyle name="常规 11 3 5" xfId="363"/>
    <cellStyle name="20% - 强调文字颜色 5 2 2 2 4 2" xfId="364"/>
    <cellStyle name="40% - 强调文字颜色 1 2 3 7 2" xfId="365"/>
    <cellStyle name="汇总 2 6 4 2 4 2" xfId="366"/>
    <cellStyle name="链接单元格 2 2 3 6" xfId="367"/>
    <cellStyle name="注释 2 2 3 2 4 3 2" xfId="368"/>
    <cellStyle name="40% - 强调文字颜色 1" xfId="369" builtinId="31"/>
    <cellStyle name="计算 2 6 2 4 2" xfId="370"/>
    <cellStyle name="汇总 2 4 2 6" xfId="371"/>
    <cellStyle name="输入 2 4 4 3 3" xfId="372"/>
    <cellStyle name="标题 5 4" xfId="373"/>
    <cellStyle name="60% - 强调文字颜色 6 2 3 5 2 2 2" xfId="374"/>
    <cellStyle name="20% - 强调文字颜色 2" xfId="375" builtinId="34"/>
    <cellStyle name="计算 2 2 2 2 5 2" xfId="376"/>
    <cellStyle name="汇总 2 2 9 3 3 2" xfId="377"/>
    <cellStyle name="注释 2 5 4 6" xfId="378"/>
    <cellStyle name="汇总 2 6 10" xfId="379"/>
    <cellStyle name="链接单元格 2 2 3 7" xfId="380"/>
    <cellStyle name="40% - 强调文字颜色 2" xfId="381" builtinId="35"/>
    <cellStyle name="常规 11 4 2 5" xfId="382"/>
    <cellStyle name="汇总 3 4" xfId="383"/>
    <cellStyle name="40% - 强调文字颜色 1 2 3 6 2 2 2" xfId="384"/>
    <cellStyle name="20% - 强调文字颜色 5 2 2 2 3 2 2 2" xfId="385"/>
    <cellStyle name="常规 5 2 5 5" xfId="386"/>
    <cellStyle name="汇总 2 2 5 4 2" xfId="387"/>
    <cellStyle name="差 2 2 8 3" xfId="388"/>
    <cellStyle name="强调文字颜色 5 3 2 4 2" xfId="389"/>
    <cellStyle name="解释性文本 2 2 5 4" xfId="390"/>
    <cellStyle name="强调文字颜色 3" xfId="391" builtinId="37"/>
    <cellStyle name="20% - 强调文字颜色 1 2 3 3 2 2 2" xfId="392"/>
    <cellStyle name="40% - 强调文字颜色 4 2 3 4" xfId="393"/>
    <cellStyle name="适中 2 3 2 4 2 2 2" xfId="394"/>
    <cellStyle name="汇总 2 2 2 3 9" xfId="395"/>
    <cellStyle name="常规 8 5 3 2 2" xfId="396"/>
    <cellStyle name="注释 2 2 11 2 2" xfId="397"/>
    <cellStyle name="常规 4 2 4 3 3 2 2" xfId="398"/>
    <cellStyle name="计算 2 7 6 2 3" xfId="399"/>
    <cellStyle name="输出 2 8 2 3" xfId="400"/>
    <cellStyle name="强调文字颜色 4" xfId="401" builtinId="41"/>
    <cellStyle name="常规 2 2 2 7" xfId="402"/>
    <cellStyle name="输出 2 3 4 7" xfId="403"/>
    <cellStyle name="计算 2 2 8 5 4" xfId="404"/>
    <cellStyle name="20% - 强调文字颜色 1 2 2 6 3 2" xfId="405"/>
    <cellStyle name="强调文字颜色 6 2 3 2 3 2 2" xfId="406"/>
    <cellStyle name="解释性文本 2 7 3 2" xfId="407"/>
    <cellStyle name="输出 2 8 2 4" xfId="408"/>
    <cellStyle name="输入 2 2 4 3 2 4 2 2" xfId="409"/>
    <cellStyle name="常规 9 3 3 4 2" xfId="410"/>
    <cellStyle name="输出 2 4 3 2 3 2" xfId="411"/>
    <cellStyle name="汇总 2 12 3 3" xfId="412"/>
    <cellStyle name="20% - 强调文字颜色 4" xfId="413" builtinId="42"/>
    <cellStyle name="计算 2 2 4 5 4" xfId="414"/>
    <cellStyle name="20% - 强调文字颜色 1 2 2 2 3 2" xfId="415"/>
    <cellStyle name="注释 2 2 5 4 2 2 2" xfId="416"/>
    <cellStyle name="常规 4 5 2 4 2" xfId="417"/>
    <cellStyle name="常规 7 4 4 2" xfId="418"/>
    <cellStyle name="注释 2 2 5 11" xfId="419"/>
    <cellStyle name="常规 4 2 3 2 4 2" xfId="420"/>
    <cellStyle name="输出 2 4 2 4" xfId="421"/>
    <cellStyle name="60% - 强调文字颜色 5 3 6 2" xfId="422"/>
    <cellStyle name="解释性文本 2 3 3 2" xfId="423"/>
    <cellStyle name="计算 2 7 2 2 4" xfId="424"/>
    <cellStyle name="输出 2 6 2 2 2" xfId="425"/>
    <cellStyle name="检查单元格 2 2 7 3" xfId="426"/>
    <cellStyle name="40% - 强调文字颜色 4" xfId="427" builtinId="43"/>
    <cellStyle name="差 2 3 2 6 2 2" xfId="428"/>
    <cellStyle name="好 6 2 2" xfId="429"/>
    <cellStyle name="汇总 2 2 5 4 4" xfId="430"/>
    <cellStyle name="20% - 强调文字颜色 2 2 2 2 2 2 2" xfId="431"/>
    <cellStyle name="常规 5 2 3 2 3 2 2" xfId="432"/>
    <cellStyle name="常规 4 2 2 2 3 4 2" xfId="433"/>
    <cellStyle name="40% - 强调文字颜色 4 2 3 6" xfId="434"/>
    <cellStyle name="标题 1 2 3 5 2 2" xfId="435"/>
    <cellStyle name="输出 2 2 8 3 2" xfId="436"/>
    <cellStyle name="计算 2 4 4 2 2" xfId="437"/>
    <cellStyle name="强调文字颜色 5" xfId="438" builtinId="45"/>
    <cellStyle name="强调文字颜色 6 2 3 2 3 2 3" xfId="439"/>
    <cellStyle name="解释性文本 2 7 3 3" xfId="440"/>
    <cellStyle name="输出 2 8 2 5" xfId="441"/>
    <cellStyle name="汇总 2 2 4 3 3 2 2 2" xfId="442"/>
    <cellStyle name="60% - 强调文字颜色 6 2 3 2 4 2 2" xfId="443"/>
    <cellStyle name="输出 2 4 3 2 3 3" xfId="444"/>
    <cellStyle name="计算 2 2 5 4 2 5 2" xfId="445"/>
    <cellStyle name="警告文本 2 4 5" xfId="446"/>
    <cellStyle name="链接单元格 2 2 7" xfId="447"/>
    <cellStyle name="强调文字颜色 5 5 3" xfId="448"/>
    <cellStyle name="60% - 强调文字颜色 4 2 4 3 2 2 2" xfId="449"/>
    <cellStyle name="40% - 强调文字颜色 5" xfId="450" builtinId="47"/>
    <cellStyle name="20% - 强调文字颜色 1 2 3 2 3 2 2" xfId="451"/>
    <cellStyle name="40% - 强调文字颜色 3 3 3 4" xfId="452"/>
    <cellStyle name="输出 2 6 2 2 3" xfId="453"/>
    <cellStyle name="适中 2 3 2 3 3 2 2" xfId="454"/>
    <cellStyle name="好 6 2 3" xfId="455"/>
    <cellStyle name="20% - 强调文字颜色 2 2 2 2 5 2" xfId="456"/>
    <cellStyle name="计算 2 3 3 4" xfId="457"/>
    <cellStyle name="标题 1 2 2 4 4" xfId="458"/>
    <cellStyle name="强调文字颜色 6 2 2 9" xfId="459"/>
    <cellStyle name="计算 3 3 6" xfId="460"/>
    <cellStyle name="输出 2 2 2 2 5 2" xfId="461"/>
    <cellStyle name="常规 13 3 3 3 3" xfId="462"/>
    <cellStyle name="输入 3 4 3 2" xfId="463"/>
    <cellStyle name="适中 3 2 2 2 2" xfId="464"/>
    <cellStyle name="检查单元格 2 2 2 5 2 2 2" xfId="465"/>
    <cellStyle name="适中 2 6 3" xfId="466"/>
    <cellStyle name="60% - 强调文字颜色 5" xfId="467" builtinId="48"/>
    <cellStyle name="60% - 强调文字颜色 5 2 2 4 2 2 2 2" xfId="468"/>
    <cellStyle name="汇总 2 7 5 4 2" xfId="469"/>
    <cellStyle name="解释性文本 2 2 2 2 2 2 3" xfId="470"/>
    <cellStyle name="计算 2 2 2 2 11" xfId="471"/>
    <cellStyle name="常规 2 2 8 2" xfId="472"/>
    <cellStyle name="输出 2 2 8 3 3" xfId="473"/>
    <cellStyle name="计算 2 4 4 2 3" xfId="474"/>
    <cellStyle name="强调文字颜色 6" xfId="475" builtinId="49"/>
    <cellStyle name="汇总 2 2 5 3 3 4 2" xfId="476"/>
    <cellStyle name="常规 3 2 6 2" xfId="477"/>
    <cellStyle name="输出 3 2 2 5 2 2" xfId="478"/>
    <cellStyle name="40% - 强调文字颜色 6" xfId="479" builtinId="51"/>
    <cellStyle name="输出 2 4 2 3 3 2" xfId="480"/>
    <cellStyle name="20% - 强调文字颜色 3 2 2 2 7 2" xfId="481"/>
    <cellStyle name="适中 2 6 4" xfId="482"/>
    <cellStyle name="60% - 强调文字颜色 6" xfId="483" builtinId="52"/>
    <cellStyle name="60% - 强调文字颜色 2 4 2 2 2 2" xfId="484"/>
    <cellStyle name="输出 2 2 4 2 2 2 2 2" xfId="485"/>
    <cellStyle name="输出 2 7 5" xfId="486"/>
    <cellStyle name="常规 2 6 3" xfId="487"/>
    <cellStyle name="标题 1 4 2 3 2" xfId="488"/>
    <cellStyle name="计算 4 3 2 2" xfId="489"/>
    <cellStyle name="输出 2 2 3 2 3 4 2" xfId="490"/>
    <cellStyle name="标题 3 3 2 3 2 3" xfId="491"/>
    <cellStyle name="注释 2 4 4 2 5" xfId="492"/>
    <cellStyle name="检查单元格 2 8" xfId="493"/>
    <cellStyle name="计算 2 6 2 2 5 2" xfId="494"/>
    <cellStyle name="常规 13 3 4 2 2" xfId="495"/>
    <cellStyle name="汇总 2 5 11" xfId="496"/>
    <cellStyle name="输入 2 5 2 5 5" xfId="497"/>
    <cellStyle name="强调文字颜色 3 2 3 4 3 3" xfId="498"/>
    <cellStyle name="60% - 强调文字颜色 4 6" xfId="499"/>
    <cellStyle name="输入 2 10 2 2" xfId="500"/>
    <cellStyle name="计算 2 5 4 2 3 3" xfId="501"/>
    <cellStyle name="60% - 强调文字颜色 5 2 2 2 2 5" xfId="502"/>
    <cellStyle name="常规 6 4 4 3 2" xfId="503"/>
    <cellStyle name="60% - 强调文字颜色 6 2 3 2 2 3" xfId="504"/>
    <cellStyle name="输入 2 2 8 2 6" xfId="505"/>
    <cellStyle name="强调文字颜色 2 2 2 6 3 2 2" xfId="506"/>
    <cellStyle name="汇总 2 2 3 5 4 2" xfId="507"/>
    <cellStyle name="输入 2 5 4 5 2 2" xfId="508"/>
    <cellStyle name="常规 9 6 2 3" xfId="509"/>
    <cellStyle name="汇总 2 6 3 2 2 3" xfId="510"/>
    <cellStyle name="常规 5 2 5 2 5" xfId="511"/>
    <cellStyle name="40% - 强调文字颜色 2 2 3 2 3 2 2 2 2" xfId="512"/>
    <cellStyle name="计算 2 2 8 2 2 3" xfId="513"/>
    <cellStyle name="汇总 2 5 4 2 2 2" xfId="514"/>
    <cellStyle name="输入 2 2 4 2 3 6" xfId="515"/>
    <cellStyle name="标题 2 2 2 2 2 5" xfId="516"/>
    <cellStyle name="标题 3 2 3 2 2 3" xfId="517"/>
    <cellStyle name="输出 2 9 4 2" xfId="518"/>
    <cellStyle name="输入 2 2 2" xfId="519"/>
    <cellStyle name="20% - 强调文字颜色 4 2 3 3 3 2" xfId="520"/>
    <cellStyle name="适中 3 2 6" xfId="521"/>
    <cellStyle name="输入 2 2 8 3 2 5" xfId="522"/>
    <cellStyle name="汇总 2 2 3 2 4 3 2 2" xfId="523"/>
    <cellStyle name="注释 2 2 3 2 4 3" xfId="524"/>
    <cellStyle name="计算 2 6 2 4" xfId="525"/>
    <cellStyle name="常规 9 3 2 4 2 2" xfId="526"/>
    <cellStyle name="解释性文本 2 6 3 2 2" xfId="527"/>
    <cellStyle name="输出 2 7 2 4 2" xfId="528"/>
    <cellStyle name="注释 2 2 2 2 2 3 3" xfId="529"/>
    <cellStyle name="常规 13 6" xfId="530"/>
    <cellStyle name="汇总 3 6 3" xfId="531"/>
    <cellStyle name="60% - 强调文字颜色 1 2 5 3 2" xfId="532"/>
    <cellStyle name="40% - 强调文字颜色 1 2 2 3 4 3" xfId="533"/>
    <cellStyle name="注释 2 7 7" xfId="534"/>
    <cellStyle name="计算 2 3 3 3 3" xfId="535"/>
    <cellStyle name="注释 2 4 3 3 2 2" xfId="536"/>
    <cellStyle name="汇总 2 2 5 2 2 5 2" xfId="537"/>
    <cellStyle name="输入 2 2 3 2 3 2" xfId="538"/>
    <cellStyle name="输出 2 2 5 4 2 2" xfId="539"/>
    <cellStyle name="强调文字颜色 3 2 2 3 3 4" xfId="540"/>
    <cellStyle name="标题 2 2 5 2" xfId="541"/>
    <cellStyle name="强调文字颜色 4 2 3 3 3 2" xfId="542"/>
    <cellStyle name="输入 2 2 3 2 2 2 2 3" xfId="543"/>
    <cellStyle name="计算 2 4 3 2 3 2 2" xfId="544"/>
    <cellStyle name="40% - 强调文字颜色 1 2 2 2 2 4 2 2 2" xfId="545"/>
    <cellStyle name="常规 9 4 5" xfId="546"/>
    <cellStyle name="注释 2 2 3 2 12" xfId="547"/>
    <cellStyle name="输入 2 4 2 2" xfId="548"/>
    <cellStyle name="标题 5 2 2 3" xfId="549"/>
    <cellStyle name="输入 2 2 8 3 4" xfId="550"/>
    <cellStyle name="计算 2 7 2 8" xfId="551"/>
    <cellStyle name="常规 3 3 7 2 2 2" xfId="552"/>
    <cellStyle name="汇总 2 7 6 2" xfId="553"/>
    <cellStyle name="说明文本 2 2 2" xfId="554"/>
    <cellStyle name="链接单元格 2 2 3 4 2 3" xfId="555"/>
    <cellStyle name="标题 2 2 2 2 4" xfId="556"/>
    <cellStyle name="汇总 2 4 2 4 2 3" xfId="557"/>
    <cellStyle name="输入 3 2 6" xfId="558"/>
    <cellStyle name="汇总 2 2 8 5" xfId="559"/>
    <cellStyle name="计算 2 8 2 2 2 2 2" xfId="560"/>
    <cellStyle name="20% - 强调文字颜色 5 2 3 2 4 3 2 2" xfId="561"/>
    <cellStyle name="汇总 2 2 4 5 2 3" xfId="562"/>
    <cellStyle name="汇总 2 2 6 4 4" xfId="563"/>
    <cellStyle name="计算 2 5 4 2 4 3" xfId="564"/>
    <cellStyle name="常规 5 2 2 4 2 5" xfId="565"/>
    <cellStyle name="20% - 强调文字颜色 3 2 7 3" xfId="566"/>
    <cellStyle name="标题 6 5 2" xfId="567"/>
    <cellStyle name="标题 5 2 3 4 2" xfId="568"/>
    <cellStyle name="解释性文本 2 2 4 3 2 3" xfId="569"/>
    <cellStyle name="60% - 强调文字颜色 2 4 2 4 2" xfId="570"/>
    <cellStyle name="输出 2 2 2 4" xfId="571"/>
    <cellStyle name="汇总 2 2 6 10 2 2" xfId="572"/>
    <cellStyle name="注释 2 3 2 3 2 3" xfId="573"/>
    <cellStyle name="计算 2 8 4 3 2 2" xfId="574"/>
    <cellStyle name="汇总 3 2 4 2" xfId="575"/>
    <cellStyle name="解释性文本 2 2 2 4 2 2" xfId="576"/>
    <cellStyle name="标题 4 2 4 2 2" xfId="577"/>
    <cellStyle name="20% - 强调文字颜色 3 2 2 2 2 2 3" xfId="578"/>
    <cellStyle name="强调文字颜色 5 2 5" xfId="579"/>
    <cellStyle name="输出 6 2" xfId="580"/>
    <cellStyle name="计算 2 8 3 2 6" xfId="581"/>
    <cellStyle name="标题 1 3 2 2 4 2" xfId="582"/>
    <cellStyle name="汇总 2 2 7 2 3 3" xfId="583"/>
    <cellStyle name="计算 2 6 4 2 4 3" xfId="584"/>
    <cellStyle name="计算 2 8 3 2 2 2 2" xfId="585"/>
    <cellStyle name="好 3 2 4 3" xfId="586"/>
    <cellStyle name="输入 3 2 2 5 3" xfId="587"/>
    <cellStyle name="汇总 2 6 2 3 4 2 2" xfId="588"/>
    <cellStyle name="计算 2 2 4 2 3 6 2 2" xfId="589"/>
    <cellStyle name="计算 2 2 8 3 2 4 2" xfId="590"/>
    <cellStyle name="输出 2 4 4 5 3" xfId="591"/>
    <cellStyle name="汇总 3 4 3 3" xfId="592"/>
    <cellStyle name="汇总 2 2 3 4 2" xfId="593"/>
    <cellStyle name="常规 11 6 3" xfId="594"/>
    <cellStyle name="标题 6 2 2 2 2 2" xfId="595"/>
    <cellStyle name="常规 7 2 2 2 4 2 2 2" xfId="596"/>
    <cellStyle name="20% - 强调文字颜色 3 2 4 3 2 2 2" xfId="597"/>
    <cellStyle name="标题 2 3 2 2 3 2 2" xfId="598"/>
    <cellStyle name="注释 2 5 3 3 2 2" xfId="599"/>
    <cellStyle name="汇总 2 2 6 2 2 5 2" xfId="600"/>
    <cellStyle name="计算 3 3 3 3 3" xfId="601"/>
    <cellStyle name="常规 4 3 3 3 2" xfId="602"/>
    <cellStyle name="汇总 2 5 6 3 2" xfId="603"/>
    <cellStyle name="计算 2 2 4 2 4 4 2" xfId="604"/>
    <cellStyle name="解释性文本 2 2 2 2 2 3" xfId="605"/>
    <cellStyle name="注释 2 2 3 2 3 4 2 2" xfId="606"/>
    <cellStyle name="常规 11 3 3 4 2" xfId="607"/>
    <cellStyle name="计算 2 6 3 3 4" xfId="608"/>
    <cellStyle name="计算 2 5 4 2 3 2" xfId="609"/>
    <cellStyle name="标题 4 2 2 4 5 2" xfId="610"/>
    <cellStyle name="输出 2 2 6 3" xfId="611"/>
    <cellStyle name="计算 2 4 2 2" xfId="612"/>
    <cellStyle name="标题 1 2 3 3 2" xfId="613"/>
    <cellStyle name="20% - 强调文字颜色 2 3 2 4 2 2 2" xfId="614"/>
    <cellStyle name="强调文字颜色 6 5 2" xfId="615"/>
    <cellStyle name="强调文字颜色 4 2 2 4 5 2 2" xfId="616"/>
    <cellStyle name="输出 2 4 3 3 3 2" xfId="617"/>
    <cellStyle name="常规 9 3 4 4 2" xfId="618"/>
    <cellStyle name="解释性文本 2 8 3 2" xfId="619"/>
    <cellStyle name="解释性文本 2 2 3 2 2 2 2" xfId="620"/>
    <cellStyle name="输出 2 4 2 10" xfId="621"/>
    <cellStyle name="强调文字颜色 5 2 3 3" xfId="622"/>
    <cellStyle name="输入 3 2 2 7" xfId="623"/>
    <cellStyle name="计算 2 2 4 2 2 2 2 3 3" xfId="624"/>
    <cellStyle name="强调文字颜色 6 2 3 2 4 2 2" xfId="625"/>
    <cellStyle name="注释 2 2 3 2 2 5" xfId="626"/>
    <cellStyle name="强调文字颜色 5 2 3 5 2 2" xfId="627"/>
    <cellStyle name="输出 2 2 2 10" xfId="628"/>
    <cellStyle name="输出 2 2 9 2" xfId="629"/>
    <cellStyle name="注释 2 5 2 5" xfId="630"/>
    <cellStyle name="计算 2 2 2 2 2 2 8" xfId="631"/>
    <cellStyle name="好 2 6 3" xfId="632"/>
    <cellStyle name="计算 2 2 4 2 2 8" xfId="633"/>
    <cellStyle name="输出 3 2" xfId="634"/>
    <cellStyle name="适中 2 2 3 5 3" xfId="635"/>
    <cellStyle name="计算 2 2 4 5 3 2" xfId="636"/>
    <cellStyle name="警告文本 2 2 4 3" xfId="637"/>
    <cellStyle name="汇总 2 2 3 2 7 2 2" xfId="638"/>
    <cellStyle name="强调文字颜色 5 3 2 3" xfId="639"/>
    <cellStyle name="标题 5 4 2 2 2" xfId="640"/>
    <cellStyle name="汇总 2 3 16" xfId="641"/>
    <cellStyle name="超链接 2 4 4" xfId="642"/>
    <cellStyle name="40% - 强调文字颜色 6 2 2 3 2" xfId="643"/>
    <cellStyle name="常规 4 3 5 2" xfId="644"/>
    <cellStyle name="检查单元格 2 2 2 2 5 2 2" xfId="645"/>
    <cellStyle name="输出 2 5 3 7" xfId="646"/>
    <cellStyle name="汇总 2 3 2 2 2 5 2 2" xfId="647"/>
    <cellStyle name="输入 2 2 2 2 2 2 2" xfId="648"/>
    <cellStyle name="40% - 强调文字颜色 3 2 3 2 4 2 2 2" xfId="649"/>
    <cellStyle name="输出 2 5 3 2 2" xfId="650"/>
    <cellStyle name="强调文字颜色 3 2 2 4 2 2 3" xfId="651"/>
    <cellStyle name="注释 2 2 3 6" xfId="652"/>
    <cellStyle name="计算 2 5 8 2 2" xfId="653"/>
    <cellStyle name="注释 4 2 2 3 2" xfId="654"/>
    <cellStyle name="常规 7 2 2 4 2 2" xfId="655"/>
    <cellStyle name="20% - 强调文字颜色 6 2 2 2 2 3 3 2" xfId="656"/>
    <cellStyle name="差 2 2 2 3" xfId="657"/>
    <cellStyle name="标题 5 2 2 2 4" xfId="658"/>
    <cellStyle name="差 3 9" xfId="659"/>
    <cellStyle name="注释 2 2 3 2 5 2" xfId="660"/>
    <cellStyle name="输出 2 6 2 2 3 2" xfId="661"/>
    <cellStyle name="常规 5 2 2 2 2" xfId="662"/>
    <cellStyle name="汇总 2 2 16 2 2" xfId="663"/>
    <cellStyle name="注释 2 2 6 3 2" xfId="664"/>
    <cellStyle name="汇总 2 4 2 2 3 2 2 2" xfId="665"/>
    <cellStyle name="60% - 强调文字颜色 4 3 2 3" xfId="666"/>
    <cellStyle name="计算 2 2 6 3 5 3" xfId="667"/>
    <cellStyle name="差 2 4 5" xfId="668"/>
    <cellStyle name="汇总 2 5 2 3 5 2" xfId="669"/>
    <cellStyle name="汇总 2 7 3 7" xfId="670"/>
    <cellStyle name="20% - 强调文字颜色 2 3 2 2 3 2 2" xfId="671"/>
    <cellStyle name="强调文字颜色 1 4 2 3 2" xfId="672"/>
    <cellStyle name="汇总 3 10 2" xfId="673"/>
    <cellStyle name="差 2 2 3 3 2 2" xfId="674"/>
    <cellStyle name="适中 2 2 3 3 3" xfId="675"/>
    <cellStyle name="注释 2 2 4 6 2 2" xfId="676"/>
    <cellStyle name="汇总 2 2 7 3 2 3 3" xfId="677"/>
    <cellStyle name="20% - 强调文字颜色 5 2 5 2 3 2" xfId="678"/>
    <cellStyle name="Normal 3 4" xfId="679"/>
    <cellStyle name="常规 2 3 2 2 5 2" xfId="680"/>
    <cellStyle name="汇总 2 2 4 2 6 2 2 2" xfId="681"/>
    <cellStyle name="汇总 2 12 5" xfId="682"/>
    <cellStyle name="汇总 3 3 3 2 3" xfId="683"/>
    <cellStyle name="计算 2 6 4 2 2 2 2" xfId="684"/>
    <cellStyle name="输入 2 2 4 5 2 2 3" xfId="685"/>
    <cellStyle name="标题 3 2 2 2 2 3 2 2 3" xfId="686"/>
    <cellStyle name="20% - 强调文字颜色 2 2 2 6 3" xfId="687"/>
    <cellStyle name="汇总 2 2 5 2 3 4" xfId="688"/>
    <cellStyle name="汇总 2 4 2 3 3 2 2" xfId="689"/>
    <cellStyle name="强调文字颜色 6 2 3 3 2 3" xfId="690"/>
    <cellStyle name="40% - 强调文字颜色 5 2 2 2 2 3 3 2" xfId="691"/>
    <cellStyle name="常规 6 2 2 2" xfId="692"/>
    <cellStyle name="60% - 强调文字颜色 2 3 2 2 2" xfId="693"/>
    <cellStyle name="计算 2 2 4 3 5 2 2" xfId="694"/>
    <cellStyle name="输入 2 2 6 2 8" xfId="695"/>
    <cellStyle name="好 2 7 2" xfId="696"/>
    <cellStyle name="注释 3 2 10" xfId="697"/>
    <cellStyle name="常规 4 2 3 2 2 3 2 2" xfId="698"/>
    <cellStyle name="40% - 强调文字颜色 5 6 2" xfId="699"/>
    <cellStyle name="注释 2 2 2" xfId="700"/>
    <cellStyle name="20% - 强调文字颜色 2 2 4 2" xfId="701"/>
    <cellStyle name="汇总 2 7 10 3" xfId="702"/>
    <cellStyle name="好 2 2 6 2 2" xfId="703"/>
    <cellStyle name="汇总 2 2 5 2 3 3 2 2" xfId="704"/>
    <cellStyle name="注释 2 2 2 8 3" xfId="705"/>
    <cellStyle name="40% - 强调文字颜色 3 2 2 7 2" xfId="706"/>
    <cellStyle name="百分比 2 2 2 3 2" xfId="707"/>
    <cellStyle name="解释性文本 2 3 2 2 2 2 3" xfId="708"/>
    <cellStyle name="汇总 3 2 2 6" xfId="709"/>
    <cellStyle name="输入 2 5 2 3 3" xfId="710"/>
    <cellStyle name="输出 2 5 4 5 2" xfId="711"/>
    <cellStyle name="输出 2 7 3 2 2 2" xfId="712"/>
    <cellStyle name="注释 2 2 6 2 2 3" xfId="713"/>
    <cellStyle name="强调文字颜色 6 2 2 3 2 2 2 3" xfId="714"/>
    <cellStyle name="常规 5 3 2 5" xfId="715"/>
    <cellStyle name="计算 2 2 9 2" xfId="716"/>
    <cellStyle name="强调文字颜色 5 2 2 2 2 5" xfId="717"/>
    <cellStyle name="强调文字颜色 6 2 3 2 2 3" xfId="718"/>
    <cellStyle name="链接单元格 2 2 3 3 2 2 2" xfId="719"/>
    <cellStyle name="汇总 2 4 2 3 2 2 2" xfId="720"/>
    <cellStyle name="汇总 2 3 2 2 2 2 4" xfId="721"/>
    <cellStyle name="输入 2 2 5 2" xfId="722"/>
    <cellStyle name="40% - 强调文字颜色 1 2 2 2 2 2 3 2 2 2" xfId="723"/>
    <cellStyle name="常规 7 4 2 2 2 2" xfId="724"/>
    <cellStyle name="常规 9 3 2 5" xfId="725"/>
    <cellStyle name="40% - 强调文字颜色 4 6 2" xfId="726"/>
    <cellStyle name="警告文本 2 2 2 2 4 4" xfId="727"/>
    <cellStyle name="解释性文本 2 6 4" xfId="728"/>
    <cellStyle name="输入 2 2 4 3 2 3 3" xfId="729"/>
    <cellStyle name="汇总 2 2 3 2 4 4" xfId="730"/>
    <cellStyle name="汇总 2 8 3 4 2" xfId="731"/>
    <cellStyle name="常规 6 2 2 2 5 2 2" xfId="732"/>
    <cellStyle name="输入 2 8 3 2 4" xfId="733"/>
    <cellStyle name="汇总 2 5 2 2 6" xfId="734"/>
    <cellStyle name="常规 9 11" xfId="735"/>
    <cellStyle name="输入 2 2 10 2" xfId="736"/>
    <cellStyle name="标题 3 2 2 2 4 2 2 3" xfId="737"/>
    <cellStyle name="输入 2 2 6 4 2 3" xfId="738"/>
    <cellStyle name="输出 2 2 6 2 2 3" xfId="739"/>
    <cellStyle name="强调文字颜色 6 2 2 3 3 3 2" xfId="740"/>
    <cellStyle name="强调文字颜色 2 2 2 7" xfId="741"/>
    <cellStyle name="注释 2 2 7 3 2" xfId="742"/>
    <cellStyle name="汇总 2 2 17 2 2" xfId="743"/>
    <cellStyle name="汇总 2 4 2 2 3 3 2 2" xfId="744"/>
    <cellStyle name="汇总 2 5 2 4 5 2" xfId="745"/>
    <cellStyle name="标题 3 2 2 5 3" xfId="746"/>
    <cellStyle name="60% - 强调文字颜色 4 4 2 3" xfId="747"/>
    <cellStyle name="汇总 2 3 2" xfId="748"/>
    <cellStyle name="汇总 2 3 4 3 3" xfId="749"/>
    <cellStyle name="计算 2 4 2 2 4 3" xfId="750"/>
    <cellStyle name="输出 2 2 3 2 2 2 5 2" xfId="751"/>
    <cellStyle name="40% - 强调文字颜色 1 2 2 3 4 2 2 2" xfId="752"/>
    <cellStyle name="常规 5 2 4 4 2" xfId="753"/>
    <cellStyle name="计算 3 2 6 2" xfId="754"/>
    <cellStyle name="检查单元格 2 2 4 3 3 2" xfId="755"/>
    <cellStyle name="好 2 2 3 3" xfId="756"/>
    <cellStyle name="强调文字颜色 2 4 4" xfId="757"/>
    <cellStyle name="输入 2 5 2 2 4 2 2" xfId="758"/>
    <cellStyle name="计算 2 4 2 2 3 4 2" xfId="759"/>
    <cellStyle name="超链接 2 5 3 2 3" xfId="760"/>
    <cellStyle name="汇总 2 2 3 2" xfId="761"/>
    <cellStyle name="超链接 2 4 2 2 2 2" xfId="762"/>
    <cellStyle name="计算 2 3 2 3" xfId="763"/>
    <cellStyle name="输入 2 2 3 2 3 2 2 2" xfId="764"/>
    <cellStyle name="标题 5 2 3 6 3" xfId="765"/>
    <cellStyle name="输出 2 9 2" xfId="766"/>
    <cellStyle name="计算 2 6 2 2 3 3" xfId="767"/>
    <cellStyle name="40% - 强调文字颜色 4 2 2 3 2 2 2 2" xfId="768"/>
    <cellStyle name="计算 2 2 9 5" xfId="769"/>
    <cellStyle name="60% - 强调文字颜色 3 2 2 8 2" xfId="770"/>
    <cellStyle name="计算 2 7 5 2 2" xfId="771"/>
    <cellStyle name="标题 3 5 3" xfId="772"/>
    <cellStyle name="常规 5 3 2 8" xfId="773"/>
    <cellStyle name="计算 2 2 2 5 3 2 2" xfId="774"/>
    <cellStyle name="输出 2 7 2 2" xfId="775"/>
    <cellStyle name="计算 2 2 6 13" xfId="776"/>
    <cellStyle name="输出 2 2 2 5 2" xfId="777"/>
    <cellStyle name="计算 2 9 7" xfId="778"/>
    <cellStyle name="标题 2 2 2 2 2 3 3 3" xfId="779"/>
    <cellStyle name="输出 4 9" xfId="780"/>
    <cellStyle name="计算 2 2 7 3 2 2" xfId="781"/>
    <cellStyle name="输出 2 3 2 9" xfId="782"/>
    <cellStyle name="汇总 2 2 5 3 3 2 2" xfId="783"/>
    <cellStyle name="解释性文本 2 2 3 7" xfId="784"/>
    <cellStyle name="强调文字颜色 3 2 2 2 2 2 2 2 3" xfId="785"/>
    <cellStyle name="计算 2 6 4 2 5 2" xfId="786"/>
    <cellStyle name="汇总 2 2 2 2 6 3" xfId="787"/>
    <cellStyle name="输入 2 5 3 2 4 3" xfId="788"/>
    <cellStyle name="强调文字颜色 3 2 2 7 2 2" xfId="789"/>
    <cellStyle name="20% - 强调文字颜色 2 2 8 2" xfId="790"/>
    <cellStyle name="常规 6 2 2 4 3 2" xfId="791"/>
    <cellStyle name="注释 2 2 14" xfId="792"/>
    <cellStyle name="输入 2 3 3 3" xfId="793"/>
    <cellStyle name="常规 4 2 2 2 3 2" xfId="794"/>
    <cellStyle name="汇总 2 2 4 2 2 2 2 5" xfId="795"/>
    <cellStyle name="常规 6 4 3 2" xfId="796"/>
    <cellStyle name="计算 2 6 3 2 6" xfId="797"/>
    <cellStyle name="输出 2 2 11" xfId="798"/>
    <cellStyle name="常规 5 2 3 3 4 2" xfId="799"/>
    <cellStyle name="警告文本 4 4" xfId="800"/>
    <cellStyle name="标题 1 2 2 2 2 3" xfId="801"/>
    <cellStyle name="20% - 强调文字颜色 2 2 2 3 3 2" xfId="802"/>
    <cellStyle name="检查单元格 2 3 2 5 2" xfId="803"/>
    <cellStyle name="60% - 强调文字颜色 5 2 3 4 2 2" xfId="804"/>
    <cellStyle name="检查单元格 2 2 5 2 3" xfId="805"/>
    <cellStyle name="计算 2 7 8 2" xfId="806"/>
    <cellStyle name="输出 2 2 2 3 3 2" xfId="807"/>
    <cellStyle name="计算 2 6 2 2 4 3" xfId="808"/>
    <cellStyle name="20% - 强调文字颜色 2 2 10" xfId="809"/>
    <cellStyle name="超链接 2 5 3 4" xfId="810"/>
    <cellStyle name="检查单元格 2 2 5 2 2" xfId="811"/>
    <cellStyle name="适中 2 4 4 2 3" xfId="812"/>
    <cellStyle name="注释 4 4 2 2" xfId="813"/>
    <cellStyle name="检查单元格 2 3 5 3" xfId="814"/>
    <cellStyle name="注释 2 2 7 7 2" xfId="815"/>
    <cellStyle name="40% - 强调文字颜色 5 2 2 6 2 2" xfId="816"/>
    <cellStyle name="警告文本 2 2 4 2 3 2" xfId="817"/>
    <cellStyle name="好 2 3 2 6 2 2" xfId="818"/>
    <cellStyle name="标题 4 2 2 3 4 2 2" xfId="819"/>
    <cellStyle name="强调文字颜色 5 3 2 2 3 2" xfId="820"/>
    <cellStyle name="计算 2 6 3 2 5" xfId="821"/>
    <cellStyle name="常规 13 4 4 2" xfId="822"/>
    <cellStyle name="常规 11 3 3 3 3" xfId="823"/>
    <cellStyle name="注释 5 4 3" xfId="824"/>
    <cellStyle name="60% - 强调文字颜色 6 3 2 2 4" xfId="825"/>
    <cellStyle name="汇总 2 2 5 2 3 2" xfId="826"/>
    <cellStyle name="常规 12 4 2 2 2" xfId="827"/>
    <cellStyle name="标题 1 2 2 10" xfId="828"/>
    <cellStyle name="计算 2 2 4 2 2 5" xfId="829"/>
    <cellStyle name="汇总 2 5 4 4" xfId="830"/>
    <cellStyle name="汇总 2 2 3 3 3 2" xfId="831"/>
    <cellStyle name="警告文本 2 2 2 3 3 2" xfId="832"/>
    <cellStyle name="常规 5 5 2 3 2" xfId="833"/>
    <cellStyle name="强调文字颜色 3 2 2 2 5 2" xfId="834"/>
    <cellStyle name="常规 4 3 3 2 3 2" xfId="835"/>
    <cellStyle name="适中 2 3 2 5 2" xfId="836"/>
    <cellStyle name="输出 2 2 3 5 8" xfId="837"/>
    <cellStyle name="常规 6 2 5 2 2" xfId="838"/>
    <cellStyle name="汇总 2 4 9" xfId="839"/>
    <cellStyle name="20% - 强调文字颜色 3 2 2 3 2 2 2 2 2" xfId="840"/>
    <cellStyle name="计算 2 5 2 3 2 3" xfId="841"/>
    <cellStyle name="警告文本 2 4 8" xfId="842"/>
    <cellStyle name="输出 2 2 4 2 11" xfId="843"/>
    <cellStyle name="好 2 2 3 4 3 2" xfId="844"/>
    <cellStyle name="计算 2 7 17" xfId="845"/>
    <cellStyle name="检查单元格 3 9" xfId="846"/>
    <cellStyle name="40% - 强调文字颜色 3 2 2 2 2 2 5" xfId="847"/>
    <cellStyle name="说明文本 2 3 2" xfId="848"/>
    <cellStyle name="输入 2 2 6 2 4 2 2" xfId="849"/>
    <cellStyle name="汇总 2 2 9 5" xfId="850"/>
    <cellStyle name="输入 3 3 6" xfId="851"/>
    <cellStyle name="标题 2 2 2 3 4" xfId="852"/>
    <cellStyle name="汇总 2 4 2 4 3 3" xfId="853"/>
    <cellStyle name="计算 2 2 2 2 10 2" xfId="854"/>
    <cellStyle name="输出 2 2 3 2 3 2 4" xfId="855"/>
    <cellStyle name="注释 2 6 3 4 2" xfId="856"/>
    <cellStyle name="计算 2 2 4 10 2" xfId="857"/>
    <cellStyle name="输入 2 2 8 2 7" xfId="858"/>
    <cellStyle name="常规 9 2 3 2 3 2" xfId="859"/>
    <cellStyle name="计算 2 2 5 3 2 3 2 2" xfId="860"/>
    <cellStyle name="差 2 6 3" xfId="861"/>
    <cellStyle name="注释 5 2 2" xfId="862"/>
    <cellStyle name="输入 2 4 3 6" xfId="863"/>
    <cellStyle name="强调文字颜色 4 4 4 2" xfId="864"/>
    <cellStyle name="常规 3 3 2 5 2" xfId="865"/>
    <cellStyle name="注释 2 2 4 2 2 3 2" xfId="866"/>
    <cellStyle name="计算 3 2 7 3" xfId="867"/>
    <cellStyle name="标题 1 2 2 3 5 3" xfId="868"/>
    <cellStyle name="注释 2 4 3 2 4 2" xfId="869"/>
    <cellStyle name="输出 2 2 3 5 2 2 2" xfId="870"/>
    <cellStyle name="标题 1 4 3 2" xfId="871"/>
    <cellStyle name="20% - 强调文字颜色 5 2 2 3 3 3 2" xfId="872"/>
    <cellStyle name="常规 12 2 6 2" xfId="873"/>
    <cellStyle name="标题 5 2 3 2 2 2 2" xfId="874"/>
    <cellStyle name="标题 4 2 2 2 2 4 2" xfId="875"/>
    <cellStyle name="输出 2 2 4 2 2 2 2 2 2" xfId="876"/>
    <cellStyle name="常规 16 6" xfId="877"/>
    <cellStyle name="链接单元格 2 4 2 2 2 2" xfId="878"/>
    <cellStyle name="计算 2 2 6 3 4" xfId="879"/>
    <cellStyle name="注释 2 2 3 2 7 3" xfId="880"/>
    <cellStyle name="差 2 2 3 8" xfId="881"/>
    <cellStyle name="输入 2 2 7 6 2 2" xfId="882"/>
    <cellStyle name="汇总 2 7 4 6" xfId="883"/>
    <cellStyle name="常规 9 2 3 2 2 3" xfId="884"/>
    <cellStyle name="60% - 强调文字颜色 4 3 3 2" xfId="885"/>
    <cellStyle name="计算 2 2 6 3 6 2" xfId="886"/>
    <cellStyle name="差 2 5 4" xfId="887"/>
    <cellStyle name="计算 3 2 2 2 2 2" xfId="888"/>
    <cellStyle name="汇总 2 2 6 9" xfId="889"/>
    <cellStyle name="20% - 强调文字颜色 5 2 2 2 5" xfId="890"/>
    <cellStyle name="汇总 2 6 4 2 5" xfId="891"/>
    <cellStyle name="输入 2 5 4 2" xfId="892"/>
    <cellStyle name="40% - 强调文字颜色 1 2 3 8" xfId="893"/>
    <cellStyle name="汇总 3 2 7 2" xfId="894"/>
    <cellStyle name="汇总 2 2 7 3 4 2 2" xfId="895"/>
    <cellStyle name="输出 2 2 3 2 3 5 2" xfId="896"/>
    <cellStyle name="输出 3 8 3" xfId="897"/>
    <cellStyle name="标题 2 2 2 2 2 3 2 2 3" xfId="898"/>
    <cellStyle name="汇总 2 16 2 2" xfId="899"/>
    <cellStyle name="汇总 2 2 2 2 9" xfId="900"/>
    <cellStyle name="输入 2 5 3 2 7" xfId="901"/>
    <cellStyle name="计算 2 2 8 4 3" xfId="902"/>
    <cellStyle name="标题 3 4 2 3" xfId="903"/>
    <cellStyle name="强调文字颜色 3 2 2 2 4 4" xfId="904"/>
    <cellStyle name="强调文字颜色 4 2 3 2 4 2" xfId="905"/>
    <cellStyle name="常规 5 5 2 2 4" xfId="906"/>
    <cellStyle name="汇总 2 2 4 11 2" xfId="907"/>
    <cellStyle name="常规 4 6 3 5" xfId="908"/>
    <cellStyle name="注释 3 2 4 3" xfId="909"/>
    <cellStyle name="注释 2 2 13" xfId="910"/>
    <cellStyle name="好 2 5 2" xfId="911"/>
    <cellStyle name="常规 12 2 6 3" xfId="912"/>
    <cellStyle name="标题 1 4 3 3" xfId="913"/>
    <cellStyle name="适中 2 3 2 2 2 2 2" xfId="914"/>
    <cellStyle name="强调文字颜色 3 2 2 3 3 2 3" xfId="915"/>
    <cellStyle name="输入 3 2 2 2 2" xfId="916"/>
    <cellStyle name="计算 2 2 2 2 7 2 2" xfId="917"/>
    <cellStyle name="20% - 强调文字颜色 1 3 2 2 4 2" xfId="918"/>
    <cellStyle name="检查单元格 2 2 2 3 3 2" xfId="919"/>
    <cellStyle name="输入 2 2 6 14" xfId="920"/>
    <cellStyle name="40% - 强调文字颜色 4 2 2 2 2 3 2 2 2 2" xfId="921"/>
    <cellStyle name="计算 2 5 2 3 3 3 2 2" xfId="922"/>
    <cellStyle name="强调文字颜色 1 3 9" xfId="923"/>
    <cellStyle name="汇总 2 2 2 4 2" xfId="924"/>
    <cellStyle name="汇总 3 3 3 3" xfId="925"/>
    <cellStyle name="60% - 强调文字颜色 6 2 3 6 3" xfId="926"/>
    <cellStyle name="输入 2 4 12" xfId="927"/>
    <cellStyle name="60% - 强调文字颜色 3 2 3 4" xfId="928"/>
    <cellStyle name="汇总 2 2 4 9 2" xfId="929"/>
    <cellStyle name="强调文字颜色 4 2 3 4 3 2 2" xfId="930"/>
    <cellStyle name="输入 2 2 4 2 4 2 5" xfId="931"/>
    <cellStyle name="注释 2 8 3 2" xfId="932"/>
    <cellStyle name="标题 2 3 5 2 2" xfId="933"/>
    <cellStyle name="汇总 2 3 2 2 6 2 2" xfId="934"/>
    <cellStyle name="汇总 2 6 5 3 3" xfId="935"/>
    <cellStyle name="超链接 3 2 2 2 4 2 2" xfId="936"/>
    <cellStyle name="输出 2 4 2 3 5" xfId="937"/>
    <cellStyle name="20% - 强调文字颜色 5 2 3 3 3" xfId="938"/>
    <cellStyle name="强调文字颜色 3 3 2 2 2" xfId="939"/>
    <cellStyle name="输入 2 2 4 4 9" xfId="940"/>
    <cellStyle name="强调文字颜色 5 2 2 6 2 3" xfId="941"/>
    <cellStyle name="汇总 2 2 2 2 2 2 5 2" xfId="942"/>
    <cellStyle name="常规 5 2 2 3 5 2 2" xfId="943"/>
    <cellStyle name="40% - 强调文字颜色 6 2 5 3 2 2" xfId="944"/>
    <cellStyle name="强调文字颜色 2 2 6" xfId="945"/>
    <cellStyle name="常规 4 2 4 5 2 2" xfId="946"/>
    <cellStyle name="汇总 2 6 2 3 2 2" xfId="947"/>
    <cellStyle name="输出 3 2 2 7" xfId="948"/>
    <cellStyle name="强调文字颜色 5 2 2 3 2 2 2" xfId="949"/>
    <cellStyle name="强调文字颜色 1 2 4 3" xfId="950"/>
    <cellStyle name="40% - 强调文字颜色 4 2 3 2 2 4 3" xfId="951"/>
    <cellStyle name="汇总 2 8 7" xfId="952"/>
    <cellStyle name="20% - 强调文字颜色 5 4 5" xfId="953"/>
    <cellStyle name="计算 2 2 4 2 3 4 2" xfId="954"/>
    <cellStyle name="输出 2 3 2 3 4" xfId="955"/>
    <cellStyle name="汇总 2 5 5 3 2" xfId="956"/>
    <cellStyle name="计算 2 5 4 4 3" xfId="957"/>
    <cellStyle name="20% - 强调文字颜色 3 2 2 3 3" xfId="958"/>
    <cellStyle name="计算 2 2 5 2 4 3" xfId="959"/>
    <cellStyle name="输入 2 8 2 2 2 2" xfId="960"/>
    <cellStyle name="输入 2 2 4 2 2 2 2 2" xfId="961"/>
    <cellStyle name="标题 1 2 5 3" xfId="962"/>
    <cellStyle name="强调文字颜色 4 2 2 3 3 3" xfId="963"/>
    <cellStyle name="警告文本 2 4 2 2 2 3" xfId="964"/>
    <cellStyle name="适中 2 3 2 5 3" xfId="965"/>
    <cellStyle name="40% - 强调文字颜色 1 2 3 2 5 2 2 2" xfId="966"/>
    <cellStyle name="汇总 2 6 2 2 4" xfId="967"/>
    <cellStyle name="输入 2 9 3 2 2" xfId="968"/>
    <cellStyle name="超链接 3 5 2 2 2" xfId="969"/>
    <cellStyle name="常规 13 2 2 4 2" xfId="970"/>
    <cellStyle name="注释 3 2 5 2" xfId="971"/>
    <cellStyle name="输出 3 2 4 2 2" xfId="972"/>
    <cellStyle name="常规 4 3 3 2 3 3" xfId="973"/>
    <cellStyle name="强调文字颜色 3 2 2 2 5 3" xfId="974"/>
    <cellStyle name="计算 2 2 4 2 2 6" xfId="975"/>
    <cellStyle name="常规 6 3 2 5 2" xfId="976"/>
    <cellStyle name="超链接 3 5 2 2 2 2" xfId="977"/>
    <cellStyle name="常规 13 2 2 4 2 2" xfId="978"/>
    <cellStyle name="汇总 2 6 2 2 4 2" xfId="979"/>
    <cellStyle name="注释 3 2 5 2 2" xfId="980"/>
    <cellStyle name="计算 2 2 4 2 2 6 2" xfId="981"/>
    <cellStyle name="输入 2 2 4 2 3 7" xfId="982"/>
    <cellStyle name="汇总 2 5 4 2 2 3" xfId="983"/>
    <cellStyle name="计算 2 2 8 2 2 4" xfId="984"/>
    <cellStyle name="常规 6 3 2 5 2 2" xfId="985"/>
    <cellStyle name="汇总 2 5 4 5 2" xfId="986"/>
    <cellStyle name="解释性文本 2 2 2 3 4" xfId="987"/>
    <cellStyle name="计算 2 2 4 2 2 3 2 3" xfId="988"/>
    <cellStyle name="计算 2 2 5 4 3 2 2" xfId="989"/>
    <cellStyle name="标题 4 2 2 2 2 5 2 2" xfId="990"/>
    <cellStyle name="计算 2 2 3 2 2 10" xfId="991"/>
    <cellStyle name="常规 4 5 3" xfId="992"/>
    <cellStyle name="强调文字颜色 4 2 2 5 2 2 2" xfId="993"/>
    <cellStyle name="标题 1 4 4 2 2" xfId="994"/>
    <cellStyle name="常规 4 2 3 3" xfId="995"/>
    <cellStyle name="常规 7 5" xfId="996"/>
    <cellStyle name="常规 5 3 2 2 5 3" xfId="997"/>
    <cellStyle name="解释性文本 2 3 2 6" xfId="998"/>
    <cellStyle name="强调文字颜色 6 2 3 2 2 3 2" xfId="999"/>
    <cellStyle name="强调文字颜色 5 2 2 2 2 5 2" xfId="1000"/>
    <cellStyle name="20% - 强调文字颜色 5 2 2 2 2 5 2 2 2" xfId="1001"/>
    <cellStyle name="强调文字颜色 2 3 2 3 2" xfId="1002"/>
    <cellStyle name="20% - 强调文字颜色 6 2 3 2 2 3 2 2 2" xfId="1003"/>
    <cellStyle name="汇总 2 2 6 2 7" xfId="1004"/>
    <cellStyle name="常规 2 3" xfId="1005"/>
    <cellStyle name="计算 2 6 2 7 2 2" xfId="1006"/>
    <cellStyle name="汇总 2 5 3 3 3 3" xfId="1007"/>
    <cellStyle name="强调文字颜色 1 2 3 2 3 2 2" xfId="1008"/>
    <cellStyle name="常规 5 3 8" xfId="1009"/>
    <cellStyle name="汇总 2 2 4 2 6 4 2" xfId="1010"/>
    <cellStyle name="20% - 强调文字颜色 1 2 2 2 2 2 4 2 2" xfId="1011"/>
    <cellStyle name="40% - 强调文字颜色 4 2 2 2 2 3 2" xfId="1012"/>
    <cellStyle name="常规 11 2" xfId="1013"/>
    <cellStyle name="常规 6 2 5 3" xfId="1014"/>
    <cellStyle name="输入 2 3 8 3" xfId="1015"/>
    <cellStyle name="汇总 2 7 6 3 2 2" xfId="1016"/>
    <cellStyle name="强调文字颜色 2 2 3 4 2 3" xfId="1017"/>
    <cellStyle name="输入 2 2 3 2 2 2 4" xfId="1018"/>
    <cellStyle name="计算 3 2 2 6 2 2" xfId="1019"/>
    <cellStyle name="输出 3 2 5 2" xfId="1020"/>
    <cellStyle name="差 2 2 4 3 4" xfId="1021"/>
    <cellStyle name="汇总 2 2 2 2 12" xfId="1022"/>
    <cellStyle name="汇总 2 2 2 4 2 2" xfId="1023"/>
    <cellStyle name="汇总 3 3 3 3 2" xfId="1024"/>
    <cellStyle name="输出 2 2 3 4 5 3" xfId="1025"/>
    <cellStyle name="汇总 2 2 4 2 2 7" xfId="1026"/>
    <cellStyle name="计算 2 2 7 3 2 3 2" xfId="1027"/>
    <cellStyle name="汇总 2 5 3 3 2 2 2" xfId="1028"/>
    <cellStyle name="注释 2 2 2 2 2 2 3" xfId="1029"/>
    <cellStyle name="计算 2 3 3 2 3" xfId="1030"/>
    <cellStyle name="强调文字颜色 6 2 2 7 3" xfId="1031"/>
    <cellStyle name="标题 1 2 2 4 2 3" xfId="1032"/>
    <cellStyle name="汇总 2 8 3 2 4" xfId="1033"/>
    <cellStyle name="无色 5 2" xfId="1034"/>
    <cellStyle name="计算 2 3" xfId="1035"/>
    <cellStyle name="20% - 强调文字颜色 2 2 2 5 3 2" xfId="1036"/>
    <cellStyle name="输入 2 2 4 5 4 2 2" xfId="1037"/>
    <cellStyle name="汇总 2 2 5 4 3 3" xfId="1038"/>
    <cellStyle name="常规 12 6" xfId="1039"/>
    <cellStyle name="60% - 强调文字颜色 1 2 5 2 2" xfId="1040"/>
    <cellStyle name="40% - 强调文字颜色 1 2 2 3 3 3" xfId="1041"/>
    <cellStyle name="好 2 2 6 2" xfId="1042"/>
    <cellStyle name="计算 3 4 3 3" xfId="1043"/>
    <cellStyle name="60% - 强调文字颜色 1 2 3 2 2 2" xfId="1044"/>
    <cellStyle name="汇总 2 2 4 3 8" xfId="1045"/>
    <cellStyle name="输出 2 5 4 5" xfId="1046"/>
    <cellStyle name="输出 2 7 3 2 2" xfId="1047"/>
    <cellStyle name="计算 2 2 5 2 2 2 4 2" xfId="1048"/>
    <cellStyle name="超链接 2 5 2" xfId="1049"/>
    <cellStyle name="输出 2 2 2 6 2 2" xfId="1050"/>
    <cellStyle name="注释 2 3 4 2 4" xfId="1051"/>
    <cellStyle name="计算 2 2 7 3 3 2 2" xfId="1052"/>
    <cellStyle name="汇总 2 6 2 4 2 2 2" xfId="1053"/>
    <cellStyle name="标题 4 2 2 2 3 2" xfId="1054"/>
    <cellStyle name="强调文字颜色 3 2 6 2" xfId="1055"/>
    <cellStyle name="适中 2 7 2" xfId="1056"/>
    <cellStyle name="汇总 2 5 4 6" xfId="1057"/>
    <cellStyle name="计算 2 2 4 2 2 7" xfId="1058"/>
    <cellStyle name="汇总 2 2 7 3 3 2 2" xfId="1059"/>
    <cellStyle name="计算 2 2 4 2 3 9" xfId="1060"/>
    <cellStyle name="汇总 2 5 5 8" xfId="1061"/>
    <cellStyle name="常规 2 2 2 2 2 2 2" xfId="1062"/>
    <cellStyle name="输出 2 3 4 2 2 2 2" xfId="1063"/>
    <cellStyle name="计算 2 3 2 3 2" xfId="1064"/>
    <cellStyle name="汇总 2 3 2 4 3 2 2" xfId="1065"/>
    <cellStyle name="汇总 2 8 2 3 3" xfId="1066"/>
    <cellStyle name="标题 1 2 2 3 3 2" xfId="1067"/>
    <cellStyle name="检查单元格 2 2 4 3 2 2" xfId="1068"/>
    <cellStyle name="计算 3 2 5 2" xfId="1069"/>
    <cellStyle name="汇总 2 2 5 3 4 2" xfId="1070"/>
    <cellStyle name="常规 4 2 2 2 3 3 2 2" xfId="1071"/>
    <cellStyle name="检查单元格 2 4 6 3" xfId="1072"/>
    <cellStyle name="强调文字颜色 5 2 2 2 8" xfId="1073"/>
    <cellStyle name="检查单元格 5 2" xfId="1074"/>
    <cellStyle name="汇总 2 2 7 3 4" xfId="1075"/>
    <cellStyle name="60% - 强调文字颜色 4 2 2 3 3 3 2" xfId="1076"/>
    <cellStyle name="计算 3 5 2 3" xfId="1077"/>
    <cellStyle name="计算 2 4 2 3 2" xfId="1078"/>
    <cellStyle name="输出 2 2 6 4 2" xfId="1079"/>
    <cellStyle name="输入 2 2 4 10" xfId="1080"/>
    <cellStyle name="输入 2 2 4 2 3" xfId="1081"/>
    <cellStyle name="标题 1 2 2 2 7" xfId="1082"/>
    <cellStyle name="汇总 2 9 2 3 3" xfId="1083"/>
    <cellStyle name="标题 1 2 3 3 3 2" xfId="1084"/>
    <cellStyle name="计算 2 2 6 6 5" xfId="1085"/>
    <cellStyle name="60% - 强调文字颜色 4 6 2" xfId="1086"/>
    <cellStyle name="标题 3 2 4 5" xfId="1087"/>
    <cellStyle name="输入 2 10 2 2 2" xfId="1088"/>
    <cellStyle name="汇总 2 5 11 2" xfId="1089"/>
    <cellStyle name="输出 2 2 2 2 3 5" xfId="1090"/>
    <cellStyle name="计算 2 6 2 2 5 2 2" xfId="1091"/>
    <cellStyle name="计算 2 3 2 4 2 2 2" xfId="1092"/>
    <cellStyle name="标题 1 2 2 3 4 2 2 2" xfId="1093"/>
    <cellStyle name="汇总 2 10 8" xfId="1094"/>
    <cellStyle name="计算 2 5 4 2 4" xfId="1095"/>
    <cellStyle name="输出 2 2 2 4 4 2 2" xfId="1096"/>
    <cellStyle name="输出 2 2 3 2 4 5" xfId="1097"/>
    <cellStyle name="计算 2 2 10 6" xfId="1098"/>
    <cellStyle name="计算 2 2 8 7 2 2" xfId="1099"/>
    <cellStyle name="注释 2 4 3 2 2 2 2" xfId="1100"/>
    <cellStyle name="计算 2 3 2 3 3 2" xfId="1101"/>
    <cellStyle name="强调文字颜色 4 4 2 2 2" xfId="1102"/>
    <cellStyle name="常规 3 3 2 3 2 2" xfId="1103"/>
    <cellStyle name="汇总 2 2 6 6 2 3" xfId="1104"/>
    <cellStyle name="40% - 强调文字颜色 4 2 2 2 2 2 2 2 2 2 2" xfId="1105"/>
    <cellStyle name="警告文本 2 6 2 2" xfId="1106"/>
    <cellStyle name="链接单元格 2 2 3 2 2" xfId="1107"/>
    <cellStyle name="40% - 强调文字颜色 1 2 2 2 2 2 2 2" xfId="1108"/>
    <cellStyle name="汇总 2 4 2 2 2" xfId="1109"/>
    <cellStyle name="常规 12 2 2 5" xfId="1110"/>
    <cellStyle name="超链接 2 5 2 3" xfId="1111"/>
    <cellStyle name="常规 2 3 2 2 3 2 2" xfId="1112"/>
    <cellStyle name="计算 2 2 6 11" xfId="1113"/>
    <cellStyle name="常规 8" xfId="1114"/>
    <cellStyle name="输出 4 7" xfId="1115"/>
    <cellStyle name="注释 2 4 2 2 6 2" xfId="1116"/>
    <cellStyle name="输入 2 2 3 3 3 3" xfId="1117"/>
    <cellStyle name="计算 2 2 2 7 3" xfId="1118"/>
    <cellStyle name="计算 2 4 3 2 6" xfId="1119"/>
    <cellStyle name="输出 2 2 7 3 6" xfId="1120"/>
    <cellStyle name="标题 1 2 2 3 6 2 2" xfId="1121"/>
    <cellStyle name="警告文本 2 2 2 2 3 3" xfId="1122"/>
    <cellStyle name="解释性文本 2 5 3" xfId="1123"/>
    <cellStyle name="常规 4 2 3 4 4" xfId="1124"/>
    <cellStyle name="输入 2 9 2 2 2" xfId="1125"/>
    <cellStyle name="20% - 强调文字颜色 5 2 2 9 2" xfId="1126"/>
    <cellStyle name="输出 3 2 3 2 2" xfId="1127"/>
    <cellStyle name="标题 7 3" xfId="1128"/>
    <cellStyle name="注释 2 2 3 4 2 2 2 2" xfId="1129"/>
    <cellStyle name="计算 2 2 3 2 3 4 2 2" xfId="1130"/>
    <cellStyle name="超链接 3 2 2 2 2 3 2" xfId="1131"/>
    <cellStyle name="好 2 2 3 5 2 2" xfId="1132"/>
    <cellStyle name="注释 2 2 5 2 2 4 2" xfId="1133"/>
    <cellStyle name="输出 2 2 3 3 2 4 2 2" xfId="1134"/>
    <cellStyle name="汇总 3 3 9" xfId="1135"/>
    <cellStyle name="60% - 强调文字颜色 2 2 5 3 2 2" xfId="1136"/>
    <cellStyle name="汇总 2 6 3 4" xfId="1137"/>
    <cellStyle name="标题 5 4 6 3" xfId="1138"/>
    <cellStyle name="计算 2 5 2 3 2 2 3" xfId="1139"/>
    <cellStyle name="强调文字颜色 4 2 3 3 2 2 2" xfId="1140"/>
    <cellStyle name="标题 2 2 4 2 2" xfId="1141"/>
    <cellStyle name="输入 5 2 4" xfId="1142"/>
    <cellStyle name="汇总 2 4 8 3" xfId="1143"/>
    <cellStyle name="计算 2 2 4 2 9" xfId="1144"/>
    <cellStyle name="60% - 强调文字颜色 2 2 6" xfId="1145"/>
    <cellStyle name="计算 2 14" xfId="1146"/>
    <cellStyle name="常规 5 6" xfId="1147"/>
    <cellStyle name="60% - 强调文字颜色 6 3 2 4 2" xfId="1148"/>
    <cellStyle name="汇总 2 5 2 7" xfId="1149"/>
    <cellStyle name="计算 2 2 4 2 2 2 2 2" xfId="1150"/>
    <cellStyle name="20% - 强调文字颜色 2 2 3 2 4" xfId="1151"/>
    <cellStyle name="差 2 3 4 2 2 3" xfId="1152"/>
    <cellStyle name="60% - 强调文字颜色 5 2 4 3 3" xfId="1153"/>
    <cellStyle name="40% - 强调文字颜色 2 2 3 6 2 2 2" xfId="1154"/>
    <cellStyle name="20% - 强调文字颜色 5 3 2 2 3 2 2 2" xfId="1155"/>
    <cellStyle name="计算 2 4 2 2 2 6" xfId="1156"/>
    <cellStyle name="汇总 2 2 4 3 2 3 2" xfId="1157"/>
    <cellStyle name="计算 2 2 5 3 3 5" xfId="1158"/>
    <cellStyle name="输入 2 2 5 2 10" xfId="1159"/>
    <cellStyle name="注释 4 2 4 2 2" xfId="1160"/>
    <cellStyle name="注释 2 4 2 6" xfId="1161"/>
    <cellStyle name="常规 5 6 3 4 2" xfId="1162"/>
    <cellStyle name="强调文字颜色 6 2 4 7" xfId="1163"/>
    <cellStyle name="标题 1 2 2 6 2" xfId="1164"/>
    <cellStyle name="百分比 2 3 3" xfId="1165"/>
    <cellStyle name="检查单元格 2 2 3 4 2 2" xfId="1166"/>
    <cellStyle name="强调文字颜色 3 2 3 2 4 3 2" xfId="1167"/>
    <cellStyle name="40% - 强调文字颜色 6 2 2 2 2 2 3 2" xfId="1168"/>
    <cellStyle name="计算 3 5 4" xfId="1169"/>
    <cellStyle name="计算 2 2 3 3 2" xfId="1170"/>
    <cellStyle name="超链接 2 3 4 2 3 2" xfId="1171"/>
    <cellStyle name="适中 2 3 2 3 3" xfId="1172"/>
    <cellStyle name="60% - 强调文字颜色 4 2 4 3 2" xfId="1173"/>
    <cellStyle name="差 2 2 4 2 2 2" xfId="1174"/>
    <cellStyle name="汇总 4 2 2 4 2" xfId="1175"/>
    <cellStyle name="汇总 2 2 4 2 2 3 5 2" xfId="1176"/>
    <cellStyle name="强调文字颜色 3 2 2 2 3 3" xfId="1177"/>
    <cellStyle name="强调文字颜色 3 2 5 3 2" xfId="1178"/>
    <cellStyle name="标题 4 2 2 2 2 3 2" xfId="1179"/>
    <cellStyle name="注释 2 2 3 2 2 2 2 3" xfId="1180"/>
    <cellStyle name="强调文字颜色 6 3 2 4" xfId="1181"/>
    <cellStyle name="强调文字颜色 6 2 2 2 3 2 3" xfId="1182"/>
    <cellStyle name="强调文字颜色 3 2 2 4 5 2 2" xfId="1183"/>
    <cellStyle name="强调文字颜色 3 2 2" xfId="1184"/>
    <cellStyle name="计算 2 2 8 5 3 2 2" xfId="1185"/>
    <cellStyle name="输入 2 5 3 6" xfId="1186"/>
    <cellStyle name="常规 3 3 3 5 2" xfId="1187"/>
    <cellStyle name="注释 2 2 4 2 3 3 2" xfId="1188"/>
    <cellStyle name="输出 2 2 3 5 3 2 2" xfId="1189"/>
    <cellStyle name="计算 2 2 15 2" xfId="1190"/>
    <cellStyle name="标题 3 2 6 3 3" xfId="1191"/>
    <cellStyle name="40% - 强调文字颜色 1 2 2 2 6 2" xfId="1192"/>
    <cellStyle name="汇总 2 8 2" xfId="1193"/>
    <cellStyle name="20% - 强调文字颜色 2 4 2 3 2 2 2" xfId="1194"/>
    <cellStyle name="汇总 2 6 3 9" xfId="1195"/>
    <cellStyle name="输出 3 2 2 2" xfId="1196"/>
    <cellStyle name="汇总 2 2 5 3 6 2" xfId="1197"/>
    <cellStyle name="注释 2 2 2 4 3 3" xfId="1198"/>
    <cellStyle name="汇总 2 2 7 5 4" xfId="1199"/>
    <cellStyle name="40% - 强调文字颜色 4 2 2 2 2 3 3" xfId="1200"/>
    <cellStyle name="常规 3 3 4 3 2 2" xfId="1201"/>
    <cellStyle name="强调文字颜色 1 2 2 3 4 4" xfId="1202"/>
    <cellStyle name="计算 2 5 2 3 7 2" xfId="1203"/>
    <cellStyle name="计算 2 2 4 4 3 2 2 2" xfId="1204"/>
    <cellStyle name="汇总 2 6 2 3 3 3" xfId="1205"/>
    <cellStyle name="强调文字颜色 2 3 7" xfId="1206"/>
    <cellStyle name="常规 2 2 5 2 2" xfId="1207"/>
    <cellStyle name="输出 2 3 7 2 2" xfId="1208"/>
    <cellStyle name="标题 2 3 2 2 2 3" xfId="1209"/>
    <cellStyle name="注释 2 5 3 2 3" xfId="1210"/>
    <cellStyle name="常规 5 4 2 3 3 2 2" xfId="1211"/>
    <cellStyle name="常规 4 3 2 4" xfId="1212"/>
    <cellStyle name="输入 2 4 2 3 2" xfId="1213"/>
    <cellStyle name="汇总 2 2 2 5" xfId="1214"/>
    <cellStyle name="常规 6 2 2 5 2 2 2" xfId="1215"/>
    <cellStyle name="计算 2 2 3 2 2 6 2 2" xfId="1216"/>
    <cellStyle name="计算 2 5 5 9" xfId="1217"/>
    <cellStyle name="警告文本 2 2 2 2 3 2 2" xfId="1218"/>
    <cellStyle name="解释性文本 2 5 2 2" xfId="1219"/>
    <cellStyle name="汇总 2 7 2 3 4" xfId="1220"/>
    <cellStyle name="常规 13 3 2 5 2" xfId="1221"/>
    <cellStyle name="汇总 2 4 3 3 3 2" xfId="1222"/>
    <cellStyle name="注释 2 4 4 3" xfId="1223"/>
    <cellStyle name="链接单元格 2 2 4 3 3 2" xfId="1224"/>
    <cellStyle name="计算 2 2 4 2 2 2 5" xfId="1225"/>
    <cellStyle name="输出 5 5 2 2" xfId="1226"/>
    <cellStyle name="百分比 2 2 4 2 2 3" xfId="1227"/>
    <cellStyle name="解释性文本 5" xfId="1228"/>
    <cellStyle name="常规 5 6 5 2 2" xfId="1229"/>
    <cellStyle name="输入 2 2 8 2 3 3" xfId="1230"/>
    <cellStyle name="汇总 2 7 2 3 2 2" xfId="1231"/>
    <cellStyle name="40% - 强调文字颜色 6 2 2 2 5 2 2" xfId="1232"/>
    <cellStyle name="常规 10 2 6 3" xfId="1233"/>
    <cellStyle name="20% - 强调文字颜色 6 2 4 4 3" xfId="1234"/>
    <cellStyle name="输入 2 3 2 9" xfId="1235"/>
    <cellStyle name="常规 10 2 3 2 4" xfId="1236"/>
    <cellStyle name="标题 4 2 8 3" xfId="1237"/>
    <cellStyle name="强调文字颜色 2 2 2 3 6" xfId="1238"/>
    <cellStyle name="注释 2 9 3 2 2" xfId="1239"/>
    <cellStyle name="注释 2 7 9" xfId="1240"/>
    <cellStyle name="常规 8 3 2 3" xfId="1241"/>
    <cellStyle name="计算 3 5" xfId="1242"/>
    <cellStyle name="强调文字颜色 6 2 6 3 3" xfId="1243"/>
    <cellStyle name="60% - 强调文字颜色 5 4 2 3 2 2 2" xfId="1244"/>
    <cellStyle name="汇总 2 5 3 7 2" xfId="1245"/>
    <cellStyle name="计算 2 2 4 2 2 2 4 3" xfId="1246"/>
    <cellStyle name="检查单元格 2 6" xfId="1247"/>
    <cellStyle name="强调文字颜色 4 2 2 2 4 2 2 2" xfId="1248"/>
    <cellStyle name="注释 2 4 4 2 3" xfId="1249"/>
    <cellStyle name="标题 2 2 2 3 2 2 3" xfId="1250"/>
    <cellStyle name="汇总 2 7 2 2 5 3" xfId="1251"/>
    <cellStyle name="汇总 2 12 2 2" xfId="1252"/>
    <cellStyle name="60% - 强调文字颜色 1 2 2 2 5 2" xfId="1253"/>
    <cellStyle name="计算 2 4 6 3" xfId="1254"/>
    <cellStyle name="汇总 2 3 2 10" xfId="1255"/>
    <cellStyle name="汇总 3 2 7 2 2" xfId="1256"/>
    <cellStyle name="常规 5 3 2 2 3 3" xfId="1257"/>
    <cellStyle name="汇总 2 4 2 2 6" xfId="1258"/>
    <cellStyle name="超链接 3 3 2 2 4" xfId="1259"/>
    <cellStyle name="输入 2 7 3 2 4" xfId="1260"/>
    <cellStyle name="常规 5 5" xfId="1261"/>
    <cellStyle name="差 2 2 2 2 4 4" xfId="1262"/>
    <cellStyle name="计算 2 5 2 3 2 2 2" xfId="1263"/>
    <cellStyle name="输入 5 2 3" xfId="1264"/>
    <cellStyle name="60% - 强调文字颜色 2 2 5" xfId="1265"/>
    <cellStyle name="计算 2 2 4 2 8" xfId="1266"/>
    <cellStyle name="计算 2 13" xfId="1267"/>
    <cellStyle name="计算 2 2 2 2 2 2 4 2" xfId="1268"/>
    <cellStyle name="计算 2 4 4 2 4 2" xfId="1269"/>
    <cellStyle name="汇总 2 5 4 3 2" xfId="1270"/>
    <cellStyle name="计算 2 2 4 2 2 4 2" xfId="1271"/>
    <cellStyle name="计算 2 5 4 2 3" xfId="1272"/>
    <cellStyle name="标题 4 2 2 4 5" xfId="1273"/>
    <cellStyle name="60% - 强调文字颜色 6 2 3 2 2" xfId="1274"/>
    <cellStyle name="40% - 强调文字颜色 5 2 3 7" xfId="1275"/>
    <cellStyle name="好 2 3 3 7" xfId="1276"/>
    <cellStyle name="好 3 2 4 2 2 2" xfId="1277"/>
    <cellStyle name="输出 2 5 2 2 5 3" xfId="1278"/>
    <cellStyle name="汇总 2 2 4 2 2 8 2" xfId="1279"/>
    <cellStyle name="40% - 强调文字颜色 3 4 2" xfId="1280"/>
    <cellStyle name="输出 2 2 6 2 7" xfId="1281"/>
    <cellStyle name="注释 5 5" xfId="1282"/>
    <cellStyle name="警告文本 2 3 2 6" xfId="1283"/>
    <cellStyle name="常规 6 3 4 3" xfId="1284"/>
    <cellStyle name="40% - 强调文字颜色 4 2 2 2 3 2 2" xfId="1285"/>
    <cellStyle name="标题 1 6 2" xfId="1286"/>
    <cellStyle name="20% - 强调文字颜色 5 2 2 3 5 2" xfId="1287"/>
    <cellStyle name="汇总 2 2 4 2 4" xfId="1288"/>
    <cellStyle name="常规 12 4 5" xfId="1289"/>
    <cellStyle name="常规 6 4 2 2 2" xfId="1290"/>
    <cellStyle name="40% - 强调文字颜色 6 2 3 2 2 3 3 2 2" xfId="1291"/>
    <cellStyle name="常规 4 2 2 2 2 2 2" xfId="1292"/>
    <cellStyle name="强调文字颜色 3 2 7 3" xfId="1293"/>
    <cellStyle name="注释 2 11 2" xfId="1294"/>
    <cellStyle name="输出 2 5 2 2 2 6" xfId="1295"/>
    <cellStyle name="常规 4 4 2 2 2 2" xfId="1296"/>
    <cellStyle name="标题 4 2 2 2 4 3" xfId="1297"/>
    <cellStyle name="汇总 2 5 2 5 5" xfId="1298"/>
    <cellStyle name="汇总 2 4 2 2 3 4 2" xfId="1299"/>
    <cellStyle name="汇总 2 2 18 2" xfId="1300"/>
    <cellStyle name="注释 2 2 8 3" xfId="1301"/>
    <cellStyle name="常规 5 2 4 2" xfId="1302"/>
    <cellStyle name="输出 2 2 3 2 2 2 3" xfId="1303"/>
    <cellStyle name="强调文字颜色 4 2 6" xfId="1304"/>
    <cellStyle name="汇总 2 6 2 5 2 2" xfId="1305"/>
    <cellStyle name="标题 4 2 3 2 3" xfId="1306"/>
    <cellStyle name="20% - 强调文字颜色 2 2 3 2 2 2 3" xfId="1307"/>
    <cellStyle name="20% - 强调文字颜色 4 4 2 4 2" xfId="1308"/>
    <cellStyle name="20% - 强调文字颜色 1 2 2 2 2 4 3" xfId="1309"/>
    <cellStyle name="标题 1 5 2 2 2 2" xfId="1310"/>
    <cellStyle name="20% - 强调文字颜色 5 3 6 2" xfId="1311"/>
    <cellStyle name="输出 2 2 4 2 3 3" xfId="1312"/>
    <cellStyle name="汇总 2 7 8 2" xfId="1313"/>
    <cellStyle name="计算 3 3 2 4" xfId="1314"/>
    <cellStyle name="注释 2 4 8" xfId="1315"/>
    <cellStyle name="60% - 强调文字颜色 1 4 4 2" xfId="1316"/>
    <cellStyle name="检查单元格 2 3 4 3 3" xfId="1317"/>
    <cellStyle name="无色 3 3" xfId="1318"/>
    <cellStyle name="计算 2 2 10 3" xfId="1319"/>
    <cellStyle name="输出 2 2 3 2 4 2" xfId="1320"/>
    <cellStyle name="汇总 2 10 2" xfId="1321"/>
    <cellStyle name="汇总 2 3 2 3 7" xfId="1322"/>
    <cellStyle name="常规 13 3 2 6" xfId="1323"/>
    <cellStyle name="解释性文本 2 5 2 3" xfId="1324"/>
    <cellStyle name="60% - 强调文字颜色 5 2 2 2 2 3 2" xfId="1325"/>
    <cellStyle name="警告文本 2 2 2 2 3 2 3" xfId="1326"/>
    <cellStyle name="警告文本 2 2 5 3 2 2" xfId="1327"/>
    <cellStyle name="汇总 2 2 3 2 3 2 3" xfId="1328"/>
    <cellStyle name="汇总 2 2 6 3 2 2" xfId="1329"/>
    <cellStyle name="输入 2 2 4 2 9" xfId="1330"/>
    <cellStyle name="计算 2 2 4 3 3 2 3" xfId="1331"/>
    <cellStyle name="计算 2 4 2 3 8" xfId="1332"/>
    <cellStyle name="计算 2 2 5 2 4 4" xfId="1333"/>
    <cellStyle name="适中 2 3 4 3 2 2" xfId="1334"/>
    <cellStyle name="汇总 2 2 11 3 2 2" xfId="1335"/>
    <cellStyle name="60% - 强调文字颜色 6 2 3 4 3" xfId="1336"/>
    <cellStyle name="20% - 强调文字颜色 1 2 5 2 2 2" xfId="1337"/>
    <cellStyle name="超链接 3 9" xfId="1338"/>
    <cellStyle name="输出 2 2 7 5 3" xfId="1339"/>
    <cellStyle name="计算 2 4 3 4 3" xfId="1340"/>
    <cellStyle name="计算 2 4 2 8" xfId="1341"/>
    <cellStyle name="输出 2 2 6 9" xfId="1342"/>
    <cellStyle name="40% - 强调文字颜色 3 4 4 2 2 2" xfId="1343"/>
    <cellStyle name="输入 2 2 5 3 4" xfId="1344"/>
    <cellStyle name="60% - 强调文字颜色 1 2 2 2 2 3 3" xfId="1345"/>
    <cellStyle name="汇总 2 5 16" xfId="1346"/>
    <cellStyle name="汇总 3 2 2 2 5" xfId="1347"/>
    <cellStyle name="链接单元格 2 2 7 2" xfId="1348"/>
    <cellStyle name="输入 4 4" xfId="1349"/>
    <cellStyle name="注释 2 2 4 3 3 2 2" xfId="1350"/>
    <cellStyle name="40% - 强调文字颜色 3 2 4 2 2 2 2" xfId="1351"/>
    <cellStyle name="60% - 强调文字颜色 3 2 2 2 4" xfId="1352"/>
    <cellStyle name="输入 2 2 3 4 3" xfId="1353"/>
    <cellStyle name="计算 2 2 3 7" xfId="1354"/>
    <cellStyle name="输出 2 2 5 6 2" xfId="1355"/>
    <cellStyle name="输出 2 7 3 3 2" xfId="1356"/>
    <cellStyle name="解释性文本 2 4 6 3" xfId="1357"/>
    <cellStyle name="20% - 强调文字颜色 4 2 2 7" xfId="1358"/>
    <cellStyle name="计算 2 5 4 6 3" xfId="1359"/>
    <cellStyle name="20% - 强调文字颜色 3 2 2 5 3" xfId="1360"/>
    <cellStyle name="输出 2 4 3 4 3" xfId="1361"/>
    <cellStyle name="解释性文本 2 9 3" xfId="1362"/>
    <cellStyle name="40% - 强调文字颜色 2 2 2 2 2 2 3 3 2 2" xfId="1363"/>
    <cellStyle name="40% - 强调文字颜色 4 3 2 2 3" xfId="1364"/>
    <cellStyle name="说明文本 4 2 2" xfId="1365"/>
    <cellStyle name="60% - 强调文字颜色 2 2 8" xfId="1366"/>
    <cellStyle name="计算 2 16" xfId="1367"/>
    <cellStyle name="计算 2 21" xfId="1368"/>
    <cellStyle name="计算 2 2 7 2 4 2" xfId="1369"/>
    <cellStyle name="汇总 2 7" xfId="1370"/>
    <cellStyle name="输出 2 5 3 5" xfId="1371"/>
    <cellStyle name="解释性文本 2 4 4 3" xfId="1372"/>
    <cellStyle name="标题 6 4 3" xfId="1373"/>
    <cellStyle name="计算 2 6 2 2 4 2 2" xfId="1374"/>
    <cellStyle name="检查单元格 2 2 5 2 2 2" xfId="1375"/>
    <cellStyle name="输入 2 2 3 2 3" xfId="1376"/>
    <cellStyle name="输出 2 2 5 4 2" xfId="1377"/>
    <cellStyle name="超链接 2 4 5" xfId="1378"/>
    <cellStyle name="标题 5 4 2 2 3" xfId="1379"/>
    <cellStyle name="汇总 2 7 4 4 2 2" xfId="1380"/>
    <cellStyle name="40% - 强调文字颜色 2 2 5 5 2" xfId="1381"/>
    <cellStyle name="输出 2 5 3 8" xfId="1382"/>
    <cellStyle name="差 2 5 2 2 2" xfId="1383"/>
    <cellStyle name="常规 11 2 5 2" xfId="1384"/>
    <cellStyle name="输入 2 2 3 2 6" xfId="1385"/>
    <cellStyle name="输出 2 2 5 4 5" xfId="1386"/>
    <cellStyle name="20% - 强调文字颜色 5 2 2 2 3 2 2" xfId="1387"/>
    <cellStyle name="汇总 2 6 4 2 3 2 2" xfId="1388"/>
    <cellStyle name="40% - 强调文字颜色 1 2 3 6 2 2" xfId="1389"/>
    <cellStyle name="计算 2 15 3" xfId="1390"/>
    <cellStyle name="警告文本 2 2 4 4" xfId="1391"/>
    <cellStyle name="汇总 2 2 5 4" xfId="1392"/>
    <cellStyle name="常规 10 2 2 2 5 2 2" xfId="1393"/>
    <cellStyle name="输入 2 2 5 3 8" xfId="1394"/>
    <cellStyle name="常规 9 3 3 5" xfId="1395"/>
    <cellStyle name="20% - 强调文字颜色 5 2 4 2 2" xfId="1396"/>
    <cellStyle name="输出 2 4 3 2 4" xfId="1397"/>
    <cellStyle name="汇总 2 6 6 2 2" xfId="1398"/>
    <cellStyle name="输入 2 2 4 3 2 4 3" xfId="1399"/>
    <cellStyle name="解释性文本 2 7 4" xfId="1400"/>
    <cellStyle name="强调文字颜色 5 6" xfId="1401"/>
    <cellStyle name="计算 3 7 2" xfId="1402"/>
    <cellStyle name="强调文字颜色 4 2 2 4 4 3" xfId="1403"/>
    <cellStyle name="输入 2 2 4 2 2 3 3 2" xfId="1404"/>
    <cellStyle name="20% - 强调文字颜色 1 2 7 3 2" xfId="1405"/>
    <cellStyle name="输入 2 2 5 2 9" xfId="1406"/>
    <cellStyle name="差 2 2 2 2 2" xfId="1407"/>
    <cellStyle name="强调文字颜色 3 2 2 4 4 2 2" xfId="1408"/>
    <cellStyle name="计算 2 5 2 2 5 3" xfId="1409"/>
    <cellStyle name="20% - 强调文字颜色 5 2 3 2 2 3 3 2" xfId="1410"/>
    <cellStyle name="汇总 2 2 2 5 3 3" xfId="1411"/>
    <cellStyle name="输入 5 6" xfId="1412"/>
    <cellStyle name="适中 2 2 3 3 2 2 2" xfId="1413"/>
    <cellStyle name="Normal 3 3 2 2" xfId="1414"/>
    <cellStyle name="注释 2 6 10" xfId="1415"/>
    <cellStyle name="常规 9 3 4 3" xfId="1416"/>
    <cellStyle name="输出 2 4 3 3 2" xfId="1417"/>
    <cellStyle name="警告文本 2 2 2 2 6 2" xfId="1418"/>
    <cellStyle name="汇总 2 5 2 2 10" xfId="1419"/>
    <cellStyle name="强调文字颜色 4 2 2 3 5" xfId="1420"/>
    <cellStyle name="标题 1 2 7" xfId="1421"/>
    <cellStyle name="强调文字颜色 3 2 3 8" xfId="1422"/>
    <cellStyle name="强调文字颜色 1 2 2 2 2 5 2" xfId="1423"/>
    <cellStyle name="计算 2 2 4 2 3 5" xfId="1424"/>
    <cellStyle name="60% - 强调文字颜色 2 2 2 2 3 2 2 2" xfId="1425"/>
    <cellStyle name="汇总 2 5 5 4" xfId="1426"/>
    <cellStyle name="强调文字颜色 3 2 2 2 6 2" xfId="1427"/>
    <cellStyle name="常规 5 5 2 4 2" xfId="1428"/>
    <cellStyle name="常规 5 2 2 3 2 2 2" xfId="1429"/>
    <cellStyle name="强调文字颜色 5 2 2 3 2 3" xfId="1430"/>
    <cellStyle name="20% - 强调文字颜色 1 2 3 5 2" xfId="1431"/>
    <cellStyle name="适中 2 3 2 6 2" xfId="1432"/>
    <cellStyle name="链接单元格 2 3 4 2 3" xfId="1433"/>
    <cellStyle name="适中 2 2 3 5 2" xfId="1434"/>
    <cellStyle name="常规 3 2 2 2 2 2" xfId="1435"/>
    <cellStyle name="常规 5 2 5 2 3" xfId="1436"/>
    <cellStyle name="好 2 2 6 2 2 2" xfId="1437"/>
    <cellStyle name="输入 2 2 4 2 3 4" xfId="1438"/>
    <cellStyle name="60% - 强调文字颜色 1 2 3 2 2 2 2 2" xfId="1439"/>
    <cellStyle name="输出 2 3 12" xfId="1440"/>
    <cellStyle name="输入 2 2 2 3 2 2 2" xfId="1441"/>
    <cellStyle name="40% - 强调文字颜色 4 3 3 2 2 2" xfId="1442"/>
    <cellStyle name="输入 2 4 2 2 3 2" xfId="1443"/>
    <cellStyle name="解释性文本 2 3 5 2 2 2" xfId="1444"/>
    <cellStyle name="汇总 3 2 5 3" xfId="1445"/>
    <cellStyle name="输出 2 4 4 4 2 2" xfId="1446"/>
    <cellStyle name="常规 2 3 2 4 2 2" xfId="1447"/>
    <cellStyle name="注释 2 2 3 2 2 2 2 2" xfId="1448"/>
    <cellStyle name="强调文字颜色 5 2 3 2 3 3 3" xfId="1449"/>
    <cellStyle name="强调文字颜色 4 2 2 2 3 2 2" xfId="1450"/>
    <cellStyle name="强调文字颜色 3 2 2 6 2 2" xfId="1451"/>
    <cellStyle name="汇总 2 4 3 7" xfId="1452"/>
    <cellStyle name="20% - 强调文字颜色 6 2 2 2 7 2" xfId="1453"/>
    <cellStyle name="常规 6 2 5 2" xfId="1454"/>
    <cellStyle name="输出 2 2 3 3 2 3 3" xfId="1455"/>
    <cellStyle name="计算 2 9 5 2 2" xfId="1456"/>
    <cellStyle name="好 3 2 3 3" xfId="1457"/>
    <cellStyle name="解释性文本 2 2 2 6" xfId="1458"/>
    <cellStyle name="警告文本 2 5 4" xfId="1459"/>
    <cellStyle name="计算 3 7 2 2" xfId="1460"/>
    <cellStyle name="汇总 2 5 2 2 2 7" xfId="1461"/>
    <cellStyle name="链接单元格 2 3 6" xfId="1462"/>
    <cellStyle name="计算 2 2 6 2 2 8" xfId="1463"/>
    <cellStyle name="强调文字颜色 5 6 2" xfId="1464"/>
    <cellStyle name="好 3 2 3 2 3" xfId="1465"/>
    <cellStyle name="计算 2 2 5 3 2" xfId="1466"/>
    <cellStyle name="输出 2 2 7 11" xfId="1467"/>
    <cellStyle name="汇总 2 7 5 3 3" xfId="1468"/>
    <cellStyle name="输出 2 5 2 3 5" xfId="1469"/>
    <cellStyle name="注释 2 3 2 7 2" xfId="1470"/>
    <cellStyle name="计算 2 5 5 2" xfId="1471"/>
    <cellStyle name="强调文字颜色 3 2 4 4" xfId="1472"/>
    <cellStyle name="汇总 2 2 4 6 4 2" xfId="1473"/>
    <cellStyle name="输出 2 3 2 2 2 3 3" xfId="1474"/>
    <cellStyle name="汇总 2 2 7 6 3" xfId="1475"/>
    <cellStyle name="汇总 2 2 2 2 2 2 2 4 2" xfId="1476"/>
    <cellStyle name="40% - 强调文字颜色 5 2 2 2 2 3 2" xfId="1477"/>
    <cellStyle name="百分比 2 2 3 2 2 2" xfId="1478"/>
    <cellStyle name="40% - 强调文字颜色 3 2 3 6 2 2" xfId="1479"/>
    <cellStyle name="标题 2 2 2 2 3 7" xfId="1480"/>
    <cellStyle name="20% - 强调文字颜色 3 2 2 2 2 2 4 3" xfId="1481"/>
    <cellStyle name="强调文字颜色 5 2 6 3" xfId="1482"/>
    <cellStyle name="汇总 2 2 8 4 7" xfId="1483"/>
    <cellStyle name="计算 2 3 4 2 2 2 2" xfId="1484"/>
    <cellStyle name="差 2 2 2 4 3 2" xfId="1485"/>
    <cellStyle name="汇总 2 7 15" xfId="1486"/>
    <cellStyle name="强调文字颜色 5 2 2 4 3 3 2" xfId="1487"/>
    <cellStyle name="输入 2 2 2 2 2 4" xfId="1488"/>
    <cellStyle name="汇总 2 9 6 3" xfId="1489"/>
    <cellStyle name="输入 3 2 3 2 2 2" xfId="1490"/>
    <cellStyle name="强调文字颜色 1 2 2 2 4 2" xfId="1491"/>
    <cellStyle name="60% - 强调文字颜色 2 2 9" xfId="1492"/>
    <cellStyle name="计算 2 17" xfId="1493"/>
    <cellStyle name="输出 2 6 2 4" xfId="1494"/>
    <cellStyle name="输入 2 2 4 3 2 2 2 2" xfId="1495"/>
    <cellStyle name="解释性文本 2 5 3 2" xfId="1496"/>
    <cellStyle name="警告文本 2 2 2 2 3 3 2" xfId="1497"/>
    <cellStyle name="汇总 2 4 4 5 2" xfId="1498"/>
    <cellStyle name="输入 2 7 2" xfId="1499"/>
    <cellStyle name="计算 2 2 11 7" xfId="1500"/>
    <cellStyle name="汇总 3 3 7 2" xfId="1501"/>
    <cellStyle name="注释 2 2 4 4 2 3 2" xfId="1502"/>
    <cellStyle name="常规 10 4 3 5" xfId="1503"/>
    <cellStyle name="输入 2 2 10" xfId="1504"/>
    <cellStyle name="强调文字颜色 5 2 3 6" xfId="1505"/>
    <cellStyle name="注释 2 4 9 2" xfId="1506"/>
    <cellStyle name="40% - 强调文字颜色 1 3 2 2 2 2 2 2" xfId="1507"/>
    <cellStyle name="计算 3 3 2 5 2" xfId="1508"/>
    <cellStyle name="常规 9 2 2 2 2 2 2 2" xfId="1509"/>
    <cellStyle name="汇总 2 2 7 3 4 3" xfId="1510"/>
    <cellStyle name="60% - 强调文字颜色 4 2 2 2 3 3" xfId="1511"/>
    <cellStyle name="输入 2 2 2 4 2 2 3" xfId="1512"/>
    <cellStyle name="强调文字颜色 1 2 3 2 4 2 2" xfId="1513"/>
    <cellStyle name="40% - 强调文字颜色 3 5 2" xfId="1514"/>
    <cellStyle name="检查单元格 2 4 6" xfId="1515"/>
    <cellStyle name="输入 2 2 7 2 2 2" xfId="1516"/>
    <cellStyle name="汇总 2 3 4 6" xfId="1517"/>
    <cellStyle name="输入 2 4 3 5 3" xfId="1518"/>
    <cellStyle name="链接单元格 2 4" xfId="1519"/>
    <cellStyle name="注释 2 2 3 2 3 5 2" xfId="1520"/>
    <cellStyle name="警告文本 2 3 3 6" xfId="1521"/>
    <cellStyle name="强调文字颜色 1 2 2 2 3 2 2 2" xfId="1522"/>
    <cellStyle name="输入 2 2 2 4 5 2" xfId="1523"/>
    <cellStyle name="计算 2 5 4 3 3" xfId="1524"/>
    <cellStyle name="汇总 2 11 7" xfId="1525"/>
    <cellStyle name="计算 2 2 2 3 2 3 3" xfId="1526"/>
    <cellStyle name="40% - 强调文字颜色 4 2 4 3 2" xfId="1527"/>
    <cellStyle name="常规 2 2 3 5 2" xfId="1528"/>
    <cellStyle name="解释性文本 2 2 6 3 2" xfId="1529"/>
    <cellStyle name="计算 3 2 2 7" xfId="1530"/>
    <cellStyle name="输入 2 3 3 3 3" xfId="1531"/>
    <cellStyle name="标题 3 3 2 3 2 2" xfId="1532"/>
    <cellStyle name="计算 2 2 7 4 3 2 2" xfId="1533"/>
    <cellStyle name="注释 2 4 4 2 4" xfId="1534"/>
    <cellStyle name="输出 2 2 3 6 2 2" xfId="1535"/>
    <cellStyle name="检查单元格 2 7" xfId="1536"/>
    <cellStyle name="输入 2 5 2 4 2 3" xfId="1537"/>
    <cellStyle name="计算 3 5 3 3" xfId="1538"/>
    <cellStyle name="好 2 3 6 2" xfId="1539"/>
    <cellStyle name="40% - 强调文字颜色 5 2 6 2" xfId="1540"/>
    <cellStyle name="汇总 2 2 2 4 2 6" xfId="1541"/>
    <cellStyle name="强调文字颜色 3 2 2 4 3 3 2" xfId="1542"/>
    <cellStyle name="注释 2 8 2 2" xfId="1543"/>
    <cellStyle name="汇总 2 2 4 8 2" xfId="1544"/>
    <cellStyle name="差 2 2 2 3 2 2 2 3" xfId="1545"/>
    <cellStyle name="常规 6 3 4 3 2 2" xfId="1546"/>
    <cellStyle name="40% - 强调文字颜色 4 2 2 2 3 2 2 2 2" xfId="1547"/>
    <cellStyle name="标题 1 2 6 4" xfId="1548"/>
    <cellStyle name="强调文字颜色 4 2 2 3 4 4" xfId="1549"/>
    <cellStyle name="输入 2 2 4 2 2 2 3 3" xfId="1550"/>
    <cellStyle name="输入 2 4 2 10" xfId="1551"/>
    <cellStyle name="强调文字颜色 6 2 3 4 3 2" xfId="1552"/>
    <cellStyle name="计算 2 6 3 2 4 2 2" xfId="1553"/>
    <cellStyle name="强调文字颜色 5 2 2 4 3 4" xfId="1554"/>
    <cellStyle name="注释 3 3 7 2" xfId="1555"/>
    <cellStyle name="检查单元格 2 3 5 2 2 2" xfId="1556"/>
    <cellStyle name="检查单元格 2 2 2 4 3 3" xfId="1557"/>
    <cellStyle name="输入 3 2 3 2 3" xfId="1558"/>
    <cellStyle name="60% - 强调文字颜色 3 4 3 2" xfId="1559"/>
    <cellStyle name="计算 2 2 5 4 6 2" xfId="1560"/>
    <cellStyle name="汇总 2 2 3 2 2" xfId="1561"/>
    <cellStyle name="解释性文本 2 4" xfId="1562"/>
    <cellStyle name="链接单元格 3 2 2 3" xfId="1563"/>
    <cellStyle name="标题 6 2 4 2" xfId="1564"/>
    <cellStyle name="输入 2 2 6 7 2 2" xfId="1565"/>
    <cellStyle name="解释性文本 3 7 2 2" xfId="1566"/>
    <cellStyle name="20% - 强调文字颜色 6 2 2 2 2 3 3" xfId="1567"/>
    <cellStyle name="常规 7 2 2 4 2" xfId="1568"/>
    <cellStyle name="计算 2 5 8 2" xfId="1569"/>
    <cellStyle name="注释 4 2 2 3" xfId="1570"/>
    <cellStyle name="超链接 2 3 3 5" xfId="1571"/>
    <cellStyle name="注释 2 4 5 2 2 2 2" xfId="1572"/>
    <cellStyle name="计算 2 5 2 3 3 2" xfId="1573"/>
    <cellStyle name="输出 2 5 2 2 3 2 2" xfId="1574"/>
    <cellStyle name="强调文字颜色 3 2 7 2" xfId="1575"/>
    <cellStyle name="输出 2 5 2 2 2 5" xfId="1576"/>
    <cellStyle name="汇总 2 2 4 2 3" xfId="1577"/>
    <cellStyle name="强调文字颜色 6 2 2 2 2 2 4" xfId="1578"/>
    <cellStyle name="解释性文本 2 2 6 3" xfId="1579"/>
    <cellStyle name="常规 2 2 3 5" xfId="1580"/>
    <cellStyle name="40% - 强调文字颜色 4 2 4 3" xfId="1581"/>
    <cellStyle name="汇总 2 2 2 4 8" xfId="1582"/>
    <cellStyle name="输出 2 2 2 4 3 2" xfId="1583"/>
    <cellStyle name="计算 2 8 8 2" xfId="1584"/>
    <cellStyle name="检查单元格 2 2 6 2 3" xfId="1585"/>
    <cellStyle name="输出 2 8 3 2" xfId="1586"/>
    <cellStyle name="汇总 2 6 2 7 3" xfId="1587"/>
    <cellStyle name="输出 2 2 4 5 2 2" xfId="1588"/>
    <cellStyle name="输入 2 2 2 3 3 2" xfId="1589"/>
    <cellStyle name="注释 2 5 3 2 4" xfId="1590"/>
    <cellStyle name="输出 2 7 2 2 2 2" xfId="1591"/>
    <cellStyle name="汇总 2 2 2 6" xfId="1592"/>
    <cellStyle name="输入 2 4 2 3 3" xfId="1593"/>
    <cellStyle name="常规 2 3 2 5 2" xfId="1594"/>
    <cellStyle name="输出 2 4 4 5 2" xfId="1595"/>
    <cellStyle name="计算 2 2 7 3 2 2 2 2" xfId="1596"/>
    <cellStyle name="标题 2 2 5 3 3" xfId="1597"/>
    <cellStyle name="40% - 强调文字颜色 5 2 3 3 2 2 2 2 2" xfId="1598"/>
    <cellStyle name="输出 2 2 3 8 2 2" xfId="1599"/>
    <cellStyle name="输出 2 2 7 2 2 2 2" xfId="1600"/>
    <cellStyle name="强调文字颜色 4 2 2 2 3 2" xfId="1601"/>
    <cellStyle name="常规 10 5 2 4" xfId="1602"/>
    <cellStyle name="汇总 2 5 4 7 2" xfId="1603"/>
    <cellStyle name="汇总 2 5 4 2 4 3" xfId="1604"/>
    <cellStyle name="注释 2 4 5 2 3" xfId="1605"/>
    <cellStyle name="强调文字颜色 4 2 2 2 4 3 2 2" xfId="1606"/>
    <cellStyle name="输出 2 7 2 3 3" xfId="1607"/>
    <cellStyle name="计算 2 2 7 3 2 3 3" xfId="1608"/>
    <cellStyle name="汇总 2 2 4 2 2 8" xfId="1609"/>
    <cellStyle name="40% - 强调文字颜色 3 4" xfId="1610"/>
    <cellStyle name="20% - 强调文字颜色 4 2 5 4 2" xfId="1611"/>
    <cellStyle name="输出 2 2 4 6 3" xfId="1612"/>
    <cellStyle name="汇总 2 2 7 2 3 2 2" xfId="1613"/>
    <cellStyle name="20% - 强调文字颜色 3 2 2 2 2 2 2 2" xfId="1614"/>
    <cellStyle name="强调文字颜色 5 2 4 2" xfId="1615"/>
    <cellStyle name="汇总 2 3 3 8" xfId="1616"/>
    <cellStyle name="注释 3 7 2" xfId="1617"/>
    <cellStyle name="强调文字颜色 3 2 2 5 2 3" xfId="1618"/>
    <cellStyle name="常规 6 2 2 2 3 3" xfId="1619"/>
    <cellStyle name="输入 2 4 8 2 2" xfId="1620"/>
    <cellStyle name="60% - 强调文字颜色 4 2 2 2 3 2 2" xfId="1621"/>
    <cellStyle name="输入 2 2 6 3 7" xfId="1622"/>
    <cellStyle name="计算 2 3 4 2 4 2" xfId="1623"/>
    <cellStyle name="差 2 2 2 6 3" xfId="1624"/>
    <cellStyle name="40% - 强调文字颜色 5 2 2 2 4 3" xfId="1625"/>
    <cellStyle name="标题 2 2 3 5 2 2 2" xfId="1626"/>
    <cellStyle name="常规 4 5 2 3" xfId="1627"/>
    <cellStyle name="常规 4 2 3 2 3" xfId="1628"/>
    <cellStyle name="常规 7 4 3" xfId="1629"/>
    <cellStyle name="汇总 2 7 9 2" xfId="1630"/>
    <cellStyle name="常规 11 4 2 2" xfId="1631"/>
    <cellStyle name="输出 2 2 4 2 4 3" xfId="1632"/>
    <cellStyle name="60% - 强调文字颜色 5 3 5" xfId="1633"/>
    <cellStyle name="链接单元格 3 2 2 2 2" xfId="1634"/>
    <cellStyle name="计算 2 2 7 3 8" xfId="1635"/>
    <cellStyle name="解释性文本 2 3 2" xfId="1636"/>
    <cellStyle name="40% - 强调文字颜色 4 2 2 4 4 2" xfId="1637"/>
    <cellStyle name="输出 2 3 4 3" xfId="1638"/>
    <cellStyle name="常规 2 2 2 3" xfId="1639"/>
    <cellStyle name="40% - 强调文字颜色 3 2 3 2 2 3 3" xfId="1640"/>
    <cellStyle name="输入 2 5 3 3 4" xfId="1641"/>
    <cellStyle name="汇总 2 2 2 3 6" xfId="1642"/>
    <cellStyle name="60% - 强调文字颜色 3 2 2 2 4 3" xfId="1643"/>
    <cellStyle name="计算 2 2 3 7 3" xfId="1644"/>
    <cellStyle name="输入 2 2 3 4 3 3" xfId="1645"/>
    <cellStyle name="适中 2 2 2 8" xfId="1646"/>
    <cellStyle name="输出 2 6 2 4 2" xfId="1647"/>
    <cellStyle name="输入 2 2 4 3 2 2 2 2 2" xfId="1648"/>
    <cellStyle name="解释性文本 2 5 3 2 2" xfId="1649"/>
    <cellStyle name="输入 2 2 7 3 2 5" xfId="1650"/>
    <cellStyle name="汇总 2 2 3 2 3 3 2 2" xfId="1651"/>
    <cellStyle name="适中 3 2" xfId="1652"/>
    <cellStyle name="40% - 强调文字颜色 3 3 5 2 2 2" xfId="1653"/>
    <cellStyle name="注释 2 2 3 4 3 2 2" xfId="1654"/>
    <cellStyle name="40% - 强调文字颜色 3 2 3 3 2 2 2" xfId="1655"/>
    <cellStyle name="输出 3 3 3 2" xfId="1656"/>
    <cellStyle name="汇总 2 2 4 2 3 2 7" xfId="1657"/>
    <cellStyle name="汇总 2 3 2 2 5" xfId="1658"/>
    <cellStyle name="汇总 2 3 6 5" xfId="1659"/>
    <cellStyle name="输出 2 4 2 2 3" xfId="1660"/>
    <cellStyle name="常规 9 2 3 4" xfId="1661"/>
    <cellStyle name="输入 2 2 4 3 7" xfId="1662"/>
    <cellStyle name="常规 8 2 4 2 2" xfId="1663"/>
    <cellStyle name="输出 3 2 8" xfId="1664"/>
    <cellStyle name="汇总 2 6 10 3" xfId="1665"/>
    <cellStyle name="输出 3 2 2 4 2" xfId="1666"/>
    <cellStyle name="计算 2 5 2 3 2 4 2 2" xfId="1667"/>
    <cellStyle name="20% - 强调文字颜色 2 2 3 2 2 4 2" xfId="1668"/>
    <cellStyle name="检查单元格 3 3 3" xfId="1669"/>
    <cellStyle name="输出 2 8 7" xfId="1670"/>
    <cellStyle name="40% - 强调文字颜色 1 2 2 2 2 3 3" xfId="1671"/>
    <cellStyle name="汇总 2 4 3 3" xfId="1672"/>
    <cellStyle name="解释性文本 2 3 2 6 2" xfId="1673"/>
    <cellStyle name="计算 3 2 3 3 3" xfId="1674"/>
    <cellStyle name="汇总 2 2 6 4 2 4" xfId="1675"/>
    <cellStyle name="常规 4 2 3 3 2" xfId="1676"/>
    <cellStyle name="常规 7 5 2" xfId="1677"/>
    <cellStyle name="输出 2 6 2 5 2 2" xfId="1678"/>
    <cellStyle name="60% - 强调文字颜色 5 3 3 4" xfId="1679"/>
    <cellStyle name="60% - 强调文字颜色 6 2 3 2 2 2 2 2 2" xfId="1680"/>
    <cellStyle name="60% - 强调文字颜色 5 2 2 2 2 4 2 2 2" xfId="1681"/>
    <cellStyle name="标题 3 2 3 5 2 2" xfId="1682"/>
    <cellStyle name="汇总 2 7 4 2 7" xfId="1683"/>
    <cellStyle name="60% - 强调文字颜色 4 5 2 2 2" xfId="1684"/>
    <cellStyle name="汇总 3 2 2 4 3" xfId="1685"/>
    <cellStyle name="常规 12 2 2 2 3" xfId="1686"/>
    <cellStyle name="输出 2 2 2 2 2 5 2 2" xfId="1687"/>
    <cellStyle name="40% - 强调文字颜色 3 4 2 2 2 2 2" xfId="1688"/>
    <cellStyle name="注释 2 4 2 3 3 2 2" xfId="1689"/>
    <cellStyle name="强调文字颜色 2 2 5 3 3" xfId="1690"/>
    <cellStyle name="计算 2 2 3 4 3 2" xfId="1691"/>
    <cellStyle name="20% - 强调文字颜色 4 4 3" xfId="1692"/>
    <cellStyle name="40% - 强调文字颜色 6 2 2 2 2 2 4 3 2" xfId="1693"/>
    <cellStyle name="常规 3 3 7 3" xfId="1694"/>
    <cellStyle name="注释 2 2 4 3 7" xfId="1695"/>
    <cellStyle name="强调文字颜色 1 2 4" xfId="1696"/>
    <cellStyle name="汇总 2 2 3 2 4 2 2" xfId="1697"/>
    <cellStyle name="20% - 强调文字颜色 5 2 2 2 5 2 2 2" xfId="1698"/>
    <cellStyle name="输入 2 5 4 2 2 2 2" xfId="1699"/>
    <cellStyle name="解释性文本 2 6 2 2" xfId="1700"/>
    <cellStyle name="常规 13 2" xfId="1701"/>
    <cellStyle name="差 2 3 2 4 3 2" xfId="1702"/>
    <cellStyle name="好 4 3 2" xfId="1703"/>
    <cellStyle name="标题 3 2 3 2 5 2 2" xfId="1704"/>
    <cellStyle name="20% - 强调文字颜色 3 2 3 2 5 2 2 2" xfId="1705"/>
    <cellStyle name="注释 3 4 2 3" xfId="1706"/>
    <cellStyle name="常规 5 2 2 3 4 2" xfId="1707"/>
    <cellStyle name="汇总 3 9 2 2" xfId="1708"/>
    <cellStyle name="强调文字颜色 3 2 2 4 6" xfId="1709"/>
    <cellStyle name="适中 3 2 2" xfId="1710"/>
    <cellStyle name="适中 2 4 2 2 2 3" xfId="1711"/>
    <cellStyle name="汇总 2 3 2 2 5 2" xfId="1712"/>
    <cellStyle name="输入 2 6 3 2 3 2" xfId="1713"/>
    <cellStyle name="超链接 3 2 2 2 3 2" xfId="1714"/>
    <cellStyle name="输出 3 3 3 2 2" xfId="1715"/>
    <cellStyle name="20% - 强调文字颜色 1 2 5 5" xfId="1716"/>
    <cellStyle name="40% - 强调文字颜色 3 2 2 4 3 3 2" xfId="1717"/>
    <cellStyle name="汇总 2 2 11 6" xfId="1718"/>
    <cellStyle name="20% - 强调文字颜色 2 2 2 2 2 2 5 2 2" xfId="1719"/>
    <cellStyle name="常规 11 4 4" xfId="1720"/>
    <cellStyle name="警告文本 2 2 2 2 3" xfId="1721"/>
    <cellStyle name="强调文字颜色 1 2 3 7" xfId="1722"/>
    <cellStyle name="40% - 强调文字颜色 2 3 3 3 2 2" xfId="1723"/>
    <cellStyle name="输出 2 5 2 2 2 2 2" xfId="1724"/>
    <cellStyle name="常规 2 2 2 3 2 2 2" xfId="1725"/>
    <cellStyle name="常规 13 2 2 2 2 3 2 2" xfId="1726"/>
    <cellStyle name="输出 2 2 4 2 2 2 4" xfId="1727"/>
    <cellStyle name="差 2 3 3 2 3" xfId="1728"/>
    <cellStyle name="40% - 强调文字颜色 3 2 3 2 4 2" xfId="1729"/>
    <cellStyle name="注释 2 2 3 3 5 2" xfId="1730"/>
    <cellStyle name="输出 2 5 3" xfId="1731"/>
    <cellStyle name="超链接 2 2 2 2 2 3" xfId="1732"/>
    <cellStyle name="超链接 2 4 3 2 2" xfId="1733"/>
    <cellStyle name="注释 2 2 6 2 2 5" xfId="1734"/>
    <cellStyle name="计算 2 2 6 12" xfId="1735"/>
    <cellStyle name="计算 2 9 6" xfId="1736"/>
    <cellStyle name="输出 4 8" xfId="1737"/>
    <cellStyle name="标题 2 2 2 2 2 3 3 2" xfId="1738"/>
    <cellStyle name="40% - 强调文字颜色 2 2 5 3 3 2" xfId="1739"/>
    <cellStyle name="链接单元格 2 5 2 2 2" xfId="1740"/>
    <cellStyle name="注释 2 2 5 2 3 2 2" xfId="1741"/>
    <cellStyle name="计算 2 2 11 3 3" xfId="1742"/>
    <cellStyle name="警告文本 2 2 2 5 2" xfId="1743"/>
    <cellStyle name="输出 2 2 3 3 2 7" xfId="1744"/>
    <cellStyle name="汇总 3 4 4 3" xfId="1745"/>
    <cellStyle name="差 3 3 2 2 2 2" xfId="1746"/>
    <cellStyle name="输入 2 4 2 4 2 2" xfId="1747"/>
    <cellStyle name="汇总 2 2 3 5 2" xfId="1748"/>
    <cellStyle name="差 2 4" xfId="1749"/>
    <cellStyle name="超链接 3 5 2 4" xfId="1750"/>
    <cellStyle name="60% - 强调文字颜色 3 3 5 2 2 2" xfId="1751"/>
    <cellStyle name="60% - 强调文字颜色 2 2 4 3 2 2 2" xfId="1752"/>
    <cellStyle name="标题 4 2 2 7 2 2" xfId="1753"/>
    <cellStyle name="计算 2 2 2 3 6 3" xfId="1754"/>
    <cellStyle name="汇总 2 2 2 4 2 2 2" xfId="1755"/>
    <cellStyle name="汇总 3 3 3 3 2 2" xfId="1756"/>
    <cellStyle name="输出 2 5 3 3" xfId="1757"/>
    <cellStyle name="汇总 3 2 6 2 2" xfId="1758"/>
    <cellStyle name="超链接 3 7 3" xfId="1759"/>
    <cellStyle name="强调文字颜色 6 3 3 2 2" xfId="1760"/>
    <cellStyle name="输入 2 7 2 2 4" xfId="1761"/>
    <cellStyle name="计算 2 8 2 5" xfId="1762"/>
    <cellStyle name="计算 3 3 3 2 3" xfId="1763"/>
    <cellStyle name="常规 5 3 2 2 3 3 2 2" xfId="1764"/>
    <cellStyle name="汇总 2 2 3 2 2 2 5 2" xfId="1765"/>
    <cellStyle name="汇总 2 2 6 2 2 4 2" xfId="1766"/>
    <cellStyle name="标题 1 3 2 4 2 3" xfId="1767"/>
    <cellStyle name="标题 2 2 2 3" xfId="1768"/>
    <cellStyle name="差 2 2 2 5 3" xfId="1769"/>
    <cellStyle name="计算 2 3 4 2 3 2" xfId="1770"/>
    <cellStyle name="汇总 2 2 5 2 3 4 2 2" xfId="1771"/>
    <cellStyle name="标题 2 2 2 2 4 2 3" xfId="1772"/>
    <cellStyle name="注释 2 2 2 2 8 2" xfId="1773"/>
    <cellStyle name="好 2 2 7 2 2" xfId="1774"/>
    <cellStyle name="强调文字颜色 1 2 2 2 4 4" xfId="1775"/>
    <cellStyle name="常规 3 3 4 2 2 2" xfId="1776"/>
    <cellStyle name="常规 5 2 2 2 2 3" xfId="1777"/>
    <cellStyle name="20% - 强调文字颜色 4 2 3 4 2 2 2" xfId="1778"/>
    <cellStyle name="常规 5 4 2 5" xfId="1779"/>
    <cellStyle name="计算 2 3 9 2" xfId="1780"/>
    <cellStyle name="输入 5 4 2 2" xfId="1781"/>
    <cellStyle name="汇总 2 2 5 3 2 2 3" xfId="1782"/>
    <cellStyle name="输出 2 2 4 2 4 2" xfId="1783"/>
    <cellStyle name="标题 4 5 2 3" xfId="1784"/>
    <cellStyle name="常规 5 2 2 2 2 5 3" xfId="1785"/>
    <cellStyle name="强调文字颜色 6 2 2 3 5 2" xfId="1786"/>
    <cellStyle name="输入 2 2 7 2 2 4" xfId="1787"/>
    <cellStyle name="汇总 2 2 2 2 2 2 2 3" xfId="1788"/>
    <cellStyle name="标题 2 2 2 2 6 2 2 2" xfId="1789"/>
    <cellStyle name="汇总 2 3 4 8" xfId="1790"/>
    <cellStyle name="注释 3 8 2" xfId="1791"/>
    <cellStyle name="输入 2 2 3 2 2 4 2 2" xfId="1792"/>
    <cellStyle name="标题 2 2 2 2 2 2 2 2 2 2" xfId="1793"/>
    <cellStyle name="强调文字颜色 3 2 2 5 3 3" xfId="1794"/>
    <cellStyle name="超链接 2 3 7 3" xfId="1795"/>
    <cellStyle name="差 2 3 3 2 2 2 2 2" xfId="1796"/>
    <cellStyle name="60% - 强调文字颜色 5 2 2 2 8" xfId="1797"/>
    <cellStyle name="40% - 强调文字颜色 2 3 3 3 2" xfId="1798"/>
    <cellStyle name="汇总 2 4 2 2 2 3 3" xfId="1799"/>
    <cellStyle name="输出 2 5 2 2 2 2" xfId="1800"/>
    <cellStyle name="20% - 强调文字颜色 6 2 2 2 2 2 3 2 2" xfId="1801"/>
    <cellStyle name="计算 2 2 4 2 4 3 3" xfId="1802"/>
    <cellStyle name="常规 7 2 2 3 2 2 2" xfId="1803"/>
    <cellStyle name="输出 2 3 3 2 5" xfId="1804"/>
    <cellStyle name="计算 4 8" xfId="1805"/>
    <cellStyle name="汇总 2 5 6 2 3" xfId="1806"/>
    <cellStyle name="汇总 2 6 7 3" xfId="1807"/>
    <cellStyle name="汇总 2 6 3 5 2" xfId="1808"/>
    <cellStyle name="计算 2 2 4 2 3 2 2 3" xfId="1809"/>
    <cellStyle name="输入 2 3 7" xfId="1810"/>
    <cellStyle name="20% - 强调文字颜色 5 2 3 2 3 2 2 2 2" xfId="1811"/>
    <cellStyle name="汇总 2 2 3 4 2 3 2" xfId="1812"/>
    <cellStyle name="输入 2 3 4 5 2" xfId="1813"/>
    <cellStyle name="注释 2 3 2" xfId="1814"/>
    <cellStyle name="常规 5 5 5" xfId="1815"/>
    <cellStyle name="超链接 2 2 7" xfId="1816"/>
    <cellStyle name="注释 2 2 5 2 3 3" xfId="1817"/>
    <cellStyle name="输入 2 8 2" xfId="1818"/>
    <cellStyle name="40% - 强调文字颜色 1 2 2 4 4 2 2" xfId="1819"/>
    <cellStyle name="汇总 2 2 4 2 6 3 3" xfId="1820"/>
    <cellStyle name="强调文字颜色 5 3 5" xfId="1821"/>
    <cellStyle name="20% - 强调文字颜色 3 2 2 2 2 3 3" xfId="1822"/>
    <cellStyle name="输出 7 2" xfId="1823"/>
    <cellStyle name="标题 4 2 4 3 2" xfId="1824"/>
    <cellStyle name="汇总 2 2 8" xfId="1825"/>
    <cellStyle name="标题 4 6 2 3" xfId="1826"/>
    <cellStyle name="汇总 2 2 7 2 4 3" xfId="1827"/>
    <cellStyle name="注释 2 4 2 4" xfId="1828"/>
    <cellStyle name="常规 5 2 4 3 2" xfId="1829"/>
    <cellStyle name="输出 2 2 3 2 2 2 4 2" xfId="1830"/>
    <cellStyle name="计算 2 4 2 2 3 3" xfId="1831"/>
    <cellStyle name="超链接 3 3 3 3" xfId="1832"/>
    <cellStyle name="输入 2 7 4 3" xfId="1833"/>
    <cellStyle name="输出 2 4 3 2 8" xfId="1834"/>
    <cellStyle name="好 2 3 2 2 4" xfId="1835"/>
    <cellStyle name="常规 2 4 2 2 2 2" xfId="1836"/>
    <cellStyle name="输入 3 2 6 3" xfId="1837"/>
    <cellStyle name="输出 2 5 4 2 2 2" xfId="1838"/>
    <cellStyle name="标题 2 2 2 2 4 3" xfId="1839"/>
    <cellStyle name="汇总 2 2 8 5 3" xfId="1840"/>
    <cellStyle name="20% - 强调文字颜色 5 2 3 2 2 2 2 2 2 2" xfId="1841"/>
    <cellStyle name="汇总 2 7 2 5 3" xfId="1842"/>
    <cellStyle name="汇总 2 2 2 4 2 3 2 2" xfId="1843"/>
    <cellStyle name="计算 2 2 2 5 2" xfId="1844"/>
    <cellStyle name="输出 2 6" xfId="1845"/>
    <cellStyle name="强调文字颜色 6 3 3" xfId="1846"/>
    <cellStyle name="汇总 2 2 3 3 3 4 2" xfId="1847"/>
    <cellStyle name="60% - 强调文字颜色 3 2 2 3 3 2 2 2" xfId="1848"/>
    <cellStyle name="强调文字颜色 5 2 2 2 3 3 2" xfId="1849"/>
    <cellStyle name="20% - 强调文字颜色 1 2 2 6 2 2" xfId="1850"/>
    <cellStyle name="输入 2 5 3 2 8" xfId="1851"/>
    <cellStyle name="解释性文本 2 2 4 5" xfId="1852"/>
    <cellStyle name="汇总 2 3 2 2 2 3 2 2" xfId="1853"/>
    <cellStyle name="输出 2 3 3 7" xfId="1854"/>
    <cellStyle name="汇总 2 2 7 3 4 2" xfId="1855"/>
    <cellStyle name="汇总 3 2 7" xfId="1856"/>
    <cellStyle name="警告文本 2 2 3 4 3 2" xfId="1857"/>
    <cellStyle name="40% - 强调文字颜色 1 2 2 4 3" xfId="1858"/>
    <cellStyle name="汇总 4 5" xfId="1859"/>
    <cellStyle name="标题 4 2 2 2 6 2 2" xfId="1860"/>
    <cellStyle name="汇总 2 2 4 4 3 2" xfId="1861"/>
    <cellStyle name="超链接 3 5 3 4" xfId="1862"/>
    <cellStyle name="检查单元格 2 3 5 2 2" xfId="1863"/>
    <cellStyle name="注释 3 3 7" xfId="1864"/>
    <cellStyle name="汇总 2 5 2 2 3 2 2 2" xfId="1865"/>
    <cellStyle name="常规 4 2 2 4 2" xfId="1866"/>
    <cellStyle name="常规 5 2 3 4 2 3 3" xfId="1867"/>
    <cellStyle name="输入 2 17" xfId="1868"/>
    <cellStyle name="好 3 3 3 2 2" xfId="1869"/>
    <cellStyle name="解释性文本 2 2 3 2 3" xfId="1870"/>
    <cellStyle name="输出 2 3 2 4 3" xfId="1871"/>
    <cellStyle name="说明文本 4 2" xfId="1872"/>
    <cellStyle name="常规 3 3 6 3 2 2" xfId="1873"/>
    <cellStyle name="强调文字颜色 6 2 3 2 5" xfId="1874"/>
    <cellStyle name="好 2 2 2 4" xfId="1875"/>
    <cellStyle name="强调文字颜色 2 3 5" xfId="1876"/>
    <cellStyle name="强调文字颜色 1 2 5 2" xfId="1877"/>
    <cellStyle name="汇总 2 8 2 5 2" xfId="1878"/>
    <cellStyle name="常规 6 2 2 2 4 3 2" xfId="1879"/>
    <cellStyle name="常规 5 6 5" xfId="1880"/>
    <cellStyle name="常规 4 3 4 5" xfId="1881"/>
    <cellStyle name="汇总 2 7 2 3" xfId="1882"/>
    <cellStyle name="40% - 强调文字颜色 6 2 2 2 5" xfId="1883"/>
    <cellStyle name="注释 2 2 5 2 4 3" xfId="1884"/>
    <cellStyle name="解释性文本 2 2 3 2 2 2 2 2" xfId="1885"/>
    <cellStyle name="超链接 2 3 7" xfId="1886"/>
    <cellStyle name="警告文本 2 2 3 6" xfId="1887"/>
    <cellStyle name="注释 2 2 3 2 2 5 2" xfId="1888"/>
    <cellStyle name="标题 3 2 5 2 2 3" xfId="1889"/>
    <cellStyle name="好 2 2 2 3 2 2 2" xfId="1890"/>
    <cellStyle name="输出 2 2 5 3 7" xfId="1891"/>
    <cellStyle name="注释 2 2 6 2 2" xfId="1892"/>
    <cellStyle name="差 2 3 5" xfId="1893"/>
    <cellStyle name="计算 2 2 6 3 4 3" xfId="1894"/>
    <cellStyle name="汇总 2 5 2 3 4 2" xfId="1895"/>
    <cellStyle name="常规 14 3" xfId="1896"/>
    <cellStyle name="强调文字颜色 6 2 2 3 2 2 2" xfId="1897"/>
    <cellStyle name="好 4 4 3" xfId="1898"/>
    <cellStyle name="强调文字颜色 1 4 2 2 2" xfId="1899"/>
    <cellStyle name="常规 5 2 2 2 2 2 3 2" xfId="1900"/>
    <cellStyle name="强调文字颜色 5 2 3 3 6" xfId="1901"/>
    <cellStyle name="40% - 强调文字颜色 4 2 3 2 4 2 2 2" xfId="1902"/>
    <cellStyle name="汇总 2 7 2 7" xfId="1903"/>
    <cellStyle name="汇总 2 4 2 4 2 2 2" xfId="1904"/>
    <cellStyle name="标题 2 2 2 2 3 2" xfId="1905"/>
    <cellStyle name="汇总 2 2 2 2 2 2 6" xfId="1906"/>
    <cellStyle name="输入 3 2 5 2" xfId="1907"/>
    <cellStyle name="40% - 强调文字颜色 1 2 2 2 2 2 4 2 2 2" xfId="1908"/>
    <cellStyle name="常规 5 2 2 3 5 3" xfId="1909"/>
    <cellStyle name="汇总 2 2 8 4 2" xfId="1910"/>
    <cellStyle name="强调文字颜色 5 2 3 2 2 5" xfId="1911"/>
    <cellStyle name="强调文字颜色 4 2 2 2 2 7" xfId="1912"/>
    <cellStyle name="60% - 强调文字颜色 5 2 2 4 3 3" xfId="1913"/>
    <cellStyle name="链接单元格 2 2 3 4 2 2 2" xfId="1914"/>
    <cellStyle name="强调文字颜色 6 2 4 2 2 3" xfId="1915"/>
    <cellStyle name="适中 3 3 3" xfId="1916"/>
    <cellStyle name="汇总 2 7 10" xfId="1917"/>
    <cellStyle name="输入 2 2 8 2 2 5" xfId="1918"/>
    <cellStyle name="汇总 2 2 3 2 4 2 2 2" xfId="1919"/>
    <cellStyle name="检查单元格 2 2 6 3 3" xfId="1920"/>
    <cellStyle name="计算 2 8 9 2" xfId="1921"/>
    <cellStyle name="标题 2 5 2 2 3" xfId="1922"/>
    <cellStyle name="输出 2 2 2 4 4 2" xfId="1923"/>
    <cellStyle name="汇总 2 4 2 2 2 4 3" xfId="1924"/>
    <cellStyle name="60% - 强调文字颜色 5 2 2 3 8" xfId="1925"/>
    <cellStyle name="40% - 强调文字颜色 2 3 3 4 2" xfId="1926"/>
    <cellStyle name="输出 2 5 2 2 3 2" xfId="1927"/>
    <cellStyle name="输出 2 5 2 3 2" xfId="1928"/>
    <cellStyle name="计算 2 5 2 5 5" xfId="1929"/>
    <cellStyle name="20% - 强调文字颜色 1 2 2 4 3 3" xfId="1930"/>
    <cellStyle name="汇总 2 5 10 2" xfId="1931"/>
    <cellStyle name="20% - 强调文字颜色 4 2 2 3 4" xfId="1932"/>
    <cellStyle name="计算 4 2 4 2" xfId="1933"/>
    <cellStyle name="计算 2 5 2 5 2 2" xfId="1934"/>
    <cellStyle name="超链接 2 4 3 2 2 2" xfId="1935"/>
    <cellStyle name="输入 2 2 4 2 5 4" xfId="1936"/>
    <cellStyle name="超链接 2 2 2 2 2 3 2" xfId="1937"/>
    <cellStyle name="计算 3 3 2 3" xfId="1938"/>
    <cellStyle name="计算 2 3 2 3 6" xfId="1939"/>
    <cellStyle name="常规 8 2 2 4" xfId="1940"/>
    <cellStyle name="标题 2 2 4 9" xfId="1941"/>
    <cellStyle name="60% - 强调文字颜色 1 2 2 5 3 2" xfId="1942"/>
    <cellStyle name="强调文字颜色 2 2 4 3 2 2" xfId="1943"/>
    <cellStyle name="20% - 强调文字颜色 3 4 2 2" xfId="1944"/>
    <cellStyle name="注释 2 2 3 12" xfId="1945"/>
    <cellStyle name="计算 2 2 2 5 2 3" xfId="1946"/>
    <cellStyle name="40% - 强调文字颜色 3 2 3 2 5 2" xfId="1947"/>
    <cellStyle name="注释 2 2 3 3 6 2" xfId="1948"/>
    <cellStyle name="输出 2 6 3" xfId="1949"/>
    <cellStyle name="差 2 3 3 3 3" xfId="1950"/>
    <cellStyle name="汇总 3 2" xfId="1951"/>
    <cellStyle name="输入 2 8 10" xfId="1952"/>
    <cellStyle name="标题 4 2 3 3 4" xfId="1953"/>
    <cellStyle name="常规 2 2 7 2 2" xfId="1954"/>
    <cellStyle name="强调文字颜色 4 3 7" xfId="1955"/>
    <cellStyle name="输入 3 3 3" xfId="1956"/>
    <cellStyle name="汇总 2 2 9 2" xfId="1957"/>
    <cellStyle name="输入 2 2 2 3 2 2 2 2" xfId="1958"/>
    <cellStyle name="注释 2 4 2 2 2 7" xfId="1959"/>
    <cellStyle name="计算 2 2 2 3 8" xfId="1960"/>
    <cellStyle name="输出 2 2 3 4 3 2" xfId="1961"/>
    <cellStyle name="强调文字颜色 6 2 4 4 4" xfId="1962"/>
    <cellStyle name="计算 3 4 6" xfId="1963"/>
    <cellStyle name="检查单元格 2 2 4 5 3" xfId="1964"/>
    <cellStyle name="常规 4 2 2 2 5" xfId="1965"/>
    <cellStyle name="输出 2 9 3 2 2" xfId="1966"/>
    <cellStyle name="常规 6 4 5" xfId="1967"/>
    <cellStyle name="常规 4 4 2 5" xfId="1968"/>
    <cellStyle name="20% - 强调文字颜色 4 2 3 3 2 2 2" xfId="1969"/>
    <cellStyle name="汇总 2 5 2 10 3" xfId="1970"/>
    <cellStyle name="标题 3 3 3 3 2 2" xfId="1971"/>
    <cellStyle name="计算 2 2 7 5 3 2 2" xfId="1972"/>
    <cellStyle name="注释 2 5 4 2 4" xfId="1973"/>
    <cellStyle name="60% - 强调文字颜色 1 2 2 2 7" xfId="1974"/>
    <cellStyle name="汇总 2 6 2 2 3 4 2" xfId="1975"/>
    <cellStyle name="汇总 2 12 4" xfId="1976"/>
    <cellStyle name="常规 2 2 4 2 3 2" xfId="1977"/>
    <cellStyle name="输出 2 5 4 7" xfId="1978"/>
    <cellStyle name="汇总 2 9 6 2 2" xfId="1979"/>
    <cellStyle name="输入 2 2 2 2 2 3 2" xfId="1980"/>
    <cellStyle name="输出 2 7 3 2 4" xfId="1981"/>
    <cellStyle name="计算 2 2 2 2 4 2 3" xfId="1982"/>
    <cellStyle name="输出 2 2 8" xfId="1983"/>
    <cellStyle name="注释 2 2 3 3 2 7" xfId="1984"/>
    <cellStyle name="注释 2 4 10" xfId="1985"/>
    <cellStyle name="常规 3 3 2 4 3 2" xfId="1986"/>
    <cellStyle name="计算 2 3 2 4 4 2" xfId="1987"/>
    <cellStyle name="常规 8 2 3 2 2" xfId="1988"/>
    <cellStyle name="输入 2 2 3 3 7" xfId="1989"/>
    <cellStyle name="常规 11 2 6 3" xfId="1990"/>
    <cellStyle name="输入 2 4 13" xfId="1991"/>
    <cellStyle name="注释 2 9 3 2" xfId="1992"/>
    <cellStyle name="常规 10 4 5" xfId="1993"/>
    <cellStyle name="40% - 强调文字颜色 1 2 2 8 2" xfId="1994"/>
    <cellStyle name="输入 2 5 3 2 2" xfId="1995"/>
    <cellStyle name="常规 3 7 2 2" xfId="1996"/>
    <cellStyle name="汇总 2 2 5 2 4 2 3" xfId="1997"/>
    <cellStyle name="输出 2 2 3 4 4 2" xfId="1998"/>
    <cellStyle name="常规 3 3 8 2" xfId="1999"/>
    <cellStyle name="注释 2 2 4 4 6" xfId="2000"/>
    <cellStyle name="常规 2 3 5 2 2 2" xfId="2001"/>
    <cellStyle name="强调文字颜色 6 2 2 2 3" xfId="2002"/>
    <cellStyle name="40% - 强调文字颜色 4 2 3 2 3 3" xfId="2003"/>
    <cellStyle name="20% - 强调文字颜色 1 2 2 2 2 2 2 2 2 2" xfId="2004"/>
    <cellStyle name="输入 2 3 2 2 4 3" xfId="2005"/>
    <cellStyle name="强调文字颜色 1 3 3" xfId="2006"/>
    <cellStyle name="汇总 2 2 4 2 4 4 2 2" xfId="2007"/>
    <cellStyle name="计算 2 3 12" xfId="2008"/>
    <cellStyle name="汇总 2 2 2 2 8 2" xfId="2009"/>
    <cellStyle name="标题 3 4 2 2 2" xfId="2010"/>
    <cellStyle name="计算 2 2 8 4 2 2" xfId="2011"/>
    <cellStyle name="计算 2 2 3 2 2 5 2 2" xfId="2012"/>
    <cellStyle name="常规 4 2 2 4" xfId="2013"/>
    <cellStyle name="常规 6 6" xfId="2014"/>
    <cellStyle name="60% - 强调文字颜色 3 2 3 8" xfId="2015"/>
    <cellStyle name="计算 2 7 6 2" xfId="2016"/>
    <cellStyle name="常规 7 2 4 2 2" xfId="2017"/>
    <cellStyle name="输出 2 8 2" xfId="2018"/>
    <cellStyle name="计算 2 2 2 5 4 2" xfId="2019"/>
    <cellStyle name="输入 2 2 3 3 2 5" xfId="2020"/>
    <cellStyle name="标题 2 2 2 2 2 3 2 3" xfId="2021"/>
    <cellStyle name="输出 3 9" xfId="2022"/>
    <cellStyle name="输出 2 2 4 2 2 4 2 2" xfId="2023"/>
    <cellStyle name="标题 2 2 2 3 6 3" xfId="2024"/>
    <cellStyle name="链接单元格 2 2 2 2 2 2 2 2 2" xfId="2025"/>
    <cellStyle name="常规 10 3 5" xfId="2026"/>
    <cellStyle name="40% - 强调文字颜色 1 2 2 7 2" xfId="2027"/>
    <cellStyle name="好 3 5" xfId="2028"/>
    <cellStyle name="40% - 强调文字颜色 6 4" xfId="2029"/>
    <cellStyle name="注释 2 6 9" xfId="2030"/>
    <cellStyle name="计算 2 5" xfId="2031"/>
    <cellStyle name="汇总 2 5 2 3 2 7" xfId="2032"/>
    <cellStyle name="计算 3 8 2 2" xfId="2033"/>
    <cellStyle name="强调文字颜色 6 6 2" xfId="2034"/>
    <cellStyle name="好 3 2 4 2 3" xfId="2035"/>
    <cellStyle name="常规 12 8" xfId="2036"/>
    <cellStyle name="强调文字颜色 4 2 3 2 2 2 2 2" xfId="2037"/>
    <cellStyle name="计算 2 5 2 2 2 2 3 2" xfId="2038"/>
    <cellStyle name="强调文字颜色 3 2 2 2 2 4 2 2" xfId="2039"/>
    <cellStyle name="强调文字颜色 5 2 2 2 2 2 3 2" xfId="2040"/>
    <cellStyle name="汇总 2 2 4 5 2 4" xfId="2041"/>
    <cellStyle name="60% - 强调文字颜色 5 3 2 2" xfId="2042"/>
    <cellStyle name="计算 2 2 7 3 5 2" xfId="2043"/>
    <cellStyle name="汇总 2 7 2 2 2 4" xfId="2044"/>
    <cellStyle name="解释性文本 2 2 2 3 2 2" xfId="2045"/>
    <cellStyle name="输入 2 2 4 2 3 5 2" xfId="2046"/>
    <cellStyle name="计算 2 2 8 2 2 2 2" xfId="2047"/>
    <cellStyle name="输入 2 6 3 9" xfId="2048"/>
    <cellStyle name="链接单元格 2 2 2 4 3 2 2" xfId="2049"/>
    <cellStyle name="注释 3 3 2 4" xfId="2050"/>
    <cellStyle name="20% - 强调文字颜色 2 3 6 2" xfId="2051"/>
    <cellStyle name="计算 2 2 3 2 2 5 2" xfId="2052"/>
    <cellStyle name="计算 2 3 4 2 5 2" xfId="2053"/>
    <cellStyle name="汇总 3 3 2 4 2 2" xfId="2054"/>
    <cellStyle name="计算 2 3 2 2 2 2 3 2" xfId="2055"/>
    <cellStyle name="强调文字颜色 4 2 3 3 2 3" xfId="2056"/>
    <cellStyle name="标题 2 2 4 3" xfId="2057"/>
    <cellStyle name="输入 3 3 3 3" xfId="2058"/>
    <cellStyle name="计算 2 5 4 5 2 2" xfId="2059"/>
    <cellStyle name="20% - 强调文字颜色 3 2 2 4 2 2" xfId="2060"/>
    <cellStyle name="计算 2 3 7" xfId="2061"/>
    <cellStyle name="检查单元格 2 2 3 4 4" xfId="2062"/>
    <cellStyle name="标题 1 2 2 8" xfId="2063"/>
    <cellStyle name="解释性文本 2 3 2 4 2 3" xfId="2064"/>
    <cellStyle name="汇总 2 2 4 9 2 2" xfId="2065"/>
    <cellStyle name="注释 2 4 2 3 2 4" xfId="2066"/>
    <cellStyle name="60% - 强调文字颜色 1 3 2" xfId="2067"/>
    <cellStyle name="计算 2 2 3 3 5" xfId="2068"/>
    <cellStyle name="警告文本 2 2 2 8" xfId="2069"/>
    <cellStyle name="强调文字颜色 1 2 2 4 3 2 2" xfId="2070"/>
    <cellStyle name="输入 2 4 3 2 2 2 2" xfId="2071"/>
    <cellStyle name="注释 2 7 2" xfId="2072"/>
    <cellStyle name="强调文字颜色 3 2 2 4 2 3" xfId="2073"/>
    <cellStyle name="注释 3 4 2 2" xfId="2074"/>
    <cellStyle name="注释 2 4 2 2 7" xfId="2075"/>
    <cellStyle name="标题 4 2 2 2 9" xfId="2076"/>
    <cellStyle name="输入 2 5 5 3 3" xfId="2077"/>
    <cellStyle name="解释性文本 2 2 3 5 2 2" xfId="2078"/>
    <cellStyle name="计算 2 6 2 2 3" xfId="2079"/>
    <cellStyle name="常规 3 6 2 2 2" xfId="2080"/>
    <cellStyle name="输入 2 2 4 4 5 2" xfId="2081"/>
    <cellStyle name="常规 9 2 4 2 2" xfId="2082"/>
    <cellStyle name="输入 2 2 9 2 2 2" xfId="2083"/>
    <cellStyle name="超链接 3 2 2 5 3" xfId="2084"/>
    <cellStyle name="输入 2 6 3 5 3" xfId="2085"/>
    <cellStyle name="汇总 2 3 2 2 8" xfId="2086"/>
    <cellStyle name="输入 2 6 3 2 6" xfId="2087"/>
    <cellStyle name="强调文字颜色 3 3 4" xfId="2088"/>
    <cellStyle name="60% - 强调文字颜色 6 2 7 3" xfId="2089"/>
    <cellStyle name="40% - 强调文字颜色 5 2 2 3" xfId="2090"/>
    <cellStyle name="汇总 2 2 2 2 7 2" xfId="2091"/>
    <cellStyle name="输入 2 5 3 2 5 2" xfId="2092"/>
    <cellStyle name="标题 3 2 3 2 3 2 2 3" xfId="2093"/>
    <cellStyle name="输入 2 2 4 4 2 5" xfId="2094"/>
    <cellStyle name="汇总 2 4 4 2 4 3" xfId="2095"/>
    <cellStyle name="超链接 3 3 4 2 2 3" xfId="2096"/>
    <cellStyle name="汇总 2 6 3 2 6" xfId="2097"/>
    <cellStyle name="输入 2 4 4 3" xfId="2098"/>
    <cellStyle name="标题 5 3 4 3" xfId="2099"/>
    <cellStyle name="汇总 2 2 6 15" xfId="2100"/>
    <cellStyle name="计算 2 5 2 3 6 2 2" xfId="2101"/>
    <cellStyle name="输出 2 2 4 3 3 3" xfId="2102"/>
    <cellStyle name="计算 2 7 5 4" xfId="2103"/>
    <cellStyle name="计算 2 2 3 3 3 2 3" xfId="2104"/>
    <cellStyle name="输出 2 7 4" xfId="2105"/>
    <cellStyle name="常规 2 6 2" xfId="2106"/>
    <cellStyle name="计算 2 2 4 4 4 2" xfId="2107"/>
    <cellStyle name="标题 5 2 2 3 2 2 3" xfId="2108"/>
    <cellStyle name="20% - 强调文字颜色 1 2 2 2 2 2 2" xfId="2109"/>
    <cellStyle name="强调文字颜色 3 2 2 2 3 2 3" xfId="2110"/>
    <cellStyle name="60% - 强调文字颜色 2 2 2 2 2 2 3 2" xfId="2111"/>
    <cellStyle name="计算 2 3 9 2 2" xfId="2112"/>
    <cellStyle name="常规 5 4 2 5 2" xfId="2113"/>
    <cellStyle name="常规 5 2 2 2 2 3 2" xfId="2114"/>
    <cellStyle name="输入 2 2 3 2 10" xfId="2115"/>
    <cellStyle name="链接单元格 2 2 2 2 2 5" xfId="2116"/>
    <cellStyle name="60% - 强调文字颜色 6 3 5 3" xfId="2117"/>
    <cellStyle name="强调文字颜色 5 2 9" xfId="2118"/>
    <cellStyle name="输入 2 2 3 3 5 2" xfId="2119"/>
    <cellStyle name="计算 2 2 2 9 2" xfId="2120"/>
    <cellStyle name="注释 2 2 4 4 5" xfId="2121"/>
    <cellStyle name="强调文字颜色 6 2 2 2 2" xfId="2122"/>
    <cellStyle name="汇总 2 2 5 10 3" xfId="2123"/>
    <cellStyle name="常规 2 2 2 4 3 2" xfId="2124"/>
    <cellStyle name="强调文字颜色 1 3 2" xfId="2125"/>
    <cellStyle name="输入 2 3 2 2 4 2" xfId="2126"/>
    <cellStyle name="汇总 2 2 5 4 7" xfId="2127"/>
    <cellStyle name="输出 3 3 3" xfId="2128"/>
    <cellStyle name="注释 2 5 2 2 2 2 3" xfId="2129"/>
    <cellStyle name="注释 2 7 5 2 2" xfId="2130"/>
    <cellStyle name="计算 3 2 2 3 3 3" xfId="2131"/>
    <cellStyle name="解释性文本 2 2 2 2 4 2 3" xfId="2132"/>
    <cellStyle name="输入 2 5 2 2 5" xfId="2133"/>
    <cellStyle name="强调文字颜色 5 2 2 2 4 3 2 2" xfId="2134"/>
    <cellStyle name="计算 2 3 4 2 3 2 2" xfId="2135"/>
    <cellStyle name="计算 2 2 2 3 9" xfId="2136"/>
    <cellStyle name="计算 2 2 4 2 2 9" xfId="2137"/>
    <cellStyle name="强调文字颜色 6 2 2 2 2 3 4" xfId="2138"/>
    <cellStyle name="注释 2 9 2 3" xfId="2139"/>
    <cellStyle name="汇总 2 6 2 2 2 3" xfId="2140"/>
    <cellStyle name="强调文字颜色 1 2 7" xfId="2141"/>
    <cellStyle name="输出 3 3 2 2 2 2" xfId="2142"/>
    <cellStyle name="计算 2 2 4 2 2 4 3" xfId="2143"/>
    <cellStyle name="计算 2 4 4 2 4 3" xfId="2144"/>
    <cellStyle name="强调文字颜色 2 3 6" xfId="2145"/>
    <cellStyle name="40% - 强调文字颜色 6 2 5 3 3 2" xfId="2146"/>
    <cellStyle name="强调文字颜色 6 2 3 2 6" xfId="2147"/>
    <cellStyle name="输出 3 2 6 2 2" xfId="2148"/>
    <cellStyle name="汇总 2 2 6 8" xfId="2149"/>
    <cellStyle name="强调文字颜色 3 2 3 2 2 2 2 3" xfId="2150"/>
    <cellStyle name="计算 2 6 3 10" xfId="2151"/>
    <cellStyle name="强调文字颜色 2 2 2 2 2 4 2 3" xfId="2152"/>
    <cellStyle name="输出 2 6 14" xfId="2153"/>
    <cellStyle name="强调文字颜色 3 2 2 2 4 2 2" xfId="2154"/>
    <cellStyle name="输出 2 2 9 2 2" xfId="2155"/>
    <cellStyle name="输出 2 4 3 8" xfId="2156"/>
    <cellStyle name="计算 3 5 3 2" xfId="2157"/>
    <cellStyle name="输入 2 6 4 8" xfId="2158"/>
    <cellStyle name="汇总 2 2 8 11" xfId="2159"/>
    <cellStyle name="计算 2 7 3 2 6" xfId="2160"/>
    <cellStyle name="输入 2 5 2 2 2 3 2 2" xfId="2161"/>
    <cellStyle name="输出 2 2 3 3 3 3 2" xfId="2162"/>
    <cellStyle name="计算 2 2 5 2 2 2 5" xfId="2163"/>
    <cellStyle name="超链接 2 6" xfId="2164"/>
    <cellStyle name="适中 2 2 3 6 2 2" xfId="2165"/>
    <cellStyle name="输出 2 2 2 6 3" xfId="2166"/>
    <cellStyle name="输出 2 7 3 3" xfId="2167"/>
    <cellStyle name="汇总 2 2 4 5 4" xfId="2168"/>
    <cellStyle name="输入 2 5 5 5 2" xfId="2169"/>
    <cellStyle name="汇总 2 2 2 11" xfId="2170"/>
    <cellStyle name="汇总 2 9 3 4 2" xfId="2171"/>
    <cellStyle name="计算 2 3 2 2 7" xfId="2172"/>
    <cellStyle name="好 2 2 2 2 3 2 2" xfId="2173"/>
    <cellStyle name="强调文字颜色 6 2 3 2 4 2 3" xfId="2174"/>
    <cellStyle name="好 2 2 2 3 2 3" xfId="2175"/>
    <cellStyle name="输出 2 9 2 5" xfId="2176"/>
    <cellStyle name="解释性文本 2 6 2 3" xfId="2177"/>
    <cellStyle name="强调文字颜色 5 2 2 2 2 3 3" xfId="2178"/>
    <cellStyle name="输入 2 5 2 2 9" xfId="2179"/>
    <cellStyle name="标题 3 3 2 5" xfId="2180"/>
    <cellStyle name="60% - 强调文字颜色 5 4 2" xfId="2181"/>
    <cellStyle name="计算 2 2 7 4 5" xfId="2182"/>
    <cellStyle name="输出 2 2 7 2 2" xfId="2183"/>
    <cellStyle name="汇总 2 3 2 2 2 2 2 3" xfId="2184"/>
    <cellStyle name="输出 2 2 3 8" xfId="2185"/>
    <cellStyle name="40% - 强调文字颜色 2 2 7 2 2 2" xfId="2186"/>
    <cellStyle name="计算 2 2 4 4 4" xfId="2187"/>
    <cellStyle name="常规 4 5 2 3 2" xfId="2188"/>
    <cellStyle name="常规 7 4 3 2" xfId="2189"/>
    <cellStyle name="常规 4 2 3 2 3 2" xfId="2190"/>
    <cellStyle name="检查单元格 2 2 4 2 3" xfId="2191"/>
    <cellStyle name="计算 2 2 2 4 6 2" xfId="2192"/>
    <cellStyle name="输入 2 2 6 10 2" xfId="2193"/>
    <cellStyle name="链接单元格 2 3 2 2 5" xfId="2194"/>
    <cellStyle name="差 2 2 2 3 2 2 2" xfId="2195"/>
    <cellStyle name="常规 4 10" xfId="2196"/>
    <cellStyle name="输出 5 2 3 2" xfId="2197"/>
    <cellStyle name="输出 3 2 2 2 2 2" xfId="2198"/>
    <cellStyle name="计算 2 2 3 2 2 4 3" xfId="2199"/>
    <cellStyle name="强调文字颜色 2 2 3 2 5 3" xfId="2200"/>
    <cellStyle name="解释性文本 2 2 2 6 2" xfId="2201"/>
    <cellStyle name="警告文本 3 4 3" xfId="2202"/>
    <cellStyle name="40% - 强调文字颜色 5 3 3 2 2" xfId="2203"/>
    <cellStyle name="好 2 4 3 2 2" xfId="2204"/>
    <cellStyle name="40% - 强调文字颜色 1 2 2 4 2 2 2 2" xfId="2205"/>
    <cellStyle name="输出 2 2 3 2 2 2 3 3" xfId="2206"/>
    <cellStyle name="常规 5 2 4 2 3" xfId="2207"/>
    <cellStyle name="输出 2 2 6 3 2 4" xfId="2208"/>
    <cellStyle name="计算 2 4 2 2 2 4" xfId="2209"/>
    <cellStyle name="输入 8" xfId="2210"/>
    <cellStyle name="检查单元格 2 2 3 5 3" xfId="2211"/>
    <cellStyle name="标题 1 2 3 7" xfId="2212"/>
    <cellStyle name="计算 2 2 5 12" xfId="2213"/>
    <cellStyle name="适中 4 2 3" xfId="2214"/>
    <cellStyle name="计算 2 4 6" xfId="2215"/>
    <cellStyle name="40% - 强调文字颜色 5 2 2 2 3 3 2 2" xfId="2216"/>
    <cellStyle name="汇总 2 2 8 4 3 3" xfId="2217"/>
    <cellStyle name="标题 2 2 3 3 7" xfId="2218"/>
    <cellStyle name="好 2 2 6 3 2" xfId="2219"/>
    <cellStyle name="超链接 3 2 2 2 2 2 2 2" xfId="2220"/>
    <cellStyle name="汇总 2 6 3 3 3 2" xfId="2221"/>
    <cellStyle name="计算 2 2 6 2 2 2 5" xfId="2222"/>
    <cellStyle name="20% - 强调文字颜色 4 4" xfId="2223"/>
    <cellStyle name="强调文字颜色 5 2 2 4 2 3 2" xfId="2224"/>
    <cellStyle name="强调文字颜色 2 2 5 3" xfId="2225"/>
    <cellStyle name="20% - 强调文字颜色 1 2 4 5 2 2" xfId="2226"/>
    <cellStyle name="输出 3 2 2 6 3" xfId="2227"/>
    <cellStyle name="计算 2 8 2 9" xfId="2228"/>
    <cellStyle name="标题 5 3 2 4" xfId="2229"/>
    <cellStyle name="汇总 2 2 4 2 2 3 2 2" xfId="2230"/>
    <cellStyle name="输入 2 2 4 5 8" xfId="2231"/>
    <cellStyle name="输出 2 10 3" xfId="2232"/>
    <cellStyle name="输入 2 2 6 2 2 3 2" xfId="2233"/>
    <cellStyle name="常规 5 3 3" xfId="2234"/>
    <cellStyle name="差 2 2 2 2 4 2 3" xfId="2235"/>
    <cellStyle name="超链接 3 3 3 2 4" xfId="2236"/>
    <cellStyle name="输入 2 7 4 2 4" xfId="2237"/>
    <cellStyle name="汇总 2 4 3 2 6" xfId="2238"/>
    <cellStyle name="计算 2 9 2 3 3" xfId="2239"/>
    <cellStyle name="超链接 3 3 2 2 2 3" xfId="2240"/>
    <cellStyle name="汇总 2 4 2 2 4 3" xfId="2241"/>
    <cellStyle name="输出 2 2 3 4 3 2 2" xfId="2242"/>
    <cellStyle name="警告文本 2 2 6 3 2" xfId="2243"/>
    <cellStyle name="强调文字颜色 1 2 2 2 4 2 2 2" xfId="2244"/>
    <cellStyle name="强调文字颜色 6 2 9" xfId="2245"/>
    <cellStyle name="输出 3 3 2 2 3" xfId="2246"/>
    <cellStyle name="常规 7 2 2 2 4 3" xfId="2247"/>
    <cellStyle name="20% - 强调文字颜色 3 2 4 3 3" xfId="2248"/>
    <cellStyle name="标题 6 2 2 3" xfId="2249"/>
    <cellStyle name="计算 2 2 5 4 4 3" xfId="2250"/>
    <cellStyle name="60% - 强调文字颜色 5 2 2 2 6 2" xfId="2251"/>
    <cellStyle name="输出 2 6 3 2 3" xfId="2252"/>
    <cellStyle name="输入 2 3 2 2 2 2" xfId="2253"/>
    <cellStyle name="适中 5" xfId="2254"/>
    <cellStyle name="汇总 2 2 4 4 2 8" xfId="2255"/>
    <cellStyle name="汇总 2 2 4 3 9" xfId="2256"/>
    <cellStyle name="输入 2 3 3 2 2 2" xfId="2257"/>
    <cellStyle name="输出 2 2 5" xfId="2258"/>
    <cellStyle name="汇总 2 2 6 2 5 3" xfId="2259"/>
    <cellStyle name="注释 2 2 3 3 2 4" xfId="2260"/>
    <cellStyle name="输出 2 7 3 2 3" xfId="2261"/>
    <cellStyle name="强调文字颜色 4 2 3 2 4 2 2 2" xfId="2262"/>
    <cellStyle name="标题 1 2 2 4 4 2 2" xfId="2263"/>
    <cellStyle name="常规 12 2 4 3" xfId="2264"/>
    <cellStyle name="计算 4 2 2" xfId="2265"/>
    <cellStyle name="标题 3 2 6 2 2 2" xfId="2266"/>
    <cellStyle name="适中 2 6 2 3" xfId="2267"/>
    <cellStyle name="60% - 强调文字颜色 4 3" xfId="2268"/>
    <cellStyle name="强调文字颜色 2 2 2 4 3 2" xfId="2269"/>
    <cellStyle name="输入 2 4 2 2 2 4" xfId="2270"/>
    <cellStyle name="输入 2 2 4 2 3 2 2" xfId="2271"/>
    <cellStyle name="计算 2 3 2 2 2 2 4" xfId="2272"/>
    <cellStyle name="计算 2 4 2 3 2 2 2" xfId="2273"/>
    <cellStyle name="计算 2 3 4 2 6" xfId="2274"/>
    <cellStyle name="汇总 3 3 2 4 3" xfId="2275"/>
    <cellStyle name="标题 3 2 4 5 2 2" xfId="2276"/>
    <cellStyle name="20% - 强调文字颜色 4 2 2 2 2 3 3 2" xfId="2277"/>
    <cellStyle name="60% - 强调文字颜色 4 6 2 2 2" xfId="2278"/>
    <cellStyle name="汇总 2 2 2 3 3 3" xfId="2279"/>
    <cellStyle name="解释性文本 2 4 3 2 2 2" xfId="2280"/>
    <cellStyle name="汇总 2 2 3 2 2 3 2 2 2" xfId="2281"/>
    <cellStyle name="强调文字颜色 4 2 2 6 3 2 2" xfId="2282"/>
    <cellStyle name="强调文字颜色 6 2 2 4 3 4" xfId="2283"/>
    <cellStyle name="汇总 2 3 6 4" xfId="2284"/>
    <cellStyle name="输出 2 4 3 2" xfId="2285"/>
    <cellStyle name="40% - 强调文字颜色 3 2 3 2 3 2 2" xfId="2286"/>
    <cellStyle name="警告文本 2 2 2 2 5" xfId="2287"/>
    <cellStyle name="注释 2 2 3 3 4 2 2" xfId="2288"/>
    <cellStyle name="解释性文本 2 7" xfId="2289"/>
    <cellStyle name="汇总 2 2 6 9 3" xfId="2290"/>
    <cellStyle name="输入 2 2 9 6" xfId="2291"/>
    <cellStyle name="警告文本 2 2 4 3 3 2" xfId="2292"/>
    <cellStyle name="40% - 强调文字颜色 5 2 2 7 2 2" xfId="2293"/>
    <cellStyle name="检查单元格 2 4 5 3" xfId="2294"/>
    <cellStyle name="检查单元格 4 2" xfId="2295"/>
    <cellStyle name="汇总 2 7 2 3 2 3" xfId="2296"/>
    <cellStyle name="40% - 强调文字颜色 4 2 6 2" xfId="2297"/>
    <cellStyle name="标题 1 2 4 4 3" xfId="2298"/>
    <cellStyle name="计算 2 5 3 3" xfId="2299"/>
    <cellStyle name="60% - 强调文字颜色 1 2 2 3 2 2" xfId="2300"/>
    <cellStyle name="汇总 2 2 4 6 2 3" xfId="2301"/>
    <cellStyle name="强调文字颜色 3 2 2 5" xfId="2302"/>
    <cellStyle name="计算 2 8 2 2 3 2 2" xfId="2303"/>
    <cellStyle name="输出 2 2 5 3 2" xfId="2304"/>
    <cellStyle name="标题 1 2 3 2 2 2" xfId="2305"/>
    <cellStyle name="汇总 2 2 8 10" xfId="2306"/>
    <cellStyle name="强调文字颜色 3 2 3 4 2 2 2" xfId="2307"/>
    <cellStyle name="60% - 强调文字颜色 3 5 2" xfId="2308"/>
    <cellStyle name="常规 2 3 2 2 3 3 2 2" xfId="2309"/>
    <cellStyle name="输入 2 6 2 2 2 2 3" xfId="2310"/>
    <cellStyle name="超链接 2 5 3 3 2" xfId="2311"/>
    <cellStyle name="输出 2 6 3 3 3" xfId="2312"/>
    <cellStyle name="标题 3 2 4 2 2 3" xfId="2313"/>
    <cellStyle name="标题 1 2 2 2 2 7" xfId="2314"/>
    <cellStyle name="强调文字颜色 6 2 3 2 3 2 2 2" xfId="2315"/>
    <cellStyle name="20% - 强调文字颜色 1 2 2 6 3 2 2" xfId="2316"/>
    <cellStyle name="计算 2 2 8 5 4 2" xfId="2317"/>
    <cellStyle name="注释 2 4 2 3 5 2" xfId="2318"/>
    <cellStyle name="计算 2 2 3 6 3" xfId="2319"/>
    <cellStyle name="输入 2 2 3 4 2 3" xfId="2320"/>
    <cellStyle name="60% - 强调文字颜色 3 2 2 2 3 3" xfId="2321"/>
    <cellStyle name="汇总 2 6 2 2 3 3 2 2" xfId="2322"/>
    <cellStyle name="汇总 2 11 4 2" xfId="2323"/>
    <cellStyle name="常规 2 2 4 2 2 2 2" xfId="2324"/>
    <cellStyle name="计算 2 3 8 3" xfId="2325"/>
    <cellStyle name="常规 9 3 2 2 2 2" xfId="2326"/>
    <cellStyle name="超链接 3 2 4 2 4" xfId="2327"/>
    <cellStyle name="计算 2 8 3 3 3" xfId="2328"/>
    <cellStyle name="汇总 2 3 4 2 6" xfId="2329"/>
    <cellStyle name="20% - 强调文字颜色 2 2 3 3 4" xfId="2330"/>
    <cellStyle name="常规 5 2 4 3 5" xfId="2331"/>
    <cellStyle name="注释 2 2 3 2 3 6" xfId="2332"/>
    <cellStyle name="注释 2 5 2 7 2" xfId="2333"/>
    <cellStyle name="计算 2 2 2 2 3 3 2" xfId="2334"/>
    <cellStyle name="常规 3 2 4 3 2 2" xfId="2335"/>
    <cellStyle name="强调文字颜色 2 2 2 4 5 3" xfId="2336"/>
    <cellStyle name="输入 2 5 13" xfId="2337"/>
    <cellStyle name="强调文字颜色 3 2 2 2 2 2 2 3" xfId="2338"/>
    <cellStyle name="输出 2 2 8 2" xfId="2339"/>
    <cellStyle name="汇总 2 9 2 3 2 2" xfId="2340"/>
    <cellStyle name="标题 1 2 2 2 6 2" xfId="2341"/>
    <cellStyle name="标题 7 4 2 2" xfId="2342"/>
    <cellStyle name="输出 2 5 3 6" xfId="2343"/>
    <cellStyle name="解释性文本 2 4 4 4" xfId="2344"/>
    <cellStyle name="常规 5 2 2 2" xfId="2345"/>
    <cellStyle name="强调文字颜色 6 2 2 3 2 3" xfId="2346"/>
    <cellStyle name="汇总 2 4 2 2 3 2 2" xfId="2347"/>
    <cellStyle name="汇总 2 5 2 3 5" xfId="2348"/>
    <cellStyle name="常规 10 7 2 2" xfId="2349"/>
    <cellStyle name="输出 2 2 3 5 4 3" xfId="2350"/>
    <cellStyle name="输出 2 2 3 2 2 6 2" xfId="2351"/>
    <cellStyle name="输入 2 5 2 8 2" xfId="2352"/>
    <cellStyle name="强调文字颜色 3 2 2 2 2 2 3 2" xfId="2353"/>
    <cellStyle name="好 4 3 2 2 2" xfId="2354"/>
    <cellStyle name="常规 6 3 2 3" xfId="2355"/>
    <cellStyle name="60% - 强调文字颜色 6 2 2 6 3 2" xfId="2356"/>
    <cellStyle name="注释 2 2 7 2 2 4" xfId="2357"/>
    <cellStyle name="注释 2 2 4 2 2 5 2" xfId="2358"/>
    <cellStyle name="输出 2 2 3 3 2 2 2 2 2" xfId="2359"/>
    <cellStyle name="汇总 2 6 2 10" xfId="2360"/>
    <cellStyle name="标题 2 2 3 6 3" xfId="2361"/>
    <cellStyle name="计算 2 3 2 2 3 3" xfId="2362"/>
    <cellStyle name="常规 4 6 3 2" xfId="2363"/>
    <cellStyle name="注释 2 2 10" xfId="2364"/>
    <cellStyle name="常规 8 5 2" xfId="2365"/>
    <cellStyle name="常规 4 2 4 3 2" xfId="2366"/>
    <cellStyle name="输出 2 4 2 8 2" xfId="2367"/>
    <cellStyle name="常规 3 3 2 2 2 3" xfId="2368"/>
    <cellStyle name="注释 2 5 2 4 2 2" xfId="2369"/>
    <cellStyle name="计算 3 2 4 3 3" xfId="2370"/>
    <cellStyle name="计算 2 10 2" xfId="2371"/>
    <cellStyle name="60% - 强调文字颜色 2 2 2 2" xfId="2372"/>
    <cellStyle name="计算 2 2 4 2 5 2" xfId="2373"/>
    <cellStyle name="好 2 2 2 2 5 3" xfId="2374"/>
    <cellStyle name="汇总 3 2 2 4 2 2" xfId="2375"/>
    <cellStyle name="强调文字颜色 2 3 4" xfId="2376"/>
    <cellStyle name="计算 2 3 2 10 2" xfId="2377"/>
    <cellStyle name="输入 2 6 2 2 6" xfId="2378"/>
    <cellStyle name="汇总 2 2 5 3 7" xfId="2379"/>
    <cellStyle name="注释 2 2 3 4 2 2" xfId="2380"/>
    <cellStyle name="汇总 2 2 3 2 3 5 2" xfId="2381"/>
    <cellStyle name="20% - 强调文字颜色 1 2 7 2 2 2" xfId="2382"/>
    <cellStyle name="输出 3 2 3" xfId="2383"/>
    <cellStyle name="强调文字颜色 3 2 2 6 3 2 2" xfId="2384"/>
    <cellStyle name="输入 2 9 2" xfId="2385"/>
    <cellStyle name="输出 2 2 3 3 2 3 2" xfId="2386"/>
    <cellStyle name="60% - 强调文字颜色 3 2 8" xfId="2387"/>
    <cellStyle name="60% - 强调文字颜色 2 2 3 6" xfId="2388"/>
    <cellStyle name="计算 2 11 6" xfId="2389"/>
    <cellStyle name="好 2 2 2 7" xfId="2390"/>
    <cellStyle name="强调文字颜色 2 3 8" xfId="2391"/>
    <cellStyle name="汇总 2 2 5 4 2 3 2" xfId="2392"/>
    <cellStyle name="标题 4 3 2 6" xfId="2393"/>
    <cellStyle name="链接单元格 3 2 4 2" xfId="2394"/>
    <cellStyle name="解释性文本 4 3" xfId="2395"/>
    <cellStyle name="无色 4 2 2" xfId="2396"/>
    <cellStyle name="注释 2 5 7 2" xfId="2397"/>
    <cellStyle name="计算 2 2 11 2 2" xfId="2398"/>
    <cellStyle name="解释性文本 2 2 3 6 2" xfId="2399"/>
    <cellStyle name="输出 2 4 2 2 2 5" xfId="2400"/>
    <cellStyle name="输出 2 3 2 8 2" xfId="2401"/>
    <cellStyle name="汇总 2 2 3 2 12" xfId="2402"/>
    <cellStyle name="计算 2 5 2 3 2 3 2 2" xfId="2403"/>
    <cellStyle name="注释 5 2" xfId="2404"/>
    <cellStyle name="强调文字颜色 3 2 2 2 6" xfId="2405"/>
    <cellStyle name="常规 5 2 2 3 2 2" xfId="2406"/>
    <cellStyle name="常规 5 5 2 4" xfId="2407"/>
    <cellStyle name="常规 16 3 2" xfId="2408"/>
    <cellStyle name="强调文字颜色 2 2 2 4 3 2 2" xfId="2409"/>
    <cellStyle name="常规 15" xfId="2410"/>
    <cellStyle name="常规 20" xfId="2411"/>
    <cellStyle name="好 4 5" xfId="2412"/>
    <cellStyle name="输入 2 5 3" xfId="2413"/>
    <cellStyle name="适中 2 4 2 2 2 2" xfId="2414"/>
    <cellStyle name="超链接 2 3 3 3 2" xfId="2415"/>
    <cellStyle name="常规 4 3 3 4 3" xfId="2416"/>
    <cellStyle name="标题 1 3 3 4" xfId="2417"/>
    <cellStyle name="计算 3 4 3" xfId="2418"/>
    <cellStyle name="警告文本 2 7 2 2 2" xfId="2419"/>
    <cellStyle name="注释 2 3 2 4 2 2" xfId="2420"/>
    <cellStyle name="输出 2 2 3 2 2 5" xfId="2421"/>
    <cellStyle name="强调文字颜色 6 2 2 3 7" xfId="2422"/>
    <cellStyle name="常规 5 5 2 3 3 3" xfId="2423"/>
    <cellStyle name="20% - 强调文字颜色 3 2 2 2 2 4 3 2 2" xfId="2424"/>
    <cellStyle name="警告文本 3 5" xfId="2425"/>
    <cellStyle name="输入 4 2 3 2" xfId="2426"/>
    <cellStyle name="计算 2 5 2 4 2 4 2" xfId="2427"/>
    <cellStyle name="常规 2 2 2 2 5" xfId="2428"/>
    <cellStyle name="标题 2 2 3 2 2 3 2" xfId="2429"/>
    <cellStyle name="标题 1 2 2 2 2 5 2" xfId="2430"/>
    <cellStyle name="汇总 6 3 2 2" xfId="2431"/>
    <cellStyle name="适中 2 3 2 3 2" xfId="2432"/>
    <cellStyle name="汇总 2 2 5 4 2 2 2 2" xfId="2433"/>
    <cellStyle name="40% - 强调文字颜色 1 6 2 2 2" xfId="2434"/>
    <cellStyle name="常规 9 5 2 2 2" xfId="2435"/>
    <cellStyle name="输出 2 3 2 3 2 3" xfId="2436"/>
    <cellStyle name="输入 2 2 4 4 8" xfId="2437"/>
    <cellStyle name="强调文字颜色 5 2 2 6 2 2" xfId="2438"/>
    <cellStyle name="汇总 2 8 4 4" xfId="2439"/>
    <cellStyle name="标题 4 2 2 2 4 3 2 2" xfId="2440"/>
    <cellStyle name="20% - 强调文字颜色 5 4 2 4" xfId="2441"/>
    <cellStyle name="40% - 强调文字颜色 6 2 2 2 3 5" xfId="2442"/>
    <cellStyle name="输入 3 3 3 2" xfId="2443"/>
    <cellStyle name="常规 5 6 3 5" xfId="2444"/>
    <cellStyle name="汇总 2 2 9 2 2" xfId="2445"/>
    <cellStyle name="注释 4 2 4 3" xfId="2446"/>
    <cellStyle name="强调文字颜色 3 2 3 3 7" xfId="2447"/>
    <cellStyle name="注释 2 2 3 2 2 2 2 2 2 2" xfId="2448"/>
    <cellStyle name="40% - 强调文字颜色 2 2 2 2 2 2" xfId="2449"/>
    <cellStyle name="计算 2 5 10 3" xfId="2450"/>
    <cellStyle name="强调文字颜色 4 3 2 4 2" xfId="2451"/>
    <cellStyle name="常规 5 2 3 2 3" xfId="2452"/>
    <cellStyle name="Normal 2 5 3" xfId="2453"/>
    <cellStyle name="检查单元格 2 2 6 2 2" xfId="2454"/>
    <cellStyle name="注释 4 5 2 2" xfId="2455"/>
    <cellStyle name="计算 2 6 2 3 4 2" xfId="2456"/>
    <cellStyle name="解释性文本 2 2 6 2" xfId="2457"/>
    <cellStyle name="常规 2 2 3 4" xfId="2458"/>
    <cellStyle name="60% - 强调文字颜色 5 2 9 2" xfId="2459"/>
    <cellStyle name="强调文字颜色 3 2 3 5 2 3" xfId="2460"/>
    <cellStyle name="汇总 2 2 2 4 7" xfId="2461"/>
    <cellStyle name="计算 2 2 3 13" xfId="2462"/>
    <cellStyle name="60% - 强调文字颜色 2 2 2 5 2 2" xfId="2463"/>
    <cellStyle name="计算 2 10 5 2 2" xfId="2464"/>
    <cellStyle name="强调文字颜色 6 2 2 3 2" xfId="2465"/>
    <cellStyle name="常规 5 2 5 2 2" xfId="2466"/>
    <cellStyle name="输出 2 2 3 2 2 3 3 2" xfId="2467"/>
    <cellStyle name="输入 2 2 4 2 3 3" xfId="2468"/>
    <cellStyle name="输出 2 3 11" xfId="2469"/>
    <cellStyle name="计算 2 4 2 3 2 3" xfId="2470"/>
    <cellStyle name="注释 2 2 9 3 2" xfId="2471"/>
    <cellStyle name="输出 2 7 11" xfId="2472"/>
    <cellStyle name="警告文本 2 5 2" xfId="2473"/>
    <cellStyle name="输入 4 2 2 2 2" xfId="2474"/>
    <cellStyle name="输入 2 2 9 7" xfId="2475"/>
    <cellStyle name="汇总 2 2 3 3 2 7" xfId="2476"/>
    <cellStyle name="注释 2 2 4 3 4" xfId="2477"/>
    <cellStyle name="注释 2 7 2 5" xfId="2478"/>
    <cellStyle name="强调文字颜色 1 2 3 2 3 2" xfId="2479"/>
    <cellStyle name="输出 2 4 9 2" xfId="2480"/>
    <cellStyle name="常规 2 3 7 2" xfId="2481"/>
    <cellStyle name="汇总 3 7 3" xfId="2482"/>
    <cellStyle name="常规 14 6" xfId="2483"/>
    <cellStyle name="40% - 强调文字颜色 5 3 4 2 2" xfId="2484"/>
    <cellStyle name="强调文字颜色 2 2 2 4 4" xfId="2485"/>
    <cellStyle name="好 2 4 4 2 2" xfId="2486"/>
    <cellStyle name="常规 3 3 3 4 2" xfId="2487"/>
    <cellStyle name="输入 2 5 2 6" xfId="2488"/>
    <cellStyle name="强调文字颜色 1 2 9" xfId="2489"/>
    <cellStyle name="输入 5 2 2 2 2" xfId="2490"/>
    <cellStyle name="强调文字颜色 5 4 2 3" xfId="2491"/>
    <cellStyle name="解释性文本 2 3 4 3 2 2" xfId="2492"/>
    <cellStyle name="汇总 2 3 5 3" xfId="2493"/>
    <cellStyle name="输出 2 4 3 5 2 2" xfId="2494"/>
    <cellStyle name="40% - 强调文字颜色 4 3 2 3 2 2" xfId="2495"/>
    <cellStyle name="差 2 3 2 6 3" xfId="2496"/>
    <cellStyle name="好 6 3" xfId="2497"/>
    <cellStyle name="标题 2 2 3 6 2 2 2" xfId="2498"/>
    <cellStyle name="常规 8 3 3 2 2 2" xfId="2499"/>
    <cellStyle name="计算 4 4 2 2" xfId="2500"/>
    <cellStyle name="输出 4 2 6 3" xfId="2501"/>
    <cellStyle name="标题 4 2 2 2 2 4 3 2" xfId="2502"/>
    <cellStyle name="计算 2 8 5 5" xfId="2503"/>
    <cellStyle name="适中 2 3 2 2 2 2 2 2" xfId="2504"/>
    <cellStyle name="40% - 强调文字颜色 2 2 3 4 2" xfId="2505"/>
    <cellStyle name="计算 4 3 5 2" xfId="2506"/>
    <cellStyle name="汇总 2 2 4 5 2 3 2" xfId="2507"/>
    <cellStyle name="20% - 强调文字颜色 1 2 2 2 2 2 2 3 2" xfId="2508"/>
    <cellStyle name="汇总 2 2 4 2 4 5 2" xfId="2509"/>
    <cellStyle name="好 2 2 2" xfId="2510"/>
    <cellStyle name="差 2 3 2 2 2 2" xfId="2511"/>
    <cellStyle name="计算 2 2 4 5 3 3" xfId="2512"/>
    <cellStyle name="60% - 强调文字颜色 4 2 2 8 2" xfId="2513"/>
    <cellStyle name="输出 3 2 2 5 2" xfId="2514"/>
    <cellStyle name="标题 5 4 3" xfId="2515"/>
    <cellStyle name="输入 2 2 2 2 3" xfId="2516"/>
    <cellStyle name="输出 2 5 3 3 2" xfId="2517"/>
    <cellStyle name="20% - 强调文字颜色 6 2 2 3 4 3" xfId="2518"/>
    <cellStyle name="常规 11 3 3 3 2" xfId="2519"/>
    <cellStyle name="计算 2 6 3 2 4" xfId="2520"/>
    <cellStyle name="检查单元格 2 3 5 2" xfId="2521"/>
    <cellStyle name="标题 5 2 2 2 3 4" xfId="2522"/>
    <cellStyle name="常规 4 6 2 5" xfId="2523"/>
    <cellStyle name="计算 2 3 2 2 2 6" xfId="2524"/>
    <cellStyle name="注释 3 2 3 3" xfId="2525"/>
    <cellStyle name="常规 13 2 2 2 3" xfId="2526"/>
    <cellStyle name="输入 2 3 2 2" xfId="2527"/>
    <cellStyle name="常规 4 2 4 2 5" xfId="2528"/>
    <cellStyle name="解释性文本 3 3 4" xfId="2529"/>
    <cellStyle name="60% - 强调文字颜色 6 3 7" xfId="2530"/>
    <cellStyle name="好 2 4 2" xfId="2531"/>
    <cellStyle name="强调文字颜色 5 2 3 5 2" xfId="2532"/>
    <cellStyle name="汇总 2 7 4 3" xfId="2533"/>
    <cellStyle name="40% - 强调文字颜色 6 2 2 4 5" xfId="2534"/>
    <cellStyle name="输出 2 2 3 2 3 2 2 2" xfId="2535"/>
    <cellStyle name="解释性文本 2 2 2 4 2 2 2" xfId="2536"/>
    <cellStyle name="计算 2 6 2 5" xfId="2537"/>
    <cellStyle name="60% - 强调文字颜色 3 2 2 2 4 2 2 2" xfId="2538"/>
    <cellStyle name="好 2 2 6 4" xfId="2539"/>
    <cellStyle name="输出 2 2 3 3 5 3" xfId="2540"/>
    <cellStyle name="常规 2 2 2 8 2 2 2" xfId="2541"/>
    <cellStyle name="强调文字颜色 5 2 2 2" xfId="2542"/>
    <cellStyle name="计算 2 6 2 2 3 2 3" xfId="2543"/>
    <cellStyle name="计算 2 8 3 2 3 2" xfId="2544"/>
    <cellStyle name="检查单元格 2 2 2 2 7" xfId="2545"/>
    <cellStyle name="计算 2 2 2 2 2 2 2 2 2 2" xfId="2546"/>
    <cellStyle name="60% - 强调文字颜色 6 5 2 2 2 2" xfId="2547"/>
    <cellStyle name="计算 2 2 4 9 3" xfId="2548"/>
    <cellStyle name="输入 2 2 5 2 2 4 3" xfId="2549"/>
    <cellStyle name="超链接 3 2 2 2 3 4" xfId="2550"/>
    <cellStyle name="输入 3 2 4 3" xfId="2551"/>
    <cellStyle name="汇总 2 2 8 3 3" xfId="2552"/>
    <cellStyle name="警告文本 2 2 3 8" xfId="2553"/>
    <cellStyle name="强调文字颜色 1 2 2 4 3 3 2" xfId="2554"/>
    <cellStyle name="注释 3 4 3 2" xfId="2555"/>
    <cellStyle name="标题 4 4 2 3 2 2 2" xfId="2556"/>
    <cellStyle name="计算 2 2 3 4 4 3" xfId="2557"/>
    <cellStyle name="标题 5 3 2 3 2 2 2" xfId="2558"/>
    <cellStyle name="输出 3 6 2" xfId="2559"/>
    <cellStyle name="输入 2 2 3 3 2 2 2" xfId="2560"/>
    <cellStyle name="链接单元格 2 2 2 4 3" xfId="2561"/>
    <cellStyle name="计算 2 2 2 6 2 2" xfId="2562"/>
    <cellStyle name="标题 6 5 2 2 2" xfId="2563"/>
    <cellStyle name="20% - 强调文字颜色 3 2 7 3 2 2" xfId="2564"/>
    <cellStyle name="解释性文本 2 2 2 3" xfId="2565"/>
    <cellStyle name="60% - 强调文字颜色 5 2 5 3" xfId="2566"/>
    <cellStyle name="差 2 3 4 3 2" xfId="2567"/>
    <cellStyle name="40% - 强调文字颜色 2 2 2 2 2 2 5" xfId="2568"/>
    <cellStyle name="差 4 2 2 2 2 2" xfId="2569"/>
    <cellStyle name="强调文字颜色 6 2 4 2 2 2" xfId="2570"/>
    <cellStyle name="20% - 强调文字颜色 3 2 2 2 3 2 2 2 2 2" xfId="2571"/>
    <cellStyle name="60% - 强调文字颜色 5 2 2 4 3 2" xfId="2572"/>
    <cellStyle name="适中 2 2 4 2 2 2 2" xfId="2573"/>
    <cellStyle name="强调文字颜色 4 2 2 2 2 6" xfId="2574"/>
    <cellStyle name="适中 3 3 2" xfId="2575"/>
    <cellStyle name="好 4 2 3 2 3" xfId="2576"/>
    <cellStyle name="20% - 强调文字颜色 6 2 7 3" xfId="2577"/>
    <cellStyle name="常规 10 5 5" xfId="2578"/>
    <cellStyle name="注释 6 2 2" xfId="2579"/>
    <cellStyle name="标题 2 2 4 3 2 2 2" xfId="2580"/>
    <cellStyle name="计算 2 4 2 2 4 2" xfId="2581"/>
    <cellStyle name="20% - 强调文字颜色 6 2 2 4 2 3" xfId="2582"/>
    <cellStyle name="检查单元格 2 4 3 2" xfId="2583"/>
    <cellStyle name="好 2 2 2 3 6" xfId="2584"/>
    <cellStyle name="40% - 强调文字颜色 6 2 2 2 2 2 3 3 2 2" xfId="2585"/>
    <cellStyle name="标题 5 2 3 4 4" xfId="2586"/>
    <cellStyle name="20% - 强调文字颜色 3 2 2 4 4 2" xfId="2587"/>
    <cellStyle name="计算 2 5 7" xfId="2588"/>
    <cellStyle name="标题 1 2 4 8" xfId="2589"/>
    <cellStyle name="输入 3 3 5 3" xfId="2590"/>
    <cellStyle name="标题 2 2 2 3 3 3" xfId="2591"/>
    <cellStyle name="计算 2 2 2 3 5" xfId="2592"/>
    <cellStyle name="注释 2 8 2 2 2" xfId="2593"/>
    <cellStyle name="注释 2 3 2 9" xfId="2594"/>
    <cellStyle name="强调文字颜色 3 4 2 4" xfId="2595"/>
    <cellStyle name="汇总 2 2 4 8 2 2" xfId="2596"/>
    <cellStyle name="计算 2 2 2 2 7" xfId="2597"/>
    <cellStyle name="汇总 2 2 9 3 5" xfId="2598"/>
    <cellStyle name="汇总 2 7 2 2 8" xfId="2599"/>
    <cellStyle name="标题 3 2 3 3 2 3" xfId="2600"/>
    <cellStyle name="输入 2 2 5 2 2 2" xfId="2601"/>
    <cellStyle name="输出 2 2 5 7 2" xfId="2602"/>
    <cellStyle name="60% - 强调文字颜色 3 2 2 3 4" xfId="2603"/>
    <cellStyle name="计算 2 2 4 7" xfId="2604"/>
    <cellStyle name="输入 2 2 3 5 3" xfId="2605"/>
    <cellStyle name="汇总 2 9 3 3 2 2" xfId="2606"/>
    <cellStyle name="标题 1 2 3 2 6 2" xfId="2607"/>
    <cellStyle name="计算 2 2 3 2 3 6" xfId="2608"/>
    <cellStyle name="强调文字颜色 2 2 3 3 7" xfId="2609"/>
    <cellStyle name="输入 2 5 3 3 2 3" xfId="2610"/>
    <cellStyle name="汇总 2 2 2 3 4 3" xfId="2611"/>
    <cellStyle name="输入 2 2 4 2 3 3 2" xfId="2612"/>
    <cellStyle name="输入 2 3 2 3 2 2 2" xfId="2613"/>
    <cellStyle name="输入 2 2 2 2 2 2 4" xfId="2614"/>
    <cellStyle name="输出 2 5 3 9" xfId="2615"/>
    <cellStyle name="常规 9 4 2 2 3" xfId="2616"/>
    <cellStyle name="适中 2 3 2 2" xfId="2617"/>
    <cellStyle name="输出 3 2 2 8" xfId="2618"/>
    <cellStyle name="汇总 2 6 2 3 2 3" xfId="2619"/>
    <cellStyle name="强调文字颜色 2 2 7" xfId="2620"/>
    <cellStyle name="汇总 2 2 2 6 4 2" xfId="2621"/>
    <cellStyle name="强调文字颜色 5 2 2 3 2 2 3" xfId="2622"/>
    <cellStyle name="强调文字颜色 1 2 4 4" xfId="2623"/>
    <cellStyle name="常规 3 4" xfId="2624"/>
    <cellStyle name="输出 2 7 5 2 2" xfId="2625"/>
    <cellStyle name="常规 2 6 3 2 2" xfId="2626"/>
    <cellStyle name="标题 1 4 2 3 2 2 2" xfId="2627"/>
    <cellStyle name="输出 2 7 4 5" xfId="2628"/>
    <cellStyle name="计算 2 2 7 8 2 2" xfId="2629"/>
    <cellStyle name="60% - 强调文字颜色 6 2 2 10" xfId="2630"/>
    <cellStyle name="20% - 强调文字颜色 3 3 5 2 2" xfId="2631"/>
    <cellStyle name="计算 2 2 3 3 2 4 2 2" xfId="2632"/>
    <cellStyle name="输出 2 2 2 2 2 3 2" xfId="2633"/>
    <cellStyle name="输入 2 2 3 5" xfId="2634"/>
    <cellStyle name="汇总 3 4 7" xfId="2635"/>
    <cellStyle name="注释 2 2 4 4 3 3" xfId="2636"/>
    <cellStyle name="输出 5 2 2 2" xfId="2637"/>
    <cellStyle name="汇总 2 2 2 2 2 4" xfId="2638"/>
    <cellStyle name="20% - 强调文字颜色 4 2 2 2 2 2 2 3" xfId="2639"/>
    <cellStyle name="汇总 3 2 3 2 2 2" xfId="2640"/>
    <cellStyle name="计算 2 2 11 6" xfId="2641"/>
    <cellStyle name="汇总 2 4 8 2 2" xfId="2642"/>
    <cellStyle name="常规 5 2 4 3 3 3" xfId="2643"/>
    <cellStyle name="输出 2 2 5 2 4" xfId="2644"/>
    <cellStyle name="计算 2 5 2 3 2 2 2 2" xfId="2645"/>
    <cellStyle name="输入 5 2 3 2" xfId="2646"/>
    <cellStyle name="检查单元格 2 7 2 2 2" xfId="2647"/>
    <cellStyle name="计算 2 5 5 2 6" xfId="2648"/>
    <cellStyle name="汇总 2 2 4 4 3 3" xfId="2649"/>
    <cellStyle name="20% - 强调文字颜色 1 2 2 4 2 2 2" xfId="2650"/>
    <cellStyle name="注释 2 2 3 5" xfId="2651"/>
    <cellStyle name="强调文字颜色 3 2 2 6 4" xfId="2652"/>
    <cellStyle name="常规 10 4 3 3 3" xfId="2653"/>
    <cellStyle name="计算 2 6 2 3 4" xfId="2654"/>
    <cellStyle name="常规 11 3 2 4 2" xfId="2655"/>
    <cellStyle name="注释 2 2 2 2 2 2 3 2 2" xfId="2656"/>
    <cellStyle name="常规 25 2" xfId="2657"/>
    <cellStyle name="60% - 强调文字颜色 5 2 9" xfId="2658"/>
    <cellStyle name="解释性文本 2 2 6" xfId="2659"/>
    <cellStyle name="输入 2 2 4 4 4 3" xfId="2660"/>
    <cellStyle name="检查单元格 2 2 4 6" xfId="2661"/>
    <cellStyle name="60% - 强调文字颜色 5 2 2 6 3" xfId="2662"/>
    <cellStyle name="强调文字颜色 6 2 4 4 2" xfId="2663"/>
    <cellStyle name="适中 5 3" xfId="2664"/>
    <cellStyle name="注释 2 2 5 6 2 2" xfId="2665"/>
    <cellStyle name="输出 2 2 4 3 9" xfId="2666"/>
    <cellStyle name="差 2 2 4 3 2 2" xfId="2667"/>
    <cellStyle name="60% - 强调文字颜色 4 2 5 3 2" xfId="2668"/>
    <cellStyle name="注释 2 2 2 2 3 5" xfId="2669"/>
    <cellStyle name="汇总 2 8 5 3 2" xfId="2670"/>
    <cellStyle name="警告文本 2 2 6 3" xfId="2671"/>
    <cellStyle name="汇总 2 2 9 2 7" xfId="2672"/>
    <cellStyle name="强调文字颜色 5 3 4 3" xfId="2673"/>
    <cellStyle name="计算 2 2 4 2 11" xfId="2674"/>
    <cellStyle name="20% - 强调文字颜色 5 2 4 4 2 2" xfId="2675"/>
    <cellStyle name="汇总 2 2 7 3" xfId="2676"/>
    <cellStyle name="40% - 强调文字颜色 1 2 4 2" xfId="2677"/>
    <cellStyle name="输出 2 4 5 2 2 2 2" xfId="2678"/>
    <cellStyle name="常规 2 3 3 2 2 2 2" xfId="2679"/>
    <cellStyle name="计算 2 17 2" xfId="2680"/>
    <cellStyle name="60% - 强调文字颜色 2 2 9 2" xfId="2681"/>
    <cellStyle name="强调文字颜色 1 2 2 2 4 2 2" xfId="2682"/>
    <cellStyle name="计算 2 2 3 9" xfId="2683"/>
    <cellStyle name="60% - 强调文字颜色 3 2 2 2 6" xfId="2684"/>
    <cellStyle name="输入 2 2 3 4 5" xfId="2685"/>
    <cellStyle name="输入 2 5 3 3 2 2 2" xfId="2686"/>
    <cellStyle name="适中 2 2 2 2 7" xfId="2687"/>
    <cellStyle name="检查单元格 2 2 3 2 2 2" xfId="2688"/>
    <cellStyle name="汇总 2 6 3 2 3" xfId="2689"/>
    <cellStyle name="计算 3 16" xfId="2690"/>
    <cellStyle name="超链接 2 3 3 2 2 2" xfId="2691"/>
    <cellStyle name="强调文字颜色 5 2 3 7" xfId="2692"/>
    <cellStyle name="输出 2 4 2 14" xfId="2693"/>
    <cellStyle name="强调文字颜色 2 2 2 2 2 3 2 2" xfId="2694"/>
    <cellStyle name="20% - 强调文字颜色 1 3 2 3 2 2" xfId="2695"/>
    <cellStyle name="计算 2 2 8 5 3 2" xfId="2696"/>
    <cellStyle name="警告文本 3 8" xfId="2697"/>
    <cellStyle name="汇总 2 2 4 3 10" xfId="2698"/>
    <cellStyle name="常规 10 2 3 4" xfId="2699"/>
    <cellStyle name="输出 2 2 2 4 2 3 2" xfId="2700"/>
    <cellStyle name="适中 2 3 2 3 3 2" xfId="2701"/>
    <cellStyle name="强调文字颜色 3 2 2 2 3 3 2" xfId="2702"/>
    <cellStyle name="常规 11 3 3 2" xfId="2703"/>
    <cellStyle name="20% - 强调文字颜色 5 2 8 2" xfId="2704"/>
    <cellStyle name="输出 2 2 6 2 5" xfId="2705"/>
    <cellStyle name="注释 5 3" xfId="2706"/>
    <cellStyle name="标题 6 2 3 2 2" xfId="2707"/>
    <cellStyle name="无色" xfId="2708"/>
    <cellStyle name="检查单元格 2 3 4" xfId="2709"/>
    <cellStyle name="常规 7 2 2 2 5 2 2" xfId="2710"/>
    <cellStyle name="20% - 强调文字颜色 3 2 4 4 2 2" xfId="2711"/>
    <cellStyle name="警告文本 2 3 2 4" xfId="2712"/>
    <cellStyle name="强调文字颜色 6 3 3 3" xfId="2713"/>
    <cellStyle name="输入 2 5 10" xfId="2714"/>
    <cellStyle name="常规 10 3 2 6" xfId="2715"/>
    <cellStyle name="注释 2 2 3 2 2 2 3 2" xfId="2716"/>
    <cellStyle name="超链接 3 3 2 2 3 2" xfId="2717"/>
    <cellStyle name="常规 5 4 2" xfId="2718"/>
    <cellStyle name="差 2 2 2 2 4 3 2" xfId="2719"/>
    <cellStyle name="输出 2 2 2 2 2 5 3" xfId="2720"/>
    <cellStyle name="输出 2 4 3 3 2 2" xfId="2721"/>
    <cellStyle name="常规 9 3 4 3 2" xfId="2722"/>
    <cellStyle name="警告文本 2 2 2 2 6 2 2" xfId="2723"/>
    <cellStyle name="计算 2 8 3 2 3 3" xfId="2724"/>
    <cellStyle name="解释性文本 2 8 2 2" xfId="2725"/>
    <cellStyle name="汇总 2 5 2 9" xfId="2726"/>
    <cellStyle name="强调文字颜色 6 5 2 2" xfId="2727"/>
    <cellStyle name="差 3 3" xfId="2728"/>
    <cellStyle name="汇总 3 4 5 2" xfId="2729"/>
    <cellStyle name="常规 8 2 2 2 2" xfId="2730"/>
    <cellStyle name="60% - 强调文字颜色 1 2 3 2 3 3" xfId="2731"/>
    <cellStyle name="计算 3 2 4 2 2 2" xfId="2732"/>
    <cellStyle name="20% - 强调文字颜色 4 2 7 2 2" xfId="2733"/>
    <cellStyle name="常规 5 2 3 4 2 4 2" xfId="2734"/>
    <cellStyle name="常规 10 3 2 2 2" xfId="2735"/>
    <cellStyle name="输入 4 3 2" xfId="2736"/>
    <cellStyle name="注释 2 4 2 3 2 6" xfId="2737"/>
    <cellStyle name="汇总 2 2 2 12 2" xfId="2738"/>
    <cellStyle name="输入 2 5 2 2 2 4" xfId="2739"/>
    <cellStyle name="汇总 3 2 2 2 4 2" xfId="2740"/>
    <cellStyle name="标题 3 2 3 4 3 3" xfId="2741"/>
    <cellStyle name="60% - 强调文字颜色 6 3 2 5" xfId="2742"/>
    <cellStyle name="强调文字颜色 3 2 2 7 2" xfId="2743"/>
    <cellStyle name="常规 5 4 2 2 4" xfId="2744"/>
    <cellStyle name="强调文字颜色 4 2 2 2 4 2" xfId="2745"/>
    <cellStyle name="常规 5 3 3 2 2 2" xfId="2746"/>
    <cellStyle name="输出 2 4 2 2 2 8" xfId="2747"/>
    <cellStyle name="计算 2 5 5 4 3" xfId="2748"/>
    <cellStyle name="20% - 强调文字颜色 1 2 2 3 4" xfId="2749"/>
    <cellStyle name="输入 2 2 3 2" xfId="2750"/>
    <cellStyle name="强调文字颜色 1 4 3 2" xfId="2751"/>
    <cellStyle name="汇总 2 2 4 4 2 2 2 2" xfId="2752"/>
    <cellStyle name="输出 2 5 2 2 3 3" xfId="2753"/>
    <cellStyle name="汇总 2 5 2 3 2 4 2" xfId="2754"/>
    <cellStyle name="链接单元格 3 3 3 2" xfId="2755"/>
    <cellStyle name="适中 2 9" xfId="2756"/>
    <cellStyle name="汇总 3 5 2 2" xfId="2757"/>
    <cellStyle name="强调文字颜色 5 2 3 4 2 2" xfId="2758"/>
    <cellStyle name="计算 3 5 3" xfId="2759"/>
    <cellStyle name="20% - 强调文字颜色 2 2 2 3 4 3 2" xfId="2760"/>
    <cellStyle name="输出 4 3" xfId="2761"/>
    <cellStyle name="强调文字颜色 4 2 4 9" xfId="2762"/>
    <cellStyle name="超链接 3 3 3 2 3 2" xfId="2763"/>
    <cellStyle name="汇总 2 4 3 2 5 2" xfId="2764"/>
    <cellStyle name="注释 2 3 6 3" xfId="2765"/>
    <cellStyle name="计算 2 9 2 3 2 2" xfId="2766"/>
    <cellStyle name="汇总 2 5 3 3 5" xfId="2767"/>
    <cellStyle name="超链接 3 3 2 2 2 2 2" xfId="2768"/>
    <cellStyle name="检查单元格 2 2 5 2" xfId="2769"/>
    <cellStyle name="20% - 强调文字颜色 5 2 7 3 2" xfId="2770"/>
    <cellStyle name="计算 2 6 2 2 4" xfId="2771"/>
    <cellStyle name="常规 19 2" xfId="2772"/>
    <cellStyle name="常规 11 3 2 3 2" xfId="2773"/>
    <cellStyle name="20% - 强调文字颜色 6 2 2 2 4 3" xfId="2774"/>
    <cellStyle name="标题 2 2 6 3 2 2" xfId="2775"/>
    <cellStyle name="注释 4 4 2" xfId="2776"/>
    <cellStyle name="强调文字颜色 1 2 3 3 6" xfId="2777"/>
    <cellStyle name="计算 3 2 5 2 2" xfId="2778"/>
    <cellStyle name="标题 5 3 7" xfId="2779"/>
    <cellStyle name="检查单元格 2 2 4 3 2 2 2" xfId="2780"/>
    <cellStyle name="输入 2 2 5 2 2 2 4" xfId="2781"/>
    <cellStyle name="输入 2 2 2 3 2" xfId="2782"/>
    <cellStyle name="汇总 2 3 2 2 3 5" xfId="2783"/>
    <cellStyle name="常规 6 2 2 3 2 2 2" xfId="2784"/>
    <cellStyle name="强调文字颜色 4 2 3 6" xfId="2785"/>
    <cellStyle name="40% - 强调文字颜色 4 2 2 7 2" xfId="2786"/>
    <cellStyle name="注释 2 2 4 3 4 2" xfId="2787"/>
    <cellStyle name="汇总 2 5 6" xfId="2788"/>
    <cellStyle name="差 2 2 2 3 2" xfId="2789"/>
    <cellStyle name="输入 2 2 5 3 9" xfId="2790"/>
    <cellStyle name="常规 7 2 2 4 2 2 2" xfId="2791"/>
    <cellStyle name="注释 2 2 3 6 2" xfId="2792"/>
    <cellStyle name="输出 2 4 3 2 5" xfId="2793"/>
    <cellStyle name="强调文字颜色 1 2 2 3 4 2 3" xfId="2794"/>
    <cellStyle name="标题 4 2 2 2 2 5 2" xfId="2795"/>
    <cellStyle name="好 2 3 2 2 3 2" xfId="2796"/>
    <cellStyle name="输入 3 2 6 2 2" xfId="2797"/>
    <cellStyle name="标题 5 2 2 4" xfId="2798"/>
    <cellStyle name="输入 2 2 8 3 5" xfId="2799"/>
    <cellStyle name="计算 2 7 2 9" xfId="2800"/>
    <cellStyle name="20% - 强调文字颜色 1 2 4 4 2 2" xfId="2801"/>
    <cellStyle name="强调文字颜色 1 2 3 2 3" xfId="2802"/>
    <cellStyle name="常规 2 3 7" xfId="2803"/>
    <cellStyle name="输出 2 4 9" xfId="2804"/>
    <cellStyle name="汇总 2 6 3 2 3 2" xfId="2805"/>
    <cellStyle name="汇总 2 2 3 10 3" xfId="2806"/>
    <cellStyle name="计算 2 2 4 5 5 3" xfId="2807"/>
    <cellStyle name="输出 2 4 2 4 2 3" xfId="2808"/>
    <cellStyle name="标题 6 2 3 3" xfId="2809"/>
    <cellStyle name="常规 11 3 4" xfId="2810"/>
    <cellStyle name="强调文字颜色 1 3 3 3 2" xfId="2811"/>
    <cellStyle name="20% - 强调文字颜色 4 2 5 3" xfId="2812"/>
    <cellStyle name="强调文字颜色 3 2 2 2 4 3 2" xfId="2813"/>
    <cellStyle name="常规 5 5 2 2 3 2" xfId="2814"/>
    <cellStyle name="40% - 强调文字颜色 3 2 2 3 4 2 2 2" xfId="2815"/>
    <cellStyle name="适中 2 3 2 4 3 2" xfId="2816"/>
    <cellStyle name="标题 2 2 4 2 2 3" xfId="2817"/>
    <cellStyle name="计算 2 14 3" xfId="2818"/>
    <cellStyle name="好 2 2 3 3 2 3" xfId="2819"/>
    <cellStyle name="汇总 2 5 5 5" xfId="2820"/>
    <cellStyle name="标题 4 2 3 4 3 2 2" xfId="2821"/>
    <cellStyle name="计算 2 2 4 2 3 6" xfId="2822"/>
    <cellStyle name="常规 12 4 2 3 3" xfId="2823"/>
    <cellStyle name="汇总 2 2 3 3 4 3" xfId="2824"/>
    <cellStyle name="输入 2 2 4 3 3 3 2" xfId="2825"/>
    <cellStyle name="常规 9 4 2 4" xfId="2826"/>
    <cellStyle name="好 2 2 2 3 2" xfId="2827"/>
    <cellStyle name="强调文字颜色 2 3 4 2" xfId="2828"/>
    <cellStyle name="计算 2 3 5 2 2" xfId="2829"/>
    <cellStyle name="汇总 2 2 7 2 2 4" xfId="2830"/>
    <cellStyle name="标题 1 3 2 2 3 3" xfId="2831"/>
    <cellStyle name="标题 1 2 9 2" xfId="2832"/>
    <cellStyle name="常规 5 2 2 2 2 3 3 2 2" xfId="2833"/>
    <cellStyle name="警告文本 2 2 6 2 2" xfId="2834"/>
    <cellStyle name="常规 5 4 3 5" xfId="2835"/>
    <cellStyle name="计算 2 2 4 2 10 2" xfId="2836"/>
    <cellStyle name="汇总 2 2 7 2 2" xfId="2837"/>
    <cellStyle name="适中 2 2 3 7" xfId="2838"/>
    <cellStyle name="汇总 2 2 2 2 8" xfId="2839"/>
    <cellStyle name="输入 2 5 3 2 6" xfId="2840"/>
    <cellStyle name="输出 2 3 3 5" xfId="2841"/>
    <cellStyle name="40% - 强调文字颜色 4 2 2 3" xfId="2842"/>
    <cellStyle name="输出 3 8 2" xfId="2843"/>
    <cellStyle name="标题 2 2 2 2 2 3 2 2 2" xfId="2844"/>
    <cellStyle name="输入 2 5 2 2 5 2" xfId="2845"/>
    <cellStyle name="60% - 强调文字颜色 3 2 3 7 2" xfId="2846"/>
    <cellStyle name="标题 4 4 3" xfId="2847"/>
    <cellStyle name="计算 2 6 2 2 2 2 2" xfId="2848"/>
    <cellStyle name="输出 2 2 4 3 4" xfId="2849"/>
    <cellStyle name="输入 5 5 2" xfId="2850"/>
    <cellStyle name="计算 2 2 4 5 7" xfId="2851"/>
    <cellStyle name="汇总 2 2 3 12" xfId="2852"/>
    <cellStyle name="注释 2 6 2 2 7" xfId="2853"/>
    <cellStyle name="输出 2 2 5 4 2 5" xfId="2854"/>
    <cellStyle name="汇总 2 2 8 8 3" xfId="2855"/>
    <cellStyle name="计算 2 2 7 2 2 2" xfId="2856"/>
    <cellStyle name="输入 2 12" xfId="2857"/>
    <cellStyle name="输入 2 2 3 2 3 5" xfId="2858"/>
    <cellStyle name="标题 2 2 2 2 2 2 3 3" xfId="2859"/>
    <cellStyle name="汇总 2 2 6 10" xfId="2860"/>
    <cellStyle name="计算 2 8 4 3" xfId="2861"/>
    <cellStyle name="20% - 强调文字颜色 3 5 2 2" xfId="2862"/>
    <cellStyle name="强调文字颜色 2 2 4 4 2 2" xfId="2863"/>
    <cellStyle name="60% - 强调文字颜色 1 2 2 6 3 2" xfId="2864"/>
    <cellStyle name="输入 2 7 2 4 2" xfId="2865"/>
    <cellStyle name="标题 5 2 4 3 4" xfId="2866"/>
    <cellStyle name="输出 3 6 3" xfId="2867"/>
    <cellStyle name="输入 2 2 3 3 2 2 3" xfId="2868"/>
    <cellStyle name="链接单元格 2 2 2 4 4" xfId="2869"/>
    <cellStyle name="超链接 2 3 2 3 3" xfId="2870"/>
    <cellStyle name="输出 3 2 2 2 2 2 2" xfId="2871"/>
    <cellStyle name="输入 2 2 5 12" xfId="2872"/>
    <cellStyle name="标题 4 2 7" xfId="2873"/>
    <cellStyle name="计算 2 2 3 4 9" xfId="2874"/>
    <cellStyle name="输出 2 2 3 3 2 4" xfId="2875"/>
    <cellStyle name="强调文字颜色 2 4 2 2 2" xfId="2876"/>
    <cellStyle name="强调文字颜色 6 2 3 3 6" xfId="2877"/>
    <cellStyle name="适中 3 4 3" xfId="2878"/>
    <cellStyle name="输入 3 2 6 2" xfId="2879"/>
    <cellStyle name="标题 2 2 2 2 4 2" xfId="2880"/>
    <cellStyle name="汇总 2 2 8 5 2" xfId="2881"/>
    <cellStyle name="输入 2 2 12 2 2" xfId="2882"/>
    <cellStyle name="常规 2 2 2 2 5 2" xfId="2883"/>
    <cellStyle name="60% - 强调文字颜色 2 2 2 3 3 2" xfId="2884"/>
    <cellStyle name="计算 2 2 3 2 2 6 2" xfId="2885"/>
    <cellStyle name="汇总 2 4 4 2 2 3" xfId="2886"/>
    <cellStyle name="常规 6 2 2 5 2 2" xfId="2887"/>
    <cellStyle name="计算 2 3 5 4 2" xfId="2888"/>
    <cellStyle name="40% - 强调文字颜色 1 2 7 3 2 2" xfId="2889"/>
    <cellStyle name="解释性文本 2 3 2 4 2 2 2" xfId="2890"/>
    <cellStyle name="常规 7 5 3 2 2" xfId="2891"/>
    <cellStyle name="常规 4 5 3 3 2 2" xfId="2892"/>
    <cellStyle name="汇总 2 2 8 2 2 3 2" xfId="2893"/>
    <cellStyle name="差 2 2 3 5 2 2" xfId="2894"/>
    <cellStyle name="计算 2 3 2 2 9" xfId="2895"/>
    <cellStyle name="好 2 3 2 3 3 2 2" xfId="2896"/>
    <cellStyle name="适中 2 2 5 3 3" xfId="2897"/>
    <cellStyle name="40% - 强调文字颜色 5 2 2 3 3 2 2" xfId="2898"/>
    <cellStyle name="强调文字颜色 1 2 5" xfId="2899"/>
    <cellStyle name="百分比 2 2 6" xfId="2900"/>
    <cellStyle name="输入 2 2 5 6 3" xfId="2901"/>
    <cellStyle name="计算 2 4 3 5 2 2" xfId="2902"/>
    <cellStyle name="输出 2 2 7 6 2 2" xfId="2903"/>
    <cellStyle name="60% - 强调文字颜色 3 2 4 2 2 2 2" xfId="2904"/>
    <cellStyle name="60% - 强调文字颜色 2 2 3 2 2 2 2 2" xfId="2905"/>
    <cellStyle name="强调文字颜色 4 2 6 2 3" xfId="2906"/>
    <cellStyle name="输出 2 2 7 8 2" xfId="2907"/>
    <cellStyle name="标题 4 2 3 2 3 2 3" xfId="2908"/>
    <cellStyle name="计算 2 4 3 7 2" xfId="2909"/>
    <cellStyle name="输入 2 2 5 4 3 2" xfId="2910"/>
    <cellStyle name="60% - 强调文字颜色 1 2 2 2 2 4 2 2" xfId="2911"/>
    <cellStyle name="常规 12 2 2 3 4" xfId="2912"/>
    <cellStyle name="40% - 强调文字颜色 6 2 2 4 3" xfId="2913"/>
    <cellStyle name="常规 3 2 2 2 3 2 2" xfId="2914"/>
    <cellStyle name="常规 5 8 3" xfId="2915"/>
    <cellStyle name="标题 4 3 2 3 2 3" xfId="2916"/>
    <cellStyle name="汇总 2 2 2 2 11" xfId="2917"/>
    <cellStyle name="计算 2 3 3 5 2" xfId="2918"/>
    <cellStyle name="60% - 强调文字颜色 3 2 3 2 2 2" xfId="2919"/>
    <cellStyle name="好 2 3 6 3" xfId="2920"/>
    <cellStyle name="40% - 强调文字颜色 5 2 6 3" xfId="2921"/>
    <cellStyle name="强调文字颜色 4 2 2 2 2 3 2 2 2" xfId="2922"/>
    <cellStyle name="超链接 2 2 6" xfId="2923"/>
    <cellStyle name="注释 2 2 5 2 3 2" xfId="2924"/>
    <cellStyle name="链接单元格 2 5 2 2" xfId="2925"/>
    <cellStyle name="解释性文本 2 4 2 2 2 3" xfId="2926"/>
    <cellStyle name="40% - 强调文字颜色 2 2 5 3 3" xfId="2927"/>
    <cellStyle name="检查单元格 2 3 7" xfId="2928"/>
    <cellStyle name="40% - 强调文字颜色 3 4 3" xfId="2929"/>
    <cellStyle name="汇总 4 2 7 2" xfId="2930"/>
    <cellStyle name="适中 2 2 2 2 4 2" xfId="2931"/>
    <cellStyle name="强调文字颜色 4 2 2 2 2 2 2" xfId="2932"/>
    <cellStyle name="警告文本 2 3 2 7" xfId="2933"/>
    <cellStyle name="输出 3 2 8 2" xfId="2934"/>
    <cellStyle name="输出 3 2 2 2 2" xfId="2935"/>
    <cellStyle name="汇总 2 2 5 3 6 2 2" xfId="2936"/>
    <cellStyle name="输出 2 6 2 9" xfId="2937"/>
    <cellStyle name="汇总 2 5 2 12 2" xfId="2938"/>
    <cellStyle name="常规 4 2 4" xfId="2939"/>
    <cellStyle name="好 3 4 2 3" xfId="2940"/>
    <cellStyle name="常规 5 3 5" xfId="2941"/>
    <cellStyle name="40% - 强调文字颜色 6 3 2 3" xfId="2942"/>
    <cellStyle name="输出 2 10 5" xfId="2943"/>
    <cellStyle name="强调文字颜色 5 2 2 3 5 3" xfId="2944"/>
    <cellStyle name="输入 2 2 2 3 2 2" xfId="2945"/>
    <cellStyle name="强调文字颜色 3 6 2" xfId="2946"/>
    <cellStyle name="输入 2 5 3 2 2 2 2 2" xfId="2947"/>
    <cellStyle name="汇总 2 2 2 2 4 2 2 2" xfId="2948"/>
    <cellStyle name="40% - 强调文字颜色 3 2 2 4" xfId="2949"/>
    <cellStyle name="40% - 强调文字颜色 5 2 2 4 3 3" xfId="2950"/>
    <cellStyle name="差 2 2 6 4" xfId="2951"/>
    <cellStyle name="常规 2 2 6 2 2 2" xfId="2952"/>
    <cellStyle name="强调文字颜色 5 3 2 2 3" xfId="2953"/>
    <cellStyle name="好 2 3 2 6 2" xfId="2954"/>
    <cellStyle name="输入 2 3 10 2" xfId="2955"/>
    <cellStyle name="警告文本 2 2 4 2 3" xfId="2956"/>
    <cellStyle name="强调文字颜色 3 2 2 3 6" xfId="2957"/>
    <cellStyle name="汇总 2 2 4 7 2 2" xfId="2958"/>
    <cellStyle name="强调文字颜色 3 3 2 4" xfId="2959"/>
    <cellStyle name="注释 2 2 2 9" xfId="2960"/>
    <cellStyle name="输入 2 2 5 2 2 5 3" xfId="2961"/>
    <cellStyle name="强调文字颜色 3 2 2 4 3 2 2 2" xfId="2962"/>
    <cellStyle name="链接单元格 2 2 4 2 3 2" xfId="2963"/>
    <cellStyle name="输出 5 4 2 2" xfId="2964"/>
    <cellStyle name="差 2 2 3 3 3 3" xfId="2965"/>
    <cellStyle name="适中 2 2 3 4 4" xfId="2966"/>
    <cellStyle name="输出 2 3" xfId="2967"/>
    <cellStyle name="20% - 强调文字颜色 6 4 3 2 2" xfId="2968"/>
    <cellStyle name="60% - 强调文字颜色 6 2 2 9 2" xfId="2969"/>
    <cellStyle name="输入 2 2 13 2" xfId="2970"/>
    <cellStyle name="常规 6 4 2 3 2 2" xfId="2971"/>
    <cellStyle name="输入 2 5 5 3 2 2" xfId="2972"/>
    <cellStyle name="好 2 2 2 3 2 2 2 3" xfId="2973"/>
    <cellStyle name="60% - 强调文字颜色 6 2 3 3 4" xfId="2974"/>
    <cellStyle name="汇总 2 2 4 3 4 2" xfId="2975"/>
    <cellStyle name="计算 2 5 4 3 5" xfId="2976"/>
    <cellStyle name="20% - 强调文字颜色 3 2 2 2 5" xfId="2977"/>
    <cellStyle name="链接单元格 2 2 4" xfId="2978"/>
    <cellStyle name="输入 2 2 8 7" xfId="2979"/>
    <cellStyle name="输入 2 2 4 4 5 3" xfId="2980"/>
    <cellStyle name="输出 3 2 5 2 2" xfId="2981"/>
    <cellStyle name="强调文字颜色 5 2 3 8" xfId="2982"/>
    <cellStyle name="强调文字颜色 2 2 2 2 2 3 2 3" xfId="2983"/>
    <cellStyle name="常规 7 2 2 4" xfId="2984"/>
    <cellStyle name="计算 2 5 8" xfId="2985"/>
    <cellStyle name="注释 2 8 2 2 3" xfId="2986"/>
    <cellStyle name="输出 2 2 7 2 7" xfId="2987"/>
    <cellStyle name="汇总 2 2 3 2 2 4" xfId="2988"/>
    <cellStyle name="汇总 3 2 4 2 2 2" xfId="2989"/>
    <cellStyle name="警告文本 2 2 2 2 2 4" xfId="2990"/>
    <cellStyle name="40% - 强调文字颜色 4 4 2" xfId="2991"/>
    <cellStyle name="20% - 强调文字颜色 4 2 5 5 2 2" xfId="2992"/>
    <cellStyle name="注释 8" xfId="2993"/>
    <cellStyle name="常规 4 2 7 2" xfId="2994"/>
    <cellStyle name="40% - 强调文字颜色 3 5" xfId="2995"/>
    <cellStyle name="常规 4 9 2" xfId="2996"/>
    <cellStyle name="标题 4 3 2 2 3 2" xfId="2997"/>
    <cellStyle name="汇总 2 2 4 2 2 9" xfId="2998"/>
    <cellStyle name="60% - 强调文字颜色 2 6 2 2" xfId="2999"/>
    <cellStyle name="20% - 强调文字颜色 1 2 2 9 2" xfId="3000"/>
    <cellStyle name="注释 2 5 2 2 4" xfId="3001"/>
    <cellStyle name="汇总 2 3 2 2 2 6 2" xfId="3002"/>
    <cellStyle name="输出 2 2 4 4 2 2" xfId="3003"/>
    <cellStyle name="60% - 强调文字颜色 6 3 3 3 2 3" xfId="3004"/>
    <cellStyle name="输入 2 2 2 2 3 2" xfId="3005"/>
    <cellStyle name="适中 3 7 3" xfId="3006"/>
    <cellStyle name="好 2 3 2 5 3" xfId="3007"/>
    <cellStyle name="链接单元格 5 2 2" xfId="3008"/>
    <cellStyle name="20% - 强调文字颜色 2 2 2 2 4 3" xfId="3009"/>
    <cellStyle name="Normal 3 2 2 2 2" xfId="3010"/>
    <cellStyle name="输出 2 4 2 4 3 2" xfId="3011"/>
    <cellStyle name="注释 2 2 2 2 7 2" xfId="3012"/>
    <cellStyle name="计算 2 2 3 2 2 2 2" xfId="3013"/>
    <cellStyle name="强调文字颜色 2 2 3 2 3 2" xfId="3014"/>
    <cellStyle name="20% - 强调文字颜色 2 3 3 2" xfId="3015"/>
    <cellStyle name="强调文字颜色 1 2 2 2 3 4" xfId="3016"/>
    <cellStyle name="汇总 2 7 3 2 3 2 2" xfId="3017"/>
    <cellStyle name="输入 2 2 4" xfId="3018"/>
    <cellStyle name="40% - 强调文字颜色 4 2 4 5" xfId="3019"/>
    <cellStyle name="40% - 强调文字颜色 5 2 2 2 2 2 4 2 2" xfId="3020"/>
    <cellStyle name="强调文字颜色 6 2 3 2 3 3 2" xfId="3021"/>
    <cellStyle name="输入 2 2 4 2 2 3 2 2" xfId="3022"/>
    <cellStyle name="强调文字颜色 4 2 2 4 3 3" xfId="3023"/>
    <cellStyle name="标题 1 3 5 3" xfId="3024"/>
    <cellStyle name="计算 3 6 2" xfId="3025"/>
    <cellStyle name="强调文字颜色 4 6" xfId="3026"/>
    <cellStyle name="40% - 强调文字颜色 5 3 2 2 3 2 2 2" xfId="3027"/>
    <cellStyle name="计算 2 5 2 2 2 2 5" xfId="3028"/>
    <cellStyle name="强调文字颜色 3 2 2 2 2 3 2" xfId="3029"/>
    <cellStyle name="汇总 2 2 4 2 2 3 4 2 2" xfId="3030"/>
    <cellStyle name="计算 2 2 15 3" xfId="3031"/>
    <cellStyle name="计算 5 4" xfId="3032"/>
    <cellStyle name="常规 8 3 4 2" xfId="3033"/>
    <cellStyle name="40% - 强调文字颜色 6 6 2 2 2" xfId="3034"/>
    <cellStyle name="计算 2 10 2 6" xfId="3035"/>
    <cellStyle name="输出 2 4 4 2 2 2 2" xfId="3036"/>
    <cellStyle name="常规 2 3 2 2 2 2 2" xfId="3037"/>
    <cellStyle name="超链接 2 4 2 3" xfId="3038"/>
    <cellStyle name="输入 2 2 11 5" xfId="3039"/>
    <cellStyle name="汇总 2 2 4 2 8 3" xfId="3040"/>
    <cellStyle name="检查单元格 2 2 4 5" xfId="3041"/>
    <cellStyle name="60% - 强调文字颜色 5 2 2 6 2" xfId="3042"/>
    <cellStyle name="适中 5 2" xfId="3043"/>
    <cellStyle name="超链接 3 6 3 2" xfId="3044"/>
    <cellStyle name="常规 13 3 3 4" xfId="3045"/>
    <cellStyle name="强调文字颜色 6 3 2 2 2" xfId="3046"/>
    <cellStyle name="汇总 3 2 5 2 2" xfId="3047"/>
    <cellStyle name="汇总 2 5 13" xfId="3048"/>
    <cellStyle name="输入 2 2 4 2 2 3 3" xfId="3049"/>
    <cellStyle name="计算 3 7" xfId="3050"/>
    <cellStyle name="60% - 强调文字颜色 1 2 6 3" xfId="3051"/>
    <cellStyle name="60% - 强调文字颜色 6 2 4 4 2 2" xfId="3052"/>
    <cellStyle name="20% - 强调文字颜色 6 2 2 2 2 2 2 2 2 2" xfId="3053"/>
    <cellStyle name="计算 2 2 4 2 3 3 3 2" xfId="3054"/>
    <cellStyle name="输出 2 3 2 2 5 2" xfId="3055"/>
    <cellStyle name="汇总 2 8 4 5" xfId="3056"/>
    <cellStyle name="检查单元格 2 5 2 2 2" xfId="3057"/>
    <cellStyle name="20% - 强调文字颜色 4 2 2 5" xfId="3058"/>
    <cellStyle name="标题 3 2 2 3 4 3 2" xfId="3059"/>
    <cellStyle name="标题 4 2 2 8 3" xfId="3060"/>
    <cellStyle name="汇总 2 2 3 5 4" xfId="3061"/>
    <cellStyle name="输入 2 5 4 5 2" xfId="3062"/>
    <cellStyle name="强调文字颜色 5 2 2 2 3 2 2 2" xfId="3063"/>
    <cellStyle name="20% - 强调文字颜色 6 2 2 2 4" xfId="3064"/>
    <cellStyle name="计算 2 2 8 3 4 2" xfId="3065"/>
    <cellStyle name="解释性文本 2 2 3 5 2" xfId="3066"/>
    <cellStyle name="汇总 2 2 6 2 3 3 3" xfId="3067"/>
    <cellStyle name="20% - 强调文字颜色 6 4 2 2 2 2" xfId="3068"/>
    <cellStyle name="常规 6 3 2 2 2 2 2 2 2" xfId="3069"/>
    <cellStyle name="适中 2 4 2 2 2" xfId="3070"/>
    <cellStyle name="注释 2 6 5 4" xfId="3071"/>
    <cellStyle name="输出 2 7 2 7" xfId="3072"/>
    <cellStyle name="计算 3 2 3 4 3" xfId="3073"/>
    <cellStyle name="强调文字颜色 3 2 2 3 4 2 3" xfId="3074"/>
    <cellStyle name="注释 5 2 2 2 2" xfId="3075"/>
    <cellStyle name="超链接 2 3 6" xfId="3076"/>
    <cellStyle name="注释 2 2 5 2 4 2" xfId="3077"/>
    <cellStyle name="链接单元格 2 5 3 2" xfId="3078"/>
    <cellStyle name="好 2 4 7" xfId="3079"/>
    <cellStyle name="常规 7 6" xfId="3080"/>
    <cellStyle name="20% - 强调文字颜色 3 3 2 2 4 2" xfId="3081"/>
    <cellStyle name="汇总 2 5 4 2 3" xfId="3082"/>
    <cellStyle name="20% - 强调文字颜色 2 2 5 3 2" xfId="3083"/>
    <cellStyle name="计算 2 6 2 2 6" xfId="3084"/>
    <cellStyle name="计算 2 2 6 3 2 7" xfId="3085"/>
    <cellStyle name="汇总 2 5 2 3 2 6" xfId="3086"/>
    <cellStyle name="好 3 2 4 2 2" xfId="3087"/>
    <cellStyle name="60% - 强调文字颜色 3 2 5" xfId="3088"/>
    <cellStyle name="60% - 强调文字颜色 2 2 3 3" xfId="3089"/>
    <cellStyle name="计算 2 2 4 2 6 3" xfId="3090"/>
    <cellStyle name="计算 2 2 5 2 8" xfId="3091"/>
    <cellStyle name="标题 3 2 3 5 2 2 3" xfId="3092"/>
    <cellStyle name="汇总 2 5 8 2" xfId="3093"/>
    <cellStyle name="计算 2 5 2 3 3 2 2" xfId="3094"/>
    <cellStyle name="输入 2 2 2 2 2 4 2" xfId="3095"/>
    <cellStyle name="40% - 强调文字颜色 6 2 2 5 2" xfId="3096"/>
    <cellStyle name="常规 4 3 7 2" xfId="3097"/>
    <cellStyle name="好 2 2 2 4 3 2" xfId="3098"/>
    <cellStyle name="超链接 2 6 4" xfId="3099"/>
    <cellStyle name="20% - 强调文字颜色 3 2 3 7" xfId="3100"/>
    <cellStyle name="计算 2 5 5 8" xfId="3101"/>
    <cellStyle name="标题 3 2 2 2 3 2 2 2 3" xfId="3102"/>
    <cellStyle name="输入 2 2 5 4 2 2 3" xfId="3103"/>
    <cellStyle name="60% - 强调文字颜色 2 2 4 3" xfId="3104"/>
    <cellStyle name="计算 2 2 4 2 7 3" xfId="3105"/>
    <cellStyle name="60% - 强调文字颜色 3 3 5" xfId="3106"/>
    <cellStyle name="计算 2 2 5 3 8" xfId="3107"/>
    <cellStyle name="计算 2 12 3" xfId="3108"/>
    <cellStyle name="输入 2 5 2 4 2 5" xfId="3109"/>
    <cellStyle name="汇总 2 4 2 12" xfId="3110"/>
    <cellStyle name="40% - 强调文字颜色 5 2 2 2 5 2" xfId="3111"/>
    <cellStyle name="汇总 4 2 3 3 3" xfId="3112"/>
    <cellStyle name="输入 2 2 6 2 2 3 3" xfId="3113"/>
    <cellStyle name="输出 2 10 4" xfId="3114"/>
    <cellStyle name="好 3 4 2 2" xfId="3115"/>
    <cellStyle name="40% - 强调文字颜色 6 3 2 2" xfId="3116"/>
    <cellStyle name="常规 5 3 4" xfId="3117"/>
    <cellStyle name="强调文字颜色 5 2 2 3 5 2" xfId="3118"/>
    <cellStyle name="警告文本 2 2 3 3 3 2" xfId="3119"/>
    <cellStyle name="解释性文本 2 2 2 2 4 2 2" xfId="3120"/>
    <cellStyle name="60% - 强调文字颜色 1 5" xfId="3121"/>
    <cellStyle name="输出 2 5 4 4 3" xfId="3122"/>
    <cellStyle name="输入 2 5 2 2 4" xfId="3123"/>
    <cellStyle name="20% - 强调文字颜色 2 2 3 3 3" xfId="3124"/>
    <cellStyle name="输入 2 2 6 8" xfId="3125"/>
    <cellStyle name="百分比 2 2 2 2 3 3" xfId="3126"/>
    <cellStyle name="警告文本 2 2 3" xfId="3127"/>
    <cellStyle name="标题 4 2 3 2 4 4" xfId="3128"/>
    <cellStyle name="汇总 2 2 4" xfId="3129"/>
    <cellStyle name="输入 2 7 2 3 2 2" xfId="3130"/>
    <cellStyle name="计算 2 8 3 3 2" xfId="3131"/>
    <cellStyle name="汇总 2 3 4 2 5" xfId="3132"/>
    <cellStyle name="60% - 强调文字颜色 4 2 6 2 2 2" xfId="3133"/>
    <cellStyle name="注释 2 7 2 2" xfId="3134"/>
    <cellStyle name="强调文字颜色 3 2 2 4 2 3 2" xfId="3135"/>
    <cellStyle name="汇总 2 2 2 3 2 6" xfId="3136"/>
    <cellStyle name="强调文字颜色 5 2 3 2 3 2 2 2" xfId="3137"/>
    <cellStyle name="强调文字颜色 6 2 2 4 2 2 3" xfId="3138"/>
    <cellStyle name="汇总 2 2 2 2 2 3 3 2 2" xfId="3139"/>
    <cellStyle name="超链接 3 7" xfId="3140"/>
    <cellStyle name="常规 3 3" xfId="3141"/>
    <cellStyle name="差 2 2 2 2 2 2" xfId="3142"/>
    <cellStyle name="汇总 2 2 6 3 7" xfId="3143"/>
    <cellStyle name="20% - 强调文字颜色 4 3 2 2 2 2 2" xfId="3144"/>
    <cellStyle name="适中 2 3 2 5 2 2" xfId="3145"/>
    <cellStyle name="强调文字颜色 1 3 6" xfId="3146"/>
    <cellStyle name="汇总 2 6 2 2 3 2" xfId="3147"/>
    <cellStyle name="常规 5 5 2 3 2 2" xfId="3148"/>
    <cellStyle name="强调文字颜色 6 2 2 2 6" xfId="3149"/>
    <cellStyle name="强调文字颜色 3 2 2 2 5 2 2" xfId="3150"/>
    <cellStyle name="40% - 强调文字颜色 5 2 3 2 4 3 2 2" xfId="3151"/>
    <cellStyle name="计算 2 2 5 14" xfId="3152"/>
    <cellStyle name="链接单元格 2 2 2 4 2 3" xfId="3153"/>
    <cellStyle name="输入 2 2 8 9" xfId="3154"/>
    <cellStyle name="强调文字颜色 4 2 2 4 4 2 2" xfId="3155"/>
    <cellStyle name="警告文本 2 4 4" xfId="3156"/>
    <cellStyle name="强调文字颜色 5 5 2" xfId="3157"/>
    <cellStyle name="标题 4 4 2 2 2 2 2" xfId="3158"/>
    <cellStyle name="注释 2 4 3 2" xfId="3159"/>
    <cellStyle name="20% - 强调文字颜色 5 2 5 3 3 2" xfId="3160"/>
    <cellStyle name="标题 2 2 3 3 5" xfId="3161"/>
    <cellStyle name="注释 7" xfId="3162"/>
    <cellStyle name="计算 2 9 6 2 2" xfId="3163"/>
    <cellStyle name="常规 9 2 2" xfId="3164"/>
    <cellStyle name="40% - 强调文字颜色 1 3 2" xfId="3165"/>
    <cellStyle name="60% - 强调文字颜色 2 3 7" xfId="3166"/>
    <cellStyle name="超链接 2 5 2 2 3" xfId="3167"/>
    <cellStyle name="输入 3 2 3 2" xfId="3168"/>
    <cellStyle name="强调文字颜色 3 2 2 3 7" xfId="3169"/>
    <cellStyle name="汇总 2 2 8 2 2" xfId="3170"/>
    <cellStyle name="常规 5 2 2 3 3 3" xfId="3171"/>
    <cellStyle name="汇总 2 3 2 2 4 3" xfId="3172"/>
    <cellStyle name="超链接 3 2 2 2 2 3" xfId="3173"/>
    <cellStyle name="输入 2 6 3 2 2 3" xfId="3174"/>
    <cellStyle name="注释 2 9 2" xfId="3175"/>
    <cellStyle name="强调文字颜色 3 2 2 4 4 3" xfId="3176"/>
    <cellStyle name="汇总 2 2 5 8" xfId="3177"/>
    <cellStyle name="常规 10 5 2 5" xfId="3178"/>
    <cellStyle name="汇总 2 5 2 4 5" xfId="3179"/>
    <cellStyle name="输入 2 2 6 2 2 2 2 2" xfId="3180"/>
    <cellStyle name="强调文字颜色 6 2 2 3 3 3" xfId="3181"/>
    <cellStyle name="20% - 强调文字颜色 4 2 3 5" xfId="3182"/>
    <cellStyle name="汇总 2 9 2 4 2 2" xfId="3183"/>
    <cellStyle name="标题 7 2 2 2 3" xfId="3184"/>
    <cellStyle name="警告文本 2 3 4 3 3" xfId="3185"/>
    <cellStyle name="40% - 强调文字颜色 4 4 4" xfId="3186"/>
    <cellStyle name="汇总 2 3 2 8 2" xfId="3187"/>
    <cellStyle name="注释 3 6 2 2" xfId="3188"/>
    <cellStyle name="强调文字颜色 4 2 2 2 3 2 3" xfId="3189"/>
    <cellStyle name="汇总 2 4 3 8" xfId="3190"/>
    <cellStyle name="强调文字颜色 3 2 2 6 2 3" xfId="3191"/>
    <cellStyle name="注释 2 3 3 5" xfId="3192"/>
    <cellStyle name="差 2 3 2 2" xfId="3193"/>
    <cellStyle name="常规 5 2 2 2 2 3 5" xfId="3194"/>
    <cellStyle name="注释 2 6 2 3 2" xfId="3195"/>
    <cellStyle name="汇总 2 6 6 3" xfId="3196"/>
    <cellStyle name="20% - 强调文字颜色 5 2 4 3" xfId="3197"/>
    <cellStyle name="常规 9 2 2 2 3 2 2" xfId="3198"/>
    <cellStyle name="常规 9 3 3 2 2 3" xfId="3199"/>
    <cellStyle name="好 2 2 5 4" xfId="3200"/>
    <cellStyle name="标题 4 3 5 3" xfId="3201"/>
    <cellStyle name="汇总 2 6 2 2 2 4 2" xfId="3202"/>
    <cellStyle name="链接单元格 2 4 3 2 2 2" xfId="3203"/>
    <cellStyle name="强调文字颜色 1 2 6" xfId="3204"/>
    <cellStyle name="常规 8 6 2 2" xfId="3205"/>
    <cellStyle name="40% - 强调文字颜色 6 2 5 2 2 2" xfId="3206"/>
    <cellStyle name="常规 4 6 4 2 2" xfId="3207"/>
    <cellStyle name="输出 2 2 4 2 2 2 3 2" xfId="3208"/>
    <cellStyle name="计算 2 2 8 3 3 2" xfId="3209"/>
    <cellStyle name="超链接 2 2 2 2 3 2 3" xfId="3210"/>
    <cellStyle name="解释性文本 2 2 3 4 2" xfId="3211"/>
    <cellStyle name="输出 2 3 2 6 2" xfId="3212"/>
    <cellStyle name="计算 2 8 5 3 2" xfId="3213"/>
    <cellStyle name="汇总 2 2 6 7 3" xfId="3214"/>
    <cellStyle name="输出 2 6 2 6" xfId="3215"/>
    <cellStyle name="计算 2 7 4 2 6" xfId="3216"/>
    <cellStyle name="计算 3 2 2 4 2" xfId="3217"/>
    <cellStyle name="汇总 2 2 6 3 3 3" xfId="3218"/>
    <cellStyle name="输入 2 5 2 2 2 4 2 2" xfId="3219"/>
    <cellStyle name="适中 2 2 2 5 3" xfId="3220"/>
    <cellStyle name="输出 2 2 4 2 2 6 2" xfId="3221"/>
    <cellStyle name="汇总 3 2 2 8" xfId="3222"/>
    <cellStyle name="输入 2 5 2 3 5" xfId="3223"/>
    <cellStyle name="汇总 2 4 4 2 4" xfId="3224"/>
    <cellStyle name="超链接 3 3 4 2 2" xfId="3225"/>
    <cellStyle name="输入 2 7 5 2 2" xfId="3226"/>
    <cellStyle name="常规 11 4 5" xfId="3227"/>
    <cellStyle name="20% - 强调文字颜色 3 2 3 2 4 3" xfId="3228"/>
    <cellStyle name="标题 1 2 2 2 3 3 2" xfId="3229"/>
    <cellStyle name="强调文字颜色 4 3 2 2 2" xfId="3230"/>
    <cellStyle name="输出 2 4 2 3 2 4" xfId="3231"/>
    <cellStyle name="注释 3 2 2 7 2" xfId="3232"/>
    <cellStyle name="输入 3 3 7" xfId="3233"/>
    <cellStyle name="标题 2 2 2 3 5" xfId="3234"/>
    <cellStyle name="汇总 2 2 9 6" xfId="3235"/>
    <cellStyle name="常规 4 2 3 2 2 2" xfId="3236"/>
    <cellStyle name="汇总 2 2 9 2 3 2 2" xfId="3237"/>
    <cellStyle name="差 2 4 9" xfId="3238"/>
    <cellStyle name="强调文字颜色 1 2 4 4 3 2" xfId="3239"/>
    <cellStyle name="适中 2 4" xfId="3240"/>
    <cellStyle name="60% - 强调文字颜色 1 2 10" xfId="3241"/>
    <cellStyle name="注释 2 2 6 3 6" xfId="3242"/>
    <cellStyle name="60% - 强调文字颜色 5 2 2 3 4" xfId="3243"/>
    <cellStyle name="输入 2 4 2 2 5" xfId="3244"/>
    <cellStyle name="注释 2 5 2" xfId="3245"/>
    <cellStyle name="计算 2 2 8 3 2 3 3" xfId="3246"/>
    <cellStyle name="计算 2 6 2 10" xfId="3247"/>
    <cellStyle name="汇总 2 2 3 3 8" xfId="3248"/>
    <cellStyle name="注释 2 2 3 2 2 3" xfId="3249"/>
    <cellStyle name="计算 2 7 5 2 2 2" xfId="3250"/>
    <cellStyle name="计算 2 2 9 5 2" xfId="3251"/>
    <cellStyle name="40% - 强调文字颜色 2 3" xfId="3252"/>
    <cellStyle name="40% - 强调文字颜色 5 2 2 2 4 2 2 2" xfId="3253"/>
    <cellStyle name="注释 2 2 4 3 4 3" xfId="3254"/>
    <cellStyle name="汇总 2 5 7" xfId="3255"/>
    <cellStyle name="输入 2 3 3 5 2" xfId="3256"/>
    <cellStyle name="常规 2 3 2 2 3 3 2" xfId="3257"/>
    <cellStyle name="超链接 2 5 3 3" xfId="3258"/>
    <cellStyle name="输出 2 4 4 2 3 2" xfId="3259"/>
    <cellStyle name="常规 2 3 2 2 3 2" xfId="3260"/>
    <cellStyle name="汇总 2 2 4 8 3" xfId="3261"/>
    <cellStyle name="汇总 2 2 3 3 3 3 2 2" xfId="3262"/>
    <cellStyle name="常规 10 2 2 5" xfId="3263"/>
    <cellStyle name="输出 2 2 2 4 2 2 3" xfId="3264"/>
    <cellStyle name="警告文本 2 9" xfId="3265"/>
    <cellStyle name="强调文字颜色 6 2 3 2" xfId="3266"/>
    <cellStyle name="计算 2 2 4 2 2 2 2 3 2" xfId="3267"/>
    <cellStyle name="汇总 2 2 3 3 2 3 2 2" xfId="3268"/>
    <cellStyle name="注释 2 4 2 2 2 3 3" xfId="3269"/>
    <cellStyle name="40% - 强调文字颜色 5 2 6 2 2" xfId="3270"/>
    <cellStyle name="注释 2 6 3 7" xfId="3271"/>
    <cellStyle name="好 2 3 6 2 2" xfId="3272"/>
    <cellStyle name="计算 2 2 2 3 4 3" xfId="3273"/>
    <cellStyle name="标题 2 2 2 3 3 2 3" xfId="3274"/>
    <cellStyle name="20% - 强调文字颜色 3 2 4 2" xfId="3275"/>
    <cellStyle name="60% - 强调文字颜色 1 2 2 3 5 2" xfId="3276"/>
    <cellStyle name="常规 7 2 2 2 3" xfId="3277"/>
    <cellStyle name="计算 2 5 6 3" xfId="3278"/>
    <cellStyle name="计算 2 2 2 2 13" xfId="3279"/>
    <cellStyle name="计算 2 2 5 4 3" xfId="3280"/>
    <cellStyle name="输入 2 5 3 2 2 3" xfId="3281"/>
    <cellStyle name="20% - 强调文字颜色 4 2 2 2 2 2 4 2" xfId="3282"/>
    <cellStyle name="标题 3 2 4 4 3 2" xfId="3283"/>
    <cellStyle name="汇总 2 2 2 2 4 3" xfId="3284"/>
    <cellStyle name="汇总 2 5 2 13" xfId="3285"/>
    <cellStyle name="强调文字颜色 4 2 3 3 7" xfId="3286"/>
    <cellStyle name="标题 2 2 9" xfId="3287"/>
    <cellStyle name="强调文字颜色 1 2 6 2" xfId="3288"/>
    <cellStyle name="好 2 2 3 4" xfId="3289"/>
    <cellStyle name="强调文字颜色 2 4 5" xfId="3290"/>
    <cellStyle name="输入 2 3 7 2" xfId="3291"/>
    <cellStyle name="输出 2 2 3 3 2 2 3" xfId="3292"/>
    <cellStyle name="输出 5 4 2" xfId="3293"/>
    <cellStyle name="链接单元格 2 2 4 2 3" xfId="3294"/>
    <cellStyle name="注释 2 6 3 3 2 2" xfId="3295"/>
    <cellStyle name="汇总 3 5 3 2 2" xfId="3296"/>
    <cellStyle name="汇总 2 5" xfId="3297"/>
    <cellStyle name="常规 8 2 2 4 3" xfId="3298"/>
    <cellStyle name="计算 2 5 5 2 3" xfId="3299"/>
    <cellStyle name="注释 2 4 2 2 2 2 2 3" xfId="3300"/>
    <cellStyle name="注释 2 2 4 2 2 7" xfId="3301"/>
    <cellStyle name="计算 2 2 2 3 3 2 3" xfId="3302"/>
    <cellStyle name="40% - 强调文字颜色 1 2 2 2 2 2 5" xfId="3303"/>
    <cellStyle name="汇总 2 4 2 5" xfId="3304"/>
    <cellStyle name="输入 2 4 4 3 2" xfId="3305"/>
    <cellStyle name="计算 2 2 4 4 3 4" xfId="3306"/>
    <cellStyle name="强调文字颜色 5 2 3 6 2" xfId="3307"/>
    <cellStyle name="40% - 强调文字颜色 6 3 2 4 2" xfId="3308"/>
    <cellStyle name="强调文字颜色 1 2 6 2 2 2" xfId="3309"/>
    <cellStyle name="常规 5 3 6 2" xfId="3310"/>
    <cellStyle name="输出 2 2 3 2 3 4 3" xfId="3311"/>
    <cellStyle name="好 2 2 3 4 2 2" xfId="3312"/>
    <cellStyle name="检查单元格 2 9" xfId="3313"/>
    <cellStyle name="60% - 强调文字颜色 1 3 2 2 3 2 2" xfId="3314"/>
    <cellStyle name="20% - 强调文字颜色 6 2 2 9 2" xfId="3315"/>
    <cellStyle name="输出 4 2 3 2 2" xfId="3316"/>
    <cellStyle name="注释 2 2 3 5 2 2 2 2" xfId="3317"/>
    <cellStyle name="差 2 2 2 2 2 2 2 2" xfId="3318"/>
    <cellStyle name="链接单元格 2 2 2 2 5 2" xfId="3319"/>
    <cellStyle name="常规 3 3 2 2" xfId="3320"/>
    <cellStyle name="计算 3 4 2 3" xfId="3321"/>
    <cellStyle name="检查单元格 2 4 4 2 2 2" xfId="3322"/>
    <cellStyle name="汇总 2 2 4 2 4 4 2" xfId="3323"/>
    <cellStyle name="20% - 强调文字颜色 1 2 2 2 2 2 2 2 2" xfId="3324"/>
    <cellStyle name="20% - 强调文字颜色 1 2 3 2 2 4" xfId="3325"/>
    <cellStyle name="注释 3 14" xfId="3326"/>
    <cellStyle name="输入 2 3 2 3 2 3" xfId="3327"/>
    <cellStyle name="输入 2 4 7 2" xfId="3328"/>
    <cellStyle name="60% - 强调文字颜色 4 2 2 2 2 2" xfId="3329"/>
    <cellStyle name="常规 3 4 2" xfId="3330"/>
    <cellStyle name="差 2 2 2 2 2 3 2" xfId="3331"/>
    <cellStyle name="链接单元格 2 2 2 3 5" xfId="3332"/>
    <cellStyle name="40% - 强调文字颜色 2 2 2 4 2 2 2 2" xfId="3333"/>
    <cellStyle name="汇总 3 2 2 5 2 2" xfId="3334"/>
    <cellStyle name="输入 2 5 2 3 2 2 2" xfId="3335"/>
    <cellStyle name="好 2 7" xfId="3336"/>
    <cellStyle name="输入 2 2 3 12" xfId="3337"/>
    <cellStyle name="40% - 强调文字颜色 5 6" xfId="3338"/>
    <cellStyle name="常规 4 2 3 2 2 3 2" xfId="3339"/>
    <cellStyle name="注释 2 2" xfId="3340"/>
    <cellStyle name="解释性文本 2 2 2 2 8" xfId="3341"/>
    <cellStyle name="计算 2 2 10 2 4" xfId="3342"/>
    <cellStyle name="输出 2 5 2 5 2 2" xfId="3343"/>
    <cellStyle name="解释性文本 2 4 3 3 2 2" xfId="3344"/>
    <cellStyle name="汇总 2 2 3 2 2 3 3 2 2" xfId="3345"/>
    <cellStyle name="汇总 2 2 6 2 3 2 2 2" xfId="3346"/>
    <cellStyle name="汇总 2 4 2 3 4 2 2" xfId="3347"/>
    <cellStyle name="超链接 3 3 2 3 2 2 2" xfId="3348"/>
    <cellStyle name="汇总 2 6 3 3 5" xfId="3349"/>
    <cellStyle name="输入 2 4 5 2" xfId="3350"/>
    <cellStyle name="超链接 3 3 4 2 3 2" xfId="3351"/>
    <cellStyle name="汇总 2 4 4 2 5 2" xfId="3352"/>
    <cellStyle name="注释 3 3 6 3" xfId="3353"/>
    <cellStyle name="计算 2 9 3 3 2 2" xfId="3354"/>
    <cellStyle name="强调文字颜色 5 2 4 9" xfId="3355"/>
    <cellStyle name="常规 5 2 2 2 2 2 3 2 2" xfId="3356"/>
    <cellStyle name="注释 2 6 3 2 3" xfId="3357"/>
    <cellStyle name="标题 2 3 3 2 2 3" xfId="3358"/>
    <cellStyle name="汇总 2 4 2 2 8" xfId="3359"/>
    <cellStyle name="计算 2 2 5 2 3 3 2" xfId="3360"/>
    <cellStyle name="60% - 强调文字颜色 6 2 2 3 3 4" xfId="3361"/>
    <cellStyle name="20% - 强调文字颜色 4 2 2 2 4 2" xfId="3362"/>
    <cellStyle name="汇总 2 8 3 6" xfId="3363"/>
    <cellStyle name="标题 7 2 3 2" xfId="3364"/>
    <cellStyle name="计算 2 2 7 3 4 3" xfId="3365"/>
    <cellStyle name="汇总 2 5 3 3 4 2" xfId="3366"/>
    <cellStyle name="注释 2 3 6 2 2" xfId="3367"/>
    <cellStyle name="强调文字颜色 5 2 2 2 2 2 2 3" xfId="3368"/>
    <cellStyle name="输出 2 7 4 3" xfId="3369"/>
    <cellStyle name="60% - 强调文字颜色 6 2 3 2 2 5" xfId="3370"/>
    <cellStyle name="标题 1 3 2 2 2 2 2" xfId="3371"/>
    <cellStyle name="40% - 强调文字颜色 4 2 3 2 5 2 2 2" xfId="3372"/>
    <cellStyle name="汇总 2 2 6 3 6" xfId="3373"/>
    <cellStyle name="常规 3 2" xfId="3374"/>
    <cellStyle name="汇总 2 7 2 2 2 5" xfId="3375"/>
    <cellStyle name="20% - 强调文字颜色 3 2 2 6 2 2" xfId="3376"/>
    <cellStyle name="输出 2 2 2 3 5 3" xfId="3377"/>
    <cellStyle name="计算 2 3 2 2 2 2" xfId="3378"/>
    <cellStyle name="40% - 强调文字颜色 6 2 3 2 4 3 2" xfId="3379"/>
    <cellStyle name="标题 1 2 2 3 2 2 2" xfId="3380"/>
    <cellStyle name="汇总 2 8 2 2 3 2" xfId="3381"/>
    <cellStyle name="40% - 强调文字颜色 4 2 2 2 6 2 2 2" xfId="3382"/>
    <cellStyle name="计算 3 2 4 2 2" xfId="3383"/>
    <cellStyle name="标题 4 3 7" xfId="3384"/>
    <cellStyle name="解释性文本 2 4 3 2" xfId="3385"/>
    <cellStyle name="输出 2 2 4 4 4 2" xfId="3386"/>
    <cellStyle name="输出 2 2 3 5 2 2 3" xfId="3387"/>
    <cellStyle name="常规 4 6 3" xfId="3388"/>
    <cellStyle name="汇总 3 2 9 2" xfId="3389"/>
    <cellStyle name="好 2 2 2 2 3 3 3" xfId="3390"/>
    <cellStyle name="链接单元格 2 4 10" xfId="3391"/>
    <cellStyle name="计算 2 2 4 2 3 2 3" xfId="3392"/>
    <cellStyle name="计算 2 3 2 3 8" xfId="3393"/>
    <cellStyle name="检查单元格 2 2 4 2" xfId="3394"/>
    <cellStyle name="强调文字颜色 1 2 3 2 2 3 2" xfId="3395"/>
    <cellStyle name="计算 2 6 4 2 2" xfId="3396"/>
    <cellStyle name="常规 4 2 2 8" xfId="3397"/>
    <cellStyle name="标题 4 2 3 6 3" xfId="3398"/>
    <cellStyle name="标题 3 2 2 2 2 7" xfId="3399"/>
    <cellStyle name="输入 2 2 4 9" xfId="3400"/>
    <cellStyle name="标题 5 2 4 2 2 3" xfId="3401"/>
    <cellStyle name="40% - 强调文字颜色 5 3 2 2 2 2 2" xfId="3402"/>
    <cellStyle name="标题 4 2 3 2 2 5" xfId="3403"/>
    <cellStyle name="好 2 4 2 2 2 2 2" xfId="3404"/>
    <cellStyle name="链接单元格 2 2 2 3 2 3" xfId="3405"/>
    <cellStyle name="计算 2 2 2 3 7" xfId="3406"/>
    <cellStyle name="注释 2 4 2 2 2 6" xfId="3407"/>
    <cellStyle name="常规 7 2 2 5" xfId="3408"/>
    <cellStyle name="输入 3 3 2" xfId="3409"/>
    <cellStyle name="好 2 2 5 3 3" xfId="3410"/>
    <cellStyle name="汇总 2 2 5 2 2 2 3 2 2" xfId="3411"/>
    <cellStyle name="输出 2 2 3 2 4 2 2 2" xfId="3412"/>
    <cellStyle name="常规 4 3 2 2 4" xfId="3413"/>
    <cellStyle name="常规 5 4 2 2 2" xfId="3414"/>
    <cellStyle name="注释 2 2 7 2 2 2 2" xfId="3415"/>
    <cellStyle name="60% - 强调文字颜色 6 3 2 2 2" xfId="3416"/>
    <cellStyle name="输入 2 2 11 3" xfId="3417"/>
    <cellStyle name="60% - 强调文字颜色 2 2 2 2 2 2 2 2 2 2" xfId="3418"/>
    <cellStyle name="汇总 2 2 4 2 14" xfId="3419"/>
    <cellStyle name="60% - 强调文字颜色 6 2 2 7 3" xfId="3420"/>
    <cellStyle name="汇总 2 2 4 2 10 2 2" xfId="3421"/>
    <cellStyle name="常规 11 4 2 3 2 2" xfId="3422"/>
    <cellStyle name="20% - 强调文字颜色 6 2 3 2 4 3 2" xfId="3423"/>
    <cellStyle name="输入 2 2 4 5 6" xfId="3424"/>
    <cellStyle name="解释性文本 2 3 3 2 2" xfId="3425"/>
    <cellStyle name="输出 2 4 2 4 2" xfId="3426"/>
    <cellStyle name="常规 9 2 5 3" xfId="3427"/>
    <cellStyle name="适中 2 2 3 8" xfId="3428"/>
    <cellStyle name="40% - 强调文字颜色 3 2 3 2 2 4 2" xfId="3429"/>
    <cellStyle name="汇总 2 2 2 4 5" xfId="3430"/>
    <cellStyle name="计算 2 2 3 11" xfId="3431"/>
    <cellStyle name="输入 2 5 3 4 3" xfId="3432"/>
    <cellStyle name="差 2 2 3 4 4" xfId="3433"/>
    <cellStyle name="输出 2 8 2 2" xfId="3434"/>
    <cellStyle name="常规 4 5 5" xfId="3435"/>
    <cellStyle name="40% - 强调文字颜色 6 2 4 3" xfId="3436"/>
    <cellStyle name="计算 2 8 3 2 3 2 2" xfId="3437"/>
    <cellStyle name="常规 7 7" xfId="3438"/>
    <cellStyle name="注释 2 5 2 3 4" xfId="3439"/>
    <cellStyle name="计算 2 2 9 2 7" xfId="3440"/>
    <cellStyle name="计算 2 2 4 2 2 2 2 2 2 2" xfId="3441"/>
    <cellStyle name="20% - 强调文字颜色 2 2 3 2 4 2 2" xfId="3442"/>
    <cellStyle name="注释 2 9 3 3" xfId="3443"/>
    <cellStyle name="汇总 2 2 5 9 3" xfId="3444"/>
    <cellStyle name="强调文字颜色 3 2 2 2 2 2 4" xfId="3445"/>
    <cellStyle name="输入 2 5 2 9" xfId="3446"/>
    <cellStyle name="常规 2 2 2 2 2 4 2 2 2" xfId="3447"/>
    <cellStyle name="计算 2 2 4 2 2 2 4 2" xfId="3448"/>
    <cellStyle name="检查单元格 2 5" xfId="3449"/>
    <cellStyle name="强调文字颜色 6 2 6 3 2" xfId="3450"/>
    <cellStyle name="计算 2 8 3 4 3" xfId="3451"/>
    <cellStyle name="输入 2 2 7 9" xfId="3452"/>
    <cellStyle name="警告文本 2 3 4" xfId="3453"/>
    <cellStyle name="40% - 强调文字颜色 3 2 2 2 6 2 2 2" xfId="3454"/>
    <cellStyle name="强调文字颜色 5 4 2" xfId="3455"/>
    <cellStyle name="计算 2 15 2 2" xfId="3456"/>
    <cellStyle name="强调文字颜色 4 2 9" xfId="3457"/>
    <cellStyle name="输入 2 2 3 2 5 2" xfId="3458"/>
    <cellStyle name="标题 4 2 3 2 6" xfId="3459"/>
    <cellStyle name="汇总 2 2 6 3 2 6" xfId="3460"/>
    <cellStyle name="注释 2 5 4 3 3" xfId="3461"/>
    <cellStyle name="汇总 2 5 2 11 2" xfId="3462"/>
    <cellStyle name="好 3 8" xfId="3463"/>
    <cellStyle name="20% - 强调文字颜色 5 2 6 2" xfId="3464"/>
    <cellStyle name="汇总 2 6 8 2" xfId="3465"/>
    <cellStyle name="汇总 2 2 2 6 2 2 2" xfId="3466"/>
    <cellStyle name="强调文字颜色 1 2 2 4 2" xfId="3467"/>
    <cellStyle name="汇总 2 4 2 2 2 2 2 2" xfId="3468"/>
    <cellStyle name="40% - 强调文字颜色 1 2 2 2 2 2 2 2 2 2 2" xfId="3469"/>
    <cellStyle name="60% - 强调文字颜色 3 3 2 3" xfId="3470"/>
    <cellStyle name="计算 2 2 5 3 5 3" xfId="3471"/>
    <cellStyle name="适中 3 4" xfId="3472"/>
    <cellStyle name="常规 10 2 3 5 3" xfId="3473"/>
    <cellStyle name="计算 2 6 4 4 2" xfId="3474"/>
    <cellStyle name="计算 2 3 6 2 2" xfId="3475"/>
    <cellStyle name="输出 3 2 10" xfId="3476"/>
    <cellStyle name="计算 2 2 7 3 2 3 2 2" xfId="3477"/>
    <cellStyle name="60% - 强调文字颜色 4 3 7" xfId="3478"/>
    <cellStyle name="汇总 2 2 4 2 2 7 2" xfId="3479"/>
    <cellStyle name="检查单元格 2 2 6" xfId="3480"/>
    <cellStyle name="40% - 强调文字颜色 3 3 2" xfId="3481"/>
    <cellStyle name="强调文字颜色 1 2 2 5 4" xfId="3482"/>
    <cellStyle name="输出 2 7 2 3 2 2" xfId="3483"/>
    <cellStyle name="注释 2 2 3 2 3 3 2" xfId="3484"/>
    <cellStyle name="强调文字颜色 1 2 3 2 4 2 2 2" xfId="3485"/>
    <cellStyle name="解释性文本 2 3 2 5 2" xfId="3486"/>
    <cellStyle name="计算 3 2 3 2 3" xfId="3487"/>
    <cellStyle name="标题 3 3 8" xfId="3488"/>
    <cellStyle name="计算 2 2 9 2 4 2" xfId="3489"/>
    <cellStyle name="常规 5 3 2 2 2 3 2 2" xfId="3490"/>
    <cellStyle name="计算 2 5 2 5 4" xfId="3491"/>
    <cellStyle name="20% - 强调文字颜色 3 2 2 6 3 2" xfId="3492"/>
    <cellStyle name="汇总 3 5" xfId="3493"/>
    <cellStyle name="警告文本 2 2 3 4 2 2" xfId="3494"/>
    <cellStyle name="40% - 强调文字颜色 1 2 2 3 3" xfId="3495"/>
    <cellStyle name="强调文字颜色 6 3 2 5" xfId="3496"/>
    <cellStyle name="注释 2 2 3 2 2 2 2 4" xfId="3497"/>
    <cellStyle name="计算 4 3 2" xfId="3498"/>
    <cellStyle name="强调文字颜色 3 2 5 3 3" xfId="3499"/>
    <cellStyle name="标题 4 2 2 2 2 3 3" xfId="3500"/>
    <cellStyle name="汇总 2 2 5 2 2 6 2 2" xfId="3501"/>
    <cellStyle name="60% - 强调文字颜色 6 2 2 2 3 2 2 2 3" xfId="3502"/>
    <cellStyle name="汇总 2 15 3" xfId="3503"/>
    <cellStyle name="常规 5 2 4 2 4" xfId="3504"/>
    <cellStyle name="常规 14 2 2 2 2" xfId="3505"/>
    <cellStyle name="计算 2 4 2 2 2 5" xfId="3506"/>
    <cellStyle name="输出 2 2 6 3 2 5" xfId="3507"/>
    <cellStyle name="常规 16 3" xfId="3508"/>
    <cellStyle name="常规 4 3 2 2 3" xfId="3509"/>
    <cellStyle name="强调文字颜色 3 2 4 2" xfId="3510"/>
    <cellStyle name="汇总 2 5 3 2 2 4 3" xfId="3511"/>
    <cellStyle name="输入 2 15 3" xfId="3512"/>
    <cellStyle name="注释 2 2 3 5 5" xfId="3513"/>
    <cellStyle name="差 2 2 2 2 5" xfId="3514"/>
    <cellStyle name="注释 2 4 2 2 6" xfId="3515"/>
    <cellStyle name="40% - 强调文字颜色 1 2 3 2 2 5 2 2" xfId="3516"/>
    <cellStyle name="超链接 3 2 5 2 2" xfId="3517"/>
    <cellStyle name="输入 2 6 6 2 2" xfId="3518"/>
    <cellStyle name="汇总 3 2 3" xfId="3519"/>
    <cellStyle name="强调文字颜色 6 2 2 8" xfId="3520"/>
    <cellStyle name="汇总 2 3 2 4 4 2" xfId="3521"/>
    <cellStyle name="标题 1 2 2 4 3" xfId="3522"/>
    <cellStyle name="输入 2 6 3 4 2 2" xfId="3523"/>
    <cellStyle name="超链接 3 2 2 4 2 2" xfId="3524"/>
    <cellStyle name="计算 2 3 3 3" xfId="3525"/>
    <cellStyle name="检查单元格 2 2 4 4 2" xfId="3526"/>
    <cellStyle name="强调文字颜色 2 2 2 2 4 3 3" xfId="3527"/>
    <cellStyle name="标题 1 3 2 6" xfId="3528"/>
    <cellStyle name="计算 3 3 5" xfId="3529"/>
    <cellStyle name="常规 5 3 2 4 2" xfId="3530"/>
    <cellStyle name="好 2 2 4 5" xfId="3531"/>
    <cellStyle name="汇总 2 6 2 2 2 3 3" xfId="3532"/>
    <cellStyle name="强调文字颜色 1 2 7 3" xfId="3533"/>
    <cellStyle name="常规 6 2 4 2 2" xfId="3534"/>
    <cellStyle name="输出 2 2 3 3 2 2 3 2" xfId="3535"/>
    <cellStyle name="注释 2 2 4 2 3 5" xfId="3536"/>
    <cellStyle name="汇总 2 2 7 4" xfId="3537"/>
    <cellStyle name="计算 2 2 4 2 12" xfId="3538"/>
    <cellStyle name="好 3 4 2 2 2" xfId="3539"/>
    <cellStyle name="输出 2 2 3 2 3 2 3" xfId="3540"/>
    <cellStyle name="强调文字颜色 6 2 2 4 4 3" xfId="3541"/>
    <cellStyle name="无色 2 3 3" xfId="3542"/>
    <cellStyle name="注释 2 3 8 3" xfId="3543"/>
    <cellStyle name="计算 2 2 4 2 2 2 2 6" xfId="3544"/>
    <cellStyle name="强调文字颜色 3 2 3 5 2 2" xfId="3545"/>
    <cellStyle name="差 2 3 3 6" xfId="3546"/>
    <cellStyle name="强调文字颜色 2 3 3 2" xfId="3547"/>
    <cellStyle name="标题 9 3" xfId="3548"/>
    <cellStyle name="差 2 3 2 2 2 2 2 2" xfId="3549"/>
    <cellStyle name="好 2 2 2 2 2" xfId="3550"/>
    <cellStyle name="汇总 2 2 5 15" xfId="3551"/>
    <cellStyle name="强调文字颜色 1 2 2 2 7" xfId="3552"/>
    <cellStyle name="注释 3 3 3" xfId="3553"/>
    <cellStyle name="常规 13 2 3 2" xfId="3554"/>
    <cellStyle name="60% - 强调文字颜色 4 2 4 4 2 2 2" xfId="3555"/>
    <cellStyle name="输出 2 7 2 2 3" xfId="3556"/>
    <cellStyle name="40% - 强调文字颜色 4 3 3 4" xfId="3557"/>
    <cellStyle name="20% - 强调文字颜色 1 2 3 3 3 2 2" xfId="3558"/>
    <cellStyle name="强调文字颜色 5 2 2 2 7" xfId="3559"/>
    <cellStyle name="40% - 强调文字颜色 3 5 2 2" xfId="3560"/>
    <cellStyle name="检查单元格 2 4 6 2" xfId="3561"/>
    <cellStyle name="计算 3 2 4" xfId="3562"/>
    <cellStyle name="常规 3 3 3 2 2 2 2" xfId="3563"/>
    <cellStyle name="超链接 2 4 4 3" xfId="3564"/>
    <cellStyle name="好 2 3 4 3 3" xfId="3565"/>
    <cellStyle name="标题 1 3 2 4 2 2" xfId="3566"/>
    <cellStyle name="计算 3 3 3 2 2" xfId="3567"/>
    <cellStyle name="强调文字颜色 6 2 2 6 2 2" xfId="3568"/>
    <cellStyle name="输入 2 6 10" xfId="3569"/>
    <cellStyle name="强调文字颜色 3 2 2 2 3" xfId="3570"/>
    <cellStyle name="常规 10 3 2 3 2" xfId="3571"/>
    <cellStyle name="强调文字颜色 5 2 2 2 2 2 2 2 3" xfId="3572"/>
    <cellStyle name="解释性文本 3 10" xfId="3573"/>
    <cellStyle name="20% - 强调文字颜色 4 2 7 3 2" xfId="3574"/>
    <cellStyle name="汇总 2 9 2 8" xfId="3575"/>
    <cellStyle name="强调文字颜色 3 3 2 2 2 2" xfId="3576"/>
    <cellStyle name="注释 2 2 2 7 2 2" xfId="3577"/>
    <cellStyle name="标题 4 2 3 2 2 3" xfId="3578"/>
    <cellStyle name="标题 1 2 6 3 2 2" xfId="3579"/>
    <cellStyle name="常规 11 3 6" xfId="3580"/>
    <cellStyle name="汇总 2 6 4 2 4 3" xfId="3581"/>
    <cellStyle name="汇总 2 2 4 5 6 2" xfId="3582"/>
    <cellStyle name="强调文字颜色 1 2 2 9" xfId="3583"/>
    <cellStyle name="解释性文本 2 4 3 4 2" xfId="3584"/>
    <cellStyle name="输出 2 5 2 6 2" xfId="3585"/>
    <cellStyle name="超链接 2 3 2 3 2 2 2" xfId="3586"/>
    <cellStyle name="常规 5 2 5 3 5" xfId="3587"/>
    <cellStyle name="常规 13 3" xfId="3588"/>
    <cellStyle name="输出 2 4 2 3" xfId="3589"/>
    <cellStyle name="标题 2 2 5 3 2 2" xfId="3590"/>
    <cellStyle name="计算 2 2 6 3 3 2 2" xfId="3591"/>
    <cellStyle name="差 2 2 4 2" xfId="3592"/>
    <cellStyle name="汇总 2 5 2 2 7" xfId="3593"/>
    <cellStyle name="输入 2 8 3 2 5" xfId="3594"/>
    <cellStyle name="输出 2 2 6 2 2 5" xfId="3595"/>
    <cellStyle name="标题 4 2 2 2 7" xfId="3596"/>
    <cellStyle name="计算 2 3 4 2 3 3" xfId="3597"/>
    <cellStyle name="常规 6 6 3 2" xfId="3598"/>
    <cellStyle name="汇总 2 2 4 2 5 5" xfId="3599"/>
    <cellStyle name="常规 7 2 2 5 2 2 2" xfId="3600"/>
    <cellStyle name="常规 5 2 2 4 2 3 2 2" xfId="3601"/>
    <cellStyle name="20% - 强调文字颜色 1 2 2 2 2 2 3 3" xfId="3602"/>
    <cellStyle name="计算 2 2 6 2 2" xfId="3603"/>
    <cellStyle name="汇总 2 7 6 2 3" xfId="3604"/>
    <cellStyle name="输出 2 5 3 2 5" xfId="3605"/>
    <cellStyle name="汇总 2 2 5 2 3 2 3" xfId="3606"/>
    <cellStyle name="强调文字颜色 3 2 2 3 2 2 2 2 2" xfId="3607"/>
    <cellStyle name="输入 4 5 2 2" xfId="3608"/>
    <cellStyle name="计算 2 6 2 4 2 2 2" xfId="3609"/>
    <cellStyle name="计算 2 20" xfId="3610"/>
    <cellStyle name="计算 2 15" xfId="3611"/>
    <cellStyle name="60% - 强调文字颜色 2 2 7" xfId="3612"/>
    <cellStyle name="链接单元格 2 2 3 6 2 2" xfId="3613"/>
    <cellStyle name="常规 6 5 3" xfId="3614"/>
    <cellStyle name="40% - 强调文字颜色 1 2 3 2 2 5" xfId="3615"/>
    <cellStyle name="输入 2 5 4 2 3 2" xfId="3616"/>
    <cellStyle name="解释性文本 2 7 2" xfId="3617"/>
    <cellStyle name="注释 3 6 3" xfId="3618"/>
    <cellStyle name="20% - 强调文字颜色 5 2 2 4 3 3 2" xfId="3619"/>
    <cellStyle name="标题 2 4 3 2" xfId="3620"/>
    <cellStyle name="汇总 2 3 2 9" xfId="3621"/>
    <cellStyle name="输出 2 2 7 10" xfId="3622"/>
    <cellStyle name="计算 2 2 9 8" xfId="3623"/>
    <cellStyle name="解释性文本 2 6 3 3" xfId="3624"/>
    <cellStyle name="计算 2 5 4 2 4 2 2" xfId="3625"/>
    <cellStyle name="输出 2 7 2 5" xfId="3626"/>
    <cellStyle name="常规 3 2 2 2 2 5" xfId="3627"/>
    <cellStyle name="常规 4 2 3 2 2 3" xfId="3628"/>
    <cellStyle name="注释 2 2 3 2 2 7" xfId="3629"/>
    <cellStyle name="汇总 5 2 3 2" xfId="3630"/>
    <cellStyle name="强调文字颜色 5 2 4 2 2 2 2 2" xfId="3631"/>
    <cellStyle name="60% - 强调文字颜色 4 2 2 4 3 2 2 2" xfId="3632"/>
    <cellStyle name="汇总 2 2 4 3 2 4 3" xfId="3633"/>
    <cellStyle name="检查单元格 2 2 4 3 2 3" xfId="3634"/>
    <cellStyle name="注释 2 3 5 2 2" xfId="3635"/>
    <cellStyle name="汇总 2 5 3 2 4 2" xfId="3636"/>
    <cellStyle name="计算 2 2 7 2 4 3" xfId="3637"/>
    <cellStyle name="常规 2 2 2 2 2 3 3 2 2" xfId="3638"/>
    <cellStyle name="超链接 3 4 3 2 2 2" xfId="3639"/>
    <cellStyle name="汇总 2 2 5 3 6" xfId="3640"/>
    <cellStyle name="计算 2 7 4 4 3" xfId="3641"/>
    <cellStyle name="输出 3 2 2" xfId="3642"/>
    <cellStyle name="输入 2 2 5 2 3 2 3" xfId="3643"/>
    <cellStyle name="计算 2 2 2 5" xfId="3644"/>
    <cellStyle name="输入 4 2 2 2" xfId="3645"/>
    <cellStyle name="汇总 3 2 2 2 3 2 2" xfId="3646"/>
    <cellStyle name="标题 3 2 2 6 3 3" xfId="3647"/>
    <cellStyle name="检查单元格 2 3 2 3 3" xfId="3648"/>
    <cellStyle name="汇总 2 2 2 11 2 2" xfId="3649"/>
    <cellStyle name="计算 2 2 3 2 7 2" xfId="3650"/>
    <cellStyle name="60% - 强调文字颜色 1 2 4 2" xfId="3651"/>
    <cellStyle name="汇总 2 4 2 10" xfId="3652"/>
    <cellStyle name="40% - 强调文字颜色 1 2 4 3 2 2 2" xfId="3653"/>
    <cellStyle name="标题 5 2 9" xfId="3654"/>
    <cellStyle name="强调文字颜色 1 2 4 2 2 2 3" xfId="3655"/>
    <cellStyle name="计算 2 2 3 4 2 4" xfId="3656"/>
    <cellStyle name="20% - 强调文字颜色 4 3 5" xfId="3657"/>
    <cellStyle name="20% - 强调文字颜色 4 3 2 3" xfId="3658"/>
    <cellStyle name="常规 3 3 2 2 3 2 2" xfId="3659"/>
    <cellStyle name="解释性文本 2 2 4" xfId="3660"/>
    <cellStyle name="输出 2 6 2 2 2 2 2" xfId="3661"/>
    <cellStyle name="40% - 强调文字颜色 3 3 3 3 2 2" xfId="3662"/>
    <cellStyle name="汇总 2 2 4 2 3 6 2" xfId="3663"/>
    <cellStyle name="60% - 强调文字颜色 5 2 7" xfId="3664"/>
    <cellStyle name="40% - 强调文字颜色 4 2 2" xfId="3665"/>
    <cellStyle name="链接单元格 2 2 2 6" xfId="3666"/>
    <cellStyle name="好 2 3 3 2 2 3" xfId="3667"/>
    <cellStyle name="40% - 强调文字颜色 4 2 2 2 2 5" xfId="3668"/>
    <cellStyle name="标题 1 2 2 6 2 2 2" xfId="3669"/>
    <cellStyle name="百分比 2 3 3 2 2" xfId="3670"/>
    <cellStyle name="40% - 强调文字颜色 5 2 3 2 2 3" xfId="3671"/>
    <cellStyle name="好 4 3" xfId="3672"/>
    <cellStyle name="计算 2 3 5 2 2 2" xfId="3673"/>
    <cellStyle name="常规 13" xfId="3674"/>
    <cellStyle name="差 2 3 2 4 3" xfId="3675"/>
    <cellStyle name="注释 2 4 2 6 2 2" xfId="3676"/>
    <cellStyle name="计算 2 2 6 3 3" xfId="3677"/>
    <cellStyle name="标题 2 2 3 2 2 4" xfId="3678"/>
    <cellStyle name="标题 3 2 4 2 2 2" xfId="3679"/>
    <cellStyle name="计算 2 2 6 6 2 2 2" xfId="3680"/>
    <cellStyle name="汇总 6 3 3" xfId="3681"/>
    <cellStyle name="标题 1 2 2 2 2 6" xfId="3682"/>
    <cellStyle name="链接单元格 2 7" xfId="3683"/>
    <cellStyle name="警告文本 2 2 2 2 3 2 2 2" xfId="3684"/>
    <cellStyle name="强调文字颜色 4 2 2 2 2 3 4" xfId="3685"/>
    <cellStyle name="标题 2 4 5 2" xfId="3686"/>
    <cellStyle name="注释 3 8 3" xfId="3687"/>
    <cellStyle name="标题 2 2 2 2 2 2 2 2 2 3" xfId="3688"/>
    <cellStyle name="输入 2 2 7 2 2 5" xfId="3689"/>
    <cellStyle name="汇总 2 2 2 2 2 2 2 4" xfId="3690"/>
    <cellStyle name="汇总 2 2 3 2 3 2 2 2" xfId="3691"/>
    <cellStyle name="计算 2 5 2 9 2 2" xfId="3692"/>
    <cellStyle name="常规 9 4 3 2 2 2" xfId="3693"/>
    <cellStyle name="超链接 2 3 2 3" xfId="3694"/>
    <cellStyle name="汇总 2 6 2 4 5" xfId="3695"/>
    <cellStyle name="输入 2 3 6 2" xfId="3696"/>
    <cellStyle name="注释 3 2 7 3" xfId="3697"/>
    <cellStyle name="强调文字颜色 6 2 2 3 3" xfId="3698"/>
    <cellStyle name="20% - 强调文字颜色 6 2 2 3 3 2 2" xfId="3699"/>
    <cellStyle name="检查单元格 2 2 7" xfId="3700"/>
    <cellStyle name="适中 2 2 2 2 3 2" xfId="3701"/>
    <cellStyle name="40% - 强调文字颜色 3 3 3" xfId="3702"/>
    <cellStyle name="汇总 4 2 6 2" xfId="3703"/>
    <cellStyle name="标题 2 2 3 7 2" xfId="3704"/>
    <cellStyle name="输出 2 6 2 4 2 2" xfId="3705"/>
    <cellStyle name="计算 2 2 4 7 2" xfId="3706"/>
    <cellStyle name="60% - 强调文字颜色 3 2 2 3 4 2" xfId="3707"/>
    <cellStyle name="20% - 强调文字颜色 1 2 3 6" xfId="3708"/>
    <cellStyle name="输出 2 2 5 7 2 2" xfId="3709"/>
    <cellStyle name="输入 2 2 5 2 2 2 2" xfId="3710"/>
    <cellStyle name="适中 2 3 2 7" xfId="3711"/>
    <cellStyle name="标题 1 2 3 2 6 2 2" xfId="3712"/>
    <cellStyle name="检查单元格 2 2 2 3 3" xfId="3713"/>
    <cellStyle name="强调文字颜色 2 2 2 2 2 2 4" xfId="3714"/>
    <cellStyle name="20% - 强调文字颜色 1 3 2 2 4" xfId="3715"/>
    <cellStyle name="计算 2 2 2 2 7 2" xfId="3716"/>
    <cellStyle name="强调文字颜色 3 2 2 2 7" xfId="3717"/>
    <cellStyle name="计算 2 4 9 2" xfId="3718"/>
    <cellStyle name="常规 5 2 2 3 2 3" xfId="3719"/>
    <cellStyle name="20% - 强调文字颜色 4 2 3 4 3 2 2" xfId="3720"/>
    <cellStyle name="常规 5 5 2 5" xfId="3721"/>
    <cellStyle name="常规 4 3 3 2 5" xfId="3722"/>
    <cellStyle name="输入 3 2 2 2" xfId="3723"/>
    <cellStyle name="60% - 强调文字颜色 6 3 3 4 2" xfId="3724"/>
    <cellStyle name="计算 2 6 4 4 3" xfId="3725"/>
    <cellStyle name="汇总 2 9 3 5" xfId="3726"/>
    <cellStyle name="60% - 强调文字颜色 5 2 3 2 4 2 2" xfId="3727"/>
    <cellStyle name="计算 2 2 6 4 2 3 2" xfId="3728"/>
    <cellStyle name="标题 3 2 2 2 3 2" xfId="3729"/>
    <cellStyle name="输入 2 2 5 4" xfId="3730"/>
    <cellStyle name="汇总 2 5 2 4 2 2 2" xfId="3731"/>
    <cellStyle name="计算 2 2 8 7 3" xfId="3732"/>
    <cellStyle name="汇总 3 2 3 2 2" xfId="3733"/>
    <cellStyle name="输出 2 2 2 4 4 3" xfId="3734"/>
    <cellStyle name="汇总 2 2 7 10" xfId="3735"/>
    <cellStyle name="输出 2 8 9" xfId="3736"/>
    <cellStyle name="链接单元格 2 2 4 5" xfId="3737"/>
    <cellStyle name="注释 2 4 6 2" xfId="3738"/>
    <cellStyle name="汇总 2 5 4 3 4" xfId="3739"/>
    <cellStyle name="解释性文本 2 2 4 6" xfId="3740"/>
    <cellStyle name="输出 2 2 8 2 2" xfId="3741"/>
    <cellStyle name="计算 2 2 5 4 2" xfId="3742"/>
    <cellStyle name="输出 2 3 3 2 4" xfId="3743"/>
    <cellStyle name="计算 4 7" xfId="3744"/>
    <cellStyle name="汇总 2 5 6 2 2" xfId="3745"/>
    <cellStyle name="标题 4 4 3 3" xfId="3746"/>
    <cellStyle name="好 2 3 3 4" xfId="3747"/>
    <cellStyle name="强调文字颜色 3 4 5" xfId="3748"/>
    <cellStyle name="标题 4 2 2 4 2" xfId="3749"/>
    <cellStyle name="常规 3 2 2 6" xfId="3750"/>
    <cellStyle name="60% - 强调文字颜色 6 2 2 2 2 3" xfId="3751"/>
    <cellStyle name="输入 2 2 8 2 4" xfId="3752"/>
    <cellStyle name="百分比 2 5 3 2 2" xfId="3753"/>
    <cellStyle name="计算 2 2 2 2 4 3 3" xfId="3754"/>
    <cellStyle name="常规 2 2 6" xfId="3755"/>
    <cellStyle name="输出 2 3 8" xfId="3756"/>
    <cellStyle name="标题 4 5" xfId="3757"/>
    <cellStyle name="强调文字颜色 4 2 7" xfId="3758"/>
    <cellStyle name="强调文字颜色 3 2 2 2 2 3 3 2 2" xfId="3759"/>
    <cellStyle name="注释 2 2 8 4" xfId="3760"/>
    <cellStyle name="输出 2 2 3 2 2 2 4" xfId="3761"/>
    <cellStyle name="汇总 2 8 2 2 6" xfId="3762"/>
    <cellStyle name="标题 2 2 3 3 2 3" xfId="3763"/>
    <cellStyle name="解释性文本 2 2 3 2 2 3" xfId="3764"/>
    <cellStyle name="输入 2 2 5 4 8" xfId="3765"/>
    <cellStyle name="强调文字颜色 5 2 2 7 2 2" xfId="3766"/>
    <cellStyle name="输入 3 2 2 3" xfId="3767"/>
    <cellStyle name="注释 2 2 4 2 2 2" xfId="3768"/>
    <cellStyle name="常规 2 2 2 2 2 2 2 2 2 2" xfId="3769"/>
    <cellStyle name="计算 3 3 2 3 3" xfId="3770"/>
    <cellStyle name="标题 2 3 2 2 2 2 2" xfId="3771"/>
    <cellStyle name="注释 2 5 3 2 2 2" xfId="3772"/>
    <cellStyle name="汇总 2 2 7 3 2 4" xfId="3773"/>
    <cellStyle name="计算 2 3 3 2 8" xfId="3774"/>
    <cellStyle name="好 2 2 2 2 4 2 3" xfId="3775"/>
    <cellStyle name="汇总 2 2 2 2 3 5" xfId="3776"/>
    <cellStyle name="适中 2 2 6 3 2" xfId="3777"/>
    <cellStyle name="输入 2 2 4 2 2 2 4" xfId="3778"/>
    <cellStyle name="汇总 2 2 4 2 2 2" xfId="3779"/>
    <cellStyle name="汇总 2 3 3 3 3 2" xfId="3780"/>
    <cellStyle name="计算 3 2 2 3" xfId="3781"/>
    <cellStyle name="好 2 2 2 4 2 2 2" xfId="3782"/>
    <cellStyle name="输出 2 2 6 2" xfId="3783"/>
    <cellStyle name="计算 3 8 3" xfId="3784"/>
    <cellStyle name="计算 4 2 2 2 2 2" xfId="3785"/>
    <cellStyle name="输入 3 2 4 2" xfId="3786"/>
    <cellStyle name="汇总 2 2 8 3 2" xfId="3787"/>
    <cellStyle name="差 5" xfId="3788"/>
    <cellStyle name="警告文本 3 2 2 3 2" xfId="3789"/>
    <cellStyle name="20% - 强调文字颜色 3 2 2 7 2 2" xfId="3790"/>
    <cellStyle name="计算 2 11 3 2 2" xfId="3791"/>
    <cellStyle name="输出 2 4 2 5 5" xfId="3792"/>
    <cellStyle name="40% - 强调文字颜色 1 2 5 3 3 2" xfId="3793"/>
    <cellStyle name="汇总 2 5 2 2 3 4 2 2" xfId="3794"/>
    <cellStyle name="链接单元格 2 4 3 2 2" xfId="3795"/>
    <cellStyle name="计算 2 9 6 3" xfId="3796"/>
    <cellStyle name="汇总 2 17 2 2" xfId="3797"/>
    <cellStyle name="差 2 2 11" xfId="3798"/>
    <cellStyle name="输入 2 5 2 2 2 2 3 2" xfId="3799"/>
    <cellStyle name="警告文本 2 6 4" xfId="3800"/>
    <cellStyle name="注释 2 2 4 3 4 2 2" xfId="3801"/>
    <cellStyle name="汇总 2 5 6 2" xfId="3802"/>
    <cellStyle name="计算 2 2 4 2 4 3" xfId="3803"/>
    <cellStyle name="输出 2 2 4 2 2 2 2 3" xfId="3804"/>
    <cellStyle name="常规 10 2 2 6" xfId="3805"/>
    <cellStyle name="解释性文本 2 2 3 3 2 2 2" xfId="3806"/>
    <cellStyle name="计算 2 2 8 3 2 2 2 2" xfId="3807"/>
    <cellStyle name="60% - 强调文字颜色 1 2 4 7" xfId="3808"/>
    <cellStyle name="常规 2 3 2 3 3 2" xfId="3809"/>
    <cellStyle name="计算 2 9 6 2" xfId="3810"/>
    <cellStyle name="计算 2 2 6 12 2" xfId="3811"/>
    <cellStyle name="差 2 2 10" xfId="3812"/>
    <cellStyle name="计算 2 6 2 4 2 3" xfId="3813"/>
    <cellStyle name="计算 2 2 10" xfId="3814"/>
    <cellStyle name="强调文字颜色 5 3 2 2 2 2" xfId="3815"/>
    <cellStyle name="差 2 2 6 3 2" xfId="3816"/>
    <cellStyle name="标题 5 3 2 8" xfId="3817"/>
    <cellStyle name="标题 3 2 2 8 3" xfId="3818"/>
    <cellStyle name="汇总 2 2 5 2 2 2" xfId="3819"/>
    <cellStyle name="注释 5 3 3" xfId="3820"/>
    <cellStyle name="计算 2 5 2 16" xfId="3821"/>
    <cellStyle name="输入 2 8" xfId="3822"/>
    <cellStyle name="计算 2 2 3 3 3" xfId="3823"/>
    <cellStyle name="强调文字颜色 3 2 2 8" xfId="3824"/>
    <cellStyle name="超链接 3 3 4 4 2" xfId="3825"/>
    <cellStyle name="超链接 3 2 3" xfId="3826"/>
    <cellStyle name="输入 2 6 4" xfId="3827"/>
    <cellStyle name="标题 2 2 2 3 7" xfId="3828"/>
    <cellStyle name="汇总 2 2 8 3 3 3" xfId="3829"/>
    <cellStyle name="好 2 2 5 3 2" xfId="3830"/>
    <cellStyle name="常规 9 3 3 2 2 2 2" xfId="3831"/>
    <cellStyle name="汇总 2 2 9 8" xfId="3832"/>
    <cellStyle name="60% - 强调文字颜色 6 2 3 4 2 2 3" xfId="3833"/>
    <cellStyle name="强调文字颜色 1 2 3 2 4 2" xfId="3834"/>
    <cellStyle name="常规 2 3 4 2 2 2" xfId="3835"/>
    <cellStyle name="解释性文本 2 2 2 2 3 2 2" xfId="3836"/>
    <cellStyle name="输出 2 5 3 4 3" xfId="3837"/>
    <cellStyle name="汇总 2 2 4 2 7 3" xfId="3838"/>
    <cellStyle name="40% - 强调文字颜色 4 2 2 2 3 2" xfId="3839"/>
    <cellStyle name="标题 1 2 2 3 7" xfId="3840"/>
    <cellStyle name="汇总 2 9 2 4 3" xfId="3841"/>
    <cellStyle name="输出 2 7 5 3" xfId="3842"/>
    <cellStyle name="标题 1 4 2 3 2 3" xfId="3843"/>
    <cellStyle name="强调文字颜色 2 2 2 6 2 3" xfId="3844"/>
    <cellStyle name="汇总 2 2 3 4 5" xfId="3845"/>
    <cellStyle name="计算 2 7 2 5 2" xfId="3846"/>
    <cellStyle name="标题 3 2 2 5 2 2 3" xfId="3847"/>
    <cellStyle name="计算 2 2 8 11" xfId="3848"/>
    <cellStyle name="输入 2 5 4 4 3" xfId="3849"/>
    <cellStyle name="汇总 2 2 8 6 2 2" xfId="3850"/>
    <cellStyle name="输入 3 2 7 2 2" xfId="3851"/>
    <cellStyle name="标题 2 2 2 2 5 2 2" xfId="3852"/>
    <cellStyle name="计算 2 2 2 2 5 2 2" xfId="3853"/>
    <cellStyle name="输出 3 2 7" xfId="3854"/>
    <cellStyle name="汇总 2 2 9 3 3 2 2" xfId="3855"/>
    <cellStyle name="注释 2 2 3 4 2 6" xfId="3856"/>
    <cellStyle name="汇总 2 6 10 2" xfId="3857"/>
    <cellStyle name="超链接 2 2 2 5 2" xfId="3858"/>
    <cellStyle name="注释 4 2 7 2" xfId="3859"/>
    <cellStyle name="注释 2 4 2 2 3 2" xfId="3860"/>
    <cellStyle name="20% - 强调文字颜色 6 6 2 2" xfId="3861"/>
    <cellStyle name="常规 6 3 2 2 4 2 2" xfId="3862"/>
    <cellStyle name="汇总 2 5 5 4 2" xfId="3863"/>
    <cellStyle name="好 4 2 2" xfId="3864"/>
    <cellStyle name="常规 12 2" xfId="3865"/>
    <cellStyle name="差 2 3 2 4 2 2" xfId="3866"/>
    <cellStyle name="20% - 强调文字颜色 4 3 2 4 2" xfId="3867"/>
    <cellStyle name="标题 4 2 2 2 3 2 2 2 2" xfId="3868"/>
    <cellStyle name="注释 2 3 9" xfId="3869"/>
    <cellStyle name="无色 2 4" xfId="3870"/>
    <cellStyle name="链接单元格 2 4 6 2 2" xfId="3871"/>
    <cellStyle name="输入 2 2 4 3 8" xfId="3872"/>
    <cellStyle name="输入 2 2 7 2 4 2" xfId="3873"/>
    <cellStyle name="汇总 2 2 4 3 5 2" xfId="3874"/>
    <cellStyle name="计算 2 7 3 4 2 2" xfId="3875"/>
    <cellStyle name="60% - 强调文字颜色 6 2 3 4 4" xfId="3876"/>
    <cellStyle name="注释 2 11 2 2" xfId="3877"/>
    <cellStyle name="输入 2 2 2 2 2 5" xfId="3878"/>
    <cellStyle name="常规 5 6 2 3 2" xfId="3879"/>
    <cellStyle name="计算 2 2 4 2" xfId="3880"/>
    <cellStyle name="计算 2 2 2 3 10" xfId="3881"/>
    <cellStyle name="20% - 强调文字颜色 1 3 3 2 2 2" xfId="3882"/>
    <cellStyle name="强调文字颜色 2 2 2 2 3 2 2 2" xfId="3883"/>
    <cellStyle name="计算 2 2 5 10" xfId="3884"/>
    <cellStyle name="超链接 2 3 6 3" xfId="3885"/>
    <cellStyle name="计算 2 4 4" xfId="3886"/>
    <cellStyle name="汇总 2 2 2 11 2" xfId="3887"/>
    <cellStyle name="汇总 3 2 2 2 3 2" xfId="3888"/>
    <cellStyle name="标题 3 2 3 4 2 3" xfId="3889"/>
    <cellStyle name="差 4 4 2 2 2" xfId="3890"/>
    <cellStyle name="60% - 强调文字颜色 6 2 2 4 3 2 2 2" xfId="3891"/>
    <cellStyle name="40% - 强调文字颜色 5 2 2 2 2 2 3 3 2 2" xfId="3892"/>
    <cellStyle name="标题 5 4 6" xfId="3893"/>
    <cellStyle name="强调文字颜色 4 2 2 2 4 2 3" xfId="3894"/>
    <cellStyle name="注释 2 2 2 3 3 2" xfId="3895"/>
    <cellStyle name="40% - 强调文字颜色 3 2 2 2 2 2" xfId="3896"/>
    <cellStyle name="注释 3 7 2 2" xfId="3897"/>
    <cellStyle name="好 2 5 4" xfId="3898"/>
    <cellStyle name="强调文字颜色 4 2 2 2 2 2 3 2" xfId="3899"/>
    <cellStyle name="汇总 2 2 3 3 2 6" xfId="3900"/>
    <cellStyle name="注释 2 2 4 3 3" xfId="3901"/>
    <cellStyle name="40% - 强调文字颜色 3 2 4 2 2" xfId="3902"/>
    <cellStyle name="输出 2 5 3 5 2" xfId="3903"/>
    <cellStyle name="解释性文本 2 4 4 3 2" xfId="3904"/>
    <cellStyle name="60% - 强调文字颜色 5 2 2 2 4 2 2" xfId="3905"/>
    <cellStyle name="常规 9 3 3 2 3" xfId="3906"/>
    <cellStyle name="计算 2 2 5 4 2 3 2" xfId="3907"/>
    <cellStyle name="注释 2 8 2 2 2 2" xfId="3908"/>
    <cellStyle name="汇总 2 2 4 2 3 3 3 3" xfId="3909"/>
    <cellStyle name="常规 7 3 5 2" xfId="3910"/>
    <cellStyle name="60% - 强调文字颜色 5 2 3 6 2 2 2" xfId="3911"/>
    <cellStyle name="40% - 强调文字颜色 4 2 2 2 6" xfId="3912"/>
    <cellStyle name="注释 2 6 7 2" xfId="3913"/>
    <cellStyle name="计算 2 2 12 2 2" xfId="3914"/>
    <cellStyle name="汇总 2 2 5 2 2 4 2 2" xfId="3915"/>
    <cellStyle name="强调文字颜色 3 2 3 3 3" xfId="3916"/>
    <cellStyle name="计算 2 3 3 2 3 2" xfId="3917"/>
    <cellStyle name="计算 2 3 4 5 3" xfId="3918"/>
    <cellStyle name="计算 2 2 3 3 3 5" xfId="3919"/>
    <cellStyle name="标题 4 2 2 9 2" xfId="3920"/>
    <cellStyle name="20% - 强调文字颜色 4 2 3 4" xfId="3921"/>
    <cellStyle name="60% - 强调文字颜色 2 2 2 2 2 3 2 2" xfId="3922"/>
    <cellStyle name="标题 2 2 3 2 3 4" xfId="3923"/>
    <cellStyle name="汇总 2 5 2 6 2 2 2" xfId="3924"/>
    <cellStyle name="标题 1 2 2 2 3 6" xfId="3925"/>
    <cellStyle name="标题 1 2 2 2 4 3 2" xfId="3926"/>
    <cellStyle name="常规 5 2 3 2 2 4 2" xfId="3927"/>
    <cellStyle name="计算 2 2 5 2 3 6" xfId="3928"/>
    <cellStyle name="计算 2 5 2 2 2 3 2 2" xfId="3929"/>
    <cellStyle name="汇总 2 2 4 6 4" xfId="3930"/>
    <cellStyle name="计算 2 5 2 11 3" xfId="3931"/>
    <cellStyle name="标题 4 4 2 5" xfId="3932"/>
    <cellStyle name="注释 2 2 5 2 2 7" xfId="3933"/>
    <cellStyle name="强调文字颜色 1 2 3 2 3 3 3" xfId="3934"/>
    <cellStyle name="警告文本 3 3 4" xfId="3935"/>
    <cellStyle name="强调文字颜色 6 4 2" xfId="3936"/>
    <cellStyle name="检查单元格 2 4 5 2" xfId="3937"/>
    <cellStyle name="解释性文本 2 3 2 5" xfId="3938"/>
    <cellStyle name="常规 5 3 2 2 5 2" xfId="3939"/>
    <cellStyle name="汇总 2 5 2 6 5" xfId="3940"/>
    <cellStyle name="输出 2 2 3 2 2 3 3" xfId="3941"/>
    <cellStyle name="常规 5 2 5 2" xfId="3942"/>
    <cellStyle name="强调文字颜色 6 2 2 3 5 3" xfId="3943"/>
    <cellStyle name="链接单元格 5 3" xfId="3944"/>
    <cellStyle name="输出 2 3 2 6 3" xfId="3945"/>
    <cellStyle name="计算 2 2 8 3 3 3" xfId="3946"/>
    <cellStyle name="汇总 2 5 4 3 3 2" xfId="3947"/>
    <cellStyle name="汇总 2 7 14" xfId="3948"/>
    <cellStyle name="输入 2 3 3" xfId="3949"/>
    <cellStyle name="标题 3 2 3 2 3 4" xfId="3950"/>
    <cellStyle name="强调文字颜色 5 2 6 2" xfId="3951"/>
    <cellStyle name="20% - 强调文字颜色 3 2 2 2 2 2 4 2" xfId="3952"/>
    <cellStyle name="汇总 2 2 8 4 6" xfId="3953"/>
    <cellStyle name="强调文字颜色 3 2 2 4 2 2 2 2" xfId="3954"/>
    <cellStyle name="差 4 4 2" xfId="3955"/>
    <cellStyle name="汇总 2 2 3 7 2 2" xfId="3956"/>
    <cellStyle name="计算 2 3 2 2 2 3 2 2" xfId="3957"/>
    <cellStyle name="标题 2 3 3 3" xfId="3958"/>
    <cellStyle name="注释 2 6 4" xfId="3959"/>
    <cellStyle name="常规 8 4 2 2 2" xfId="3960"/>
    <cellStyle name="强调文字颜色 4 2 2 2 2 2 5" xfId="3961"/>
    <cellStyle name="汇总 2 2 2 3 5 2 2" xfId="3962"/>
    <cellStyle name="计算 2 2 3 4 4 2" xfId="3963"/>
    <cellStyle name="标题 5 2 2 2 2 2 3" xfId="3964"/>
    <cellStyle name="标题 2 2 2 4 4 2 2" xfId="3965"/>
    <cellStyle name="输入 2 8 2 5" xfId="3966"/>
    <cellStyle name="标题 5 3 2 5 3" xfId="3967"/>
    <cellStyle name="强调文字颜色 6 2 2 2 4" xfId="3968"/>
    <cellStyle name="注释 2 2 4 4 7" xfId="3969"/>
    <cellStyle name="常规 7 3 3 2 2" xfId="3970"/>
    <cellStyle name="输入 3 3 8" xfId="3971"/>
    <cellStyle name="标题 2 2 2 3 6" xfId="3972"/>
    <cellStyle name="汇总 2 2 8 3 3 2" xfId="3973"/>
    <cellStyle name="60% - 强调文字颜色 6 2 3 4 2 2 2" xfId="3974"/>
    <cellStyle name="常规 7 2 5" xfId="3975"/>
    <cellStyle name="20% - 强调文字颜色 3 2 2 3 3 2 2" xfId="3976"/>
    <cellStyle name="适中 3 2 4 2" xfId="3977"/>
    <cellStyle name="输入 2 9 2 2 2 2" xfId="3978"/>
    <cellStyle name="60% - 强调文字颜色 4 2 3 5 2 2 2" xfId="3979"/>
    <cellStyle name="常规 2 2 6 3 2 2" xfId="3980"/>
    <cellStyle name="计算 2 5 4 2 2 2" xfId="3981"/>
    <cellStyle name="20% - 强调文字颜色 3 2 2 3 2" xfId="3982"/>
    <cellStyle name="60% - 强调文字颜色 1 2 2 3 3 3 2" xfId="3983"/>
    <cellStyle name="标题 4 2 2 6 4" xfId="3984"/>
    <cellStyle name="计算 2 5 4 4 2" xfId="3985"/>
    <cellStyle name="汇总 2 2 5 2 2 3 2 2 2" xfId="3986"/>
    <cellStyle name="强调文字颜色 3 2 2 3 3 2" xfId="3987"/>
    <cellStyle name="标题 2 2 2 3 9" xfId="3988"/>
    <cellStyle name="常规 2 3 2 2 2 2 2 2" xfId="3989"/>
    <cellStyle name="超链接 2 4 2 3 2" xfId="3990"/>
    <cellStyle name="标题 4 2 2 2 3 2 2" xfId="3991"/>
    <cellStyle name="60% - 强调文字颜色 2 2 4 4 3" xfId="3992"/>
    <cellStyle name="标题 4 2 3 8" xfId="3993"/>
    <cellStyle name="强调文字颜色 3 2 6 2 2" xfId="3994"/>
    <cellStyle name="常规 12 3 4 2" xfId="3995"/>
    <cellStyle name="常规 11 2 2 3 3" xfId="3996"/>
    <cellStyle name="标题 2 2 5 2 3" xfId="3997"/>
    <cellStyle name="汇总 2 4 2 7 2 2" xfId="3998"/>
    <cellStyle name="20% - 强调文字颜色 6 2 2 2 6 2 2 2" xfId="3999"/>
    <cellStyle name="计算 2 6 2 4 3 2 2" xfId="4000"/>
    <cellStyle name="汇总 3 2 2 3 3 2" xfId="4001"/>
    <cellStyle name="注释 3 3 6 2 2" xfId="4002"/>
    <cellStyle name="强调文字颜色 5 2 2 3 2 2 2 3" xfId="4003"/>
    <cellStyle name="强调文字颜色 1 2 4 3 3" xfId="4004"/>
    <cellStyle name="汇总 2 6 3 3 4 2" xfId="4005"/>
    <cellStyle name="输入 2 3 14" xfId="4006"/>
    <cellStyle name="20% - 强调文字颜色 6 3 3 2" xfId="4007"/>
    <cellStyle name="60% - 强调文字颜色 3 2 2 2 3 2 2 2" xfId="4008"/>
    <cellStyle name="输入 2 2 3 4 2 2 2 2" xfId="4009"/>
    <cellStyle name="链接单元格 2 3 2 4 3 2" xfId="4010"/>
    <cellStyle name="60% - 强调文字颜色 5 2 2 2 5 2" xfId="4011"/>
    <cellStyle name="计算 2 2 5 4 3 3" xfId="4012"/>
    <cellStyle name="常规 10 2 3 3 4 2" xfId="4013"/>
    <cellStyle name="注释 3 2 2 5" xfId="4014"/>
    <cellStyle name="常规 5 2 3 4 2 3 2 2" xfId="4015"/>
    <cellStyle name="输入 2 16 2" xfId="4016"/>
    <cellStyle name="汇总 2 5 3 2 2 5 2" xfId="4017"/>
    <cellStyle name="输入 2 3 11" xfId="4018"/>
    <cellStyle name="好 2 3 2 7" xfId="4019"/>
    <cellStyle name="强调文字颜色 3 3 8" xfId="4020"/>
    <cellStyle name="标题 4 2 2 3 5" xfId="4021"/>
    <cellStyle name="输出 2 5 2 2 4 3" xfId="4022"/>
    <cellStyle name="汇总 2 5 2 3 2 5 2" xfId="4023"/>
    <cellStyle name="适中 3 9" xfId="4024"/>
    <cellStyle name="汇总 3 5 3 2" xfId="4025"/>
    <cellStyle name="40% - 强调文字颜色 1 2 2 3 3 3 2" xfId="4026"/>
    <cellStyle name="60% - 强调文字颜色 1 2 5 2 2 2" xfId="4027"/>
    <cellStyle name="常规 12 6 2" xfId="4028"/>
    <cellStyle name="适中 2 3 2" xfId="4029"/>
    <cellStyle name="差 3 2 2 2" xfId="4030"/>
    <cellStyle name="输入 2 3 2 4" xfId="4031"/>
    <cellStyle name="常规 13 2 2 2 5" xfId="4032"/>
    <cellStyle name="20% - 强调文字颜色 2 2 7 3" xfId="4033"/>
    <cellStyle name="计算 2 3 2 2 2 8" xfId="4034"/>
    <cellStyle name="汇总 2 7 3 9" xfId="4035"/>
    <cellStyle name="20% - 强调文字颜色 2 2 2 2 2 2 4 2" xfId="4036"/>
    <cellStyle name="汇总 2 2 5 4 6 2" xfId="4037"/>
    <cellStyle name="40% - 强调文字颜色 3 2 2 4 2 3" xfId="4038"/>
    <cellStyle name="40% - 强调文字颜色 3 2 2 4 4 2" xfId="4039"/>
    <cellStyle name="常规 7 2 2 2 3 3 2" xfId="4040"/>
    <cellStyle name="注释 2 2 9 2 3" xfId="4041"/>
    <cellStyle name="汇总 2 4 2 3 2 2" xfId="4042"/>
    <cellStyle name="40% - 强调文字颜色 1 2 2 2 2 2 3 2 2" xfId="4043"/>
    <cellStyle name="输入 2 2 5" xfId="4044"/>
    <cellStyle name="链接单元格 2 2 3 3 2 2" xfId="4045"/>
    <cellStyle name="汇总 2 2 8 3 8" xfId="4046"/>
    <cellStyle name="40% - 强调文字颜色 2 2 2 4 4 2 2" xfId="4047"/>
    <cellStyle name="差 2 2 2 4 2 3" xfId="4048"/>
    <cellStyle name="强调文字颜色 5 2 5 4" xfId="4049"/>
    <cellStyle name="标题 5 2 5 2 2 2" xfId="4050"/>
    <cellStyle name="好 2 3 2 2 2 2 3" xfId="4051"/>
    <cellStyle name="标题 2 2 2 2 2 8" xfId="4052"/>
    <cellStyle name="40% - 强调文字颜色 5 2 2 2 2 2 3" xfId="4053"/>
    <cellStyle name="常规 9 3 2 4 2" xfId="4054"/>
    <cellStyle name="40% - 强调文字颜色 1 4 2 4 2" xfId="4055"/>
    <cellStyle name="警告文本 2 2 2 2 4 3 2" xfId="4056"/>
    <cellStyle name="注释 2 2 6 3 2 5" xfId="4057"/>
    <cellStyle name="60% - 强调文字颜色 5 3 2 3 2 2 2" xfId="4058"/>
    <cellStyle name="60% - 强调文字颜色 3 2 2 3 2 2 2 2" xfId="4059"/>
    <cellStyle name="计算 2 2 4 5 2 2 2" xfId="4060"/>
    <cellStyle name="标题 5 4 5 3" xfId="4061"/>
    <cellStyle name="汇总 2 2 5 4 2 3 2 2" xfId="4062"/>
    <cellStyle name="计算 2 5 4 2 4 2" xfId="4063"/>
    <cellStyle name="汇总 2 2 6 4 3" xfId="4064"/>
    <cellStyle name="输入 3 2 4" xfId="4065"/>
    <cellStyle name="标题 2 2 2 2 2" xfId="4066"/>
    <cellStyle name="输入 2 5 2 2 2 2 3" xfId="4067"/>
    <cellStyle name="输入 2 7 3 6" xfId="4068"/>
    <cellStyle name="汇总 2 17 2" xfId="4069"/>
    <cellStyle name="输入 2 5 3 2 3 2" xfId="4070"/>
    <cellStyle name="汇总 2 2 2 2 5 2" xfId="4071"/>
    <cellStyle name="适中 2 3 2 2 2 3" xfId="4072"/>
    <cellStyle name="40% - 强调文字颜色 4 4 4 2 2 2" xfId="4073"/>
    <cellStyle name="输出 2 2 3 2 8 3" xfId="4074"/>
    <cellStyle name="40% - 强调文字颜色 4 2 2 4 2 3 2" xfId="4075"/>
    <cellStyle name="解释性文本 2 2 3 2 2" xfId="4076"/>
    <cellStyle name="60% - 强调文字颜色 5 2 6 2 2" xfId="4077"/>
    <cellStyle name="输出 2 3 2 4 2" xfId="4078"/>
    <cellStyle name="注释 2 2 3 2 2 4 2" xfId="4079"/>
    <cellStyle name="40% - 强调文字颜色 1 2 3 4 2 2" xfId="4080"/>
    <cellStyle name="标题 4 4 6" xfId="4081"/>
    <cellStyle name="强调文字颜色 1 6 2" xfId="4082"/>
    <cellStyle name="计算 3 3 2 2" xfId="4083"/>
    <cellStyle name="标题 1 3 2 3 2" xfId="4084"/>
    <cellStyle name="标题 2 2 2 4 3 2 2 2" xfId="4085"/>
    <cellStyle name="输入 2 7 2 5 2" xfId="4086"/>
    <cellStyle name="计算 2 8 5 3" xfId="4087"/>
    <cellStyle name="计算 2 2 3 3 4 2 2" xfId="4088"/>
    <cellStyle name="强调文字颜色 2 2 4 4 3 2" xfId="4089"/>
    <cellStyle name="常规 5 2 4 3 3" xfId="4090"/>
    <cellStyle name="注释 2 5 2 2 2 2 2 2" xfId="4091"/>
    <cellStyle name="计算 3 2 2 3 3 2 2" xfId="4092"/>
    <cellStyle name="输出 2 2 3 2 2 2 4 3" xfId="4093"/>
    <cellStyle name="计算 2 4 2 2 3 4" xfId="4094"/>
    <cellStyle name="注释 2 2 3 2 5 3" xfId="4095"/>
    <cellStyle name="汇总 2 2 6 4 3 2 2" xfId="4096"/>
    <cellStyle name="标题 5 2 2 2 5" xfId="4097"/>
    <cellStyle name="汇总 2 2 4 2 4 7" xfId="4098"/>
    <cellStyle name="60% - 强调文字颜色 6 2 2 3 9" xfId="4099"/>
    <cellStyle name="输出 2 6 2 2 3 3" xfId="4100"/>
    <cellStyle name="汇总 2 2 4 5 2 2 2 2" xfId="4101"/>
    <cellStyle name="注释 2 2 2 2 2 4 3" xfId="4102"/>
    <cellStyle name="百分比 2 4 2 2" xfId="4103"/>
    <cellStyle name="输入 2 8 11" xfId="4104"/>
    <cellStyle name="汇总 3 3" xfId="4105"/>
    <cellStyle name="常规 5 5 3" xfId="4106"/>
    <cellStyle name="强调文字颜色 4 2 2 5 3 2 2" xfId="4107"/>
    <cellStyle name="输出 2 12 3" xfId="4108"/>
    <cellStyle name="汇总 2 2 3 2 2 2 2 2 2" xfId="4109"/>
    <cellStyle name="40% - 强调文字颜色 2 3 2 2 3" xfId="4110"/>
    <cellStyle name="计算 2 5 2 3 4 3" xfId="4111"/>
    <cellStyle name="强调文字颜色 1 2 2 4 4 3" xfId="4112"/>
    <cellStyle name="汇总 2 5 3 10" xfId="4113"/>
    <cellStyle name="注释 2 5 8 2" xfId="4114"/>
    <cellStyle name="汇总 2 2 5 2 2 3 3 2" xfId="4115"/>
    <cellStyle name="计算 2 2 8 3 2 6" xfId="4116"/>
    <cellStyle name="输出 2 2 3 2 5 2 2" xfId="4117"/>
    <cellStyle name="强调文字颜色 3 2 2 4 3" xfId="4118"/>
    <cellStyle name="标题 2 4 2 3 2" xfId="4119"/>
    <cellStyle name="检查单元格 2 2 3 5" xfId="4120"/>
    <cellStyle name="常规 4 4 2" xfId="4121"/>
    <cellStyle name="差 2 2 2 2 5 3" xfId="4122"/>
    <cellStyle name="常规 4 2 2 2" xfId="4123"/>
    <cellStyle name="常规 6 4" xfId="4124"/>
    <cellStyle name="汇总 2 3 2 3 6" xfId="4125"/>
    <cellStyle name="强调文字颜色 1 2 2 5 2 3" xfId="4126"/>
    <cellStyle name="检查单元格 2 2 4 3 3" xfId="4127"/>
    <cellStyle name="常规 5 2 5 3 3 3" xfId="4128"/>
    <cellStyle name="汇总 2 5 8 2 2" xfId="4129"/>
    <cellStyle name="计算 2 5 2 3 3 2 2 2" xfId="4130"/>
    <cellStyle name="超链接 2 3 4" xfId="4131"/>
    <cellStyle name="汇总 2 4 2 2 7 2" xfId="4132"/>
    <cellStyle name="常规 5 6 2" xfId="4133"/>
    <cellStyle name="20% - 强调文字颜色 2 2 2 3 3 3 2" xfId="4134"/>
    <cellStyle name="60% - 强调文字颜色 1 2 6 2 2" xfId="4135"/>
    <cellStyle name="40% - 强调文字颜色 1 2 2 4 3 3" xfId="4136"/>
    <cellStyle name="汇总 4 5 3" xfId="4137"/>
    <cellStyle name="检查单元格 3 2 2 3 2" xfId="4138"/>
    <cellStyle name="20% - 强调文字颜色 2 3 2 2 3" xfId="4139"/>
    <cellStyle name="强调文字颜色 2 2 3 2 2 2 3" xfId="4140"/>
    <cellStyle name="强调文字颜色 1 2 2 2 2 4 3" xfId="4141"/>
    <cellStyle name="20% - 强调文字颜色 1 2 2 2 3 3 2 2" xfId="4142"/>
    <cellStyle name="汇总 2 2 3 10 2 2" xfId="4143"/>
    <cellStyle name="汇总 2 6 2 2 2 4" xfId="4144"/>
    <cellStyle name="强调文字颜色 1 2 8" xfId="4145"/>
    <cellStyle name="汇总 2 2 8 4 3 2 2" xfId="4146"/>
    <cellStyle name="20% - 强调文字颜色 3 2 2 8 2" xfId="4147"/>
    <cellStyle name="40% - 强调文字颜色 4 2 3 2 2 3 3 2 2" xfId="4148"/>
    <cellStyle name="强调文字颜色 1 2 3 3 4" xfId="4149"/>
    <cellStyle name="常规 2 4 8" xfId="4150"/>
    <cellStyle name="标题 1 2 5 3 2 2" xfId="4151"/>
    <cellStyle name="输入 2 2 4 2 2 2 2 2 2 2" xfId="4152"/>
    <cellStyle name="标题 1 2 3 2 2 2 2 2 2" xfId="4153"/>
    <cellStyle name="汇总 4 2 3 3 2" xfId="4154"/>
    <cellStyle name="汇总 2 4 2 11" xfId="4155"/>
    <cellStyle name="强调文字颜色 3 2 2 3 2 3" xfId="4156"/>
    <cellStyle name="注释 2 2 3 4 3" xfId="4157"/>
    <cellStyle name="40% - 强调文字颜色 3 2 3 3 2" xfId="4158"/>
    <cellStyle name="汇总 2 2 3 2 3 6" xfId="4159"/>
    <cellStyle name="40% - 强调文字颜色 5 2 2 4 4 2 2" xfId="4160"/>
    <cellStyle name="标题 2 4 3 2 2" xfId="4161"/>
    <cellStyle name="汇总 2 3 2 9 2" xfId="4162"/>
    <cellStyle name="汇总 2 9 2 4" xfId="4163"/>
    <cellStyle name="20% - 强调文字颜色 4 2 4 4 2 2 2" xfId="4164"/>
    <cellStyle name="常规 5 3 2 2 2 3" xfId="4165"/>
    <cellStyle name="常规 5 3 2 2 5" xfId="4166"/>
    <cellStyle name="注释 2 4 3 2 2 2 2 2" xfId="4167"/>
    <cellStyle name="计算 2 3 2 3 3 2 2" xfId="4168"/>
    <cellStyle name="注释 2 2 3 2 2 8" xfId="4169"/>
    <cellStyle name="汇总 2 2 7 5 3 3" xfId="4170"/>
    <cellStyle name="标题 2 2 3 4 2 2 2" xfId="4171"/>
    <cellStyle name="标题 1 2 2 7 2" xfId="4172"/>
    <cellStyle name="百分比 2 4 3" xfId="4173"/>
    <cellStyle name="检查单元格 2 2 3 4 3 2" xfId="4174"/>
    <cellStyle name="汇总 2 4 4 2 4 2 2" xfId="4175"/>
    <cellStyle name="输出 2 6 9" xfId="4176"/>
    <cellStyle name="超链接 3 3 4 2 2 2 2" xfId="4177"/>
    <cellStyle name="强调文字颜色 1 2 3 4 3" xfId="4178"/>
    <cellStyle name="强调文字颜色 4 2 2 3 2 3" xfId="4179"/>
    <cellStyle name="标题 1 2 4 3" xfId="4180"/>
    <cellStyle name="注释 2 6 9 2" xfId="4181"/>
    <cellStyle name="强调文字颜色 4 2 3" xfId="4182"/>
    <cellStyle name="链接单元格 2 2 2 2 3 4" xfId="4183"/>
    <cellStyle name="解释性文本 3 3 3 2" xfId="4184"/>
    <cellStyle name="60% - 强调文字颜色 6 3 6 2" xfId="4185"/>
    <cellStyle name="标题 4 2 2 3 4 3 2" xfId="4186"/>
    <cellStyle name="常规 2 2 4 2 2 2" xfId="4187"/>
    <cellStyle name="警告文本 2 2 9" xfId="4188"/>
    <cellStyle name="检查单元格 4 4" xfId="4189"/>
    <cellStyle name="计算 2 6 4 2 3 2 2" xfId="4190"/>
    <cellStyle name="输出 2 6 4 2 2" xfId="4191"/>
    <cellStyle name="常规 2 5 2 2 2" xfId="4192"/>
    <cellStyle name="汇总 2 6 2 9" xfId="4193"/>
    <cellStyle name="注释 2 2 2 4 2 3" xfId="4194"/>
    <cellStyle name="计算 2 7 4 4 2 2" xfId="4195"/>
    <cellStyle name="汇总 2 2 5 3 5 2" xfId="4196"/>
    <cellStyle name="输出 2 4 2 3 2 2 2 2" xfId="4197"/>
    <cellStyle name="60% - 强调文字颜色 6 2 8" xfId="4198"/>
    <cellStyle name="解释性文本 3 2 5" xfId="4199"/>
    <cellStyle name="检查单元格 2 2 5" xfId="4200"/>
    <cellStyle name="20% - 强调文字颜色 6 2 3 2 2 5" xfId="4201"/>
    <cellStyle name="强调文字颜色 2 2 2 2 3 5" xfId="4202"/>
    <cellStyle name="强调文字颜色 3 2 3 2 3 3" xfId="4203"/>
    <cellStyle name="差 2 2 2 2 3" xfId="4204"/>
    <cellStyle name="常规 4 2 7" xfId="4205"/>
    <cellStyle name="检查单元格 2 2 2 2 4 4" xfId="4206"/>
    <cellStyle name="解释性文本 2 8 3" xfId="4207"/>
    <cellStyle name="输入 2 2 4 3 2 5 2" xfId="4208"/>
    <cellStyle name="汇总 2 2 3 2 6 3" xfId="4209"/>
    <cellStyle name="60% - 强调文字颜色 5 2 6 2 2 2" xfId="4210"/>
    <cellStyle name="输出 2 3 2 4 2 2" xfId="4211"/>
    <cellStyle name="汇总 2 2 4 3 3 6" xfId="4212"/>
    <cellStyle name="输出 2 6 2 3 2 2" xfId="4213"/>
    <cellStyle name="输出 2 2 6 2 3 3" xfId="4214"/>
    <cellStyle name="常规 5 2 3 3 2" xfId="4215"/>
    <cellStyle name="计算 2 3 2 2 5 2 2" xfId="4216"/>
    <cellStyle name="常规 8 2 2 3 2" xfId="4217"/>
    <cellStyle name="常规 8 2 3" xfId="4218"/>
    <cellStyle name="输入 2 5 2 2 2 8" xfId="4219"/>
    <cellStyle name="输入 2 2 4 2 2 7" xfId="4220"/>
    <cellStyle name="计算 2 2 4 2 2 5 2" xfId="4221"/>
    <cellStyle name="标题 3 2 3 2 4 3" xfId="4222"/>
    <cellStyle name="40% - 强调文字颜色 2 2 2 6 3 2" xfId="4223"/>
    <cellStyle name="链接单元格 2 2 5 2 2" xfId="4224"/>
    <cellStyle name="汇总 2 2 8 5 5" xfId="4225"/>
    <cellStyle name="警告文本 2 4 3 2 2" xfId="4226"/>
    <cellStyle name="输入 2 9" xfId="4227"/>
    <cellStyle name="常规 10 4 3 3 2 2" xfId="4228"/>
    <cellStyle name="强调文字颜色 3 2 2 6 3 2" xfId="4229"/>
    <cellStyle name="汇总 2 4 4 7" xfId="4230"/>
    <cellStyle name="汇总 2 2 2 2 2 3 2 2" xfId="4231"/>
    <cellStyle name="20% - 强调文字颜色 4 2 2 2 2 2 2 2 2 2" xfId="4232"/>
    <cellStyle name="输入 2 2 7 3 2 3" xfId="4233"/>
    <cellStyle name="计算 2 6 2 6 3" xfId="4234"/>
    <cellStyle name="计算 2 6 4 3 3" xfId="4235"/>
    <cellStyle name="汇总 2 2 5 3 8" xfId="4236"/>
    <cellStyle name="注释 2 2 3 4 2 3" xfId="4237"/>
    <cellStyle name="汇总 2 2 6 3 5 2" xfId="4238"/>
    <cellStyle name="输出 3 2 4" xfId="4239"/>
    <cellStyle name="计算 2 5 2 2 2 2 2 2" xfId="4240"/>
    <cellStyle name="标题 4 2 3 5 2 2 2" xfId="4241"/>
    <cellStyle name="输入 2 5 4 6 2" xfId="4242"/>
    <cellStyle name="差 3 6" xfId="4243"/>
    <cellStyle name="汇总 2 3 10 3" xfId="4244"/>
    <cellStyle name="60% - 强调文字颜色 6 2 2 8 3" xfId="4245"/>
    <cellStyle name="注释 2 2 4 2 2 2 3" xfId="4246"/>
    <cellStyle name="输入 2 7 2 3" xfId="4247"/>
    <cellStyle name="汇总 2 5 3 2 2 3 3" xfId="4248"/>
    <cellStyle name="汇总 2 2 3 2 3 8" xfId="4249"/>
    <cellStyle name="注释 2 2 3 4 5" xfId="4250"/>
    <cellStyle name="40% - 强调文字颜色 3 2 3 3 4" xfId="4251"/>
    <cellStyle name="输入 2 14 3" xfId="4252"/>
    <cellStyle name="输出 2 2 5 2 2" xfId="4253"/>
    <cellStyle name="常规 6 7 2" xfId="4254"/>
    <cellStyle name="40% - 强调文字颜色 6 2 3 3 2" xfId="4255"/>
    <cellStyle name="常规 10 3 2 2 3" xfId="4256"/>
    <cellStyle name="检查单元格 2 2 2 2 6 2 2" xfId="4257"/>
    <cellStyle name="汇总 3 2 9" xfId="4258"/>
    <cellStyle name="常规 7 2 3 2" xfId="4259"/>
    <cellStyle name="计算 2 6 6" xfId="4260"/>
    <cellStyle name="注释 2 3 4 2 3" xfId="4261"/>
    <cellStyle name="强调文字颜色 4 2 2 2 3 2 2 2" xfId="4262"/>
    <cellStyle name="汇总 2 4 3 7 2" xfId="4263"/>
    <cellStyle name="60% - 强调文字颜色 5 4 2 2 2 2 2" xfId="4264"/>
    <cellStyle name="强调文字颜色 3 2 2 2 4 2 3" xfId="4265"/>
    <cellStyle name="输入 2 2 6 6 2 2" xfId="4266"/>
    <cellStyle name="计算 2 5 5 6 2" xfId="4267"/>
    <cellStyle name="强调文字颜色 4 2 7 2 2 2" xfId="4268"/>
    <cellStyle name="计算 2 4 2 2 3 3 2 2" xfId="4269"/>
    <cellStyle name="汇总 2 2 4 2 2 11" xfId="4270"/>
    <cellStyle name="常规 3 3 2 4 2 2" xfId="4271"/>
    <cellStyle name="输入 2 4 2 6 2" xfId="4272"/>
    <cellStyle name="汇总 2 2 5 5" xfId="4273"/>
    <cellStyle name="警告文本 2 2 4 5" xfId="4274"/>
    <cellStyle name="注释 2 2 4 2 2 2 2 2" xfId="4275"/>
    <cellStyle name="常规 5 2 10" xfId="4276"/>
    <cellStyle name="20% - 强调文字颜色 3 2 7 3 2" xfId="4277"/>
    <cellStyle name="差 2 2 2 5 2 3" xfId="4278"/>
    <cellStyle name="40% - 强调文字颜色 2 2 2 4 5 2 2" xfId="4279"/>
    <cellStyle name="标题 1 2 2 4 4 2" xfId="4280"/>
    <cellStyle name="汇总 2 8 3 4 3" xfId="4281"/>
    <cellStyle name="60% - 强调文字颜色 6 2 2 3 3 2 3" xfId="4282"/>
    <cellStyle name="计算 4 2" xfId="4283"/>
    <cellStyle name="汇总 2 4 2 3 2" xfId="4284"/>
    <cellStyle name="差 2 3 3 4" xfId="4285"/>
    <cellStyle name="强调文字颜色 3 4 4 2" xfId="4286"/>
    <cellStyle name="常规 3 2 2 5 2" xfId="4287"/>
    <cellStyle name="好 2 3 3 3 2" xfId="4288"/>
    <cellStyle name="标题 4 4 3 2 2" xfId="4289"/>
    <cellStyle name="计算 2 2 7 3" xfId="4290"/>
    <cellStyle name="汇总 2 2 8 5 3 2 2" xfId="4291"/>
    <cellStyle name="输入 2 2 4 3 3 2" xfId="4292"/>
    <cellStyle name="计算 2 3 2 7 2" xfId="4293"/>
    <cellStyle name="40% - 强调文字颜色 3 4 2 2 2 2" xfId="4294"/>
    <cellStyle name="注释 2 4 2 3 3 2" xfId="4295"/>
    <cellStyle name="计算 2 2 3 4 3" xfId="4296"/>
    <cellStyle name="计算 3 3 8" xfId="4297"/>
    <cellStyle name="汇总 2 7 10 2" xfId="4298"/>
    <cellStyle name="适中 3 3 3 2" xfId="4299"/>
    <cellStyle name="输入 3 2 5 2 2" xfId="4300"/>
    <cellStyle name="计算 2 2 2 4 9" xfId="4301"/>
    <cellStyle name="常规 6 6 3 2 2" xfId="4302"/>
    <cellStyle name="无色 4 3" xfId="4303"/>
    <cellStyle name="常规 7 2 2 2 2 2 2 2" xfId="4304"/>
    <cellStyle name="计算 2 2 11 3" xfId="4305"/>
    <cellStyle name="解释性文本 2 3 2 3" xfId="4306"/>
    <cellStyle name="常规 6 8 2" xfId="4307"/>
    <cellStyle name="常规 4 2 2 6 2" xfId="4308"/>
    <cellStyle name="标题 4 3 2 4 2 2" xfId="4309"/>
    <cellStyle name="输出 2 2 3 2 2 2 2 4" xfId="4310"/>
    <cellStyle name="输出 2 2 4 2 3 2 2 2" xfId="4311"/>
    <cellStyle name="60% - 强调文字颜色 5 2 4 2 2" xfId="4312"/>
    <cellStyle name="60% - 强调文字颜色 2 4 3 2 2 2" xfId="4313"/>
    <cellStyle name="计算 2 2 2 3 2 5 2" xfId="4314"/>
    <cellStyle name="常规 6 2 3 4 3" xfId="4315"/>
    <cellStyle name="20% - 强调文字颜色 3 2 8" xfId="4316"/>
    <cellStyle name="常规 10 2 3 2 4 2" xfId="4317"/>
    <cellStyle name="计算 2 2 19" xfId="4318"/>
    <cellStyle name="计算 2 2 5 3 3 3" xfId="4319"/>
    <cellStyle name="输入 2 5 14" xfId="4320"/>
    <cellStyle name="标题 1 2 3 5 2" xfId="4321"/>
    <cellStyle name="强调文字颜色 3 2 3 2 3 2 2 2" xfId="4322"/>
    <cellStyle name="计算 2 4 4 2" xfId="4323"/>
    <cellStyle name="输出 2 2 8 3" xfId="4324"/>
    <cellStyle name="计算 2 2 5 10 2" xfId="4325"/>
    <cellStyle name="警告文本 2 3 2 2 2 2 2" xfId="4326"/>
    <cellStyle name="无色 4" xfId="4327"/>
    <cellStyle name="检查单元格 2 3 4 4" xfId="4328"/>
    <cellStyle name="注释 2 2 7 6 3" xfId="4329"/>
    <cellStyle name="警告文本 2 2 4 2 2 3" xfId="4330"/>
    <cellStyle name="常规 13 4 3 3" xfId="4331"/>
    <cellStyle name="汇总 2 3 3 2 2 2 2" xfId="4332"/>
    <cellStyle name="汇总 2 2 5 2 2 3" xfId="4333"/>
    <cellStyle name="20% - 强调文字颜色 4 2 2 2 5 2 2 2" xfId="4334"/>
    <cellStyle name="输入 2 4 3 3" xfId="4335"/>
    <cellStyle name="计算 2 2 3 2 2 7 2" xfId="4336"/>
    <cellStyle name="常规 8 2 2 3 3 2" xfId="4337"/>
    <cellStyle name="输出 3 2 2 5 3" xfId="4338"/>
    <cellStyle name="常规 10 2 2 2 2 3 2 2" xfId="4339"/>
    <cellStyle name="20% - 强调文字颜色 3 4" xfId="4340"/>
    <cellStyle name="强调文字颜色 2 2 4 3" xfId="4341"/>
    <cellStyle name="强调文字颜色 5 2 2 4 2 2 2" xfId="4342"/>
    <cellStyle name="60% - 强调文字颜色 5 2 3 2 4 2" xfId="4343"/>
    <cellStyle name="标题 5 2 2 2 5 2 2" xfId="4344"/>
    <cellStyle name="汇总 2 5 2 6 2" xfId="4345"/>
    <cellStyle name="检查单元格 2 3 2 7" xfId="4346"/>
    <cellStyle name="计算 2 6 3 4 2 2" xfId="4347"/>
    <cellStyle name="适中 2 2 4 3 2 3" xfId="4348"/>
    <cellStyle name="强调文字颜色 6 2 5 2 3" xfId="4349"/>
    <cellStyle name="注释 5 2 3" xfId="4350"/>
    <cellStyle name="输入 2 3 2 2 2" xfId="4351"/>
    <cellStyle name="常规 13 2 2 2 3 2" xfId="4352"/>
    <cellStyle name="计算 2 3 2 2 2 6 2" xfId="4353"/>
    <cellStyle name="注释 3 2 3 3 2" xfId="4354"/>
    <cellStyle name="计算 2 2 4 2 4 4" xfId="4355"/>
    <cellStyle name="超链接 2 5 2 2 2 2" xfId="4356"/>
    <cellStyle name="检查单元格 2 2 4 3 4" xfId="4357"/>
    <cellStyle name="汇总 2 7 2 2 2 3" xfId="4358"/>
    <cellStyle name="计算 2 2 8 2 2 3 3" xfId="4359"/>
    <cellStyle name="强调文字颜色 1 4" xfId="4360"/>
    <cellStyle name="输入 2 3 2 2 5" xfId="4361"/>
    <cellStyle name="60% - 强调文字颜色 6 2 2 2 3 2 2 3" xfId="4362"/>
    <cellStyle name="60% - 强调文字颜色 1 2 3 4 2 2" xfId="4363"/>
    <cellStyle name="汇总 2 21" xfId="4364"/>
    <cellStyle name="汇总 2 16" xfId="4365"/>
    <cellStyle name="好 2 4 6 2" xfId="4366"/>
    <cellStyle name="计算 2 2 5 2 3 2" xfId="4367"/>
    <cellStyle name="输出 2 5 2 2 6 2" xfId="4368"/>
    <cellStyle name="注释 2 4 2 3 7" xfId="4369"/>
    <cellStyle name="输出 2 4 3 3" xfId="4370"/>
    <cellStyle name="警告文本 2 2 2 2 6" xfId="4371"/>
    <cellStyle name="计算 2 8 3 4 2" xfId="4372"/>
    <cellStyle name="常规 3 4 2 2" xfId="4373"/>
    <cellStyle name="汇总 2 2 7 3 2 3" xfId="4374"/>
    <cellStyle name="计算 3 3 2 3 2" xfId="4375"/>
    <cellStyle name="20% - 强调文字颜色 1 2 2 5 2 2" xfId="4376"/>
    <cellStyle name="强调文字颜色 5 2 2 2 2 3 2" xfId="4377"/>
    <cellStyle name="输入 2 5 2 2 8" xfId="4378"/>
    <cellStyle name="计算 2 2 4 14" xfId="4379"/>
    <cellStyle name="好 2 3 6 2 3" xfId="4380"/>
    <cellStyle name="超链接 2 2 3 2 2 2" xfId="4381"/>
    <cellStyle name="注释 2 2 4 2 2 4 2 2" xfId="4382"/>
    <cellStyle name="输出 2 2 4 4 2 3" xfId="4383"/>
    <cellStyle name="输入 2 2 2 2 3 3" xfId="4384"/>
    <cellStyle name="汇总 2 9 7 2" xfId="4385"/>
    <cellStyle name="40% - 强调文字颜色 3 2 2 4 5" xfId="4386"/>
    <cellStyle name="强调文字颜色 1 2 2 7 3" xfId="4387"/>
    <cellStyle name="常规 7 2 5 2 2 2" xfId="4388"/>
    <cellStyle name="计算 2 8 6 2 2" xfId="4389"/>
    <cellStyle name="计算 2 6 2 3 6" xfId="4390"/>
    <cellStyle name="检查单元格 2 2 6 4" xfId="4391"/>
    <cellStyle name="计算 2 2 6 3 2" xfId="4392"/>
    <cellStyle name="计算 2 2 2 8 2" xfId="4393"/>
    <cellStyle name="输入 2 2 3 3 4 2" xfId="4394"/>
    <cellStyle name="输出 5 6" xfId="4395"/>
    <cellStyle name="标题 1 2 3 2 4 3 2" xfId="4396"/>
    <cellStyle name="60% - 强调文字颜色 2 2 2 2 4" xfId="4397"/>
    <cellStyle name="计算 2 4 3 2 7" xfId="4398"/>
    <cellStyle name="适中 2 2 3 3 3 2" xfId="4399"/>
    <cellStyle name="常规 3 7 2 4 2" xfId="4400"/>
    <cellStyle name="常规 2 3 2 2 5 2 2" xfId="4401"/>
    <cellStyle name="Normal 3 4 2" xfId="4402"/>
    <cellStyle name="常规 12 4 2 5" xfId="4403"/>
    <cellStyle name="计算 2 2 11 4 2" xfId="4404"/>
    <cellStyle name="20% - 强调文字颜色 3 2 3 5 2 2 2" xfId="4405"/>
    <cellStyle name="汇总 2 3 2 7" xfId="4406"/>
    <cellStyle name="计算 2 6 6 2 2" xfId="4407"/>
    <cellStyle name="强调文字颜色 1 2 3 2 4 3 2" xfId="4408"/>
    <cellStyle name="常规 7 2 3 2 2 2" xfId="4409"/>
    <cellStyle name="注释 2 2 7 3 2 2" xfId="4410"/>
    <cellStyle name="计算 2 5 10" xfId="4411"/>
    <cellStyle name="强调文字颜色 2 2 2 7 2" xfId="4412"/>
    <cellStyle name="适中 2 3 2 2 5" xfId="4413"/>
    <cellStyle name="常规 13 4 2 4" xfId="4414"/>
    <cellStyle name="超链接 3 7 2 2" xfId="4415"/>
    <cellStyle name="强调文字颜色 1 2 3 2 3 2 2 2" xfId="4416"/>
    <cellStyle name="常规 5 5 2 2 2" xfId="4417"/>
    <cellStyle name="强调文字颜色 3 2 2 2 4 2" xfId="4418"/>
    <cellStyle name="常规 4 3 3 2 2 2" xfId="4419"/>
    <cellStyle name="输出 2 4 2 8 3" xfId="4420"/>
    <cellStyle name="常规 12 2 2 2" xfId="4421"/>
    <cellStyle name="好 4 2 2 2 2" xfId="4422"/>
    <cellStyle name="好 2 4 2 2" xfId="4423"/>
    <cellStyle name="40% - 强调文字颜色 5 3 2 2" xfId="4424"/>
    <cellStyle name="汇总 2 8 8" xfId="4425"/>
    <cellStyle name="计算 2 5 2 3 6 2" xfId="4426"/>
    <cellStyle name="计算 5 3 2 2" xfId="4427"/>
    <cellStyle name="汇总 2 3 3 3 4" xfId="4428"/>
    <cellStyle name="40% - 强调文字颜色 1 2 3 2 2 3 3 2" xfId="4429"/>
    <cellStyle name="输入 2 6 4 3 2" xfId="4430"/>
    <cellStyle name="超链接 3 2 3 3 2" xfId="4431"/>
    <cellStyle name="警告文本 2 3 2 3 4" xfId="4432"/>
    <cellStyle name="20% - 强调文字颜色 3 2 2 2 6" xfId="4433"/>
    <cellStyle name="差 2 2 5 2 2" xfId="4434"/>
    <cellStyle name="汇总 2 5 2 3 3 2 2 2" xfId="4435"/>
    <cellStyle name="汇总 2 5 2 3 7 2" xfId="4436"/>
    <cellStyle name="好 2 2 2 4 3 3" xfId="4437"/>
    <cellStyle name="常规 5 4 2 2" xfId="4438"/>
    <cellStyle name="计算 2 5 7 2 2" xfId="4439"/>
    <cellStyle name="常规 7 2 2 3 2 2" xfId="4440"/>
    <cellStyle name="20% - 强调文字颜色 6 2 2 2 2 2 3 2" xfId="4441"/>
    <cellStyle name="计算 2 2 2 3 5 2 2" xfId="4442"/>
    <cellStyle name="无色 6" xfId="4443"/>
    <cellStyle name="链接单元格 2 2 4 3 2 2 2" xfId="4444"/>
    <cellStyle name="计算 2 2 13" xfId="4445"/>
    <cellStyle name="标题 3 3 7" xfId="4446"/>
    <cellStyle name="计算 2 2 7 9" xfId="4447"/>
    <cellStyle name="计算 3 2 3 2 2" xfId="4448"/>
    <cellStyle name="标题 2 2 2 2 6 2" xfId="4449"/>
    <cellStyle name="汇总 2 2 8 3 2 2 2" xfId="4450"/>
    <cellStyle name="输入 3 2 8 2" xfId="4451"/>
    <cellStyle name="检查单元格 2 2 2" xfId="4452"/>
    <cellStyle name="汇总 2 2 3 4 3 2 2" xfId="4453"/>
    <cellStyle name="20% - 强调文字颜色 5 2 2 2 2 2 3 3 2" xfId="4454"/>
    <cellStyle name="标题 2 2 2 2 5" xfId="4455"/>
    <cellStyle name="输入 3 2 7" xfId="4456"/>
    <cellStyle name="输出 2 2 3 2 3 4 2 2" xfId="4457"/>
    <cellStyle name="强调文字颜色 6 2 2 3" xfId="4458"/>
    <cellStyle name="汇总 2 2 3 3 6 2 2" xfId="4459"/>
    <cellStyle name="常规 2 3 2 3 2 2" xfId="4460"/>
    <cellStyle name="输出 2 4 4 3 2 2" xfId="4461"/>
    <cellStyle name="解释性文本 2 2 3 3 3" xfId="4462"/>
    <cellStyle name="输出 2 3 2 5 3" xfId="4463"/>
    <cellStyle name="汇总 2 4 2 2 3 4" xfId="4464"/>
    <cellStyle name="汇总 2 2 18" xfId="4465"/>
    <cellStyle name="输入 2 2 6 2 2 2 3" xfId="4466"/>
    <cellStyle name="链接单元格 2 2 3 2 3" xfId="4467"/>
    <cellStyle name="输出 4 4 2" xfId="4468"/>
    <cellStyle name="40% - 强调文字颜色 2 2 2 4 3 3" xfId="4469"/>
    <cellStyle name="适中 2 4 3" xfId="4470"/>
    <cellStyle name="20% - 强调文字颜色 3 4 4" xfId="4471"/>
    <cellStyle name="计算 2 2 3 3 3 3" xfId="4472"/>
    <cellStyle name="强调文字颜色 2 2 4 3 4" xfId="4473"/>
    <cellStyle name="注释 2 4 2 3 2 2 3" xfId="4474"/>
    <cellStyle name="60% - 强调文字颜色 6 2 2 2 3 2 2 2 2" xfId="4475"/>
    <cellStyle name="常规 3 3 5 3 2" xfId="4476"/>
    <cellStyle name="输出 3 3 2" xfId="4477"/>
    <cellStyle name="强调文字颜色 4 3 2 2 3 2" xfId="4478"/>
    <cellStyle name="输出 2 5 2 3" xfId="4479"/>
    <cellStyle name="60% - 强调文字颜色 6 4 2 2 2" xfId="4480"/>
    <cellStyle name="警告文本 3 2 4" xfId="4481"/>
    <cellStyle name="常规 5 4 4 3 2 2" xfId="4482"/>
    <cellStyle name="20% - 强调文字颜色 4 2 3 2 5 2" xfId="4483"/>
    <cellStyle name="40% - 强调文字颜色 1 2 2 2 2 3 2 2" xfId="4484"/>
    <cellStyle name="汇总 2 4 3 2 2" xfId="4485"/>
    <cellStyle name="适中 2 4 6" xfId="4486"/>
    <cellStyle name="适中 2 4 3 3 2 2" xfId="4487"/>
    <cellStyle name="常规 3 3 3 2 2 2 2 2" xfId="4488"/>
    <cellStyle name="计算 3 2 4 2" xfId="4489"/>
    <cellStyle name="汇总 2 3 2 2 2 8" xfId="4490"/>
    <cellStyle name="输入 2 2 2 2 5" xfId="4491"/>
    <cellStyle name="输出 2 2 4 4 4" xfId="4492"/>
    <cellStyle name="标题 2 2 2 2 2 4" xfId="4493"/>
    <cellStyle name="标题 1 2 3 3 2 2 3" xfId="4494"/>
    <cellStyle name="输出 2 2 3 2 2 2 3 2" xfId="4495"/>
    <cellStyle name="常规 5 2 4 2 2" xfId="4496"/>
    <cellStyle name="汇总 2 2 3 2 2 6 2 2" xfId="4497"/>
    <cellStyle name="注释 2 2 3 3 3 2 2" xfId="4498"/>
    <cellStyle name="40% - 强调文字颜色 3 2 3 2 2 2 2" xfId="4499"/>
    <cellStyle name="输出 2 3 3 2" xfId="4500"/>
    <cellStyle name="40% - 强调文字颜色 2 2 2 2 2 4 2" xfId="4501"/>
    <cellStyle name="汇总 2 2 4 4 7 2" xfId="4502"/>
    <cellStyle name="汇总 2 2 2 2 5" xfId="4503"/>
    <cellStyle name="常规 10 4 6" xfId="4504"/>
    <cellStyle name="强调文字颜色 6 2 3 2 4 3" xfId="4505"/>
    <cellStyle name="汇总 2 2 3 4 2 2 2 2" xfId="4506"/>
    <cellStyle name="汇总 2 9 5 3" xfId="4507"/>
    <cellStyle name="20% - 强调文字颜色 6 2 6 2 2" xfId="4508"/>
    <cellStyle name="强调文字颜色 6 3 10" xfId="4509"/>
    <cellStyle name="强调文字颜色 6 2 2 2 2 4 2 2" xfId="4510"/>
    <cellStyle name="常规 4 6 3 2 2" xfId="4511"/>
    <cellStyle name="常规 4 2 4 3 2 2" xfId="4512"/>
    <cellStyle name="常规 8 5 2 2" xfId="4513"/>
    <cellStyle name="注释 2 2 10 2" xfId="4514"/>
    <cellStyle name="汇总 2 2 2 5 2 3" xfId="4515"/>
    <cellStyle name="20% - 强调文字颜色 4 2 2 2 2 5 2 2" xfId="4516"/>
    <cellStyle name="20% - 强调文字颜色 5 2 3 2 2 3 2 2" xfId="4517"/>
    <cellStyle name="标题 1 2 2 4 6" xfId="4518"/>
    <cellStyle name="汇总 2 9 2 5 2" xfId="4519"/>
    <cellStyle name="40% - 强调文字颜色 5 2 3 2 3 2 2 2 2" xfId="4520"/>
    <cellStyle name="标题 3 2 6 4" xfId="4521"/>
    <cellStyle name="强调文字颜色 5 2 2 2 2 2 2" xfId="4522"/>
    <cellStyle name="计算 2 2 7 3 4" xfId="4523"/>
    <cellStyle name="标题 5 4 4 2 2 2" xfId="4524"/>
    <cellStyle name="汇总 2 7 3 4 3" xfId="4525"/>
    <cellStyle name="计算 2 2 3 4 2" xfId="4526"/>
    <cellStyle name="标题 2 2 2 4 5 2 2" xfId="4527"/>
    <cellStyle name="输入 2 9 2 5" xfId="4528"/>
    <cellStyle name="汇总 2 5 4 3" xfId="4529"/>
    <cellStyle name="计算 2 5 2 7" xfId="4530"/>
    <cellStyle name="输入 2 2 6 3 3" xfId="4531"/>
    <cellStyle name="60% - 强调文字颜色 1 2 2 2 3 3 2" xfId="4532"/>
    <cellStyle name="计算 2 4 4 4 2" xfId="4533"/>
    <cellStyle name="20% - 强调文字颜色 3 2 3 2 2 2 3 2" xfId="4534"/>
    <cellStyle name="20% - 强调文字颜色 6 2 3 6 2" xfId="4535"/>
    <cellStyle name="标题 4 2 3 2 2 4" xfId="4536"/>
    <cellStyle name="标题 5 2 4 2 2 2" xfId="4537"/>
    <cellStyle name="输入 2 2 4 8" xfId="4538"/>
    <cellStyle name="标题 3 2 2 2 2 6" xfId="4539"/>
    <cellStyle name="强调文字颜色 4 2 5 4" xfId="4540"/>
    <cellStyle name="20% - 强调文字颜色 2 2 2 2 2 4 3 2" xfId="4541"/>
    <cellStyle name="输出 2 2 9" xfId="4542"/>
    <cellStyle name="计算 2 3 2 3 4 2 2" xfId="4543"/>
    <cellStyle name="常规 5 2 3 5 2 2" xfId="4544"/>
    <cellStyle name="汇总 2 2 5 2 2 2 2" xfId="4545"/>
    <cellStyle name="强调文字颜色 6 2 2 5 3" xfId="4546"/>
    <cellStyle name="40% - 强调文字颜色 1 2 2 2 5 2" xfId="4547"/>
    <cellStyle name="汇总 2 7 2" xfId="4548"/>
    <cellStyle name="链接单元格 2 5 3" xfId="4549"/>
    <cellStyle name="汇总 5 4 2 2" xfId="4550"/>
    <cellStyle name="40% - 强调文字颜色 1 2 2 5 2 2 2" xfId="4551"/>
    <cellStyle name="计算 2 2 2 10 2 2" xfId="4552"/>
    <cellStyle name="20% - 强调文字颜色 3 2 3 2 4 2 2" xfId="4553"/>
    <cellStyle name="输入 2 2 16" xfId="4554"/>
    <cellStyle name="百分比 2" xfId="4555"/>
    <cellStyle name="输出 2 6 4 2 3" xfId="4556"/>
    <cellStyle name="20% - 强调文字颜色 1 2 3 2 5 2 2" xfId="4557"/>
    <cellStyle name="强调文字颜色 5 2 2 3 9" xfId="4558"/>
    <cellStyle name="40% - 强调文字颜色 3 2 2 2 2 2 2 2 2" xfId="4559"/>
    <cellStyle name="注释 2 3 3 2 2 2" xfId="4560"/>
    <cellStyle name="60% - 强调文字颜色 2 2 2 5" xfId="4561"/>
    <cellStyle name="计算 2 2 4 2 5 5" xfId="4562"/>
    <cellStyle name="计算 2 10 5" xfId="4563"/>
    <cellStyle name="强调文字颜色 3 3 2" xfId="4564"/>
    <cellStyle name="输出 3 3 3 3" xfId="4565"/>
    <cellStyle name="差 4 2 2" xfId="4566"/>
    <cellStyle name="标题 6 5" xfId="4567"/>
    <cellStyle name="注释 2 8 2 4" xfId="4568"/>
    <cellStyle name="计算 2 7 4 6" xfId="4569"/>
    <cellStyle name="输入 2 2 8 5 2" xfId="4570"/>
    <cellStyle name="链接单元格 2 2 2 2" xfId="4571"/>
    <cellStyle name="警告文本 2 2 2 3 2 2" xfId="4572"/>
    <cellStyle name="解释性文本 3 4 2" xfId="4573"/>
    <cellStyle name="注释 2 10" xfId="4574"/>
    <cellStyle name="强调文字颜色 6 2 3 5 2 2" xfId="4575"/>
    <cellStyle name="输出 2 3 2 2 2 5" xfId="4576"/>
    <cellStyle name="输入 2 5 2 2 7" xfId="4577"/>
    <cellStyle name="计算 2 2 7 4 3" xfId="4578"/>
    <cellStyle name="标题 3 3 2 3" xfId="4579"/>
    <cellStyle name="计算 2 3 2 3 4 3" xfId="4580"/>
    <cellStyle name="输入 2 3 2 11" xfId="4581"/>
    <cellStyle name="40% - 强调文字颜色 6 2 6 2 2" xfId="4582"/>
    <cellStyle name="计算 3 15" xfId="4583"/>
    <cellStyle name="汇总 2 6 3 2 2" xfId="4584"/>
    <cellStyle name="计算 2 3 2 4 2" xfId="4585"/>
    <cellStyle name="链接单元格 2 2 2 5 2 2 2" xfId="4586"/>
    <cellStyle name="标题 1 2 2 4 3 2 3" xfId="4587"/>
    <cellStyle name="常规 4 3 5 2 2" xfId="4588"/>
    <cellStyle name="40% - 强调文字颜色 6 2 2 3 2 2" xfId="4589"/>
    <cellStyle name="40% - 强调文字颜色 5 2 3 2 3" xfId="4590"/>
    <cellStyle name="输出 2 3 2 2 4 2 2" xfId="4591"/>
    <cellStyle name="注释 2 3 3 8" xfId="4592"/>
    <cellStyle name="好 2 3 3 2 3" xfId="4593"/>
    <cellStyle name="汇总 2 5 5 2 2 2 2" xfId="4594"/>
    <cellStyle name="差 2 3 2 5" xfId="4595"/>
    <cellStyle name="汇总 2 2 7 4 5" xfId="4596"/>
    <cellStyle name="解释性文本 2 2 4 5 2" xfId="4597"/>
    <cellStyle name="标题 1 2 2 3 9" xfId="4598"/>
    <cellStyle name="注释 8 2" xfId="4599"/>
    <cellStyle name="链接单元格 2 2 2 2 6 2" xfId="4600"/>
    <cellStyle name="常规 3 3 3 2" xfId="4601"/>
    <cellStyle name="汇总 2 2 8 6 3" xfId="4602"/>
    <cellStyle name="注释 2 2 3 2 5" xfId="4603"/>
    <cellStyle name="输入 2 12 3" xfId="4604"/>
    <cellStyle name="计算 2 2 7 2 2 2 3" xfId="4605"/>
    <cellStyle name="适中 2 2 7 3" xfId="4606"/>
    <cellStyle name="计算 2 2 5 2 2" xfId="4607"/>
    <cellStyle name="汇总 2 7 5 2 3" xfId="4608"/>
    <cellStyle name="输出 2 5 2 2 5" xfId="4609"/>
    <cellStyle name="检查单元格 2 2 3 3 2 2 2" xfId="4610"/>
    <cellStyle name="注释 2 3 2 6 2" xfId="4611"/>
    <cellStyle name="汇总 2 2 7 2 7" xfId="4612"/>
    <cellStyle name="计算 2 8 8 2 2" xfId="4613"/>
    <cellStyle name="常规 10 3 2 4" xfId="4614"/>
    <cellStyle name="输出 2 2 2 4 3 2 2" xfId="4615"/>
    <cellStyle name="差 5 2 2 3" xfId="4616"/>
    <cellStyle name="强调文字颜色 5 4 2 2" xfId="4617"/>
    <cellStyle name="适中 2 4 5 2" xfId="4618"/>
    <cellStyle name="注释 2 3 2 3" xfId="4619"/>
    <cellStyle name="强调文字颜色 3 2 3 2 4 2 3" xfId="4620"/>
    <cellStyle name="60% - 强调文字颜色 5 2 2 6 2 2" xfId="4621"/>
    <cellStyle name="检查单元格 2 2 4 5 2" xfId="4622"/>
    <cellStyle name="计算 3 4 5" xfId="4623"/>
    <cellStyle name="40% - 强调文字颜色 6 2 2 2 2 2 2 3" xfId="4624"/>
    <cellStyle name="适中 5 2 2" xfId="4625"/>
    <cellStyle name="汇总 2 2 6 2 2 4 2 2" xfId="4626"/>
    <cellStyle name="强调文字颜色 3 3 10" xfId="4627"/>
    <cellStyle name="常规 4 6 3 3" xfId="4628"/>
    <cellStyle name="计算 2 2 2 3 7 2" xfId="4629"/>
    <cellStyle name="超链接 2 3 4 5" xfId="4630"/>
    <cellStyle name="差 2 2 5 2 2 3" xfId="4631"/>
    <cellStyle name="计算 2 2 6" xfId="4632"/>
    <cellStyle name="40% - 强调文字颜色 1 2 2 2 2 3 3 2" xfId="4633"/>
    <cellStyle name="汇总 2 4 3 3 2" xfId="4634"/>
    <cellStyle name="Normal 3 2 3 2" xfId="4635"/>
    <cellStyle name="差 2 2 2 6 2 3" xfId="4636"/>
    <cellStyle name="链接单元格 6 2" xfId="4637"/>
    <cellStyle name="注释 2 5" xfId="4638"/>
    <cellStyle name="20% - 强调文字颜色 5 2 5 4" xfId="4639"/>
    <cellStyle name="注释 2 6 2 4 3" xfId="4640"/>
    <cellStyle name="汇总 2 3" xfId="4641"/>
    <cellStyle name="60% - 强调文字颜色 6 3 4 3" xfId="4642"/>
    <cellStyle name="60% - 强调文字颜色 4 3 2 3 2 2" xfId="4643"/>
    <cellStyle name="差 2 4 5 2 2" xfId="4644"/>
    <cellStyle name="强调文字颜色 3 2 2 2 3 2" xfId="4645"/>
    <cellStyle name="标题 4 2 6 3" xfId="4646"/>
    <cellStyle name="20% - 强调文字颜色 1 2 6" xfId="4647"/>
    <cellStyle name="输出 2 2 2 4 6" xfId="4648"/>
    <cellStyle name="20% - 强调文字颜色 2 2 2 4 2 2 2" xfId="4649"/>
    <cellStyle name="注释 2 9 2 2 2" xfId="4650"/>
    <cellStyle name="60% - 强调文字颜色 3 3 2 4 2" xfId="4651"/>
    <cellStyle name="输出 2 4 2 2 2 7" xfId="4652"/>
    <cellStyle name="输出 2 6 2 3" xfId="4653"/>
    <cellStyle name="标题 5 2 3 3 3 3" xfId="4654"/>
    <cellStyle name="40% - 强调文字颜色 4 2 2 7 2 2" xfId="4655"/>
    <cellStyle name="强调文字颜色 5 2 3 4 4" xfId="4656"/>
    <cellStyle name="计算 2 5 3 2 4 3" xfId="4657"/>
    <cellStyle name="40% - 强调文字颜色 6 2 2 3 7" xfId="4658"/>
    <cellStyle name="标题 3 2 2 4 5 2 2" xfId="4659"/>
    <cellStyle name="汇总 2 7 3 5" xfId="4660"/>
    <cellStyle name="60% - 强调文字颜色 4 2 2 2 2 4 2" xfId="4661"/>
    <cellStyle name="适中 2 3 8" xfId="4662"/>
    <cellStyle name="汇总 2 2 15" xfId="4663"/>
    <cellStyle name="汇总 2 2 20" xfId="4664"/>
    <cellStyle name="输入 2 2 2 10 2" xfId="4665"/>
    <cellStyle name="汇总 2 8 2 2 2 3" xfId="4666"/>
    <cellStyle name="常规 8 3 2" xfId="4667"/>
    <cellStyle name="汇总 2 7 8 3" xfId="4668"/>
    <cellStyle name="输出 2 2 4 2 3 4" xfId="4669"/>
    <cellStyle name="计算 2 2 3 3 2 5" xfId="4670"/>
    <cellStyle name="20% - 强调文字颜色 3 3 6" xfId="4671"/>
    <cellStyle name="汇总 2 5 2 9 2" xfId="4672"/>
    <cellStyle name="注释 2 2 2 3 2 3 2" xfId="4673"/>
    <cellStyle name="汇总 2 2 5 2 5 2 2" xfId="4674"/>
    <cellStyle name="常规 5 2 3 8 2 2" xfId="4675"/>
    <cellStyle name="20% - 强调文字颜色 3 4 2 2 2 2 2" xfId="4676"/>
    <cellStyle name="汇总 2 2 5 2 3 6" xfId="4677"/>
    <cellStyle name="注释 2 4 3 4 3" xfId="4678"/>
    <cellStyle name="计算 2 3 4" xfId="4679"/>
    <cellStyle name="超链接 2 3 5 3" xfId="4680"/>
    <cellStyle name="常规 5 6 3 3" xfId="4681"/>
    <cellStyle name="强调文字颜色 3 2 3 3 5" xfId="4682"/>
    <cellStyle name="注释 3 2 7 2 2" xfId="4683"/>
    <cellStyle name="好 2 3 3 5" xfId="4684"/>
    <cellStyle name="20% - 强调文字颜色 5 6 2 2 2" xfId="4685"/>
    <cellStyle name="好 2 4 5" xfId="4686"/>
    <cellStyle name="40% - 强调文字颜色 5 3 5" xfId="4687"/>
    <cellStyle name="60% - 强调文字颜色 5 2 4 2 2 2 2" xfId="4688"/>
    <cellStyle name="注释 3 3 8" xfId="4689"/>
    <cellStyle name="检查单元格 2 3 5 2 3" xfId="4690"/>
    <cellStyle name="链接单元格 2 2 2 5 2 2" xfId="4691"/>
    <cellStyle name="20% - 强调文字颜色 3 2 3 2 2 4 3 2" xfId="4692"/>
    <cellStyle name="Normal 2 2 3 2" xfId="4693"/>
    <cellStyle name="强调文字颜色 1 2 3 4 3 2 2" xfId="4694"/>
    <cellStyle name="差 2 2 3 4 3" xfId="4695"/>
    <cellStyle name="计算 2 3 4 3 2 2" xfId="4696"/>
    <cellStyle name="适中 2 2 2 3" xfId="4697"/>
    <cellStyle name="60% - 强调文字颜色 1 2 3 2 3 2" xfId="4698"/>
    <cellStyle name="计算 2 2 6 2 2 2 2 2 2" xfId="4699"/>
    <cellStyle name="计算 3 4 4 3" xfId="4700"/>
    <cellStyle name="汇总 3 2 5 2" xfId="4701"/>
    <cellStyle name="标题 1 4 3" xfId="4702"/>
    <cellStyle name="常规 2 4 5 2 2" xfId="4703"/>
    <cellStyle name="输出 2 5 7 2 2" xfId="4704"/>
    <cellStyle name="20% - 强调文字颜色 5 2 2 3 3 3" xfId="4705"/>
    <cellStyle name="常规 12 4 2 2" xfId="4706"/>
    <cellStyle name="输出 2 2 5 2 4 3" xfId="4707"/>
    <cellStyle name="强调文字颜色 6 2 2 4 5 3" xfId="4708"/>
    <cellStyle name="输出 2 2 3 2 3 3 3" xfId="4709"/>
    <cellStyle name="汇总 4 2 3 2 2 2" xfId="4710"/>
    <cellStyle name="标题 7 4 2" xfId="4711"/>
    <cellStyle name="输出 2 2 2 2 3 4" xfId="4712"/>
    <cellStyle name="好 2 3 3 3" xfId="4713"/>
    <cellStyle name="常规 3 2 2 5" xfId="4714"/>
    <cellStyle name="60% - 强调文字颜色 6 2 8 3" xfId="4715"/>
    <cellStyle name="解释性文本 3 2 5 3" xfId="4716"/>
    <cellStyle name="强调文字颜色 3 4 4" xfId="4717"/>
    <cellStyle name="汇总 2 3 2 3 8" xfId="4718"/>
    <cellStyle name="计算 2 6 2 2 2 2 2 2" xfId="4719"/>
    <cellStyle name="输出 2 2 3 2 10" xfId="4720"/>
    <cellStyle name="汇总 2 2 2 5 2 2 2" xfId="4721"/>
    <cellStyle name="标题 4 2 3 2 2 2 2 3" xfId="4722"/>
    <cellStyle name="汇总 2 2 4 5 2 5" xfId="4723"/>
    <cellStyle name="常规 5 3 2 2 2" xfId="4724"/>
    <cellStyle name="强调文字颜色 6 2 3 2 2 4" xfId="4725"/>
    <cellStyle name="60% - 强调文字颜色 6 2 2 4 3 2" xfId="4726"/>
    <cellStyle name="强调文字颜色 5 2 2 2 2 6" xfId="4727"/>
    <cellStyle name="汇总 2 9 3 4" xfId="4728"/>
    <cellStyle name="标题 1 2 2 2 2 8" xfId="4729"/>
    <cellStyle name="适中 2 2 4 3 2" xfId="4730"/>
    <cellStyle name="强调文字颜色 6 2 5 2" xfId="4731"/>
    <cellStyle name="好 2 2 2 2 2 2 3" xfId="4732"/>
    <cellStyle name="标题 4 2 5 2 2 2" xfId="4733"/>
    <cellStyle name="汇总 2 8 3 8" xfId="4734"/>
    <cellStyle name="计算 2 2 7 2 2 3 3" xfId="4735"/>
    <cellStyle name="汇总 2 5 3 2 2 2 3" xfId="4736"/>
    <cellStyle name="汇总 2 2 3 2 2 8" xfId="4737"/>
    <cellStyle name="注释 2 2 3 3 5" xfId="4738"/>
    <cellStyle name="40% - 强调文字颜色 3 2 3 2 4" xfId="4739"/>
    <cellStyle name="输入 2 13 3" xfId="4740"/>
    <cellStyle name="强调文字颜色 1 2 2 6 3 2" xfId="4741"/>
    <cellStyle name="汇总 2 2 4 2 2 3 4" xfId="4742"/>
    <cellStyle name="常规 12 2 2 3 3 2 2" xfId="4743"/>
    <cellStyle name="计算 2 5 3 5 3" xfId="4744"/>
    <cellStyle name="标题 2 2 3 2" xfId="4745"/>
    <cellStyle name="汇总 4 2 3 2 3" xfId="4746"/>
    <cellStyle name="汇总 2 2 5 2 2 6 3" xfId="4747"/>
    <cellStyle name="适中 2 3 2 2 2 2" xfId="4748"/>
    <cellStyle name="计算 4 4" xfId="4749"/>
    <cellStyle name="常规 8 3 3 2" xfId="4750"/>
    <cellStyle name="计算 2 2 14 3" xfId="4751"/>
    <cellStyle name="20% - 强调文字颜色 4 2 2 2 2 5 2" xfId="4752"/>
    <cellStyle name="汇总 2 2 4 3 2 2 3 2 2" xfId="4753"/>
    <cellStyle name="20% - 强调文字颜色 5 2 3 2 2 3 2" xfId="4754"/>
    <cellStyle name="输出 2 2 3 3 10" xfId="4755"/>
    <cellStyle name="标题 4 3 11" xfId="4756"/>
    <cellStyle name="汇总 2 8 2 4 2" xfId="4757"/>
    <cellStyle name="汇总 2 2 2 3 3 3 3" xfId="4758"/>
    <cellStyle name="常规 6 2 2 2 4 2 2" xfId="4759"/>
    <cellStyle name="汇总 2 2 4 2 3 8" xfId="4760"/>
    <cellStyle name="20% - 强调文字颜色 4 2 5 5 2" xfId="4761"/>
    <cellStyle name="40% - 强调文字颜色 4 4" xfId="4762"/>
    <cellStyle name="汇总 2 4 3 3 2 2" xfId="4763"/>
    <cellStyle name="注释 2 4 3 3" xfId="4764"/>
    <cellStyle name="计算 2 2 6 2" xfId="4765"/>
    <cellStyle name="汇总 2 3 2 3 5 2" xfId="4766"/>
    <cellStyle name="强调文字颜色 3 2 3 2 5 3" xfId="4767"/>
    <cellStyle name="强调文字颜色 1 2 2 5 2 2 2" xfId="4768"/>
    <cellStyle name="输入 2 11 4" xfId="4769"/>
    <cellStyle name="40% - 强调文字颜色 5 2 5 3 2 2 2" xfId="4770"/>
    <cellStyle name="常规 3 2 5 2" xfId="4771"/>
    <cellStyle name="输出 3 3 7 2" xfId="4772"/>
    <cellStyle name="20% - 强调文字颜色 3 2 2" xfId="4773"/>
    <cellStyle name="60% - 强调文字颜色 1 2 2 3 3" xfId="4774"/>
    <cellStyle name="解释性文本 2 2 9" xfId="4775"/>
    <cellStyle name="汇总 2 6 2 2 2 4 3" xfId="4776"/>
    <cellStyle name="60% - 强调文字颜色 6 2 2 5 3 2 2" xfId="4777"/>
    <cellStyle name="40% - 强调文字颜色 2 2 7 3 2 2" xfId="4778"/>
    <cellStyle name="计算 2 2 5 4 4" xfId="4779"/>
    <cellStyle name="警告文本 2 3 2 5" xfId="4780"/>
    <cellStyle name="汇总 2 3 4 3 2" xfId="4781"/>
    <cellStyle name="计算 2 3 3 2 6" xfId="4782"/>
    <cellStyle name="输出 2 2 3 3 2 5 2" xfId="4783"/>
    <cellStyle name="汇总 2 2 6 2 2 8" xfId="4784"/>
    <cellStyle name="20% - 强调文字颜色 4 2 3 2 2 3" xfId="4785"/>
    <cellStyle name="汇总 2 2 7 2 2 2 2" xfId="4786"/>
    <cellStyle name="20% - 强调文字颜色 3 2 2 2 2 5" xfId="4787"/>
    <cellStyle name="汇总 2 2 7 2 6" xfId="4788"/>
    <cellStyle name="计算 2 7 6 3 3" xfId="4789"/>
    <cellStyle name="输入 2 2 5 2 3 5" xfId="4790"/>
    <cellStyle name="输出 2 2 2 4 5" xfId="4791"/>
    <cellStyle name="计算 2 2 4 3 10" xfId="4792"/>
    <cellStyle name="输入 3 6 3" xfId="4793"/>
    <cellStyle name="40% - 强调文字颜色 2 2 2 2 3 2 2 2 2 2" xfId="4794"/>
    <cellStyle name="常规 6 2 2 2 2 3" xfId="4795"/>
    <cellStyle name="好 2 2 4 5 3" xfId="4796"/>
    <cellStyle name="注释 2 2 5 3 2 5" xfId="4797"/>
    <cellStyle name="输出 2 2 10 3" xfId="4798"/>
    <cellStyle name="常规 3 6 2 2" xfId="4799"/>
    <cellStyle name="输出 2 6 3 3" xfId="4800"/>
    <cellStyle name="警告文本 2 5 3" xfId="4801"/>
    <cellStyle name="输入 4 2 2 2 3" xfId="4802"/>
    <cellStyle name="汇总 2 2 5 2 3 7" xfId="4803"/>
    <cellStyle name="汇总 2 5 2 9 3" xfId="4804"/>
    <cellStyle name="40% - 强调文字颜色 3 3 2 4 2" xfId="4805"/>
    <cellStyle name="差 3" xfId="4806"/>
    <cellStyle name="注释 2 3 2 5 3" xfId="4807"/>
    <cellStyle name="标题 4 2 2 2 2 3 3 2 2" xfId="4808"/>
    <cellStyle name="汇总 2 2 6 4 5" xfId="4809"/>
    <cellStyle name="计算 4 3 2 2 2" xfId="4810"/>
    <cellStyle name="输出 2 4 4 2 2 3" xfId="4811"/>
    <cellStyle name="常规 2 3 2 2 2 3" xfId="4812"/>
    <cellStyle name="汇总 2 3 3 9" xfId="4813"/>
    <cellStyle name="强调文字颜色 4 2 3 5 2 2" xfId="4814"/>
    <cellStyle name="输入 2 2 2 9 2 2" xfId="4815"/>
    <cellStyle name="注释 3 7 3" xfId="4816"/>
    <cellStyle name="标题 2 4 4 2" xfId="4817"/>
    <cellStyle name="20% - 强调文字颜色 6 2 3 4 3 2 2" xfId="4818"/>
    <cellStyle name="输出 2 2 6 2 2 2" xfId="4819"/>
    <cellStyle name="常规 7 2 2 3 2" xfId="4820"/>
    <cellStyle name="输入 2 5 5 7" xfId="4821"/>
    <cellStyle name="百分比 2 2 2 5 2 2" xfId="4822"/>
    <cellStyle name="汇总 2 2 2 3 2 2 2 2" xfId="4823"/>
    <cellStyle name="常规 8 7" xfId="4824"/>
    <cellStyle name="常规 9 3 4 3 2 2" xfId="4825"/>
    <cellStyle name="输出 2 4 3 3 2 2 2" xfId="4826"/>
    <cellStyle name="输入 2 2 2 14" xfId="4827"/>
    <cellStyle name="汇总 2 6 2 3" xfId="4828"/>
    <cellStyle name="常规 4 2 4 5" xfId="4829"/>
    <cellStyle name="40% - 强调文字颜色 6 2 5 3" xfId="4830"/>
    <cellStyle name="解释性文本 2 8 2 2 2" xfId="4831"/>
    <cellStyle name="常规 10 7 3" xfId="4832"/>
    <cellStyle name="输入 2 4 2 3 2 2" xfId="4833"/>
    <cellStyle name="汇总 2 2 2 5 2" xfId="4834"/>
    <cellStyle name="汇总 3 3 4 3" xfId="4835"/>
    <cellStyle name="注释 2 7 2 3" xfId="4836"/>
    <cellStyle name="汇总 2 3 12 2" xfId="4837"/>
    <cellStyle name="适中 2 2 3 4 2 2 2" xfId="4838"/>
    <cellStyle name="计算 2 3 2 2 2 4 3" xfId="4839"/>
    <cellStyle name="40% - 强调文字颜色 3 2 3 2 2 3 2 2" xfId="4840"/>
    <cellStyle name="常规 4 2 4 2 3 3" xfId="4841"/>
    <cellStyle name="汇总 2 2 2 3 5 2" xfId="4842"/>
    <cellStyle name="适中 2 3 2 3 2 3" xfId="4843"/>
    <cellStyle name="输入 2 5 3 3 3 2" xfId="4844"/>
    <cellStyle name="20% - 强调文字颜色 1 2 3 2 2 3" xfId="4845"/>
    <cellStyle name="计算 2 8 3 3 2 2" xfId="4846"/>
    <cellStyle name="汇总 2 3 4 2 5 2" xfId="4847"/>
    <cellStyle name="超链接 3 2 4 2 3 2" xfId="4848"/>
    <cellStyle name="汇总 2 2 4 2" xfId="4849"/>
    <cellStyle name="输出 2 3 2 2 2 3 2 2" xfId="4850"/>
    <cellStyle name="强调文字颜色 3 2 4 3 2" xfId="4851"/>
    <cellStyle name="60% - 强调文字颜色 2 2 2 5 3" xfId="4852"/>
    <cellStyle name="计算 2 10 5 3" xfId="4853"/>
    <cellStyle name="常规 2 6" xfId="4854"/>
    <cellStyle name="汇总 2 2 3 5 2 2 2" xfId="4855"/>
    <cellStyle name="注释 2 4 3 5" xfId="4856"/>
    <cellStyle name="标题 3 2 3 4 2 2" xfId="4857"/>
    <cellStyle name="汇总 2 7 3 2 7" xfId="4858"/>
    <cellStyle name="标题 2 2 2 4 2 4" xfId="4859"/>
    <cellStyle name="注释 3 2 2 8" xfId="4860"/>
    <cellStyle name="计算 2 7 2 2 4 2 2" xfId="4861"/>
    <cellStyle name="强调文字颜色 4 3 2 3" xfId="4862"/>
    <cellStyle name="20% - 强调文字颜色 6 2 3 2 4 3 2 2" xfId="4863"/>
    <cellStyle name="强调文字颜色 6 4 3" xfId="4864"/>
    <cellStyle name="输入 2 2 2 2 3 2 2" xfId="4865"/>
    <cellStyle name="输出 2 2 4 4 2 2 2" xfId="4866"/>
    <cellStyle name="常规 5 2 3 10" xfId="4867"/>
    <cellStyle name="计算 3 2 2 5 3" xfId="4868"/>
    <cellStyle name="汇总 2 8 3 5 2" xfId="4869"/>
    <cellStyle name="60% - 强调文字颜色 2 2 2 2 2 3" xfId="4870"/>
    <cellStyle name="60% - 强调文字颜色 5 2 3 2 3 2 2 2" xfId="4871"/>
    <cellStyle name="计算 2 10 2 2 3" xfId="4872"/>
    <cellStyle name="汇总 2 5 3 9" xfId="4873"/>
    <cellStyle name="注释 2 2 2 3 3 3" xfId="4874"/>
    <cellStyle name="40% - 强调文字颜色 3 2 2 2 2 3" xfId="4875"/>
    <cellStyle name="汇总 2 2 5 2 6 2" xfId="4876"/>
    <cellStyle name="注释 3 3 2" xfId="4877"/>
    <cellStyle name="强调文字颜色 1 2 2 2 6" xfId="4878"/>
    <cellStyle name="20% - 强调文字颜色 5 2 6 2 2" xfId="4879"/>
    <cellStyle name="输出 2 4 5 2 4" xfId="4880"/>
    <cellStyle name="汇总 2 6 8 2 2" xfId="4881"/>
    <cellStyle name="输出 2 2 4 2 2 4" xfId="4882"/>
    <cellStyle name="计算 2 2 5 2 11" xfId="4883"/>
    <cellStyle name="汇总 2 7 7 3" xfId="4884"/>
    <cellStyle name="注释 2 2 2 2" xfId="4885"/>
    <cellStyle name="60% - 强调文字颜色 1 2 2 2 4 3" xfId="4886"/>
    <cellStyle name="解释性文本 2 3 2 5 2 2" xfId="4887"/>
    <cellStyle name="输出 2 2 9 5" xfId="4888"/>
    <cellStyle name="计算 2 2 2 2 3 4" xfId="4889"/>
    <cellStyle name="注释 2 5 2 8" xfId="4890"/>
    <cellStyle name="标题 4 2 2 2 6 2" xfId="4891"/>
    <cellStyle name="汇总 2 2 4 4 3" xfId="4892"/>
    <cellStyle name="60% - 强调文字颜色 2 2 6 2 2 2" xfId="4893"/>
    <cellStyle name="计算 2 2 3 2 4 3 2" xfId="4894"/>
    <cellStyle name="汇总 2 2 4 2 2 2 2 6" xfId="4895"/>
    <cellStyle name="常规 4 2 2 2 3 3" xfId="4896"/>
    <cellStyle name="常规 6 4 3 3" xfId="4897"/>
    <cellStyle name="汇总 2 2 4 2 8 2 2" xfId="4898"/>
    <cellStyle name="输入 3 2 2 4 3" xfId="4899"/>
    <cellStyle name="标题 5 5 2 3" xfId="4900"/>
    <cellStyle name="好 2 2 3 4 2" xfId="4901"/>
    <cellStyle name="40% - 强调文字颜色 6 3 2 4" xfId="4902"/>
    <cellStyle name="强调文字颜色 1 2 6 2 2" xfId="4903"/>
    <cellStyle name="常规 5 3 6" xfId="4904"/>
    <cellStyle name="汇总 2 6 2 2 2 2 2 2" xfId="4905"/>
    <cellStyle name="输出 2 10 6" xfId="4906"/>
    <cellStyle name="标题 4 3 3 3 2" xfId="4907"/>
    <cellStyle name="好 2 2 2 3 2 2 2 2 2" xfId="4908"/>
    <cellStyle name="计算 2 5 4 3 4 2" xfId="4909"/>
    <cellStyle name="20% - 强调文字颜色 3 2 2 2 4 2" xfId="4910"/>
    <cellStyle name="汇总 2 2 11" xfId="4911"/>
    <cellStyle name="适中 2 3 4" xfId="4912"/>
    <cellStyle name="汇总 2 2 7 4 3" xfId="4913"/>
    <cellStyle name="输出 2 2 3 6 3" xfId="4914"/>
    <cellStyle name="输入 2 3 2 2 2 7" xfId="4915"/>
    <cellStyle name="强调文字颜色 6 2 2 2 2 3 3" xfId="4916"/>
    <cellStyle name="注释 2 9 2 2" xfId="4917"/>
    <cellStyle name="汇总 2 4 2 2 3 3 3" xfId="4918"/>
    <cellStyle name="输出 2 5 2 3 2 2" xfId="4919"/>
    <cellStyle name="汇总 2 5 2 4 6" xfId="4920"/>
    <cellStyle name="强调文字颜色 5 2 2 2 2 4 2" xfId="4921"/>
    <cellStyle name="20% - 强调文字颜色 1 2 2 5 3 2" xfId="4922"/>
    <cellStyle name="汇总 2 6 3 2 4" xfId="4923"/>
    <cellStyle name="注释 3 3 5 2" xfId="4924"/>
    <cellStyle name="超链接 2 3 3 2 2 3" xfId="4925"/>
    <cellStyle name="强调文字颜色 6 2 2 2 5 3" xfId="4926"/>
    <cellStyle name="输出 2 2 3 2 2 5 3" xfId="4927"/>
    <cellStyle name="强调文字颜色 6 4 2 2 2" xfId="4928"/>
    <cellStyle name="常规 6 2 2 3" xfId="4929"/>
    <cellStyle name="60% - 强调文字颜色 6 2 2 5 3 2" xfId="4930"/>
    <cellStyle name="40% - 强调文字颜色 2 4 4 2 2" xfId="4931"/>
    <cellStyle name="输入 2 3 5 3" xfId="4932"/>
    <cellStyle name="汇总 2 6 2 3 6" xfId="4933"/>
    <cellStyle name="40% - 强调文字颜色 1 4 3 2 2" xfId="4934"/>
    <cellStyle name="注释 2 2 3 4 2 3 2" xfId="4935"/>
    <cellStyle name="汇总 2 2 6 3 5 2 2" xfId="4936"/>
    <cellStyle name="输出 3 2 4 2" xfId="4937"/>
    <cellStyle name="汇总 2 5 3 3 3 2 2" xfId="4938"/>
    <cellStyle name="汇总 2 2 4 3 2 7" xfId="4939"/>
    <cellStyle name="链接单元格 2 2 2 2 2 2 2 3" xfId="4940"/>
    <cellStyle name="输出 2 2 3 2 2 4 3" xfId="4941"/>
    <cellStyle name="输出 2 8 5 2 2" xfId="4942"/>
    <cellStyle name="注释 2 4 4 2 2 3" xfId="4943"/>
    <cellStyle name="输入 2 2 4 2 5" xfId="4944"/>
    <cellStyle name="标题 1 2 2 2 9" xfId="4945"/>
    <cellStyle name="标题 2 2 4 3 3 2" xfId="4946"/>
    <cellStyle name="注释 7 2" xfId="4947"/>
    <cellStyle name="汇总 2 2 7 8 2 2" xfId="4948"/>
    <cellStyle name="强调文字颜色 6 4 2 4" xfId="4949"/>
    <cellStyle name="注释 2 2 3 2 2 3 2 3" xfId="4950"/>
    <cellStyle name="输出 2 2 3 2 3 8" xfId="4951"/>
    <cellStyle name="60% - 强调文字颜色 6 2 3 2 4 2 2 2" xfId="4952"/>
    <cellStyle name="汇总 2 22" xfId="4953"/>
    <cellStyle name="汇总 2 17" xfId="4954"/>
    <cellStyle name="好 2 4 6 3" xfId="4955"/>
    <cellStyle name="汇总 2 8 3 5" xfId="4956"/>
    <cellStyle name="计算 2 2 4 2 2 2 3 2 2" xfId="4957"/>
    <cellStyle name="输入 3 2 3 3 2" xfId="4958"/>
    <cellStyle name="汇总 2 2 3 4 2 3 3" xfId="4959"/>
    <cellStyle name="汇总 2 2 8 2 3 2" xfId="4960"/>
    <cellStyle name="常规 6 2 5" xfId="4961"/>
    <cellStyle name="强调文字颜色 4 2 3 2 5 2 2" xfId="4962"/>
    <cellStyle name="常规 5 5 2 3 4 2" xfId="4963"/>
    <cellStyle name="强调文字颜色 6 2 2 4 6" xfId="4964"/>
    <cellStyle name="输出 2 2 3 2 3 4" xfId="4965"/>
    <cellStyle name="常规 5 3 4 2 3 2 2" xfId="4966"/>
    <cellStyle name="20% - 强调文字颜色 2 3 3 2 2 2 2" xfId="4967"/>
    <cellStyle name="无色 2 5" xfId="4968"/>
    <cellStyle name="汇总 2 3 2 3 4 3" xfId="4969"/>
    <cellStyle name="注释 2 2 3 6 2 2" xfId="4970"/>
    <cellStyle name="输入 2 2 6 10" xfId="4971"/>
    <cellStyle name="差 2 2 2 3 2 2" xfId="4972"/>
    <cellStyle name="汇总 2 2 7 3 7" xfId="4973"/>
    <cellStyle name="标题 1 3 2 2 3 2 3" xfId="4974"/>
    <cellStyle name="适中 2 2 8" xfId="4975"/>
    <cellStyle name="输出 2 4 3 2 5 2" xfId="4976"/>
    <cellStyle name="汇总 2 2 7 2 2 3 3" xfId="4977"/>
    <cellStyle name="60% - 强调文字颜色 6 3 3 5" xfId="4978"/>
    <cellStyle name="汇总 4 2 2 3 3" xfId="4979"/>
    <cellStyle name="强调文字颜色 4 2 3 2 2 2" xfId="4980"/>
    <cellStyle name="输入 2 2 2 6 2 2" xfId="4981"/>
    <cellStyle name="强调文字颜色 3 2 2 2 2 4" xfId="4982"/>
    <cellStyle name="适中 2 4 4 3 2" xfId="4983"/>
    <cellStyle name="超链接 2 5 4 3" xfId="4984"/>
    <cellStyle name="计算 4 2 4" xfId="4985"/>
    <cellStyle name="标题 5 2 2 6 3" xfId="4986"/>
    <cellStyle name="标题 2 2 2 3 4 3 2" xfId="4987"/>
    <cellStyle name="强调文字颜色 5 2 2 2 5 2" xfId="4988"/>
    <cellStyle name="汇总 2 3 2 11" xfId="4989"/>
    <cellStyle name="常规 10 5 2 2" xfId="4990"/>
    <cellStyle name="输出 2 2 3 3 4 3" xfId="4991"/>
    <cellStyle name="汇总 3 3 2 2 2" xfId="4992"/>
    <cellStyle name="40% - 强调文字颜色 4 2 2 2 2 2 5 2 2" xfId="4993"/>
    <cellStyle name="好 2 6 4" xfId="4994"/>
    <cellStyle name="强调文字颜色 4 2 3 5 2 2 2" xfId="4995"/>
    <cellStyle name="标题 2 4 4 2 2" xfId="4996"/>
    <cellStyle name="计算 2 2 2 2 2 2 9" xfId="4997"/>
    <cellStyle name="强调文字颜色 5 4 3 2" xfId="4998"/>
    <cellStyle name="注释 2 2 4 3 2 2 2" xfId="4999"/>
    <cellStyle name="汇总 2 3 6 2" xfId="5000"/>
    <cellStyle name="计算 4 2 6 3" xfId="5001"/>
    <cellStyle name="超链接 2 5 4" xfId="5002"/>
    <cellStyle name="标题 5 3 2 2 3" xfId="5003"/>
    <cellStyle name="汇总 2 7 3 4 2 2" xfId="5004"/>
    <cellStyle name="40% - 强调文字颜色 5 2 8" xfId="5005"/>
    <cellStyle name="好 2 3 8" xfId="5006"/>
    <cellStyle name="好 3 2 2 3 3" xfId="5007"/>
    <cellStyle name="汇总 2 15" xfId="5008"/>
    <cellStyle name="汇总 2 20" xfId="5009"/>
    <cellStyle name="解释性文本 2 2 3 3 2 2" xfId="5010"/>
    <cellStyle name="计算 4 2 3 3 2 2" xfId="5011"/>
    <cellStyle name="汇总 2 3 3 2 2 2" xfId="5012"/>
    <cellStyle name="汇总 2 2 4 2 4 2 4 2" xfId="5013"/>
    <cellStyle name="标题 4 2 3 3 2 2" xfId="5014"/>
    <cellStyle name="强调文字颜色 6 2 2 2 2 4 2" xfId="5015"/>
    <cellStyle name="20% - 强调文字颜色 6 2 6 2" xfId="5016"/>
    <cellStyle name="输出 2 6 5 2 2" xfId="5017"/>
    <cellStyle name="常规 2 5 3 2 2" xfId="5018"/>
    <cellStyle name="标题 1 4 2 2 2 2 2" xfId="5019"/>
    <cellStyle name="汇总 2 7 2 9" xfId="5020"/>
    <cellStyle name="输入 2 2 4 2 9 3" xfId="5021"/>
    <cellStyle name="20% - 强调文字颜色 2 2 2 2 2 2 3 2" xfId="5022"/>
    <cellStyle name="汇总 2 2 5 4 5 2" xfId="5023"/>
    <cellStyle name="计算 2 5 5 4 2 2" xfId="5024"/>
    <cellStyle name="检查单元格 2 3 2 4 4" xfId="5025"/>
    <cellStyle name="汇总 6 2 2" xfId="5026"/>
    <cellStyle name="输入 4 2 3 3" xfId="5027"/>
    <cellStyle name="40% - 强调文字颜色 4 2 2 2 2 2 2 3 2" xfId="5028"/>
    <cellStyle name="警告文本 3 6" xfId="5029"/>
    <cellStyle name="强调文字颜色 3 2 2 4 3 2 3" xfId="5030"/>
    <cellStyle name="标题 1 2 4 3 2" xfId="5031"/>
    <cellStyle name="输入 2 2 4 2 12" xfId="5032"/>
    <cellStyle name="强调文字颜色 6 2 2 6" xfId="5033"/>
    <cellStyle name="输入 2 2 2 2 2 2 3 2" xfId="5034"/>
    <cellStyle name="输入 2 2 4 2 7 2 2" xfId="5035"/>
    <cellStyle name="常规 4 2 4 3 4" xfId="5036"/>
    <cellStyle name="注释 2 2 12" xfId="5037"/>
    <cellStyle name="常规 2 2 2 2 3 2 2 2" xfId="5038"/>
    <cellStyle name="常规 13 2 2 3 2" xfId="5039"/>
    <cellStyle name="注释 3 2 4 2" xfId="5040"/>
    <cellStyle name="常规 4 6 3 4" xfId="5041"/>
    <cellStyle name="输出 2 2 3 4 9" xfId="5042"/>
    <cellStyle name="40% - 强调文字颜色 3 2 5 4 2 2" xfId="5043"/>
    <cellStyle name="20% - 强调文字颜色 1 2 3 3 3" xfId="5044"/>
    <cellStyle name="20% - 强调文字颜色 1 2 3 2 2 4 2 2 2" xfId="5045"/>
    <cellStyle name="汇总 2 5 4 2 2 2 2" xfId="5046"/>
    <cellStyle name="计算 2 2 8 2 2 3 2" xfId="5047"/>
    <cellStyle name="输入 2 2 4 2 3 6 2" xfId="5048"/>
    <cellStyle name="40% - 强调文字颜色 4 2 3 2 3" xfId="5049"/>
    <cellStyle name="计算 2 2 4 2 2 3 2 2 2" xfId="5050"/>
    <cellStyle name="解释性文本 2 2 2 3 3 2" xfId="5051"/>
    <cellStyle name="汇总 2 2 7 2 5 2 2" xfId="5052"/>
    <cellStyle name="注释 2 2 4 3 2 3 2" xfId="5053"/>
    <cellStyle name="汇总 2 3 7 2" xfId="5054"/>
    <cellStyle name="解释性文本 2 2 4 3 2 2" xfId="5055"/>
    <cellStyle name="输出 2 3 3 5 2 2" xfId="5056"/>
    <cellStyle name="输出 2 2 2 3" xfId="5057"/>
    <cellStyle name="汇总 2 7 2 4 3" xfId="5058"/>
    <cellStyle name="强调文字颜色 6 2 4 3 2 3" xfId="5059"/>
    <cellStyle name="标题 1 2 4 7" xfId="5060"/>
    <cellStyle name="检查单元格 2 2 3 6 3" xfId="5061"/>
    <cellStyle name="输出 2 2 6 2 3 2 2" xfId="5062"/>
    <cellStyle name="解释性文本 3 2 2 3 2" xfId="5063"/>
    <cellStyle name="60% - 强调文字颜色 4 3 2 2 3 2 2" xfId="5064"/>
    <cellStyle name="60% - 强调文字颜色 6 2 5 3 2" xfId="5065"/>
    <cellStyle name="40% - 强调文字颜色 6 2 2 3 3 3" xfId="5066"/>
    <cellStyle name="解释性文本 2 3 3 7" xfId="5067"/>
    <cellStyle name="输出 2 4 2 9" xfId="5068"/>
    <cellStyle name="汇总 2 2 5 3 4 2 2" xfId="5069"/>
    <cellStyle name="汇总 2 3 2 5 3" xfId="5070"/>
    <cellStyle name="计算 2 2 4 2 3 3 5" xfId="5071"/>
    <cellStyle name="好 2 3 2 4 4" xfId="5072"/>
    <cellStyle name="输出 2 2 4 12" xfId="5073"/>
    <cellStyle name="60% - 强调文字颜色 5 2 3" xfId="5074"/>
    <cellStyle name="计算 2 2 7 2 6" xfId="5075"/>
    <cellStyle name="检查单元格 2 4 4 2 2" xfId="5076"/>
    <cellStyle name="汇总 2 7 5 4" xfId="5077"/>
    <cellStyle name="标题 3 2 2 2 2 2 2 2 2 2" xfId="5078"/>
    <cellStyle name="60% - 强调文字颜色 3 2 3 2 3 2 2 2" xfId="5079"/>
    <cellStyle name="输入 2 2 4 4 2 2 2 2" xfId="5080"/>
    <cellStyle name="40% - 强调文字颜色 3 6" xfId="5081"/>
    <cellStyle name="强调文字颜色 6 2 2 2 5 2 2 2" xfId="5082"/>
    <cellStyle name="注释 2 8" xfId="5083"/>
    <cellStyle name="输入 2 2 3 2 2 3 2" xfId="5084"/>
    <cellStyle name="计算 2 5 2 3 7" xfId="5085"/>
    <cellStyle name="计算 2 2 4 4 3 2 2" xfId="5086"/>
    <cellStyle name="计算 5 3 3" xfId="5087"/>
    <cellStyle name="Normal 3" xfId="5088"/>
    <cellStyle name="输出 4 2 7 2" xfId="5089"/>
    <cellStyle name="检查单元格 2 2 2 2 3 2 2" xfId="5090"/>
    <cellStyle name="60% - 强调文字颜色 4 2 2 6 2 2" xfId="5091"/>
    <cellStyle name="注释 2 6 5" xfId="5092"/>
    <cellStyle name="标题 2 3 3 4" xfId="5093"/>
    <cellStyle name="汇总 2 8 3 2 2" xfId="5094"/>
    <cellStyle name="注释 2 2 3 2 3 2 2" xfId="5095"/>
    <cellStyle name="输入 2 4 3 2 3" xfId="5096"/>
    <cellStyle name="输出 2 4 5 4 2" xfId="5097"/>
    <cellStyle name="强调文字颜色 1 2 2 4 4" xfId="5098"/>
    <cellStyle name="60% - 强调文字颜色 2 2 6 3 2 2" xfId="5099"/>
    <cellStyle name="常规 5 2 5 6" xfId="5100"/>
    <cellStyle name="汇总 2 2 5 4 3" xfId="5101"/>
    <cellStyle name="20% - 强调文字颜色 3 2 2 3 6" xfId="5102"/>
    <cellStyle name="汇总 2 2 4 3 5 3" xfId="5103"/>
    <cellStyle name="20% - 强调文字颜色 2 2 6 2 2 2" xfId="5104"/>
    <cellStyle name="注释 3 2 2 4 2 2" xfId="5105"/>
    <cellStyle name="汇总 2 5 2 2 4 2" xfId="5106"/>
    <cellStyle name="计算 2 2 6 2 4 3" xfId="5107"/>
    <cellStyle name="40% - 强调文字颜色 6 3 3" xfId="5108"/>
    <cellStyle name="解释性文本 2 4 6 2" xfId="5109"/>
    <cellStyle name="标题 3 3 2 2 2 2 2 2" xfId="5110"/>
    <cellStyle name="标题 3 2 4 9" xfId="5111"/>
    <cellStyle name="40% - 强调文字颜色 1 3 2 4" xfId="5112"/>
    <cellStyle name="常规 9 2 2 4" xfId="5113"/>
    <cellStyle name="输出 2 9 3 2" xfId="5114"/>
    <cellStyle name="标题 3 2 3 4 3 2" xfId="5115"/>
    <cellStyle name="注释 2 4 2 3 2 5" xfId="5116"/>
    <cellStyle name="60% - 强调文字颜色 1 4 2 2 2 2 2" xfId="5117"/>
    <cellStyle name="注释 2 2 8 2 2 2" xfId="5118"/>
    <cellStyle name="好 2 6 3 3" xfId="5119"/>
    <cellStyle name="输出 2 8 4 2 2" xfId="5120"/>
    <cellStyle name="常规 2 7 2 2 2" xfId="5121"/>
    <cellStyle name="适中 2 2 6 2" xfId="5122"/>
    <cellStyle name="强调文字颜色 6 4 4" xfId="5123"/>
    <cellStyle name="汇总 2 2 4 2 4 4 3" xfId="5124"/>
    <cellStyle name="常规 2 2 2 2 2 4 3 2" xfId="5125"/>
    <cellStyle name="超链接 3 4 4 2 2" xfId="5126"/>
    <cellStyle name="输入 2 8 5 2 2" xfId="5127"/>
    <cellStyle name="汇总 2 5 4 2 4" xfId="5128"/>
    <cellStyle name="注释 2 4 5 2" xfId="5129"/>
    <cellStyle name="超链接 2 3 2 3 2 3" xfId="5130"/>
    <cellStyle name="强调文字颜色 6 2 2 4" xfId="5131"/>
    <cellStyle name="输入 2 2 4 2 10" xfId="5132"/>
    <cellStyle name="输入 2 2 14 2" xfId="5133"/>
    <cellStyle name="汇总 2 2 2 2 3 4 2" xfId="5134"/>
    <cellStyle name="20% - 强调文字颜色 4 2 2 2 2 2 3 3 2" xfId="5135"/>
    <cellStyle name="好 2 2 2 2 4 2 2 2" xfId="5136"/>
    <cellStyle name="输出 2 4" xfId="5137"/>
    <cellStyle name="标题 2 2 2 3 2 2 2 2" xfId="5138"/>
    <cellStyle name="汇总 2 7 2 2 5 2 2" xfId="5139"/>
    <cellStyle name="汇总 2 3 2 2 7 2" xfId="5140"/>
    <cellStyle name="好 2 3 2 2 2" xfId="5141"/>
    <cellStyle name="强调文字颜色 3 3 3 2" xfId="5142"/>
    <cellStyle name="差 2 2 2 4" xfId="5143"/>
    <cellStyle name="60% - 强调文字颜色 6 2 7 2 2" xfId="5144"/>
    <cellStyle name="60% - 强调文字颜色 4 3 5 2 2" xfId="5145"/>
    <cellStyle name="标题 5 2 2 7 2" xfId="5146"/>
    <cellStyle name="超链接 2 4 3 4" xfId="5147"/>
    <cellStyle name="40% - 强调文字颜色 2 3 2 2 3 2 2 2" xfId="5148"/>
    <cellStyle name="适中 2 4 3 2 3" xfId="5149"/>
    <cellStyle name="检查单元格 2 2 4 2 2" xfId="5150"/>
    <cellStyle name="计算 2 2 7 3 2 6" xfId="5151"/>
    <cellStyle name="汇总 2 2 4 5 2 2 3" xfId="5152"/>
    <cellStyle name="强调文字颜色 4 4 4" xfId="5153"/>
    <cellStyle name="输入 2 4 3 2 6" xfId="5154"/>
    <cellStyle name="汇总 2 4 9 3" xfId="5155"/>
    <cellStyle name="汇总 2 2 7 4 4" xfId="5156"/>
    <cellStyle name="计算 2 3 3 10" xfId="5157"/>
    <cellStyle name="20% - 强调文字颜色 2 2 2 2 4 2 2" xfId="5158"/>
    <cellStyle name="计算 2 6 8" xfId="5159"/>
    <cellStyle name="输入 2 2 2 2 5 2 2" xfId="5160"/>
    <cellStyle name="常规 3 3 2 2 4 3" xfId="5161"/>
    <cellStyle name="输出 2 2 4 4 4 2 2" xfId="5162"/>
    <cellStyle name="输入 2 2 8 2 2 2 2" xfId="5163"/>
    <cellStyle name="标题 4 2 2 5" xfId="5164"/>
    <cellStyle name="注释 2 2 5 2 2 3 2 2" xfId="5165"/>
    <cellStyle name="常规 2 2 3 4 3 2" xfId="5166"/>
    <cellStyle name="40% - 强调文字颜色 4 2 4 7" xfId="5167"/>
    <cellStyle name="输入 2 2 6 2 4" xfId="5168"/>
    <cellStyle name="注释 2 4 4 4 2 2" xfId="5169"/>
    <cellStyle name="计算 2 4 4 3 3" xfId="5170"/>
    <cellStyle name="常规 6 3 2 5" xfId="5171"/>
    <cellStyle name="注释 2 2 7 2 2 3" xfId="5172"/>
    <cellStyle name="差 4 2 3 3" xfId="5173"/>
    <cellStyle name="计算 2 3 9" xfId="5174"/>
    <cellStyle name="汇总 5" xfId="5175"/>
    <cellStyle name="计算 3 5 3 2 2" xfId="5176"/>
    <cellStyle name="输出 2 2 4 3 2 4" xfId="5177"/>
    <cellStyle name="汇总 2 8 7 3" xfId="5178"/>
    <cellStyle name="超链接 2 3 2 3 2" xfId="5179"/>
    <cellStyle name="标题 6 2 5 2" xfId="5180"/>
    <cellStyle name="常规 9 3 6 2 2" xfId="5181"/>
    <cellStyle name="汇总 2 3 4 3" xfId="5182"/>
    <cellStyle name="汇总 2 8 2 3 2 2" xfId="5183"/>
    <cellStyle name="20% - 强调文字颜色 2 2 3 2 2 5" xfId="5184"/>
    <cellStyle name="40% - 强调文字颜色 6 2 3 2 5 2 2" xfId="5185"/>
    <cellStyle name="计算 2 2 4 4 9" xfId="5186"/>
    <cellStyle name="常规 7 6 2" xfId="5187"/>
    <cellStyle name="常规 4 2 3 4 2" xfId="5188"/>
    <cellStyle name="计算 3 2 8 2" xfId="5189"/>
    <cellStyle name="输入 2 2 10 2 4" xfId="5190"/>
    <cellStyle name="强调文字颜色 4 2 2 2 4 4" xfId="5191"/>
    <cellStyle name="强调文字颜色 5 2 3 2 4 2" xfId="5192"/>
    <cellStyle name="计算 2 5 3 2 2 3 2" xfId="5193"/>
    <cellStyle name="40% - 强调文字颜色 1 2 4 4 3 2" xfId="5194"/>
    <cellStyle name="40% - 强调文字颜色 4 2 2 3 5" xfId="5195"/>
    <cellStyle name="计算 2 10 4 2 2" xfId="5196"/>
    <cellStyle name="60% - 强调文字颜色 6 2 3 2 2 2 2 3" xfId="5197"/>
    <cellStyle name="常规 4 2 6 3 3" xfId="5198"/>
    <cellStyle name="40% - 强调文字颜色 1 2 2 6" xfId="5199"/>
    <cellStyle name="常规 29" xfId="5200"/>
    <cellStyle name="注释 4 9" xfId="5201"/>
    <cellStyle name="注释 2 2 2 2 5" xfId="5202"/>
    <cellStyle name="输入 2 2 3 2 2 5 3" xfId="5203"/>
    <cellStyle name="强调文字颜色 3 2 2 2 3 2 2 2" xfId="5204"/>
    <cellStyle name="计算 2 2 3 2 4 4 2" xfId="5205"/>
    <cellStyle name="强调文字颜色 5 2 2 6 3 3" xfId="5206"/>
    <cellStyle name="20% - 强调文字颜色 3 2 3 2 2 5" xfId="5207"/>
    <cellStyle name="Normal 2 3" xfId="5208"/>
    <cellStyle name="汇总 2 2 7 3 2 2 2" xfId="5209"/>
    <cellStyle name="标题 2 2 3 2 4" xfId="5210"/>
    <cellStyle name="汇总 3 2 4 4" xfId="5211"/>
    <cellStyle name="输入 2 4 2 2 2 3" xfId="5212"/>
    <cellStyle name="警告文本 2 3 2 4 4" xfId="5213"/>
    <cellStyle name="60% - 强调文字颜色 2 2 2 3 4 3 2" xfId="5214"/>
    <cellStyle name="计算 2 7 11" xfId="5215"/>
    <cellStyle name="检查单元格 2 4 4 4" xfId="5216"/>
    <cellStyle name="警告文本 2 2 4 3 2 3" xfId="5217"/>
    <cellStyle name="输入 2 2 5 2 3" xfId="5218"/>
    <cellStyle name="输出 2 2 5 8" xfId="5219"/>
    <cellStyle name="60% - 强调文字颜色 1 2 2 2 2 2 2" xfId="5220"/>
    <cellStyle name="计算 2 4 3 3 2" xfId="5221"/>
    <cellStyle name="输出 2 2 7 4 2" xfId="5222"/>
    <cellStyle name="输出 2 2 4 2 3 6" xfId="5223"/>
    <cellStyle name="常规 3 2 4 3 5" xfId="5224"/>
    <cellStyle name="常规 12 2 2 3 3" xfId="5225"/>
    <cellStyle name="60% - 强调文字颜色 2 2 3 2 4 3" xfId="5226"/>
    <cellStyle name="强调文字颜色 4 2 6 2 2" xfId="5227"/>
    <cellStyle name="输出 2 2 9 7" xfId="5228"/>
    <cellStyle name="60% - 强调文字颜色 3 2 4 4 3" xfId="5229"/>
    <cellStyle name="输入 2 2 5 6 2" xfId="5230"/>
    <cellStyle name="计算 3 2 2 3 4" xfId="5231"/>
    <cellStyle name="超链接 2 2 2 2 2" xfId="5232"/>
    <cellStyle name="注释 2 5 2 2 2 3" xfId="5233"/>
    <cellStyle name="注释 2 5 4 3 2" xfId="5234"/>
    <cellStyle name="汇总 2 2 6 3 2 5" xfId="5235"/>
    <cellStyle name="警告文本 2" xfId="5236"/>
    <cellStyle name="常规 4 4 3 2" xfId="5237"/>
    <cellStyle name="40% - 强调文字颜色 6 2 3 2 2 4 3" xfId="5238"/>
    <cellStyle name="常规 6 5 2" xfId="5239"/>
    <cellStyle name="常规 4 2 2 3 2" xfId="5240"/>
    <cellStyle name="40% - 强调文字颜色 2 2 4 2 2 2" xfId="5241"/>
    <cellStyle name="输入 2 6 5" xfId="5242"/>
    <cellStyle name="超链接 3 2 4" xfId="5243"/>
    <cellStyle name="好 3 4" xfId="5244"/>
    <cellStyle name="输出 2 5 2 5 3" xfId="5245"/>
    <cellStyle name="输入 3 2 10" xfId="5246"/>
    <cellStyle name="解释性文本 2 4 3 3 3" xfId="5247"/>
    <cellStyle name="解释性文本 2 2 2 2 2 3 2" xfId="5248"/>
    <cellStyle name="强调文字颜色 5 2 2 2 6 2" xfId="5249"/>
    <cellStyle name="注释 2 5 2 2 3" xfId="5250"/>
    <cellStyle name="20% - 强调文字颜色 6 2 2 3 3 2 2 2" xfId="5251"/>
    <cellStyle name="强调文字颜色 6 2 2 3 3 2" xfId="5252"/>
    <cellStyle name="60% - 强调文字颜色 5 2 3 2 6" xfId="5253"/>
    <cellStyle name="标题 5 3 2 6 2 2" xfId="5254"/>
    <cellStyle name="汇总 2 5 2 4 4" xfId="5255"/>
    <cellStyle name="常规 6 2 2 2 4" xfId="5256"/>
    <cellStyle name="汇总 2 2 5 4 2 5 2" xfId="5257"/>
    <cellStyle name="注释 2 4 5 3 2 2" xfId="5258"/>
    <cellStyle name="计算 2 5 3 3 3" xfId="5259"/>
    <cellStyle name="强调文字颜色 5 2 2 2 4 4" xfId="5260"/>
    <cellStyle name="强调文字颜色 6 2 3 2 4 2" xfId="5261"/>
    <cellStyle name="超链接 3 2 3 2 3" xfId="5262"/>
    <cellStyle name="输入 2 6 4 2 3" xfId="5263"/>
    <cellStyle name="计算 2 8 2 3 2" xfId="5264"/>
    <cellStyle name="汇总 2 3 3 2 5" xfId="5265"/>
    <cellStyle name="汇总 2 2 7 3 2 4 2" xfId="5266"/>
    <cellStyle name="标题 2 3 2 2 2 2 2 2" xfId="5267"/>
    <cellStyle name="注释 2 5 3 2 2 2 2" xfId="5268"/>
    <cellStyle name="适中 2 2 3 4 2" xfId="5269"/>
    <cellStyle name="强调文字颜色 2 3 3" xfId="5270"/>
    <cellStyle name="注释 2 5 3 2 5" xfId="5271"/>
    <cellStyle name="标题 3 3 3 2 2 3" xfId="5272"/>
    <cellStyle name="汇总 2 2 4 16" xfId="5273"/>
    <cellStyle name="计算 2 2 5 2 4 2 2 2" xfId="5274"/>
    <cellStyle name="汇总 2 6 3 5 3" xfId="5275"/>
    <cellStyle name="汇总 2 18" xfId="5276"/>
    <cellStyle name="常规 3 2 5 2 2" xfId="5277"/>
    <cellStyle name="汇总 2 7 2 3 3 3" xfId="5278"/>
    <cellStyle name="20% - 强调文字颜色 3 2 2 2" xfId="5279"/>
    <cellStyle name="60% - 强调文字颜色 1 2 2 3 3 2" xfId="5280"/>
    <cellStyle name="计算 2 5 4 3" xfId="5281"/>
    <cellStyle name="计算 2 5 2 3 3 2 3" xfId="5282"/>
    <cellStyle name="标题 2 2 5 2 2" xfId="5283"/>
    <cellStyle name="汇总 2 5 8 3" xfId="5284"/>
    <cellStyle name="60% - 强调文字颜色 6 2 3 3 2 2 3" xfId="5285"/>
    <cellStyle name="适中 2 2 4 3" xfId="5286"/>
    <cellStyle name="强调文字颜色 6 2 5" xfId="5287"/>
    <cellStyle name="汇总 2 2 5 4 2 2 3" xfId="5288"/>
    <cellStyle name="常规 8 6" xfId="5289"/>
    <cellStyle name="40% - 强调文字颜色 1 2 2 2 4 2 2" xfId="5290"/>
    <cellStyle name="输入 2 2 2 13" xfId="5291"/>
    <cellStyle name="常规 4 2 4 4" xfId="5292"/>
    <cellStyle name="汇总 2 6 2 2" xfId="5293"/>
    <cellStyle name="汇总 2 5 2 3 2 2 2" xfId="5294"/>
    <cellStyle name="计算 2 2 6 3 2 3 2" xfId="5295"/>
    <cellStyle name="常规 10 2 4 2 3 2 2" xfId="5296"/>
    <cellStyle name="汇总 2 3 2 2 5 3" xfId="5297"/>
    <cellStyle name="强调文字颜色 1 2 2 2 4 3 2 2" xfId="5298"/>
    <cellStyle name="超链接 3 2 2 2 3 3" xfId="5299"/>
    <cellStyle name="计算 2 5 2 3 3 3" xfId="5300"/>
    <cellStyle name="60% - 强调文字颜色 6 2 2 2 3 2 2 2 2 2" xfId="5301"/>
    <cellStyle name="常规 3 3 5 3 2 2" xfId="5302"/>
    <cellStyle name="汇总 2 5 3 8 2" xfId="5303"/>
    <cellStyle name="检查单元格 3 6" xfId="5304"/>
    <cellStyle name="注释 2 2 2 3 3 2 2" xfId="5305"/>
    <cellStyle name="40% - 强调文字颜色 3 2 2 2 2 2 2" xfId="5306"/>
    <cellStyle name="计算 2 2 4 2 2 2 5 3" xfId="5307"/>
    <cellStyle name="计算 2 7 14" xfId="5308"/>
    <cellStyle name="汇总 2 2 3 2 2 2 2" xfId="5309"/>
    <cellStyle name="常规 12 2 8" xfId="5310"/>
    <cellStyle name="强调文字颜色 4 2 2 5 3" xfId="5311"/>
    <cellStyle name="标题 1 4 5" xfId="5312"/>
    <cellStyle name="检查单元格 2 2 2 4" xfId="5313"/>
    <cellStyle name="40% - 强调文字颜色 3 2 6 3 2" xfId="5314"/>
    <cellStyle name="注释 2 2 6 4 3" xfId="5315"/>
    <cellStyle name="常规 4 2 4 2 3 2 2" xfId="5316"/>
    <cellStyle name="计算 2 3 2 2 2 4 2 2" xfId="5317"/>
    <cellStyle name="60% - 强调文字颜色 6 2 4 3 2 2 2" xfId="5318"/>
    <cellStyle name="20% - 强调文字颜色 3 2 3 2 3 2 2" xfId="5319"/>
    <cellStyle name="汇总 2 2 6 6 4" xfId="5320"/>
    <cellStyle name="输入 2 7 3 3 2 2" xfId="5321"/>
    <cellStyle name="超链接 3 3 2 3 2 2" xfId="5322"/>
    <cellStyle name="输入 2 4 5" xfId="5323"/>
    <cellStyle name="汇总 2 4 2 3 4 2" xfId="5324"/>
    <cellStyle name="汇总 2 4 4 2 5" xfId="5325"/>
    <cellStyle name="计算 2 9 3 3 2" xfId="5326"/>
    <cellStyle name="计算 3 3 2 2 2 2" xfId="5327"/>
    <cellStyle name="输出 2 2 10 4" xfId="5328"/>
    <cellStyle name="计算 2 3 2 4" xfId="5329"/>
    <cellStyle name="40% - 强调文字颜色 6 2 2 3 3 3 2" xfId="5330"/>
    <cellStyle name="40% - 强调文字颜色 2 3 8" xfId="5331"/>
    <cellStyle name="计算 2 4 11" xfId="5332"/>
    <cellStyle name="20% - 强调文字颜色 1 3 3" xfId="5333"/>
    <cellStyle name="强调文字颜色 2 2 2 2 3" xfId="5334"/>
    <cellStyle name="强调文字颜色 5 2 3 2 3 2 2" xfId="5335"/>
    <cellStyle name="计算 2 5 3 2 2 2 2 2" xfId="5336"/>
    <cellStyle name="计算 2 6 2 7 3" xfId="5337"/>
    <cellStyle name="汇总 2 2 2 2 2 3 3 2" xfId="5338"/>
    <cellStyle name="60% - 强调文字颜色 6 2 6 2" xfId="5339"/>
    <cellStyle name="输出 3 3 2 4" xfId="5340"/>
    <cellStyle name="强调文字颜色 3 2 3" xfId="5341"/>
    <cellStyle name="解释性文本 3 2 3 2" xfId="5342"/>
    <cellStyle name="计算 2 2 3 2 4 2 2" xfId="5343"/>
    <cellStyle name="强调文字颜色 2 2 3 4 3 2" xfId="5344"/>
    <cellStyle name="强调文字颜色 1 2 2 4 3 4" xfId="5345"/>
    <cellStyle name="标题 2 2 2 4 2 2 2 2" xfId="5346"/>
    <cellStyle name="超链接 3 2 2 3 3" xfId="5347"/>
    <cellStyle name="输入 2 6 3 3 3" xfId="5348"/>
    <cellStyle name="汇总 2 3 2 3 5" xfId="5349"/>
    <cellStyle name="常规 3 2 2 2" xfId="5350"/>
    <cellStyle name="输出 3 3 4 2" xfId="5351"/>
    <cellStyle name="输出 4 2 2 2 2" xfId="5352"/>
    <cellStyle name="汇总 2 2 6 9 2" xfId="5353"/>
    <cellStyle name="检查单元格 2 2 2 2 3 2 3" xfId="5354"/>
    <cellStyle name="强调文字颜色 6 2 2 7 2" xfId="5355"/>
    <cellStyle name="标题 1 2 2 4 2 2" xfId="5356"/>
    <cellStyle name="汇总 2 8 3 2 3" xfId="5357"/>
    <cellStyle name="注释 2 6 6" xfId="5358"/>
    <cellStyle name="标题 2 3 3 5" xfId="5359"/>
    <cellStyle name="注释 2 11" xfId="5360"/>
    <cellStyle name="常规 4 4 2 2 2" xfId="5361"/>
    <cellStyle name="强调文字颜色 6 2 3 5 2 3" xfId="5362"/>
    <cellStyle name="输出 2 3 2 2 2 6" xfId="5363"/>
    <cellStyle name="常规 4 2 2 2 2 2" xfId="5364"/>
    <cellStyle name="汇总 3 9" xfId="5365"/>
    <cellStyle name="40% - 强调文字颜色 1 2 2 3 7" xfId="5366"/>
    <cellStyle name="计算 2 2 4 2 2 2 5 2 2" xfId="5367"/>
    <cellStyle name="汇总 2 7 2 2 2 3 3" xfId="5368"/>
    <cellStyle name="检查单元格 3 5 2" xfId="5369"/>
    <cellStyle name="常规 4 3 2 3 3 2" xfId="5370"/>
    <cellStyle name="常规 5 4 3 3 2" xfId="5371"/>
    <cellStyle name="输出 2 2 4 4 4 3" xfId="5372"/>
    <cellStyle name="汇总 3 4 3 2 2" xfId="5373"/>
    <cellStyle name="标题 5 2 3 3 3" xfId="5374"/>
    <cellStyle name="注释 2 2 3 11" xfId="5375"/>
    <cellStyle name="输出 2 5 2 2 5 2 2" xfId="5376"/>
    <cellStyle name="计算 2 2 5 2 2 2 2" xfId="5377"/>
    <cellStyle name="超链接 2 3" xfId="5378"/>
    <cellStyle name="警告文本 2 3 2 6 3" xfId="5379"/>
    <cellStyle name="汇总 2 12" xfId="5380"/>
    <cellStyle name="常规 6 2 3 3" xfId="5381"/>
    <cellStyle name="计算 2 5 2 14" xfId="5382"/>
    <cellStyle name="汇总 2 2 4 2 6 2 2" xfId="5383"/>
    <cellStyle name="计算 2 6 6 2" xfId="5384"/>
    <cellStyle name="强调文字颜色 1 2 3 2 4 3" xfId="5385"/>
    <cellStyle name="常规 7 2 3 2 2" xfId="5386"/>
    <cellStyle name="强调文字颜色 4 2 2 2 2 5 2" xfId="5387"/>
    <cellStyle name="强调文字颜色 2 2 2 2 2 5 2 2" xfId="5388"/>
    <cellStyle name="强调文字颜色 5 2 3 2 2 3 2" xfId="5389"/>
    <cellStyle name="链接单元格 4 5" xfId="5390"/>
    <cellStyle name="汇总 2 3 3 3 2 2" xfId="5391"/>
    <cellStyle name="标题 2 2 7 2" xfId="5392"/>
    <cellStyle name="强调文字颜色 5 2 4 5 2" xfId="5393"/>
    <cellStyle name="常规 2 4 7" xfId="5394"/>
    <cellStyle name="强调文字颜色 1 2 3 3 3" xfId="5395"/>
    <cellStyle name="输出 2 5 9" xfId="5396"/>
    <cellStyle name="注释 3 3 5 2 2" xfId="5397"/>
    <cellStyle name="输出 2 2 7 3 3" xfId="5398"/>
    <cellStyle name="计算 2 4 3 2 3" xfId="5399"/>
    <cellStyle name="输出 2 2 4 9" xfId="5400"/>
    <cellStyle name="汇总 2 2 5 3 2 4 2" xfId="5401"/>
    <cellStyle name="标题 1 2 3 4 2 3" xfId="5402"/>
    <cellStyle name="汇总 2 2 2 2 2 2 4 3" xfId="5403"/>
    <cellStyle name="输出 3 2 7 2 2" xfId="5404"/>
    <cellStyle name="输出 2 4 3 5 2" xfId="5405"/>
    <cellStyle name="常规 9 3 6 3" xfId="5406"/>
    <cellStyle name="解释性文本 2 3 4 3 2" xfId="5407"/>
    <cellStyle name="40% - 强调文字颜色 4 3 2 3 2" xfId="5408"/>
    <cellStyle name="汇总 2 2 3 2 8 2" xfId="5409"/>
    <cellStyle name="常规 7 3 3 3" xfId="5410"/>
    <cellStyle name="20% - 强调文字颜色 4 2 2 9 2" xfId="5411"/>
    <cellStyle name="输出 2 2 3 2 2" xfId="5412"/>
    <cellStyle name="检查单元格 2 5 2 2" xfId="5413"/>
    <cellStyle name="输出 4 4" xfId="5414"/>
    <cellStyle name="好 2 3 4 3 2 2" xfId="5415"/>
    <cellStyle name="常规 13 7 2 2" xfId="5416"/>
    <cellStyle name="常规 5 2 6 4 2" xfId="5417"/>
    <cellStyle name="链接单元格 2 3 2 3 2 2 2" xfId="5418"/>
    <cellStyle name="20% - 强调文字颜色 6 2 2 2 2" xfId="5419"/>
    <cellStyle name="计算 2 2 4 3 3 3" xfId="5420"/>
    <cellStyle name="注释 2 2 2 2 2 2 7" xfId="5421"/>
    <cellStyle name="强调文字颜色 2 2 3" xfId="5422"/>
    <cellStyle name="强调文字颜色 5 2 5 3 2 2" xfId="5423"/>
    <cellStyle name="20% - 强调文字颜色 3 2 2 2 2 2 3 3 2 2" xfId="5424"/>
    <cellStyle name="计算 2 2 6 6 4" xfId="5425"/>
    <cellStyle name="标题 3 2 4 4" xfId="5426"/>
    <cellStyle name="40% - 强调文字颜色 5 2 2 2 2 2 2 2 2" xfId="5427"/>
    <cellStyle name="汇总 2 3 2 2 3 4" xfId="5428"/>
    <cellStyle name="20% - 强调文字颜色 6 4 2 2 2" xfId="5429"/>
    <cellStyle name="常规 5 2 2 2 6 2 2" xfId="5430"/>
    <cellStyle name="60% - 强调文字颜色 5 2 3 3 3 2" xfId="5431"/>
    <cellStyle name="好 2 2 2 2 2 2 2 2 2" xfId="5432"/>
    <cellStyle name="计算 2 2 2 2 2 2 5 2" xfId="5433"/>
    <cellStyle name="标题 7 2 3 3" xfId="5434"/>
    <cellStyle name="汇总 2 8 3 7" xfId="5435"/>
    <cellStyle name="计算 2 5 4 2 8" xfId="5436"/>
    <cellStyle name="计算 2 5 2 6 2 2 2" xfId="5437"/>
    <cellStyle name="常规 4 3 2 5" xfId="5438"/>
    <cellStyle name="计算 3 3 3 3 2 2" xfId="5439"/>
    <cellStyle name="20% - 强调文字颜色 4 2 4 3 2 2 2" xfId="5440"/>
    <cellStyle name="汇总 2 2 2 3 6 2" xfId="5441"/>
    <cellStyle name="适中 2 3 2 3 3 3" xfId="5442"/>
    <cellStyle name="输出 2 2 3 2 2 4 2" xfId="5443"/>
    <cellStyle name="适中 6" xfId="5444"/>
    <cellStyle name="输入 2 5 3 2 5" xfId="5445"/>
    <cellStyle name="汇总 2 2 2 2 7" xfId="5446"/>
    <cellStyle name="40% - 强调文字颜色 6 2 3 3" xfId="5447"/>
    <cellStyle name="好 3 3 3 3" xfId="5448"/>
    <cellStyle name="检查单元格 2 2 2 2 6 2" xfId="5449"/>
    <cellStyle name="常规 6 7" xfId="5450"/>
    <cellStyle name="常规 4 2 2 5" xfId="5451"/>
    <cellStyle name="常规 2 2 2 2 4 2" xfId="5452"/>
    <cellStyle name="输出 3 2 4 3" xfId="5453"/>
    <cellStyle name="强调文字颜色 2 4 2" xfId="5454"/>
    <cellStyle name="60% - 强调文字颜色 2 2 2 6 2 2" xfId="5455"/>
    <cellStyle name="60% - 强调文字颜色 3 2 3 3 2 2 2 2" xfId="5456"/>
    <cellStyle name="计算 4 3 5" xfId="5457"/>
    <cellStyle name="40% - 强调文字颜色 1 2 7 2 2 2" xfId="5458"/>
    <cellStyle name="计算 2 3 4 4 2" xfId="5459"/>
    <cellStyle name="40% - 强调文字颜色 5 3 5 2" xfId="5460"/>
    <cellStyle name="好 2 4 5 2" xfId="5461"/>
    <cellStyle name="计算 2 2 4 3 2 4 2 2" xfId="5462"/>
    <cellStyle name="输出 2 3 2 2 2 3 2" xfId="5463"/>
    <cellStyle name="计算 2 5 3 4 3" xfId="5464"/>
    <cellStyle name="40% - 强调文字颜色 6 2 2 2 3 3 2 2" xfId="5465"/>
    <cellStyle name="计算 2 2 4 5 2 3 3" xfId="5466"/>
    <cellStyle name="常规 5 6 3 3 2 2" xfId="5467"/>
    <cellStyle name="差 2 5 2 2" xfId="5468"/>
    <cellStyle name="输入 2 5 2 9 3" xfId="5469"/>
    <cellStyle name="汇总 2 2 3 5 3 2 2" xfId="5470"/>
    <cellStyle name="注释 2 5 3 5" xfId="5471"/>
    <cellStyle name="标题 2 3 2 2 5" xfId="5472"/>
    <cellStyle name="检查单元格 2 2 4 2 2 3" xfId="5473"/>
    <cellStyle name="输出 2 2 2" xfId="5474"/>
    <cellStyle name="汇总 2 2 4 3 6" xfId="5475"/>
    <cellStyle name="计算 2 7 3 4 3" xfId="5476"/>
    <cellStyle name="常规 9 3 3 3 2 2" xfId="5477"/>
    <cellStyle name="输出 2 4 3 2 2 2 2" xfId="5478"/>
    <cellStyle name="解释性文本 2 7 2 2 2" xfId="5479"/>
    <cellStyle name="40% - 强调文字颜色 5 2 5 3" xfId="5480"/>
    <cellStyle name="输入 2 10 7" xfId="5481"/>
    <cellStyle name="好 2 3 5 3" xfId="5482"/>
    <cellStyle name="60% - 强调文字颜色 4 4 3 2" xfId="5483"/>
    <cellStyle name="标题 3 2 2 6 2" xfId="5484"/>
    <cellStyle name="输出 2 4 2 2 2 2 3" xfId="5485"/>
    <cellStyle name="常规 9 2 3 3 2 3" xfId="5486"/>
    <cellStyle name="汇总 2 2 4 2 6 3" xfId="5487"/>
    <cellStyle name="计算 3 4" xfId="5488"/>
    <cellStyle name="常规 8 3 2 2" xfId="5489"/>
    <cellStyle name="计算 2 2 13 3" xfId="5490"/>
    <cellStyle name="输入 2 3 4 3 2 2" xfId="5491"/>
    <cellStyle name="汇总 2 6 2 2 6 2 2" xfId="5492"/>
    <cellStyle name="注释 2 2 4 4 2 4" xfId="5493"/>
    <cellStyle name="输入 3 3 5" xfId="5494"/>
    <cellStyle name="40% - 强调文字颜色 1 2 2 2 2 2 4 3 2" xfId="5495"/>
    <cellStyle name="汇总 2 2 9 4" xfId="5496"/>
    <cellStyle name="计算 2 9 4 2 2" xfId="5497"/>
    <cellStyle name="计算 2 2 6 10 2 2" xfId="5498"/>
    <cellStyle name="超链接 3 2 2 2 2 4" xfId="5499"/>
    <cellStyle name="汇总 2 6 5 4" xfId="5500"/>
    <cellStyle name="汇总 2 2 4 2 2 3 2" xfId="5501"/>
    <cellStyle name="20% - 强调文字颜色 6 4 4" xfId="5502"/>
    <cellStyle name="常规 5 2 2 2 8" xfId="5503"/>
    <cellStyle name="强调文字颜色 6 2 2 2 4 2" xfId="5504"/>
    <cellStyle name="注释 2 4 2 4 2 2" xfId="5505"/>
    <cellStyle name="输出 2 2 2 12" xfId="5506"/>
    <cellStyle name="计算 2 2 4 3 3" xfId="5507"/>
    <cellStyle name="汇总 2 2 2 3 6 2 2" xfId="5508"/>
    <cellStyle name="输出 2 6 2 3 3" xfId="5509"/>
    <cellStyle name="20% - 强调文字颜色 1 2 3 2 3 3 2" xfId="5510"/>
    <cellStyle name="汇总 2 3 8 3" xfId="5511"/>
    <cellStyle name="标题 2 2 3 2 2" xfId="5512"/>
    <cellStyle name="输入 2 4 6" xfId="5513"/>
    <cellStyle name="超链接 3 3 2 3 2 3" xfId="5514"/>
    <cellStyle name="汇总 2 4 2 3 4 3" xfId="5515"/>
    <cellStyle name="解释性文本 2 12" xfId="5516"/>
    <cellStyle name="常规 6 3 3" xfId="5517"/>
    <cellStyle name="输出 2 5 3 4 2 2" xfId="5518"/>
    <cellStyle name="输入 2 4 6 3" xfId="5519"/>
    <cellStyle name="40% - 强调文字颜色 4 4 2 2 2 2" xfId="5520"/>
    <cellStyle name="超链接 3 5 4 2 2" xfId="5521"/>
    <cellStyle name="输入 2 9 5 2 2" xfId="5522"/>
    <cellStyle name="20% - 强调文字颜色 5 2 2 2 4" xfId="5523"/>
    <cellStyle name="计算 2 5 5 4" xfId="5524"/>
    <cellStyle name="解释性文本 2 3 2 6 2 2" xfId="5525"/>
    <cellStyle name="20% - 强调文字颜色 3 2 3 3" xfId="5526"/>
    <cellStyle name="60% - 强调文字颜色 1 2 2 3 4 3" xfId="5527"/>
    <cellStyle name="汇总 2 2 6 4 2 4 2" xfId="5528"/>
    <cellStyle name="汇总 6" xfId="5529"/>
    <cellStyle name="好 3 2 2 2 3" xfId="5530"/>
    <cellStyle name="强调文字颜色 4 6 2" xfId="5531"/>
    <cellStyle name="计算 3 6 2 2" xfId="5532"/>
    <cellStyle name="常规 3 3 4 3" xfId="5533"/>
    <cellStyle name="强调文字颜色 4 2 2 4 3 3 2" xfId="5534"/>
    <cellStyle name="汇总 2 2 6 3 2 3" xfId="5535"/>
    <cellStyle name="汇总 2 3 3 3 3 2 2" xfId="5536"/>
    <cellStyle name="计算 3 2 2 3 2" xfId="5537"/>
    <cellStyle name="注释 2 9 2 4" xfId="5538"/>
    <cellStyle name="20% - 强调文字颜色 4 2 4 2 2 2 2" xfId="5539"/>
    <cellStyle name="汇总 2 2 4 3 2 5 3" xfId="5540"/>
    <cellStyle name="汇总 2 2 2 2 5 2 2" xfId="5541"/>
    <cellStyle name="40% - 强调文字颜色 2 2 4 4" xfId="5542"/>
    <cellStyle name="输入 2 5 3 2 3 2 2" xfId="5543"/>
    <cellStyle name="计算 3 2 2 4" xfId="5544"/>
    <cellStyle name="汇总 2 3 3 3 3 3" xfId="5545"/>
    <cellStyle name="警告文本 2 3 2 3 3 3" xfId="5546"/>
    <cellStyle name="标题 2 3 2 5" xfId="5547"/>
    <cellStyle name="注释 2 5 6" xfId="5548"/>
    <cellStyle name="输入 2 2 2 2 2 2 3 2 2" xfId="5549"/>
    <cellStyle name="强调文字颜色 2 2 2 3 4 3 2" xfId="5550"/>
    <cellStyle name="超链接 2 3 5" xfId="5551"/>
    <cellStyle name="汇总 2 2 5 3 2 2 2 2" xfId="5552"/>
    <cellStyle name="输出 2 2 2 9 2" xfId="5553"/>
    <cellStyle name="60% - 强调文字颜色 5 3 3 2" xfId="5554"/>
    <cellStyle name="常规 9 2 4 2 2 3" xfId="5555"/>
    <cellStyle name="计算 2 7 8" xfId="5556"/>
    <cellStyle name="输出 2 2 2 3 3" xfId="5557"/>
    <cellStyle name="汇总 2 5 4 3 2 3" xfId="5558"/>
    <cellStyle name="计算 2 2 8 3 2 4" xfId="5559"/>
    <cellStyle name="计算 2 2 4 2 3 6 2" xfId="5560"/>
    <cellStyle name="好 2 2 4 4" xfId="5561"/>
    <cellStyle name="常规 13 4 5" xfId="5562"/>
    <cellStyle name="汇总 2 2 2 3 7 2" xfId="5563"/>
    <cellStyle name="计算 2 3 3 2 2 3" xfId="5564"/>
    <cellStyle name="强调文字颜色 3 2 3 2 4" xfId="5565"/>
    <cellStyle name="常规 5 6 2 2" xfId="5566"/>
    <cellStyle name="汇总 2 8 9 2" xfId="5567"/>
    <cellStyle name="输出 2 2 4 3 4 3" xfId="5568"/>
    <cellStyle name="解释性文本 2 2 3 9" xfId="5569"/>
    <cellStyle name="40% - 强调文字颜色 1 2 2 3 2 2 2 2" xfId="5570"/>
    <cellStyle name="汇总 3 4 2 2 2" xfId="5571"/>
    <cellStyle name="输入 2 2 8 3 2 2 2" xfId="5572"/>
    <cellStyle name="差 2 7 2" xfId="5573"/>
    <cellStyle name="标题 5 2 2 5" xfId="5574"/>
    <cellStyle name="输入 2 2 8 3 6" xfId="5575"/>
    <cellStyle name="强调文字颜色 5 2 2 3 4 4" xfId="5576"/>
    <cellStyle name="强调文字颜色 6 4 2 3" xfId="5577"/>
    <cellStyle name="注释 2 2 3 2 2 3 2 2" xfId="5578"/>
    <cellStyle name="输出 2 2 3 2 3 7" xfId="5579"/>
    <cellStyle name="适中 2 2 2 2 5 3" xfId="5580"/>
    <cellStyle name="计算 2 2 5 4 2 2" xfId="5581"/>
    <cellStyle name="输出 2 2 4 2 5 3" xfId="5582"/>
    <cellStyle name="输出 2 2 7 2 5" xfId="5583"/>
    <cellStyle name="汇总 2 2 3 2 2 2" xfId="5584"/>
    <cellStyle name="常规 8 2 2 2 3 2" xfId="5585"/>
    <cellStyle name="标题 8 2 2" xfId="5586"/>
    <cellStyle name="计算 2 7 6 4" xfId="5587"/>
    <cellStyle name="常规 16 2 2 2 2" xfId="5588"/>
    <cellStyle name="计算 2 2 3 3 3 3 3" xfId="5589"/>
    <cellStyle name="40% - 强调文字颜色 4 3 2 2 2 2 2" xfId="5590"/>
    <cellStyle name="计算 2 2 4 5 5" xfId="5591"/>
    <cellStyle name="60% - 强调文字颜色 2 5 2" xfId="5592"/>
    <cellStyle name="汇总 2 2 3 10" xfId="5593"/>
    <cellStyle name="输出 3 2 6 2" xfId="5594"/>
    <cellStyle name="输入 3 2 2 3 3" xfId="5595"/>
    <cellStyle name="强调文字颜色 2 4 4 2" xfId="5596"/>
    <cellStyle name="计算 3 2 8 2 2" xfId="5597"/>
    <cellStyle name="适中 3 2 3 2" xfId="5598"/>
    <cellStyle name="40% - 强调文字颜色 5 2 2 2 3 2 2 2 2" xfId="5599"/>
    <cellStyle name="汇总 2 8 2 6 2" xfId="5600"/>
    <cellStyle name="标题 5 3 5 2 2" xfId="5601"/>
    <cellStyle name="链接单元格 2 3 3 3 2" xfId="5602"/>
    <cellStyle name="60% - 强调文字颜色 6 2 2 3 2 2 2 2 2" xfId="5603"/>
    <cellStyle name="汇总 2 2 5 4 2 4 3" xfId="5604"/>
    <cellStyle name="输出 2 2 5 2 6 2" xfId="5605"/>
    <cellStyle name="计算 2 5 3 2 4" xfId="5606"/>
    <cellStyle name="好 2 2 3 8" xfId="5607"/>
    <cellStyle name="60% - 强调文字颜色 6 2 2 2 3" xfId="5608"/>
    <cellStyle name="输出 2 6 12" xfId="5609"/>
    <cellStyle name="常规 7 3 2 2 2" xfId="5610"/>
    <cellStyle name="注释 2 2 3 4 7" xfId="5611"/>
    <cellStyle name="汇总 2 2 4 2 5 2 2" xfId="5612"/>
    <cellStyle name="强调文字颜色 5 2 2 2 3 6" xfId="5613"/>
    <cellStyle name="60% - 强调文字颜色 6 2 2 4 4 2" xfId="5614"/>
    <cellStyle name="解释性文本 2 2 4 4 2" xfId="5615"/>
    <cellStyle name="输出 2 2 2 3 7" xfId="5616"/>
    <cellStyle name="标题 2 2 2 5 3" xfId="5617"/>
    <cellStyle name="常规 4 2 3 2 2" xfId="5618"/>
    <cellStyle name="常规 7 4 2" xfId="5619"/>
    <cellStyle name="常规 4 5 2 2" xfId="5620"/>
    <cellStyle name="汇总 4 2 3 3" xfId="5621"/>
    <cellStyle name="强调文字颜色 1 2 2 4 2 2" xfId="5622"/>
    <cellStyle name="40% - 强调文字颜色 3 2 2 8" xfId="5623"/>
    <cellStyle name="百分比 2 2 2 4" xfId="5624"/>
    <cellStyle name="汇总 2 2 5 2 3 3 3" xfId="5625"/>
    <cellStyle name="输出 2 2 3 3 5 2" xfId="5626"/>
    <cellStyle name="计算 2 6 7 2 2" xfId="5627"/>
    <cellStyle name="输入 2 8 8 2" xfId="5628"/>
    <cellStyle name="强调文字颜色 5 2 4 4 2 2" xfId="5629"/>
    <cellStyle name="60% - 强调文字颜色 4 2 2 6 3 2" xfId="5630"/>
    <cellStyle name="注释 2 7 5" xfId="5631"/>
    <cellStyle name="常规 10 2 2 2 3 3 2" xfId="5632"/>
    <cellStyle name="强调文字颜色 5 2 2 5 2 2" xfId="5633"/>
    <cellStyle name="汇总 2 3 2 4" xfId="5634"/>
    <cellStyle name="计算 4 2 2 5" xfId="5635"/>
    <cellStyle name="检查单元格 2 4 7" xfId="5636"/>
    <cellStyle name="计算 2 5 2 2 2" xfId="5637"/>
    <cellStyle name="常规 2 2 4 3 2" xfId="5638"/>
    <cellStyle name="汇总 2 6 2 2 4 3" xfId="5639"/>
    <cellStyle name="计算 2 2 8 9 2" xfId="5640"/>
    <cellStyle name="计算 2 2 2 3 2 4" xfId="5641"/>
    <cellStyle name="计算 3 2 3 3 2 2" xfId="5642"/>
    <cellStyle name="常规 10 2 7" xfId="5643"/>
    <cellStyle name="差 3 4 2" xfId="5644"/>
    <cellStyle name="强调文字颜色 3 2 4 4 2 2" xfId="5645"/>
    <cellStyle name="60% - 强调文字颜色 2 2 2 6 3 2" xfId="5646"/>
    <cellStyle name="强调文字颜色 2 5 2" xfId="5647"/>
    <cellStyle name="输出 3 2 5 3" xfId="5648"/>
    <cellStyle name="标题 5 2 2 5 2 3" xfId="5649"/>
    <cellStyle name="60% - 强调文字颜色 4 2 2 2 7" xfId="5650"/>
    <cellStyle name="输出 2 10 2 3" xfId="5651"/>
    <cellStyle name="强调文字颜色 6 2 2 4 2 4" xfId="5652"/>
    <cellStyle name="40% - 强调文字颜色 2 3 5 2 2" xfId="5653"/>
    <cellStyle name="强调文字颜色 1 2 2 2 4 2 3" xfId="5654"/>
    <cellStyle name="汇总 2 6 2 4 2 2" xfId="5655"/>
    <cellStyle name="标题 4 2 2 2 3" xfId="5656"/>
    <cellStyle name="强调文字颜色 3 2 6" xfId="5657"/>
    <cellStyle name="40% - 强调文字颜色 6 2 5 4 2 2" xfId="5658"/>
    <cellStyle name="汇总 3 2 3 3 2 2" xfId="5659"/>
    <cellStyle name="汇总 2 2 2 3 2 4" xfId="5660"/>
    <cellStyle name="百分比 2 2 2 7" xfId="5661"/>
    <cellStyle name="差 5 2" xfId="5662"/>
    <cellStyle name="输出 2 2 5 6 2 2" xfId="5663"/>
    <cellStyle name="适中 2 2 2 7" xfId="5664"/>
    <cellStyle name="输入 2 2 3 4 3 2" xfId="5665"/>
    <cellStyle name="60% - 强调文字颜色 3 2 2 2 4 2" xfId="5666"/>
    <cellStyle name="计算 2 2 3 7 2" xfId="5667"/>
    <cellStyle name="超链接 2 2 4" xfId="5668"/>
    <cellStyle name="计算 2 9 2 5 2" xfId="5669"/>
    <cellStyle name="60% - 强调文字颜色 3 4 4 2 2" xfId="5670"/>
    <cellStyle name="汇总 2 5 3 4" xfId="5671"/>
    <cellStyle name="Normal 7" xfId="5672"/>
    <cellStyle name="60% - 强调文字颜色 2 2 5 2 2 2" xfId="5673"/>
    <cellStyle name="链接单元格 2 3 3 2 3" xfId="5674"/>
    <cellStyle name="适中 2 2 2 5 2" xfId="5675"/>
    <cellStyle name="计算 2 5 2 4 3" xfId="5676"/>
    <cellStyle name="注释 2 4 5 2 3 2" xfId="5677"/>
    <cellStyle name="60% - 强调文字颜色 1 2 3 2 4 2 2 2" xfId="5678"/>
    <cellStyle name="汇总 2 2 2 10" xfId="5679"/>
    <cellStyle name="计算 2 7 9 3" xfId="5680"/>
    <cellStyle name="输出 2 2 2 3 4 3" xfId="5681"/>
    <cellStyle name="汇总 3 2 2 2 2" xfId="5682"/>
    <cellStyle name="计算 4 2 7" xfId="5683"/>
    <cellStyle name="输出 2 2 2 3 5" xfId="5684"/>
    <cellStyle name="汇总 2 4 5 3 3" xfId="5685"/>
    <cellStyle name="解释性文本 2 3 3 3 2" xfId="5686"/>
    <cellStyle name="标题 4 2 2 4 3 2 2 2" xfId="5687"/>
    <cellStyle name="输出 2 4 2 5 2" xfId="5688"/>
    <cellStyle name="40% - 强调文字颜色 5 2 3 5 2 2 2" xfId="5689"/>
    <cellStyle name="注释 2 2 7 3 3 2" xfId="5690"/>
    <cellStyle name="40% - 强调文字颜色 3 2 7 2 2 2" xfId="5691"/>
    <cellStyle name="输入 2 2 5 2 2 2 2 2 2" xfId="5692"/>
    <cellStyle name="20% - 强调文字颜色 1 2 3 6 2 2" xfId="5693"/>
    <cellStyle name="计算 2 5 2 11 2" xfId="5694"/>
    <cellStyle name="强调文字颜色 5 2 2 3 3 3 2" xfId="5695"/>
    <cellStyle name="60% - 强调文字颜色 3 2 2 3 4 2 2 2" xfId="5696"/>
    <cellStyle name="好 2 3 2 5" xfId="5697"/>
    <cellStyle name="强调文字颜色 3 3 6" xfId="5698"/>
    <cellStyle name="汇总 2 6 2 4 3 2" xfId="5699"/>
    <cellStyle name="汇总 2 3 2 2 3 3 2 2" xfId="5700"/>
    <cellStyle name="标题 4 2 2 3 3" xfId="5701"/>
    <cellStyle name="20% - 强调文字颜色 6 2 2 2 2 2 3 3 2" xfId="5702"/>
    <cellStyle name="解释性文本 2 2 2 2 2 4" xfId="5703"/>
    <cellStyle name="60% - 强调文字颜色 6 2 6 2 2 2" xfId="5704"/>
    <cellStyle name="计算 2 2 4 2 4 4 3" xfId="5705"/>
    <cellStyle name="强调文字颜色 3 2 3 2 2" xfId="5706"/>
    <cellStyle name="警告文本 2 2 5 4" xfId="5707"/>
    <cellStyle name="常规 12 6 3" xfId="5708"/>
    <cellStyle name="标题 4 2 2 2 4 3 3" xfId="5709"/>
    <cellStyle name="40% - 强调文字颜色 2 4 2 4" xfId="5710"/>
    <cellStyle name="输入 2 2 2 3 5 2" xfId="5711"/>
    <cellStyle name="输入 2 2 4 2 5 5" xfId="5712"/>
    <cellStyle name="计算 2 2 8 2 4 2" xfId="5713"/>
    <cellStyle name="60% - 强调文字颜色 5 3 2 4 2 2 2" xfId="5714"/>
    <cellStyle name="输入 2 6 2 2 2 3 2" xfId="5715"/>
    <cellStyle name="强调文字颜色 4 5 3" xfId="5716"/>
    <cellStyle name="强调文字颜色 4 2 2 2 2 2 2 2 2" xfId="5717"/>
    <cellStyle name="注释 2 2 4 2 3 2" xfId="5718"/>
    <cellStyle name="常规 4 2 3 4 3 3" xfId="5719"/>
    <cellStyle name="常规 7 6 3 3" xfId="5720"/>
    <cellStyle name="输出 2 2 6 2 2" xfId="5721"/>
    <cellStyle name="百分比 2 2 2 4 3 2" xfId="5722"/>
    <cellStyle name="警告文本 4 2 2" xfId="5723"/>
    <cellStyle name="计算 2 5 5 2 2 3" xfId="5724"/>
    <cellStyle name="40% - 强调文字颜色 6 4 4 2 2 2" xfId="5725"/>
    <cellStyle name="60% - 强调文字颜色 4 2 2 4 2 2 2" xfId="5726"/>
    <cellStyle name="汇总 4 2 3" xfId="5727"/>
    <cellStyle name="汇总 2 3 2 2 2 2 2" xfId="5728"/>
    <cellStyle name="汇总 2 10 3 3 2" xfId="5729"/>
    <cellStyle name="输出 2 2 4 2 2 5 3" xfId="5730"/>
    <cellStyle name="输入 2 5 2 2 6" xfId="5731"/>
    <cellStyle name="汇总 2 2 4 6 5" xfId="5732"/>
    <cellStyle name="输入 2 5 2 2 6 2" xfId="5733"/>
    <cellStyle name="注释 2 2 2 2 2 5 2" xfId="5734"/>
    <cellStyle name="计算 2 2 6 2 3" xfId="5735"/>
    <cellStyle name="输出 2 2 3 2 4 6" xfId="5736"/>
    <cellStyle name="好 2 6 3 2 2" xfId="5737"/>
    <cellStyle name="汇总 2 2 5 2 2 2 7" xfId="5738"/>
    <cellStyle name="常规 10 4 2 5" xfId="5739"/>
    <cellStyle name="强调文字颜色 6 4 3 2" xfId="5740"/>
    <cellStyle name="注释 2 4 3 2 4" xfId="5741"/>
    <cellStyle name="汇总 2 5 2 7 3" xfId="5742"/>
    <cellStyle name="输出 2 2 3 3 2 3 2 2" xfId="5743"/>
    <cellStyle name="注释 2 2 4 3 2 5" xfId="5744"/>
    <cellStyle name="汇总 2 3 9" xfId="5745"/>
    <cellStyle name="汇总 2 6 3 3" xfId="5746"/>
    <cellStyle name="常规 9 7" xfId="5747"/>
    <cellStyle name="计算 2 2 5 2 3 3 3" xfId="5748"/>
    <cellStyle name="标题 4 2 2 2 2 2 2 2 2 2" xfId="5749"/>
    <cellStyle name="汇总 2 6 3 6 2" xfId="5750"/>
    <cellStyle name="20% - 强调文字颜色 3 3 2 4 2 2" xfId="5751"/>
    <cellStyle name="计算 2 6 4 5 2 2" xfId="5752"/>
    <cellStyle name="计算 2 3 2 3 7" xfId="5753"/>
    <cellStyle name="计算 2 2 4 2 3 2 2" xfId="5754"/>
    <cellStyle name="好 2 2 2 2 3 3 2" xfId="5755"/>
    <cellStyle name="标题 3 2 4 3 3 3" xfId="5756"/>
    <cellStyle name="常规 5 2 2 2 2 5 2 2" xfId="5757"/>
    <cellStyle name="输入 2 3 3 6" xfId="5758"/>
    <cellStyle name="强调文字颜色 4 3 4 2" xfId="5759"/>
    <cellStyle name="注释 2 2 17" xfId="5760"/>
    <cellStyle name="适中 2 2 5 2 3" xfId="5761"/>
    <cellStyle name="强调文字颜色 6 3 4 3" xfId="5762"/>
    <cellStyle name="计算 2 8 3 2 3" xfId="5763"/>
    <cellStyle name="40% - 强调文字颜色 1 2 3 3 3" xfId="5764"/>
    <cellStyle name="警告文本 2 2 3 5 2 2" xfId="5765"/>
    <cellStyle name="计算 2 2 5 2 2 4 2" xfId="5766"/>
    <cellStyle name="解释性文本 2 2 2 3 2 2 2" xfId="5767"/>
    <cellStyle name="60% - 强调文字颜色 6 2 3 2 2 2 2 2" xfId="5768"/>
    <cellStyle name="输出 2 6 2 5 2" xfId="5769"/>
    <cellStyle name="注释 2 2 2 2 3 6" xfId="5770"/>
    <cellStyle name="注释 2 4 2 7 2" xfId="5771"/>
    <cellStyle name="汇总 2 8 6 2" xfId="5772"/>
    <cellStyle name="输入 2 4 2 2 2 2 2" xfId="5773"/>
    <cellStyle name="汇总 3 2 4 3 2" xfId="5774"/>
    <cellStyle name="汇总 2 7 3 5 2" xfId="5775"/>
    <cellStyle name="40% - 强调文字颜色 6 2 2 4 3 3 2" xfId="5776"/>
    <cellStyle name="40% - 强调文字颜色 2 2 2 6 2" xfId="5777"/>
    <cellStyle name="输入 2 2 11" xfId="5778"/>
    <cellStyle name="40% - 强调文字颜色 4 2 4 4 2" xfId="5779"/>
    <cellStyle name="输入 2 3 3 4 3" xfId="5780"/>
    <cellStyle name="60% - 强调文字颜色 3 3 2 2 4" xfId="5781"/>
    <cellStyle name="差 3 2 3 2 3" xfId="5782"/>
    <cellStyle name="注释 2 2 10 2 2" xfId="5783"/>
    <cellStyle name="常规 8 5 2 2 2" xfId="5784"/>
    <cellStyle name="输入 2 5 2 3 7" xfId="5785"/>
    <cellStyle name="计算 2 5 2 3 3 4" xfId="5786"/>
    <cellStyle name="强调文字颜色 1 2 2 6 3 3" xfId="5787"/>
    <cellStyle name="好 2 2 5" xfId="5788"/>
    <cellStyle name="汇总 2 3 3 5 3" xfId="5789"/>
    <cellStyle name="适中 2 4 6 2 2" xfId="5790"/>
    <cellStyle name="汇总 2 4 3 2 2 2 2" xfId="5791"/>
    <cellStyle name="汇总 2 2 4 2 2 5" xfId="5792"/>
    <cellStyle name="注释 2 3 3 3 2" xfId="5793"/>
    <cellStyle name="汇总 4 3 3 3" xfId="5794"/>
    <cellStyle name="汇总 2 3 2 4 2" xfId="5795"/>
    <cellStyle name="计算 4 2 2 5 2" xfId="5796"/>
    <cellStyle name="计算 2 2 4 2 3 2 4" xfId="5797"/>
    <cellStyle name="常规 5 4 6 2 2" xfId="5798"/>
    <cellStyle name="40% - 强调文字颜色 2 3 2 2 2" xfId="5799"/>
    <cellStyle name="标题 5 11" xfId="5800"/>
    <cellStyle name="计算 2 5 2 3 4 2" xfId="5801"/>
    <cellStyle name="计算 2 14 2" xfId="5802"/>
    <cellStyle name="标题 2 2 4 2 2 2" xfId="5803"/>
    <cellStyle name="标题 1 2 3 2 2 4" xfId="5804"/>
    <cellStyle name="强调文字颜色 3 2 2 5 3 2 2" xfId="5805"/>
    <cellStyle name="常规 5 5 2 3 3 2" xfId="5806"/>
    <cellStyle name="强调文字颜色 6 2 2 3 6" xfId="5807"/>
    <cellStyle name="40% - 强调文字颜色 4 2 2 3 2 2 2" xfId="5808"/>
    <cellStyle name="40% - 强调文字颜色 3 2 3 2 4 2 2" xfId="5809"/>
    <cellStyle name="输出 2 5 3 2" xfId="5810"/>
    <cellStyle name="注释 2 11 3" xfId="5811"/>
    <cellStyle name="40% - 强调文字颜色 3 2 2 2 2 2 3" xfId="5812"/>
    <cellStyle name="检查单元格 3 7" xfId="5813"/>
    <cellStyle name="计算 2 7 15" xfId="5814"/>
    <cellStyle name="输入 2 2 8 3 3" xfId="5815"/>
    <cellStyle name="计算 2 7 2 7" xfId="5816"/>
    <cellStyle name="强调文字颜色 3 2 7 2 2" xfId="5817"/>
    <cellStyle name="输出 2 3 3 4 3" xfId="5818"/>
    <cellStyle name="解释性文本 2 2 4 2 3" xfId="5819"/>
    <cellStyle name="警告文本 2 4 3 2 3" xfId="5820"/>
    <cellStyle name="链接单元格 2 2 5 2 3" xfId="5821"/>
    <cellStyle name="20% - 强调文字颜色 3 2 2 2 2 2 5 2" xfId="5822"/>
    <cellStyle name="强调文字颜色 5 2 7 2" xfId="5823"/>
    <cellStyle name="标题 3 2 3 2 4 4" xfId="5824"/>
    <cellStyle name="输入 2 4 3" xfId="5825"/>
    <cellStyle name="计算 2 2 8 3 2" xfId="5826"/>
    <cellStyle name="输入 2 2 2 4 3" xfId="5827"/>
    <cellStyle name="汇总 2 2 7 4 3 2" xfId="5828"/>
    <cellStyle name="标题 4 2 3 4 2" xfId="5829"/>
    <cellStyle name="常规 3 3 2 6" xfId="5830"/>
    <cellStyle name="强调文字颜色 4 4 5" xfId="5831"/>
    <cellStyle name="输出 2 8 8" xfId="5832"/>
    <cellStyle name="强调文字颜色 1 2 3 6 2" xfId="5833"/>
    <cellStyle name="计算 2 2 2 5 4" xfId="5834"/>
    <cellStyle name="输出 2 8" xfId="5835"/>
    <cellStyle name="汇总 2 2 9 6 2" xfId="5836"/>
    <cellStyle name="注释 2 4 2 2 4 3" xfId="5837"/>
    <cellStyle name="汇总 6 4" xfId="5838"/>
    <cellStyle name="40% - 强调文字颜色 1 2 2 6 2" xfId="5839"/>
    <cellStyle name="60% - 强调文字颜色 5 2 2 3 5 2" xfId="5840"/>
    <cellStyle name="20% - 强调文字颜色 2 2 2 2 2 2 2 2 2 2 2" xfId="5841"/>
    <cellStyle name="输入 2 2 7 6 2" xfId="5842"/>
    <cellStyle name="标题 4 2 3 2 5 2 2" xfId="5843"/>
    <cellStyle name="标题 4 2 2 2 2 2 3 3" xfId="5844"/>
    <cellStyle name="标题 3 3 5" xfId="5845"/>
    <cellStyle name="计算 2 2 7 7" xfId="5846"/>
    <cellStyle name="计算 2 4 3 3 4 2" xfId="5847"/>
    <cellStyle name="强调文字颜色 4 2 4 4 3" xfId="5848"/>
    <cellStyle name="输入 2 2 3 8 3" xfId="5849"/>
    <cellStyle name="输入 2 2 5 2 5 2" xfId="5850"/>
    <cellStyle name="强调文字颜色 5 4 3" xfId="5851"/>
    <cellStyle name="40% - 强调文字颜色 5 4 3 2" xfId="5852"/>
    <cellStyle name="20% - 强调文字颜色 5 2 3 7" xfId="5853"/>
    <cellStyle name="汇总 2 2 6 2 2 6 2" xfId="5854"/>
    <cellStyle name="警告文本 2 2 2 2 2 5" xfId="5855"/>
    <cellStyle name="40% - 强调文字颜色 4 4 3" xfId="5856"/>
    <cellStyle name="标题 4 2 4 3 2 2" xfId="5857"/>
    <cellStyle name="计算 2 2 6 4 4" xfId="5858"/>
    <cellStyle name="标题 3 2 2 4" xfId="5859"/>
    <cellStyle name="40% - 强调文字颜色 6 2 3 2 3 3 2" xfId="5860"/>
    <cellStyle name="计算 2 4 2 4 2 2 2" xfId="5861"/>
    <cellStyle name="计算 2 2 2 2 2 2 6" xfId="5862"/>
    <cellStyle name="输入 2 2 4 3 3 2 2" xfId="5863"/>
    <cellStyle name="计算 2 3 2 7 2 2" xfId="5864"/>
    <cellStyle name="40% - 强调文字颜色 1 2 4 4 3" xfId="5865"/>
    <cellStyle name="强调文字颜色 3 2 3 4" xfId="5866"/>
    <cellStyle name="汇总 2 2 4 6 3 2" xfId="5867"/>
    <cellStyle name="汇总 3 4 6" xfId="5868"/>
    <cellStyle name="标题 2 4 4 2 2 2" xfId="5869"/>
    <cellStyle name="强调文字颜色 6 5 3" xfId="5870"/>
    <cellStyle name="常规 19 3" xfId="5871"/>
    <cellStyle name="常规 13 3 4 2" xfId="5872"/>
    <cellStyle name="常规 11 3 2 3 3" xfId="5873"/>
    <cellStyle name="计算 2 6 2 2 5" xfId="5874"/>
    <cellStyle name="强调文字颜色 1 2 3 3 7" xfId="5875"/>
    <cellStyle name="注释 4 4 3" xfId="5876"/>
    <cellStyle name="计算 2 5 5 5" xfId="5877"/>
    <cellStyle name="汇总 7" xfId="5878"/>
    <cellStyle name="计算 2 2 2 3 3 5" xfId="5879"/>
    <cellStyle name="强调文字颜色 3 2 5 3 2 2" xfId="5880"/>
    <cellStyle name="计算 2 7 4 5" xfId="5881"/>
    <cellStyle name="20% - 强调文字颜色 3 4 2 4" xfId="5882"/>
    <cellStyle name="标题 4 2 2 2 2 3 2 2" xfId="5883"/>
    <cellStyle name="40% - 强调文字颜色 2 2 2 3 2" xfId="5884"/>
    <cellStyle name="输入 2 2 4 3 4 2" xfId="5885"/>
    <cellStyle name="计算 2 3 2 8 2" xfId="5886"/>
    <cellStyle name="计算 2 4 2 4 3 2" xfId="5887"/>
    <cellStyle name="60% - 强调文字颜色 3 2 2 4 4" xfId="5888"/>
    <cellStyle name="计算 2 4 3 3 2 2" xfId="5889"/>
    <cellStyle name="输出 2 2 7 4 2 2" xfId="5890"/>
    <cellStyle name="强调文字颜色 4 2 4 2 3" xfId="5891"/>
    <cellStyle name="输入 2 2 3 6 3" xfId="5892"/>
    <cellStyle name="计算 2 2 5 7" xfId="5893"/>
    <cellStyle name="输出 2 2 5 8 2" xfId="5894"/>
    <cellStyle name="60% - 强调文字颜色 1 2 2 2 2 2 2 2" xfId="5895"/>
    <cellStyle name="输入 2 2 5 2 3 2" xfId="5896"/>
    <cellStyle name="输出 2 4 2 2 2 4 2" xfId="5897"/>
    <cellStyle name="标题 5 3 2 6" xfId="5898"/>
    <cellStyle name="无色 2 4 2" xfId="5899"/>
    <cellStyle name="注释 2 3 9 2" xfId="5900"/>
    <cellStyle name="输出 2 2 3 2 3 3 2" xfId="5901"/>
    <cellStyle name="60% - 强调文字颜色 2 2 6 2 2" xfId="5902"/>
    <cellStyle name="计算 2 2 4 2 9 2 2" xfId="5903"/>
    <cellStyle name="标题 4 2 2 2 6" xfId="5904"/>
    <cellStyle name="强调文字颜色 3 2 9" xfId="5905"/>
    <cellStyle name="输出 2 2 5 3 4 2" xfId="5906"/>
    <cellStyle name="注释 2 2 7 9" xfId="5907"/>
    <cellStyle name="输出 2 6 3 2" xfId="5908"/>
    <cellStyle name="强调文字颜色 1 2 2 2 3 5" xfId="5909"/>
    <cellStyle name="超链接 3 3 4 5" xfId="5910"/>
    <cellStyle name="输入 2 7 5 5" xfId="5911"/>
    <cellStyle name="常规 2 4 4" xfId="5912"/>
    <cellStyle name="输出 2 5 6" xfId="5913"/>
    <cellStyle name="40% - 强调文字颜色 4 2 5 3 2 2 2" xfId="5914"/>
    <cellStyle name="警告文本 2 2 3 5 3" xfId="5915"/>
    <cellStyle name="计算 2 2 5 2 2 5" xfId="5916"/>
    <cellStyle name="常规 6 2 3 2 2 2 2" xfId="5917"/>
    <cellStyle name="计算 2 8 2 2 5" xfId="5918"/>
    <cellStyle name="汇总 2 5 2 2 3 4" xfId="5919"/>
    <cellStyle name="链接单元格 2 4 3" xfId="5920"/>
    <cellStyle name="常规 6 2 2 2 4 2 2 2" xfId="5921"/>
    <cellStyle name="计算 2 2 5 4 9" xfId="5922"/>
    <cellStyle name="常规 9 5 2" xfId="5923"/>
    <cellStyle name="注释 2 7 10" xfId="5924"/>
    <cellStyle name="标题 1 2 2 3 3 3 3" xfId="5925"/>
    <cellStyle name="汇总 2 2 6 5 2 3" xfId="5926"/>
    <cellStyle name="输入 2 2 3 4 4" xfId="5927"/>
    <cellStyle name="60% - 强调文字颜色 3 2 2 2 5" xfId="5928"/>
    <cellStyle name="计算 2 2 3 8" xfId="5929"/>
    <cellStyle name="40% - 强调文字颜色 1 3 2 5" xfId="5930"/>
    <cellStyle name="40% - 强调文字颜色 3 6 2" xfId="5931"/>
    <cellStyle name="常规 9 2 2 5" xfId="5932"/>
    <cellStyle name="常规 3 2 2 2 2 3 2 2" xfId="5933"/>
    <cellStyle name="超链接 2 4 3 3" xfId="5934"/>
    <cellStyle name="常规 2 3 2 2 2 3 2" xfId="5935"/>
    <cellStyle name="汇总 2 19" xfId="5936"/>
    <cellStyle name="标题 3 2 2 3 5 2 2" xfId="5937"/>
    <cellStyle name="计算 2 10 4 2" xfId="5938"/>
    <cellStyle name="解释性文本 2 2 2 3 2 3" xfId="5939"/>
    <cellStyle name="计算 2 2 4 2 5 4 2" xfId="5940"/>
    <cellStyle name="60% - 强调文字颜色 2 2 2 4 2" xfId="5941"/>
    <cellStyle name="计算 2 2 8 2 2 2 3" xfId="5942"/>
    <cellStyle name="适中 2 2 3 5 2 2" xfId="5943"/>
    <cellStyle name="标题 5 2 3 3 3 2" xfId="5944"/>
    <cellStyle name="标题 4 2 2 3 3 4" xfId="5945"/>
    <cellStyle name="注释 2 2 6 9" xfId="5946"/>
    <cellStyle name="输出 2 6 2 2" xfId="5947"/>
    <cellStyle name="汇总 2 2 4 2 2 2 2 4 3" xfId="5948"/>
    <cellStyle name="计算 2 2 2 5 2 2 2" xfId="5949"/>
    <cellStyle name="输入 2 7 2 2 2" xfId="5950"/>
    <cellStyle name="输出 2 2 5 14" xfId="5951"/>
    <cellStyle name="计算 2 8 2 3" xfId="5952"/>
    <cellStyle name="汇总 2 2 4 3 2 2 6" xfId="5953"/>
    <cellStyle name="汇总 2 2 6 6 2" xfId="5954"/>
    <cellStyle name="20% - 强调文字颜色 6 3 3 3" xfId="5955"/>
    <cellStyle name="警告文本 2 3 5 3" xfId="5956"/>
    <cellStyle name="常规 3 2 4 2 3 4 2" xfId="5957"/>
    <cellStyle name="常规 9 4 3 2 2" xfId="5958"/>
    <cellStyle name="强调文字颜色 5 2 2 3 3 2 3" xfId="5959"/>
    <cellStyle name="计算 2 5 2 10 3" xfId="5960"/>
    <cellStyle name="汇总 2 6 2 4 2 3" xfId="5961"/>
    <cellStyle name="标题 4 2 2 2 4" xfId="5962"/>
    <cellStyle name="强调文字颜色 3 2 7" xfId="5963"/>
    <cellStyle name="超链接 2 3 4 3" xfId="5964"/>
    <cellStyle name="计算 2 2 4" xfId="5965"/>
    <cellStyle name="计算 3 2 2 2 2" xfId="5966"/>
    <cellStyle name="标题 2 3 7" xfId="5967"/>
    <cellStyle name="好 2 2 6 3" xfId="5968"/>
    <cellStyle name="60% - 强调文字颜色 1 2 3 2 2 3" xfId="5969"/>
    <cellStyle name="计算 2 2 5 4 2 3 2 2" xfId="5970"/>
    <cellStyle name="常规 9 3 3 2 3 2" xfId="5971"/>
    <cellStyle name="60% - 强调文字颜色 5 2 2 2 4 2 2 2" xfId="5972"/>
    <cellStyle name="20% - 强调文字颜色 5 2 4" xfId="5973"/>
    <cellStyle name="注释 2 2 4 3 5 2" xfId="5974"/>
    <cellStyle name="警告文本 2 3 3 2" xfId="5975"/>
    <cellStyle name="输出 2 2 2 2 2 6" xfId="5976"/>
    <cellStyle name="输入 2 2 7 8 2" xfId="5977"/>
    <cellStyle name="汇总 3 11" xfId="5978"/>
    <cellStyle name="汇总 2 8 4 3 2 2" xfId="5979"/>
    <cellStyle name="40% - 强调文字颜色 3 2 4 5 2" xfId="5980"/>
    <cellStyle name="注释 2 2 4 6 3" xfId="5981"/>
    <cellStyle name="20% - 强调文字颜色 1 2 3 2 2 3 3 2" xfId="5982"/>
    <cellStyle name="汇总 2 3 2 2 3 2 3" xfId="5983"/>
    <cellStyle name="汇总 2 6 2 3 4" xfId="5984"/>
    <cellStyle name="超链接 3 5 2 3 2" xfId="5985"/>
    <cellStyle name="注释 3 2 6 2" xfId="5986"/>
    <cellStyle name="计算 4 6" xfId="5987"/>
    <cellStyle name="输出 2 3 3 2 3" xfId="5988"/>
    <cellStyle name="汇总 2 2 2 2 2 3 3 3" xfId="5989"/>
    <cellStyle name="标题 1 2 2 5 2" xfId="5990"/>
    <cellStyle name="强调文字颜色 6 2 3 7" xfId="5991"/>
    <cellStyle name="百分比 2 2 3" xfId="5992"/>
    <cellStyle name="20% - 强调文字颜色 1 3 3 3 2 2" xfId="5993"/>
    <cellStyle name="计算 2 3 4 2" xfId="5994"/>
    <cellStyle name="注释 2 2 3 2 2 2 2" xfId="5995"/>
    <cellStyle name="汇总 2 2 3 3 7 2" xfId="5996"/>
    <cellStyle name="汇总 2 3 2 2 2 4 2" xfId="5997"/>
    <cellStyle name="20% - 强调文字颜色 1 2 2 7 2" xfId="5998"/>
    <cellStyle name="60% - 强调文字颜色 3 2 2 3 3 3 2" xfId="5999"/>
    <cellStyle name="强调文字颜色 5 2 2 2 4 3" xfId="6000"/>
    <cellStyle name="输出 2 2 3 7 2 2" xfId="6001"/>
    <cellStyle name="汇总 2 4 4 4 2" xfId="6002"/>
    <cellStyle name="汇总 2 7 3 2" xfId="6003"/>
    <cellStyle name="60% - 强调文字颜色 6 2 2 2 4 2 2 3" xfId="6004"/>
    <cellStyle name="40% - 强调文字颜色 6 2 2 3 4" xfId="6005"/>
    <cellStyle name="警告文本 2 7 2 2" xfId="6006"/>
    <cellStyle name="注释 2 2 5 2 5 2" xfId="6007"/>
    <cellStyle name="输入 2 2 4 5 7" xfId="6008"/>
    <cellStyle name="输出 2 3 2 3 3 2" xfId="6009"/>
    <cellStyle name="输入 2 2 5 3 2 6" xfId="6010"/>
    <cellStyle name="汇总 2 4 2 3 2 3" xfId="6011"/>
    <cellStyle name="输入 2 2 6" xfId="6012"/>
    <cellStyle name="常规 8 4 3 2" xfId="6013"/>
    <cellStyle name="常规 4 2 4 2 3 2" xfId="6014"/>
    <cellStyle name="20% - 强调文字颜色 3 2 2 3 2 2" xfId="6015"/>
    <cellStyle name="输入 2 6 2 6" xfId="6016"/>
    <cellStyle name="40% - 强调文字颜色 5 3 5 2 2" xfId="6017"/>
    <cellStyle name="好 2 4 5 2 2" xfId="6018"/>
    <cellStyle name="计算 2 2 3 2 4 3" xfId="6019"/>
    <cellStyle name="强调文字颜色 2 2 3 4 4" xfId="6020"/>
    <cellStyle name="汇总 2 10 2 3 2 2" xfId="6021"/>
    <cellStyle name="计算 2 2 4 2 3 3 2 3" xfId="6022"/>
    <cellStyle name="常规 6 4 5 2" xfId="6023"/>
    <cellStyle name="链接单元格 2 2 6 2 2" xfId="6024"/>
    <cellStyle name="汇总 2 5 2 3 3" xfId="6025"/>
    <cellStyle name="常规 10 2 8" xfId="6026"/>
    <cellStyle name="40% - 强调文字颜色 1 2 9 2" xfId="6027"/>
    <cellStyle name="常规 9 3 2 3 4" xfId="6028"/>
    <cellStyle name="计算 3 2 3 3 2" xfId="6029"/>
    <cellStyle name="计算 2 2 8 9" xfId="6030"/>
    <cellStyle name="计算 3 2 3 4" xfId="6031"/>
    <cellStyle name="汇总 2 4 7 3" xfId="6032"/>
    <cellStyle name="汇总 2 7 4 5 2" xfId="6033"/>
    <cellStyle name="输入 2 3 5" xfId="6034"/>
    <cellStyle name="40% - 强调文字颜色 1 2 2 2 2 2 3 3 2" xfId="6035"/>
    <cellStyle name="汇总 2 4 2 3 3 2" xfId="6036"/>
    <cellStyle name="计算 2 9 3 2 2" xfId="6037"/>
    <cellStyle name="汇总 2 7 16" xfId="6038"/>
    <cellStyle name="链接单元格 2 2 4 2" xfId="6039"/>
    <cellStyle name="输入 2 2 8 7 2" xfId="6040"/>
    <cellStyle name="60% - 强调文字颜色 5 3 2 5" xfId="6041"/>
    <cellStyle name="汇总 2 2 4 5 2 5 2" xfId="6042"/>
    <cellStyle name="20% - 强调文字颜色 6 2 5 3 2 2" xfId="6043"/>
    <cellStyle name="强调文字颜色 6 2 2 2 2 3 3 2 2" xfId="6044"/>
    <cellStyle name="汇总 2 2 8 2 9" xfId="6045"/>
    <cellStyle name="强调文字颜色 5 2 4 5" xfId="6046"/>
    <cellStyle name="计算 2 2 2 2 2 4" xfId="6047"/>
    <cellStyle name="计算 2 2 7 9 2" xfId="6048"/>
    <cellStyle name="计算 3 2 3 2 2 2" xfId="6049"/>
    <cellStyle name="20% - 强调文字颜色 6 2 2 2 2 2 2 3 2" xfId="6050"/>
    <cellStyle name="计算 2 2 4 2 3 4 3" xfId="6051"/>
    <cellStyle name="强调文字颜色 3 2 2 2 2" xfId="6052"/>
    <cellStyle name="输出 5 3 2 2" xfId="6053"/>
    <cellStyle name="20% - 强调文字颜色 5 2 3 2 2 4 2" xfId="6054"/>
    <cellStyle name="强调文字颜色 6 2 2 2 2 2 2 2 2 2" xfId="6055"/>
    <cellStyle name="强调文字颜色 1 2 3 2 2 2 2 2" xfId="6056"/>
    <cellStyle name="常规 2 3 6 2 2 2" xfId="6057"/>
    <cellStyle name="强调文字颜色 6 3 2 2 3" xfId="6058"/>
    <cellStyle name="注释 2 3 4 2 2 2 2" xfId="6059"/>
    <cellStyle name="标题 3 2 3" xfId="6060"/>
    <cellStyle name="计算 2 2 6 5" xfId="6061"/>
    <cellStyle name="60% - 强调文字颜色 3 2 2 5 2" xfId="6062"/>
    <cellStyle name="解释性文本 2 3 2 3 3 3" xfId="6063"/>
    <cellStyle name="40% - 强调文字颜色 3 2 2 3 4 2 2" xfId="6064"/>
    <cellStyle name="常规 5 5 2 2 3" xfId="6065"/>
    <cellStyle name="强调文字颜色 3 2 2 2 4 3" xfId="6066"/>
    <cellStyle name="强调文字颜色 5 2 4 5 2 2" xfId="6067"/>
    <cellStyle name="常规 12 2 4 2" xfId="6068"/>
    <cellStyle name="标题 2 2 5 2 2 3" xfId="6069"/>
    <cellStyle name="汇总 2 8 2 6" xfId="6070"/>
    <cellStyle name="标题 7 2 2 2" xfId="6071"/>
    <cellStyle name="输出 2 3 2 3" xfId="6072"/>
    <cellStyle name="40% - 强调文字颜色 2 2 2 2 2 3 3" xfId="6073"/>
    <cellStyle name="适中 2 2 3 4 2 2" xfId="6074"/>
    <cellStyle name="汇总 2 3 12" xfId="6075"/>
    <cellStyle name="标题 2 2 5 2 2 2" xfId="6076"/>
    <cellStyle name="好 2 2 2 4 3 2 2" xfId="6077"/>
    <cellStyle name="常规 11 2 2 3 5" xfId="6078"/>
    <cellStyle name="计算 2 5 2 2 7" xfId="6079"/>
    <cellStyle name="计算 5 2 3" xfId="6080"/>
    <cellStyle name="差 2 2 3 6" xfId="6081"/>
    <cellStyle name="好 2 3 2 3 4" xfId="6082"/>
    <cellStyle name="强调文字颜色 4 2 2 2 3" xfId="6083"/>
    <cellStyle name="输出 2 2 7 2 2 2" xfId="6084"/>
    <cellStyle name="计算 2 2 4 3 2 8" xfId="6085"/>
    <cellStyle name="汇总 2 2 4 2 2 2 5" xfId="6086"/>
    <cellStyle name="强调文字颜色 1 2 2 6 2 3" xfId="6087"/>
    <cellStyle name="检查单元格 2 2 5 3 3" xfId="6088"/>
    <cellStyle name="链接单元格 2 2 6 3 2 2" xfId="6089"/>
    <cellStyle name="注释 2 2 4 11" xfId="6090"/>
    <cellStyle name="计算 4 2 6" xfId="6091"/>
    <cellStyle name="汇总 2 2 8 2 2 4 2" xfId="6092"/>
    <cellStyle name="计算 2 2 5 4 2 4" xfId="6093"/>
    <cellStyle name="60% - 强调文字颜色 5 2 2 2 4 3" xfId="6094"/>
    <cellStyle name="常规 10 2 3 3 3 3" xfId="6095"/>
    <cellStyle name="40% - 强调文字颜色 2 3 3 2" xfId="6096"/>
    <cellStyle name="常规 2 2 2 2 2 2 3" xfId="6097"/>
    <cellStyle name="输入 2 8 3 2" xfId="6098"/>
    <cellStyle name="计算 2 2 5 2 2 3 3 2 2" xfId="6099"/>
    <cellStyle name="超链接 3 4 2 2" xfId="6100"/>
    <cellStyle name="40% - 强调文字颜色 1 2 3 2 4 2 2" xfId="6101"/>
    <cellStyle name="注释 3 7" xfId="6102"/>
    <cellStyle name="注释 2 2 3 2 3 2 2 2" xfId="6103"/>
    <cellStyle name="计算 3 3 3 4" xfId="6104"/>
    <cellStyle name="检查单元格 2 3 2 2 2 2 3" xfId="6105"/>
    <cellStyle name="计算 2 2 5 4 2 2 2 2" xfId="6106"/>
    <cellStyle name="输入 2 2 4 2 5 3" xfId="6107"/>
    <cellStyle name="计算 2 4 2 3 4 3" xfId="6108"/>
    <cellStyle name="20% - 强调文字颜色 3 2 3 3 2 2 2 2 2" xfId="6109"/>
    <cellStyle name="汇总 2 2 5 10 2 2" xfId="6110"/>
    <cellStyle name="计算 2 2 4 2 4 6" xfId="6111"/>
    <cellStyle name="汇总 2 2 2 7 2" xfId="6112"/>
    <cellStyle name="注释 2 2 4 4 2 2 3" xfId="6113"/>
    <cellStyle name="汇总 3 3 6 3" xfId="6114"/>
    <cellStyle name="计算 2 2 10 8" xfId="6115"/>
    <cellStyle name="标题 5 2 4 4 3" xfId="6116"/>
    <cellStyle name="Normal 2 2 4" xfId="6117"/>
    <cellStyle name="输入 2 2 3 3 2 3 2" xfId="6118"/>
    <cellStyle name="链接单元格 2 2 2 5 3" xfId="6119"/>
    <cellStyle name="注释 3 2 2 6" xfId="6120"/>
    <cellStyle name="注释 4 3 2 2 2" xfId="6121"/>
    <cellStyle name="超链接 2 2 2 2 4 3" xfId="6122"/>
    <cellStyle name="检查单元格 2 2 4 2 2 2" xfId="6123"/>
    <cellStyle name="计算 2 5 2 2 2 4 2" xfId="6124"/>
    <cellStyle name="常规 5 2 3 2 3 4" xfId="6125"/>
    <cellStyle name="计算 2 2 2 3 3 3 2 2" xfId="6126"/>
    <cellStyle name="注释 2 5 4 4 2" xfId="6127"/>
    <cellStyle name="汇总 2 3 2 2 6 3" xfId="6128"/>
    <cellStyle name="超链接 3 2 2 2 4 3" xfId="6129"/>
    <cellStyle name="输出 2 2 2 3 5 2" xfId="6130"/>
    <cellStyle name="计算 2 6 2 2 6 3" xfId="6131"/>
    <cellStyle name="40% - 强调文字颜色 2 2 2 8" xfId="6132"/>
    <cellStyle name="汇总 2 2 4 2 2" xfId="6133"/>
    <cellStyle name="常规 13 2 2 4" xfId="6134"/>
    <cellStyle name="超链接 3 5 2 2" xfId="6135"/>
    <cellStyle name="输入 2 9 3 2" xfId="6136"/>
    <cellStyle name="注释 3 2 5" xfId="6137"/>
    <cellStyle name="百分比 2 4 3 3" xfId="6138"/>
    <cellStyle name="输入 2 3 2 2 2 3 2" xfId="6139"/>
    <cellStyle name="汇总 2 5 2 3 3 2 3" xfId="6140"/>
    <cellStyle name="汇总 2 5 2 3 8" xfId="6141"/>
    <cellStyle name="差 2 2 5 3" xfId="6142"/>
    <cellStyle name="标题 1 3 3 3 2 3" xfId="6143"/>
    <cellStyle name="汇总 2 2 7 9" xfId="6144"/>
    <cellStyle name="计算 2 2 4 2 17" xfId="6145"/>
    <cellStyle name="强调文字颜色 1 2 2 4" xfId="6146"/>
    <cellStyle name="常规 2 3 2 5 2 2 2" xfId="6147"/>
    <cellStyle name="汇总 2 2 2 6 2 2" xfId="6148"/>
    <cellStyle name="输出 5 4 3" xfId="6149"/>
    <cellStyle name="链接单元格 2 2 4 2 4" xfId="6150"/>
    <cellStyle name="输出 2 3 2 2 2 4 2" xfId="6151"/>
    <cellStyle name="警告文本 2 2 5 3" xfId="6152"/>
    <cellStyle name="强调文字颜色 5 3 3 3" xfId="6153"/>
    <cellStyle name="汇总 2 2 7 2 8" xfId="6154"/>
    <cellStyle name="警告文本 2 2 2 2 2 2 2 3" xfId="6155"/>
    <cellStyle name="标题 2 2 3 2 3 3 2" xfId="6156"/>
    <cellStyle name="40% - 强调文字颜色 1 2 2 6 2 2 2" xfId="6157"/>
    <cellStyle name="计算 2 6 13" xfId="6158"/>
    <cellStyle name="注释 2 4 4 2 3 2" xfId="6159"/>
    <cellStyle name="输入 2 2 4 3 4" xfId="6160"/>
    <cellStyle name="计算 2 3 2 8" xfId="6161"/>
    <cellStyle name="计算 2 4 2 4 3" xfId="6162"/>
    <cellStyle name="输出 2 2 6 5 3" xfId="6163"/>
    <cellStyle name="计算 2 5 2 2 2 4" xfId="6164"/>
    <cellStyle name="汇总 5 2" xfId="6165"/>
    <cellStyle name="注释 2 5 2 2 2 2" xfId="6166"/>
    <cellStyle name="20% - 强调文字颜色 4 2 3 3 2" xfId="6167"/>
    <cellStyle name="注释 2 7 3 4" xfId="6168"/>
    <cellStyle name="警告文本 2 2 2 4 2 2" xfId="6169"/>
    <cellStyle name="解释性文本 4 4 2" xfId="6170"/>
    <cellStyle name="20% - 强调文字颜色 4 2 2 4 3 3 2" xfId="6171"/>
    <cellStyle name="强调文字颜色 2 2 2 3 7" xfId="6172"/>
    <cellStyle name="常规 6 5 2 2 2" xfId="6173"/>
    <cellStyle name="计算 2 3 5 3" xfId="6174"/>
    <cellStyle name="60% - 强调文字颜色 1 2 2 3 2 2 2 2" xfId="6175"/>
    <cellStyle name="计算 2 2 4 2 3 3 4 2" xfId="6176"/>
    <cellStyle name="标题 1 2 3 2 3" xfId="6177"/>
    <cellStyle name="汇总 2 3 2 5 2 2" xfId="6178"/>
    <cellStyle name="强调文字颜色 1 4 5" xfId="6179"/>
    <cellStyle name="20% - 强调文字颜色 3 2 3 2 5 2 2" xfId="6180"/>
    <cellStyle name="标题 3 2 3 2 5 2" xfId="6181"/>
    <cellStyle name="汇总 2 4 10 3" xfId="6182"/>
    <cellStyle name="汇总 5 5 2 2" xfId="6183"/>
    <cellStyle name="常规 4 4 2 2" xfId="6184"/>
    <cellStyle name="注释 2 5 2 2 2 6" xfId="6185"/>
    <cellStyle name="超链接 2 2 2 2 5" xfId="6186"/>
    <cellStyle name="差 3 4 2 2" xfId="6187"/>
    <cellStyle name="输入 2 5 2 4" xfId="6188"/>
    <cellStyle name="40% - 强调文字颜色 2 2 3 5 2 2" xfId="6189"/>
    <cellStyle name="汇总 2 7 4 2 2 2 2" xfId="6190"/>
    <cellStyle name="20% - 强调文字颜色 5 3 2 2 2 2 2" xfId="6191"/>
    <cellStyle name="输出 4 2 2 3 2" xfId="6192"/>
    <cellStyle name="适中 2 2 3 3 2" xfId="6193"/>
    <cellStyle name="计算 2 5 2 5 2 3" xfId="6194"/>
    <cellStyle name="60% - 强调文字颜色 6 2 6 2 3" xfId="6195"/>
    <cellStyle name="强调文字颜色 3 2 3 3" xfId="6196"/>
    <cellStyle name="标题 1 2 2" xfId="6197"/>
    <cellStyle name="强调文字颜色 6 2 3 2 2 2 2 2" xfId="6198"/>
    <cellStyle name="强调文字颜色 5 2 2 2 2 4 2 2" xfId="6199"/>
    <cellStyle name="20% - 强调文字颜色 1 2 2 5 3 2 2" xfId="6200"/>
    <cellStyle name="计算 4 3 4 2 2" xfId="6201"/>
    <cellStyle name="汇总 2 7 13" xfId="6202"/>
    <cellStyle name="输出 2 5 2" xfId="6203"/>
    <cellStyle name="40% - 强调文字颜色 2 2 2 2 4 3" xfId="6204"/>
    <cellStyle name="60% - 强调文字颜色 4 2 2 2 2 3 2 2 2" xfId="6205"/>
    <cellStyle name="检查单元格 2 2 2 2 4 3 2" xfId="6206"/>
    <cellStyle name="20% - 强调文字颜色 4 2 5 3 3" xfId="6207"/>
    <cellStyle name="40% - 强调文字颜色 2 5" xfId="6208"/>
    <cellStyle name="常规 4 2 6 2" xfId="6209"/>
    <cellStyle name="好 2 2 2 3 2 2" xfId="6210"/>
    <cellStyle name="警告文本 2 2 3 3 2 2 2" xfId="6211"/>
    <cellStyle name="标题 4 2 4 4 2" xfId="6212"/>
    <cellStyle name="40% - 强调文字颜色 5 2 2 2 2 3 2 2 2 2" xfId="6213"/>
    <cellStyle name="20% - 强调文字颜色 4 2 3 2 2 2 3" xfId="6214"/>
    <cellStyle name="输出 8 2" xfId="6215"/>
    <cellStyle name="20% - 强调文字颜色 3 2 2 2 2 4 3" xfId="6216"/>
    <cellStyle name="强调文字颜色 5 4 5" xfId="6217"/>
    <cellStyle name="警告文本 2 2 2 4 3 2" xfId="6218"/>
    <cellStyle name="解释性文本 2 3 2 2 4" xfId="6219"/>
    <cellStyle name="40% - 强调文字颜色 1 2 5 5" xfId="6220"/>
    <cellStyle name="汇总 2 6 4 4 2" xfId="6221"/>
    <cellStyle name="标题 2 3" xfId="6222"/>
    <cellStyle name="20% - 强调文字颜色 5 2 2 4 2" xfId="6223"/>
    <cellStyle name="警告文本 2 2 3 2 2 2 2 2" xfId="6224"/>
    <cellStyle name="输入 2 7 8" xfId="6225"/>
    <cellStyle name="超链接 3 3 7" xfId="6226"/>
    <cellStyle name="计算 2 7 4 2 5" xfId="6227"/>
    <cellStyle name="标题 3 4 3" xfId="6228"/>
    <cellStyle name="60% - 强调文字颜色 3 2 2 7 2" xfId="6229"/>
    <cellStyle name="计算 2 2 8 5" xfId="6230"/>
    <cellStyle name="常规 7 5 3" xfId="6231"/>
    <cellStyle name="标题 1 2 2 2 2 2 3 3" xfId="6232"/>
    <cellStyle name="输出 2 2 4 2 2 7" xfId="6233"/>
    <cellStyle name="好 2 3 2 2 2 2" xfId="6234"/>
    <cellStyle name="常规 2 4 3 2 2" xfId="6235"/>
    <cellStyle name="输出 2 5 5 2 2" xfId="6236"/>
    <cellStyle name="汇总 6 5" xfId="6237"/>
    <cellStyle name="40% - 强调文字颜色 1 2 2 6 3" xfId="6238"/>
    <cellStyle name="输出 2 2 4 2 10" xfId="6239"/>
    <cellStyle name="计算 2 2 6 3 4 2 2" xfId="6240"/>
    <cellStyle name="汇总 2 5 3 2 7" xfId="6241"/>
    <cellStyle name="差 2 3 4 2" xfId="6242"/>
    <cellStyle name="强调文字颜色 6 2 2 4 3 2 3" xfId="6243"/>
    <cellStyle name="汇总 2 5 2 2 3 2" xfId="6244"/>
    <cellStyle name="计算 2 2 6 2 3 3" xfId="6245"/>
    <cellStyle name="计算 3 2 7 2" xfId="6246"/>
    <cellStyle name="差 3 3 2" xfId="6247"/>
    <cellStyle name="输出 3 2 2 2 4" xfId="6248"/>
    <cellStyle name="汇总 2 8 2 9" xfId="6249"/>
    <cellStyle name="链接单元格 2 2 2 2 2 2" xfId="6250"/>
    <cellStyle name="注释 2 2 6 3 4" xfId="6251"/>
    <cellStyle name="输出 2 3 2 6" xfId="6252"/>
    <cellStyle name="输入 4 3 3 2" xfId="6253"/>
    <cellStyle name="常规 13 4 2 3 3" xfId="6254"/>
    <cellStyle name="计算 3 2 2 2" xfId="6255"/>
    <cellStyle name="汇总 2 5 11 2 2" xfId="6256"/>
    <cellStyle name="标题 1 5 2 3" xfId="6257"/>
    <cellStyle name="计算 2 5 2 3 6" xfId="6258"/>
    <cellStyle name="计算 5 3 2" xfId="6259"/>
    <cellStyle name="常规 12 3 5 3" xfId="6260"/>
    <cellStyle name="计算 2 2 15 2 2" xfId="6261"/>
    <cellStyle name="标题 2 3 5 2" xfId="6262"/>
    <cellStyle name="注释 2 8 3" xfId="6263"/>
    <cellStyle name="强调文字颜色 4 2 3 4 3 2" xfId="6264"/>
    <cellStyle name="计算 2 4 3 2 4 2 2" xfId="6265"/>
    <cellStyle name="强调文字颜色 3 2 2 4 3 4" xfId="6266"/>
    <cellStyle name="汇总 2 2 4 9" xfId="6267"/>
    <cellStyle name="计算 2 2 2 7 2" xfId="6268"/>
    <cellStyle name="输入 2 2 3 3 3 2" xfId="6269"/>
    <cellStyle name="输出 4 6" xfId="6270"/>
    <cellStyle name="输出 2 2 5 5 2 2" xfId="6271"/>
    <cellStyle name="标题 6 10" xfId="6272"/>
    <cellStyle name="强调文字颜色 4 2 2 2 2 4 2" xfId="6273"/>
    <cellStyle name="强调文字颜色 5 2 3 2 2 2 2" xfId="6274"/>
    <cellStyle name="汇总 2 2 4 9 3" xfId="6275"/>
    <cellStyle name="20% - 强调文字颜色 5 2 3 6 2" xfId="6276"/>
    <cellStyle name="计算 2 2 6 2 2 3 2" xfId="6277"/>
    <cellStyle name="汇总 2 5 2 2 2 2 2" xfId="6278"/>
    <cellStyle name="40% - 强调文字颜色 1 2 2 2 3 2 2 2 2 2" xfId="6279"/>
    <cellStyle name="40% - 强调文字颜色 2 2 3 2 3" xfId="6280"/>
    <cellStyle name="汇总 2 4 2 4 4 2" xfId="6281"/>
    <cellStyle name="标题 2 2 2 4 3" xfId="6282"/>
    <cellStyle name="输入 2 5 2 2 2 3 2" xfId="6283"/>
    <cellStyle name="输入 2 2 12" xfId="6284"/>
    <cellStyle name="强调文字颜色 4 2 4 4 4" xfId="6285"/>
    <cellStyle name="计算 2 2 7 8" xfId="6286"/>
    <cellStyle name="标题 3 3 6" xfId="6287"/>
    <cellStyle name="输入 2 2 5 2 5 3" xfId="6288"/>
    <cellStyle name="40% - 强调文字颜色 4 2 2 2 2 2 3 2 2" xfId="6289"/>
    <cellStyle name="输入 4 3 2 3" xfId="6290"/>
    <cellStyle name="常规 9 2 3 4 2" xfId="6291"/>
    <cellStyle name="输出 2 4 2 2 3 2" xfId="6292"/>
    <cellStyle name="常规 8 2 4 2 2 2" xfId="6293"/>
    <cellStyle name="20% - 强调文字颜色 6 2 2 3 5 2" xfId="6294"/>
    <cellStyle name="计算 2 6 3 3 3" xfId="6295"/>
    <cellStyle name="强调文字颜色 3 2 2 2 2 3 3 2" xfId="6296"/>
    <cellStyle name="适中 2 2 3 2 2 2 2 2" xfId="6297"/>
    <cellStyle name="汇总 2 2 2 2 2 8" xfId="6298"/>
    <cellStyle name="强调文字颜色 5 2 3 2 4 4" xfId="6299"/>
    <cellStyle name="40% - 强调文字颜色 4 2 4 4 3" xfId="6300"/>
    <cellStyle name="输入 2 2 3 3" xfId="6301"/>
    <cellStyle name="注释 2 2 11 2" xfId="6302"/>
    <cellStyle name="常规 8 5 3 2" xfId="6303"/>
    <cellStyle name="常规 4 2 4 3 3 2" xfId="6304"/>
    <cellStyle name="计算 2" xfId="6305"/>
    <cellStyle name="输入 2 7 2 2 5" xfId="6306"/>
    <cellStyle name="计算 2 2 6 2 2 2 2" xfId="6307"/>
    <cellStyle name="差 3 4 2 3" xfId="6308"/>
    <cellStyle name="输入 2 5 2 5" xfId="6309"/>
    <cellStyle name="强调文字颜色 2 2 2 4 3" xfId="6310"/>
    <cellStyle name="输出 2 2 2 2 5 2 2" xfId="6311"/>
    <cellStyle name="差 3 6 2" xfId="6312"/>
    <cellStyle name="强调文字颜色 6 2 2 6 3" xfId="6313"/>
    <cellStyle name="注释 2 2 4 6" xfId="6314"/>
    <cellStyle name="差 2 2 3 3" xfId="6315"/>
    <cellStyle name="汇总 2 2 5 11 2" xfId="6316"/>
    <cellStyle name="输出 2 6 3 3 2 2" xfId="6317"/>
    <cellStyle name="注释 2 4 4 4 3" xfId="6318"/>
    <cellStyle name="常规 4 2 3 2 5" xfId="6319"/>
    <cellStyle name="输入 2 2 2 2" xfId="6320"/>
    <cellStyle name="60% - 强调文字颜色 4 2 3 3 3" xfId="6321"/>
    <cellStyle name="标题 3 2 3 2 2 3 2" xfId="6322"/>
    <cellStyle name="标题 2 2 2 2 2 5 2" xfId="6323"/>
    <cellStyle name="汇总 2 7 2 2 4" xfId="6324"/>
    <cellStyle name="注释 4 2 5 2" xfId="6325"/>
    <cellStyle name="20% - 强调文字颜色 1 2 2 2 2 2 3 3 2" xfId="6326"/>
    <cellStyle name="注释 2 5 2 2 7" xfId="6327"/>
    <cellStyle name="输出 2 4 3 9" xfId="6328"/>
    <cellStyle name="20% - 强调文字颜色 1 2 4 3 3 2" xfId="6329"/>
    <cellStyle name="输入 2 2 7 4 5" xfId="6330"/>
    <cellStyle name="计算 2 6 3 9" xfId="6331"/>
    <cellStyle name="汇总 2 7 4 4 3" xfId="6332"/>
    <cellStyle name="输入 2 2 2 4 5" xfId="6333"/>
    <cellStyle name="好 2 2 2 6 2 2 2" xfId="6334"/>
    <cellStyle name="计算 2 2 8 3 4" xfId="6335"/>
    <cellStyle name="强调文字颜色 5 2 2 2 3 2 2" xfId="6336"/>
    <cellStyle name="强调文字颜色 4 3 2" xfId="6337"/>
    <cellStyle name="链接单元格 2 2 2 2 4 3" xfId="6338"/>
    <cellStyle name="汇总 2 2 5 3 9" xfId="6339"/>
    <cellStyle name="输出 3 2 5" xfId="6340"/>
    <cellStyle name="注释 2 2 3 4 2 4" xfId="6341"/>
    <cellStyle name="汇总 2 2 6 3 5 3" xfId="6342"/>
    <cellStyle name="40% - 强调文字颜色 4 4 2 2 2 2 2" xfId="6343"/>
    <cellStyle name="40% - 强调文字颜色 6 2 5 5" xfId="6344"/>
    <cellStyle name="好 4 2 4" xfId="6345"/>
    <cellStyle name="计算 2 6 2 9 2" xfId="6346"/>
    <cellStyle name="计算 2 2 4 3 2 2 4" xfId="6347"/>
    <cellStyle name="输入 2 2 2 3" xfId="6348"/>
    <cellStyle name="常规 6 2 2 3 2 2" xfId="6349"/>
    <cellStyle name="40% - 强调文字颜色 4 2 4 3 3" xfId="6350"/>
    <cellStyle name="标题 4 2 3 2 4 2 2" xfId="6351"/>
    <cellStyle name="20% - 强调文字颜色 3 2 3 5" xfId="6352"/>
    <cellStyle name="强调文字颜色 4 2 7 2 2" xfId="6353"/>
    <cellStyle name="计算 2 5 5 6" xfId="6354"/>
    <cellStyle name="输入 2 2 6 6 2" xfId="6355"/>
    <cellStyle name="常规 5 2 3 3 5 2" xfId="6356"/>
    <cellStyle name="20% - 强调文字颜色 3 3 3 3 2" xfId="6357"/>
    <cellStyle name="汇总 2 7 2 6" xfId="6358"/>
    <cellStyle name="注释 2 4 3 2 2 2" xfId="6359"/>
    <cellStyle name="常规 5 2 3 5" xfId="6360"/>
    <cellStyle name="汇总 2 2 5 2 2" xfId="6361"/>
    <cellStyle name="超链接 2 2 2 2" xfId="6362"/>
    <cellStyle name="计算 2 2 3 2 4 4" xfId="6363"/>
    <cellStyle name="强调文字颜色 3 2 2 2 3 2 2" xfId="6364"/>
    <cellStyle name="计算 4 4 5" xfId="6365"/>
    <cellStyle name="汇总 2 6 4 8" xfId="6366"/>
    <cellStyle name="计算 2 3 4 2 4 2 2" xfId="6367"/>
    <cellStyle name="标题 2 2 3 3 2" xfId="6368"/>
    <cellStyle name="输入 4 3 4" xfId="6369"/>
    <cellStyle name="计算 2 3 2 2 2 2 2 2 2" xfId="6370"/>
    <cellStyle name="输入 2 3 3 6 2" xfId="6371"/>
    <cellStyle name="输入 2 7 2 3 2" xfId="6372"/>
    <cellStyle name="链接单元格 2 2 2 3 4" xfId="6373"/>
    <cellStyle name="注释 2 2 3 4 5 2" xfId="6374"/>
    <cellStyle name="输出 3 5 3" xfId="6375"/>
    <cellStyle name="百分比 2 4 2 3" xfId="6376"/>
    <cellStyle name="输入 2 3 2 2 2 2 2" xfId="6377"/>
    <cellStyle name="汇总 2 6 4 4" xfId="6378"/>
    <cellStyle name="计算 7 2" xfId="6379"/>
    <cellStyle name="好 2 3 7" xfId="6380"/>
    <cellStyle name="标题 5 3 2 2 2" xfId="6381"/>
    <cellStyle name="40% - 强调文字颜色 5 2 7" xfId="6382"/>
    <cellStyle name="注释 2 2 2 6 2 2" xfId="6383"/>
    <cellStyle name="60% - 强调文字颜色 1 3 3 3" xfId="6384"/>
    <cellStyle name="计算 2 2 3 3 6 3" xfId="6385"/>
    <cellStyle name="输入 2 6 2 4 2 2" xfId="6386"/>
    <cellStyle name="汇总 2 6 4 5" xfId="6387"/>
    <cellStyle name="计算 7 3" xfId="6388"/>
    <cellStyle name="计算 2 2 17 2" xfId="6389"/>
    <cellStyle name="计算 2 2 3 2 3 7" xfId="6390"/>
    <cellStyle name="计算 2 2 2 2 2 5 2 2" xfId="6391"/>
    <cellStyle name="标题 5 2 2 2 2" xfId="6392"/>
    <cellStyle name="输入 2 2 8 3 3 2" xfId="6393"/>
    <cellStyle name="标题 4 2 3 5 2 2 3" xfId="6394"/>
    <cellStyle name="输出 2 2 2 2 2 4 2" xfId="6395"/>
    <cellStyle name="汇总 2 9 2 6" xfId="6396"/>
    <cellStyle name="标题 7 3 2 2" xfId="6397"/>
    <cellStyle name="好 2 3 2 3 2" xfId="6398"/>
    <cellStyle name="强调文字颜色 3 3 4 2" xfId="6399"/>
    <cellStyle name="差 2 2 3 4" xfId="6400"/>
    <cellStyle name="40% - 强调文字颜色 1 2 2 4 2 3" xfId="6401"/>
    <cellStyle name="60% - 强调文字颜色 5 2 3 4 2 2 2" xfId="6402"/>
    <cellStyle name="汇总 4 4 3" xfId="6403"/>
    <cellStyle name="检查单元格 2 3 2 5 2 2" xfId="6404"/>
    <cellStyle name="标题 1 2 3 3 3 3" xfId="6405"/>
    <cellStyle name="标题 1 2 2 2 8" xfId="6406"/>
    <cellStyle name="计算 2 4 2 3 3" xfId="6407"/>
    <cellStyle name="输入 2 2 4 11" xfId="6408"/>
    <cellStyle name="输出 2 2 6 4 3" xfId="6409"/>
    <cellStyle name="输入 2 2 4 2 4" xfId="6410"/>
    <cellStyle name="注释 2 4 4 2 2 2" xfId="6411"/>
    <cellStyle name="20% - 强调文字颜色 5 2 3 2 2 4 2 2" xfId="6412"/>
    <cellStyle name="强调文字颜色 1 2 2 5" xfId="6413"/>
    <cellStyle name="20% - 强调文字颜色 5 2 3 2 2 3 3" xfId="6414"/>
    <cellStyle name="检查单元格 2 2 3 10" xfId="6415"/>
    <cellStyle name="注释 3 6 2" xfId="6416"/>
    <cellStyle name="检查单元格 2 7 2 2" xfId="6417"/>
    <cellStyle name="计算 8 2" xfId="6418"/>
    <cellStyle name="计算 2 16 2" xfId="6419"/>
    <cellStyle name="超链接 3" xfId="6420"/>
    <cellStyle name="计算 2 2 5 3 3 3 3" xfId="6421"/>
    <cellStyle name="常规 9 2 4 2 4" xfId="6422"/>
    <cellStyle name="常规 9 3 3 2 2 2" xfId="6423"/>
    <cellStyle name="好 2 2 5 3" xfId="6424"/>
    <cellStyle name="汇总 2 7 5 2" xfId="6425"/>
    <cellStyle name="输出 2 6 3 4" xfId="6426"/>
    <cellStyle name="输入 2 2 4 3 2 2 3 2" xfId="6427"/>
    <cellStyle name="汇总 2 2 5 10" xfId="6428"/>
    <cellStyle name="40% - 强调文字颜色 4 5 2 2" xfId="6429"/>
    <cellStyle name="汇总 2 2 7 2 2 4 2" xfId="6430"/>
    <cellStyle name="20% - 强调文字颜色 4 2 3 2 4 3" xfId="6431"/>
    <cellStyle name="计算 2 5 2 4 2 3" xfId="6432"/>
    <cellStyle name="汇总 2 6 2 5 2" xfId="6433"/>
    <cellStyle name="计算 2 8 8 3" xfId="6434"/>
    <cellStyle name="输出 2 2 2 4 3 3" xfId="6435"/>
    <cellStyle name="解释性文本 2 2 3 3 2" xfId="6436"/>
    <cellStyle name="标题 4 2 2 4 2 2 2 2" xfId="6437"/>
    <cellStyle name="60% - 强调文字颜色 5 2 6 3 2" xfId="6438"/>
    <cellStyle name="输出 2 3 2 5 2" xfId="6439"/>
    <cellStyle name="输入 2 3 2 2 2 6" xfId="6440"/>
    <cellStyle name="输出 2 2 5 2" xfId="6441"/>
    <cellStyle name="输入 4 5 3" xfId="6442"/>
    <cellStyle name="强调文字颜色 3 2 2 3 2 2 2 3" xfId="6443"/>
    <cellStyle name="注释 2 2 3 2 2 2 2 3 2" xfId="6444"/>
    <cellStyle name="强调文字颜色 6 3 2 4 2" xfId="6445"/>
    <cellStyle name="常规 7 2 2 3 3" xfId="6446"/>
    <cellStyle name="20% - 强调文字颜色 3 2 5 2" xfId="6447"/>
    <cellStyle name="计算 2 5 7 3" xfId="6448"/>
    <cellStyle name="20% - 强调文字颜色 6 3 2 3 2 2 2" xfId="6449"/>
    <cellStyle name="标题 3 3 4" xfId="6450"/>
    <cellStyle name="20% - 强调文字颜色 2 2 2 2 2 4 2 2 2" xfId="6451"/>
    <cellStyle name="强调文字颜色 4 2 4 4 2" xfId="6452"/>
    <cellStyle name="计算 2 2 7 6" xfId="6453"/>
    <cellStyle name="60% - 强调文字颜色 3 2 2 6 3" xfId="6454"/>
    <cellStyle name="输入 2 2 3 8 2" xfId="6455"/>
    <cellStyle name="20% - 强调文字颜色 6 2 3 5 2 2" xfId="6456"/>
    <cellStyle name="20% - 强调文字颜色 3 2 3 2 2 2 2 2 2" xfId="6457"/>
    <cellStyle name="输出 2 2 2 4 2 2 2" xfId="6458"/>
    <cellStyle name="强调文字颜色 5 3 2 2" xfId="6459"/>
    <cellStyle name="汇总 2 5 2 11" xfId="6460"/>
    <cellStyle name="强调文字颜色 4 2 2 2 5 2 3" xfId="6461"/>
    <cellStyle name="警告文本 2 2 2 7" xfId="6462"/>
    <cellStyle name="标题 5 4 2 2 2 2 2" xfId="6463"/>
    <cellStyle name="强调文字颜色 6 2 2 3 3 2 2" xfId="6464"/>
    <cellStyle name="输出 2 4 3 6" xfId="6465"/>
    <cellStyle name="解释性文本 2 3 4 4" xfId="6466"/>
    <cellStyle name="输入 2 2 4 5 4 3" xfId="6467"/>
    <cellStyle name="20% - 强调文字颜色 2 2 4 7" xfId="6468"/>
    <cellStyle name="警告文本 3 3 2" xfId="6469"/>
    <cellStyle name="适中 2 2 5 3 2" xfId="6470"/>
    <cellStyle name="强调文字颜色 6 3 5 2" xfId="6471"/>
    <cellStyle name="汇总 2 2 3 2 10" xfId="6472"/>
    <cellStyle name="警告文本 2 2 4 5 2 2" xfId="6473"/>
    <cellStyle name="输出 2 4 2 2 2 3" xfId="6474"/>
    <cellStyle name="计算 2 2 5 3 2 4 2" xfId="6475"/>
    <cellStyle name="常规 9 2 3 3 3" xfId="6476"/>
    <cellStyle name="汇总 2 2 10 4 3" xfId="6477"/>
    <cellStyle name="常规 10 3 4 3" xfId="6478"/>
    <cellStyle name="计算 2 2 6 6 3 2 2" xfId="6479"/>
    <cellStyle name="标题 3 2 4 3 2 2" xfId="6480"/>
    <cellStyle name="汇总 2 8 2 2 7" xfId="6481"/>
    <cellStyle name="汇总 2 2 8 8 2 2" xfId="6482"/>
    <cellStyle name="输入 2 5 2 3 2 3" xfId="6483"/>
    <cellStyle name="汇总 3 2 2 5 3" xfId="6484"/>
    <cellStyle name="60% - 强调文字颜色 2 3 3" xfId="6485"/>
    <cellStyle name="计算 2 2 4 3 6" xfId="6486"/>
    <cellStyle name="注释 2 2 8 3 2 2" xfId="6487"/>
    <cellStyle name="注释 2 4 2 4 2 5" xfId="6488"/>
    <cellStyle name="标题 5 2 5 3 2" xfId="6489"/>
    <cellStyle name="标题 1 2 2 2 3 2 2 3" xfId="6490"/>
    <cellStyle name="汇总 2 2 6 2 2 3 2" xfId="6491"/>
    <cellStyle name="汇总 2 2 3 2 2 2 4 2" xfId="6492"/>
    <cellStyle name="注释 2 4 2 2" xfId="6493"/>
    <cellStyle name="汇总 2 6 2 11" xfId="6494"/>
    <cellStyle name="输入 2 3 3 5 3" xfId="6495"/>
    <cellStyle name="输入 2 2 6 2 2 2" xfId="6496"/>
    <cellStyle name="强调文字颜色 6 2 3 2 3 3 2 2" xfId="6497"/>
    <cellStyle name="解释性文本 2 6 2" xfId="6498"/>
    <cellStyle name="常规 9 3 2 3" xfId="6499"/>
    <cellStyle name="输入 2 5 4 2 2 2" xfId="6500"/>
    <cellStyle name="计算 2 2 5 3 10" xfId="6501"/>
    <cellStyle name="计算 2 4 3 3 5" xfId="6502"/>
    <cellStyle name="输出 2 2 7 4 5" xfId="6503"/>
    <cellStyle name="40% - 强调文字颜色 3 2 2 7" xfId="6504"/>
    <cellStyle name="百分比 2 2 2 3" xfId="6505"/>
    <cellStyle name="汇总 2 2 5 2 3 3 2" xfId="6506"/>
    <cellStyle name="计算 2 5 2 2 2 3 2" xfId="6507"/>
    <cellStyle name="常规 5 2 3 2 2 4" xfId="6508"/>
    <cellStyle name="常规 6 2 4 2 2 2" xfId="6509"/>
    <cellStyle name="强调文字颜色 5 2 2 2 2 2 3" xfId="6510"/>
    <cellStyle name="输入 2 5 2 6 2 2" xfId="6511"/>
    <cellStyle name="常规 3 3 3 4 2 2 2" xfId="6512"/>
    <cellStyle name="常规 4 2 3 2" xfId="6513"/>
    <cellStyle name="差 2 2 2 2 6 3" xfId="6514"/>
    <cellStyle name="40% - 强调文字颜色 4 2 4 4 2 2 2" xfId="6515"/>
    <cellStyle name="20% - 强调文字颜色 3 2 2 8" xfId="6516"/>
    <cellStyle name="输入 2 2 6 5 5" xfId="6517"/>
    <cellStyle name="计算 2 5 4 9" xfId="6518"/>
    <cellStyle name="40% - 强调文字颜色 5 3 2 2 2 2" xfId="6519"/>
    <cellStyle name="计算 3 2 11" xfId="6520"/>
    <cellStyle name="好 2 4 2 2 2 2" xfId="6521"/>
    <cellStyle name="输入 2 3 2 6 2" xfId="6522"/>
    <cellStyle name="输出 2 4 2 4 2 4" xfId="6523"/>
    <cellStyle name="差 3 2 2 4 2" xfId="6524"/>
    <cellStyle name="强调文字颜色 4 3 3 2 2" xfId="6525"/>
    <cellStyle name="20% - 强调文字颜色 3 2 3 2 3 3 2" xfId="6526"/>
    <cellStyle name="汇总 2 2 3 3 3" xfId="6527"/>
    <cellStyle name="40% - 强调文字颜色 1 3 2 4 2 2 2" xfId="6528"/>
    <cellStyle name="汇总 2 5 5 2 4 3" xfId="6529"/>
    <cellStyle name="标题 2 3 2 4 2 3" xfId="6530"/>
    <cellStyle name="计算 2 2 4 2 3 4 2 2" xfId="6531"/>
    <cellStyle name="输出 2 4 2 5 3" xfId="6532"/>
    <cellStyle name="计算 4 3 3" xfId="6533"/>
    <cellStyle name="计算 2 2 4 4 2 2 2" xfId="6534"/>
    <cellStyle name="注释 2 2 7 2 2 2" xfId="6535"/>
    <cellStyle name="汇总 3 3 2 3" xfId="6536"/>
    <cellStyle name="汇总 2 2 2 3 2" xfId="6537"/>
    <cellStyle name="输入 2 2 5 4 2 2 2 2" xfId="6538"/>
    <cellStyle name="标题 3 2 2 2 3 2 2 2 2 2" xfId="6539"/>
    <cellStyle name="输入 2 4 2 2 7" xfId="6540"/>
    <cellStyle name="常规 2 2 2 2 2 5 2" xfId="6541"/>
    <cellStyle name="注释 2 5 4" xfId="6542"/>
    <cellStyle name="标题 2 3 2 3" xfId="6543"/>
    <cellStyle name="汇总 2 8 2 2" xfId="6544"/>
    <cellStyle name="常规 4 4 4 4" xfId="6545"/>
    <cellStyle name="40% - 强调文字颜色 6 2 3 2 4" xfId="6546"/>
    <cellStyle name="40% - 强调文字颜色 6 4 5 2" xfId="6547"/>
    <cellStyle name="强调文字颜色 6 2 3 4 2" xfId="6548"/>
    <cellStyle name="检查单元格 2 2 2 2 2 2" xfId="6549"/>
    <cellStyle name="强调文字颜色 2 5 3" xfId="6550"/>
    <cellStyle name="强调文字颜色 1 2 2 6 3 2 2" xfId="6551"/>
    <cellStyle name="常规 3 3 8 2 2" xfId="6552"/>
    <cellStyle name="输出 2 2 5 3 2 2 2" xfId="6553"/>
    <cellStyle name="标题 1 2 3 2 2 2 2 2" xfId="6554"/>
    <cellStyle name="计算 2 8 3 2 5" xfId="6555"/>
    <cellStyle name="计算 3 3 7 2" xfId="6556"/>
    <cellStyle name="20% - 强调文字颜色 3 2 2 5 2 2 2" xfId="6557"/>
    <cellStyle name="20% - 强调文字颜色 4 2 2 6 2 2" xfId="6558"/>
    <cellStyle name="输入 2 2 6 3 6" xfId="6559"/>
    <cellStyle name="汇总 2 2 2 12" xfId="6560"/>
    <cellStyle name="输出 2 2 2 3 5 2 2" xfId="6561"/>
    <cellStyle name="强调文字颜色 4 2 4 8" xfId="6562"/>
    <cellStyle name="强调文字颜色 2 2 2 3 3 2 2" xfId="6563"/>
    <cellStyle name="20% - 强调文字颜色 1 4 3 2 2" xfId="6564"/>
    <cellStyle name="60% - 强调文字颜色 4 2 2 2 2 4" xfId="6565"/>
    <cellStyle name="注释 2 2 7 2 4 2" xfId="6566"/>
    <cellStyle name="40% - 强调文字颜色 1 2 2 4 5 2 2" xfId="6567"/>
    <cellStyle name="汇总 4 7 2 2" xfId="6568"/>
    <cellStyle name="输出 2 2 7 2 6" xfId="6569"/>
    <cellStyle name="标题 1 2 3 5 2 2 3" xfId="6570"/>
    <cellStyle name="标题 1 3 3 2" xfId="6571"/>
    <cellStyle name="40% - 强调文字颜色 4 2 3 3 5" xfId="6572"/>
    <cellStyle name="计算 2 2 9 9" xfId="6573"/>
    <cellStyle name="计算 2 3 4 3 2" xfId="6574"/>
    <cellStyle name="注释 2 4 3 2 3 2 2" xfId="6575"/>
    <cellStyle name="计算 2 3 4 3" xfId="6576"/>
    <cellStyle name="汇总 2 3 3 7 2" xfId="6577"/>
    <cellStyle name="好 2 4 4" xfId="6578"/>
    <cellStyle name="强调文字颜色 3 2 2 5 2 2 2" xfId="6579"/>
    <cellStyle name="解释性文本 2 4 4 2 2" xfId="6580"/>
    <cellStyle name="输出 2 5 3 4 2" xfId="6581"/>
    <cellStyle name="警告文本 2 5 2 2" xfId="6582"/>
    <cellStyle name="输入 4 2 2 2 2 2" xfId="6583"/>
    <cellStyle name="警告文本 2 2 2 3 2 2 2" xfId="6584"/>
    <cellStyle name="好 2 3 2 4" xfId="6585"/>
    <cellStyle name="计算 2 5 15" xfId="6586"/>
    <cellStyle name="计算 2 5 2 2 2 2 3 2 2" xfId="6587"/>
    <cellStyle name="常规 4 2 8" xfId="6588"/>
    <cellStyle name="强调文字颜色 4 2 3 2 2 2 2 2 2" xfId="6589"/>
    <cellStyle name="强调文字颜色 3 2 2 2 2 4 2 2 2" xfId="6590"/>
    <cellStyle name="汇总 2 5 7 2 2" xfId="6591"/>
    <cellStyle name="常规 2 2 2 2 4" xfId="6592"/>
    <cellStyle name="常规 5 2 5 2 3 3" xfId="6593"/>
    <cellStyle name="输出 2 3 4 2 4" xfId="6594"/>
    <cellStyle name="汇总 2 2 7 2" xfId="6595"/>
    <cellStyle name="差 2 2 2 2 4 2 2" xfId="6596"/>
    <cellStyle name="常规 5 3 2" xfId="6597"/>
    <cellStyle name="汇总 2 3 3 2 2 3" xfId="6598"/>
    <cellStyle name="20% - 强调文字颜色 4 2 2 3 3 2 2 2" xfId="6599"/>
    <cellStyle name="汇总 2 5 2 8 3" xfId="6600"/>
    <cellStyle name="计算 2 2 15" xfId="6601"/>
    <cellStyle name="计算 2 2 20" xfId="6602"/>
    <cellStyle name="输出 2 2 3 5 3 2" xfId="6603"/>
    <cellStyle name="注释 2 2 2 3 2 2 3" xfId="6604"/>
    <cellStyle name="无色 7" xfId="6605"/>
    <cellStyle name="汇总 2 5 2 8 2" xfId="6606"/>
    <cellStyle name="计算 2 2 14" xfId="6607"/>
    <cellStyle name="常规 11 2 2 3 3 2" xfId="6608"/>
    <cellStyle name="计算 2 5 2 2 5 2" xfId="6609"/>
    <cellStyle name="60% - 强调文字颜色 2 3 2 3 2 2 2" xfId="6610"/>
    <cellStyle name="强调文字颜色 1 2 2 2 2 5 3" xfId="6611"/>
    <cellStyle name="强调文字颜色 3 2 2 2 2 5" xfId="6612"/>
    <cellStyle name="计算 2 2 7 3 4 2" xfId="6613"/>
    <cellStyle name="强调文字颜色 5 2 2 2 2 2 2 2" xfId="6614"/>
    <cellStyle name="汇总 2 3 6 4 2" xfId="6615"/>
    <cellStyle name="60% - 强调文字颜色 4 2 2 2 3 2 2 2 2" xfId="6616"/>
    <cellStyle name="汇总 2 5 2 3 2 2" xfId="6617"/>
    <cellStyle name="计算 2 2 6 3 2 3" xfId="6618"/>
    <cellStyle name="输出 2 2 2 2 5 3" xfId="6619"/>
    <cellStyle name="输出 2 4 2 3 2 2 3" xfId="6620"/>
    <cellStyle name="60% - 强调文字颜色 5 4 3 2" xfId="6621"/>
    <cellStyle name="汇总 2 8 5 4 2" xfId="6622"/>
    <cellStyle name="注释 2 6 2 2 2" xfId="6623"/>
    <cellStyle name="汇总 2 2 2 8 2 2" xfId="6624"/>
    <cellStyle name="检查单元格 2 2 3 3 4" xfId="6625"/>
    <cellStyle name="注释 2 5 9" xfId="6626"/>
    <cellStyle name="好 2 2 3 5 3" xfId="6627"/>
    <cellStyle name="输出 2 2 3 3 3 2 2 2" xfId="6628"/>
    <cellStyle name="注释 2 2 5 2 2 5" xfId="6629"/>
    <cellStyle name="输入 2 5 3 2 2 2 2" xfId="6630"/>
    <cellStyle name="汇总 2 2 2 2 2 5 3" xfId="6631"/>
    <cellStyle name="60% - 强调文字颜色 6 4 6" xfId="6632"/>
    <cellStyle name="解释性文本 3 4 3" xfId="6633"/>
    <cellStyle name="警告文本 2 2 2 3 2 3" xfId="6634"/>
    <cellStyle name="汇总 2 8 6 3" xfId="6635"/>
    <cellStyle name="百分比 2 4 2 2 2" xfId="6636"/>
    <cellStyle name="注释 2 4 2 7 3" xfId="6637"/>
    <cellStyle name="20% - 强调文字颜色 3 2 2 2 3 4" xfId="6638"/>
    <cellStyle name="适中 2 2 6" xfId="6639"/>
    <cellStyle name="20% - 强调文字颜色 4 2 3 2 3 2" xfId="6640"/>
    <cellStyle name="检查单元格 2 2 2 2 2 2 2 2" xfId="6641"/>
    <cellStyle name="好 2 2 2 2 4 2" xfId="6642"/>
    <cellStyle name="汇总 3 2 3 2 3" xfId="6643"/>
    <cellStyle name="汇总 2 2 7 11" xfId="6644"/>
    <cellStyle name="计算 2 2 6 8 3" xfId="6645"/>
    <cellStyle name="标题 3 2 6 3" xfId="6646"/>
    <cellStyle name="常规 2 2 2 3 3 2 2" xfId="6647"/>
    <cellStyle name="计算 2 2 2 15" xfId="6648"/>
    <cellStyle name="20% - 强调文字颜色 2 3 2 2 4 2" xfId="6649"/>
    <cellStyle name="注释 2 2 3 5 4 2" xfId="6650"/>
    <cellStyle name="40% - 强调文字颜色 3 2 3 4 3 2" xfId="6651"/>
    <cellStyle name="输入 2 15 2 2" xfId="6652"/>
    <cellStyle name="输出 2 10" xfId="6653"/>
    <cellStyle name="输出 4 4 3" xfId="6654"/>
    <cellStyle name="汇总 2 5 3 2 2 4 2 2" xfId="6655"/>
    <cellStyle name="汇总 2 2 7 8" xfId="6656"/>
    <cellStyle name="计算 3 4 2 2 2" xfId="6657"/>
    <cellStyle name="计算 2 2 4 2 16" xfId="6658"/>
    <cellStyle name="链接单元格 2 2 2 4 2 2" xfId="6659"/>
    <cellStyle name="60% - 强调文字颜色 6 2 4 3 2 3" xfId="6660"/>
    <cellStyle name="计算 3 2 8" xfId="6661"/>
    <cellStyle name="汇总 3 2 2 4" xfId="6662"/>
    <cellStyle name="强调文字颜色 5 5 2 2" xfId="6663"/>
    <cellStyle name="链接单元格 2 2 6 2" xfId="6664"/>
    <cellStyle name="常规 6 2 2 4 3" xfId="6665"/>
    <cellStyle name="输出 2 2 3 2 2 6" xfId="6666"/>
    <cellStyle name="警告文本 3 3 3 2" xfId="6667"/>
    <cellStyle name="汇总 3 3 4 2" xfId="6668"/>
    <cellStyle name="输入 2 2 6 3 4" xfId="6669"/>
    <cellStyle name="计算 2 5 2 8" xfId="6670"/>
    <cellStyle name="计算 2 4 4 4 3" xfId="6671"/>
    <cellStyle name="输入 2 2 3 2 5" xfId="6672"/>
    <cellStyle name="超链接 3 3 7 2" xfId="6673"/>
    <cellStyle name="输入 2 7 8 2" xfId="6674"/>
    <cellStyle name="注释 3 3 2 2" xfId="6675"/>
    <cellStyle name="强调文字颜色 1 2 2 2 6 2" xfId="6676"/>
    <cellStyle name="标题 2 3 2" xfId="6677"/>
    <cellStyle name="20% - 强调文字颜色 5 2 2 4 2 2" xfId="6678"/>
    <cellStyle name="40% - 强调文字颜色 1 2 5 5 2" xfId="6679"/>
    <cellStyle name="标题 4 4 2 2 3" xfId="6680"/>
    <cellStyle name="汇总 2 6 4 4 2 2" xfId="6681"/>
    <cellStyle name="输出 2 2 5 3 3 2" xfId="6682"/>
    <cellStyle name="标题 1 2 3 2 2 3 2" xfId="6683"/>
    <cellStyle name="汇总 2 2 4 5 2 3 2 2" xfId="6684"/>
    <cellStyle name="输入 2 4 3 2 2 2" xfId="6685"/>
    <cellStyle name="汇总 4 2 4 3" xfId="6686"/>
    <cellStyle name="强调文字颜色 1 2 2 4 3 2" xfId="6687"/>
    <cellStyle name="解释性文本 2 3 2 3 3" xfId="6688"/>
    <cellStyle name="注释 3 8 2 2" xfId="6689"/>
    <cellStyle name="计算 2 2 7 2" xfId="6690"/>
    <cellStyle name="计算 2 6 2 2 9" xfId="6691"/>
    <cellStyle name="标题 2 2 6 2 2" xfId="6692"/>
    <cellStyle name="注释 3 4" xfId="6693"/>
    <cellStyle name="常规 7 2 2 2 2 3" xfId="6694"/>
    <cellStyle name="警告文本 2 3 2 2 3 2" xfId="6695"/>
    <cellStyle name="超链接 3 2 2 3" xfId="6696"/>
    <cellStyle name="输入 2 6 3 3" xfId="6697"/>
    <cellStyle name="汇总 2 2 3 4 2 3" xfId="6698"/>
    <cellStyle name="20% - 强调文字颜色 5 2 3 2 3 2 2 2" xfId="6699"/>
    <cellStyle name="汇总 2 2 2 2 2 2 4" xfId="6700"/>
    <cellStyle name="汇总 2 3 2 3 2 2 2" xfId="6701"/>
    <cellStyle name="强调文字颜色 1 3 2 2" xfId="6702"/>
    <cellStyle name="输入 2 3 2 2 4 2 2" xfId="6703"/>
    <cellStyle name="常规 2 2 2 4 3 2 2" xfId="6704"/>
    <cellStyle name="常规 13 2 2 4 3" xfId="6705"/>
    <cellStyle name="超链接 3 5 2 2 3" xfId="6706"/>
    <cellStyle name="20% - 强调文字颜色 6 2 2 5 3" xfId="6707"/>
    <cellStyle name="差 2 2 3 3 3 2" xfId="6708"/>
    <cellStyle name="汇总 3 11 2" xfId="6709"/>
    <cellStyle name="计算 2 2 3 2 2 9" xfId="6710"/>
    <cellStyle name="常规 5 3 4 2 3 3" xfId="6711"/>
    <cellStyle name="常规 5 5 2 3 5" xfId="6712"/>
    <cellStyle name="强调文字颜色 4 2 3 2 5 3" xfId="6713"/>
    <cellStyle name="强调文字颜色 6 2 3 4 3 2 2" xfId="6714"/>
    <cellStyle name="汇总 2 4 2 3" xfId="6715"/>
    <cellStyle name="标题 4 2 2 4 2 2" xfId="6716"/>
    <cellStyle name="汇总 2 2 4 2 3 3 4 2" xfId="6717"/>
    <cellStyle name="计算 4 2 2 4 2 2" xfId="6718"/>
    <cellStyle name="汇总 2 3 2 3 2 2" xfId="6719"/>
    <cellStyle name="计算 2 2 3 2 2 2 3 3" xfId="6720"/>
    <cellStyle name="强调文字颜色 2 2 3 2 3 3 3" xfId="6721"/>
    <cellStyle name="输入 2 2 4 2 2 2 4 3" xfId="6722"/>
    <cellStyle name="汇总 2 2 2 2 3 3 3" xfId="6723"/>
    <cellStyle name="汇总 2 7 2 4 2" xfId="6724"/>
    <cellStyle name="40% - 强调文字颜色 6 2 2 2 6 2" xfId="6725"/>
    <cellStyle name="60% - 强调文字颜色 6 2 2 2 2 2 2" xfId="6726"/>
    <cellStyle name="计算 2 6 3" xfId="6727"/>
    <cellStyle name="强调文字颜色 6 2 2 4 4 2" xfId="6728"/>
    <cellStyle name="汇总 2 2 8 4 3 2" xfId="6729"/>
    <cellStyle name="标题 2 2 3 3 6" xfId="6730"/>
    <cellStyle name="注释 3 2 6 2 2" xfId="6731"/>
    <cellStyle name="好 2 2 3 5" xfId="6732"/>
    <cellStyle name="汇总 3 2 6 2" xfId="6733"/>
    <cellStyle name="汇总 3 2 4" xfId="6734"/>
    <cellStyle name="输入 2 7 2 4 2 2" xfId="6735"/>
    <cellStyle name="计算 2 6 4 6 2" xfId="6736"/>
    <cellStyle name="输入 2 2 7 5 2 2" xfId="6737"/>
    <cellStyle name="20% - 强调文字颜色 5 2 2 6" xfId="6738"/>
    <cellStyle name="20% - 强调文字颜色 3 3 2 5 2" xfId="6739"/>
    <cellStyle name="汇总 2 6 4 6" xfId="6740"/>
    <cellStyle name="好 2 3 2 4 2 3" xfId="6741"/>
    <cellStyle name="输入 2 5 2 4 4" xfId="6742"/>
    <cellStyle name="40% - 强调文字颜色 2 2 5 5 2 2" xfId="6743"/>
    <cellStyle name="标题 1 3 2 4" xfId="6744"/>
    <cellStyle name="计算 3 3 3" xfId="6745"/>
    <cellStyle name="输入 2 3 2 2 8" xfId="6746"/>
    <cellStyle name="强调文字颜色 3 2 4 4 3 2" xfId="6747"/>
    <cellStyle name="输入 2 4 3 6 2" xfId="6748"/>
    <cellStyle name="汇总 2 3 5 5" xfId="6749"/>
    <cellStyle name="汇总 2 3 6 2 2" xfId="6750"/>
    <cellStyle name="注释 2 2 4 3 2 2 2 2" xfId="6751"/>
    <cellStyle name="常规 4 2 5 2 2 2" xfId="6752"/>
    <cellStyle name="40% - 强调文字颜色 1 5 2 2" xfId="6753"/>
    <cellStyle name="常规 9 4 2 2" xfId="6754"/>
    <cellStyle name="计算 2 2 2 2 2 3 2" xfId="6755"/>
    <cellStyle name="检查单元格 2 4 2 2 3" xfId="6756"/>
    <cellStyle name="计算 2 11 2" xfId="6757"/>
    <cellStyle name="60% - 强调文字颜色 3 2 4" xfId="6758"/>
    <cellStyle name="计算 2 2 5 2 7" xfId="6759"/>
    <cellStyle name="60% - 强调文字颜色 2 2 3 2" xfId="6760"/>
    <cellStyle name="计算 2 2 4 2 6 2" xfId="6761"/>
    <cellStyle name="标题 3 2 3 6 2 3" xfId="6762"/>
    <cellStyle name="标题 3 2 3 5 2 2 2" xfId="6763"/>
    <cellStyle name="60% - 强调文字颜色 4 5 2 2 2 2" xfId="6764"/>
    <cellStyle name="好 2 2 2 2 6 3" xfId="6765"/>
    <cellStyle name="输出 2 2 7 7 3" xfId="6766"/>
    <cellStyle name="标题 3 2 2 2 3 2 2 3" xfId="6767"/>
    <cellStyle name="输入 2 2 5 4 2 3" xfId="6768"/>
    <cellStyle name="计算 2 4 3 6 3" xfId="6769"/>
    <cellStyle name="计算 2 4 4 8" xfId="6770"/>
    <cellStyle name="输出 2 2 3 2 3 5 2 2" xfId="6771"/>
    <cellStyle name="强调文字颜色 3 2 5 2" xfId="6772"/>
    <cellStyle name="好 2 2 6" xfId="6773"/>
    <cellStyle name="检查单元格 2 3 2 2 3 2" xfId="6774"/>
    <cellStyle name="Normal 3 3 2" xfId="6775"/>
    <cellStyle name="汇总 2 2 7 3 2 3 2 2" xfId="6776"/>
    <cellStyle name="注释 5 2 4" xfId="6777"/>
    <cellStyle name="输入 2 9 2 2" xfId="6778"/>
    <cellStyle name="汇总 2 3 3 2 8" xfId="6779"/>
    <cellStyle name="常规 5 2 2 2 2 5 2" xfId="6780"/>
    <cellStyle name="注释 2 10 2 2" xfId="6781"/>
    <cellStyle name="标题 4 2 4 8" xfId="6782"/>
    <cellStyle name="强调文字颜色 3 2 6 3 2" xfId="6783"/>
    <cellStyle name="标题 4 2 2 2 3 3 2" xfId="6784"/>
    <cellStyle name="汇总 2 2 5 2 8" xfId="6785"/>
    <cellStyle name="汇总 2 7 5 6" xfId="6786"/>
    <cellStyle name="汇总 2 2 4 2 3 3 4" xfId="6787"/>
    <cellStyle name="常规 5 2 5 4" xfId="6788"/>
    <cellStyle name="汇总 2 5 2 3 6" xfId="6789"/>
    <cellStyle name="40% - 强调文字颜色 2 3 4 2 2" xfId="6790"/>
    <cellStyle name="汇总 2 4 2 2 3 2 3" xfId="6791"/>
    <cellStyle name="链接单元格 2 2 5 3 2" xfId="6792"/>
    <cellStyle name="标题 3 2 3 2 5 3" xfId="6793"/>
    <cellStyle name="注释 2 4 2 3" xfId="6794"/>
    <cellStyle name="适中 2 2 3 4 3 2" xfId="6795"/>
    <cellStyle name="计算 5 2 4" xfId="6796"/>
    <cellStyle name="计算 2 5 2 2 8" xfId="6797"/>
    <cellStyle name="注释 2 3 2 4 2" xfId="6798"/>
    <cellStyle name="链接单元格 2" xfId="6799"/>
    <cellStyle name="汇总 2 6 2 4 4" xfId="6800"/>
    <cellStyle name="汇总 2 3 2 2 3 3 3" xfId="6801"/>
    <cellStyle name="汇总 3 3 5 2" xfId="6802"/>
    <cellStyle name="计算 2 2 6 2 2 2 3 2 2" xfId="6803"/>
    <cellStyle name="60% - 强调文字颜色 1 2 3 3 3 2" xfId="6804"/>
    <cellStyle name="20% - 强调文字颜色 4 2 2 2" xfId="6805"/>
    <cellStyle name="标题 5 3 2 2 2 2" xfId="6806"/>
    <cellStyle name="40% - 强调文字颜色 5 2 7 2" xfId="6807"/>
    <cellStyle name="注释 2 2 3 2 8" xfId="6808"/>
    <cellStyle name="输出 2 2 3 2 3 6" xfId="6809"/>
    <cellStyle name="注释 2 2 10 5" xfId="6810"/>
    <cellStyle name="汇总 2 8 10" xfId="6811"/>
    <cellStyle name="适中 3 3 2 2" xfId="6812"/>
    <cellStyle name="常规 9 5 2 2 3" xfId="6813"/>
    <cellStyle name="40% - 强调文字颜色 3 2 2 4 4 2 2" xfId="6814"/>
    <cellStyle name="强调文字颜色 3 2 3 2 4 3" xfId="6815"/>
    <cellStyle name="强调文字颜色 5 2 2 2 2 5 3" xfId="6816"/>
    <cellStyle name="汇总 2 7 2 2 2 3 2" xfId="6817"/>
    <cellStyle name="警告文本 2 4 3 2 2 2" xfId="6818"/>
    <cellStyle name="汇总 2 3 2 3 4 2" xfId="6819"/>
    <cellStyle name="超链接 3 2 2 3 2 2" xfId="6820"/>
    <cellStyle name="输入 2 6 3 3 2 2" xfId="6821"/>
    <cellStyle name="40% - 强调文字颜色 5 2 2 2 5" xfId="6822"/>
    <cellStyle name="好 2 3 2 2 5" xfId="6823"/>
    <cellStyle name="输出 2 4 2 3 3 2 2" xfId="6824"/>
    <cellStyle name="检查单元格 2 3 2 2 3" xfId="6825"/>
    <cellStyle name="输入 2 4 3 2 3 2" xfId="6826"/>
    <cellStyle name="注释 2 6 8" xfId="6827"/>
    <cellStyle name="常规 6 6 2 2" xfId="6828"/>
    <cellStyle name="输出 2 5 3 2 3" xfId="6829"/>
    <cellStyle name="40% - 强调文字颜色 4 2 6" xfId="6830"/>
    <cellStyle name="输入 2 6 3 6 2" xfId="6831"/>
    <cellStyle name="常规 11" xfId="6832"/>
    <cellStyle name="解释性文本 2 2 4 2 2 3" xfId="6833"/>
    <cellStyle name="汇总 2 2 6 2 2" xfId="6834"/>
    <cellStyle name="解释性文本 3 7" xfId="6835"/>
    <cellStyle name="60% - 强调文字颜色 2 5 2 2 2 2" xfId="6836"/>
    <cellStyle name="标题 1 2 3 6 2 3" xfId="6837"/>
    <cellStyle name="输出 2 4 4 9" xfId="6838"/>
    <cellStyle name="好 2 4 10" xfId="6839"/>
    <cellStyle name="输出 2 2 9 3 3" xfId="6840"/>
    <cellStyle name="计算 2 2 6 3 2 2" xfId="6841"/>
    <cellStyle name="输入 2 3 9 3" xfId="6842"/>
    <cellStyle name="汇总 2 10 2 2 2 2" xfId="6843"/>
    <cellStyle name="好 2 2 4 3 2 3" xfId="6844"/>
    <cellStyle name="汇总 2 2 9 3" xfId="6845"/>
    <cellStyle name="强调文字颜色 1 2 2 4 2 2 2 2" xfId="6846"/>
    <cellStyle name="警告文本 2 4 6 3" xfId="6847"/>
    <cellStyle name="汇总 4 3 4" xfId="6848"/>
    <cellStyle name="计算 2 8 5 4 2" xfId="6849"/>
    <cellStyle name="40% - 强调文字颜色 3 2 5 3 2 2" xfId="6850"/>
    <cellStyle name="注释 2 2 5 4 3 2" xfId="6851"/>
    <cellStyle name="20% - 强调文字颜色 1 2 2 3 3" xfId="6852"/>
    <cellStyle name="汇总 2 2 4 3 2 2 5 2" xfId="6853"/>
    <cellStyle name="计算 2 8 2 2 2" xfId="6854"/>
    <cellStyle name="20% - 强调文字颜色 5 2 3 2 4 3" xfId="6855"/>
    <cellStyle name="汇总 2 3 2 2 2 3 3" xfId="6856"/>
    <cellStyle name="标题 5 2 7" xfId="6857"/>
    <cellStyle name="输入 2 2 7 10" xfId="6858"/>
    <cellStyle name="计算 2 2 2 3" xfId="6859"/>
    <cellStyle name="汇总 2 3 2 3 3 2" xfId="6860"/>
    <cellStyle name="40% - 强调文字颜色 5 2 2 6 3" xfId="6861"/>
    <cellStyle name="汇总 2 2 4 2 2 2 2 5 2" xfId="6862"/>
    <cellStyle name="注释 2 2 7 8" xfId="6863"/>
    <cellStyle name="常规 4 2 2 2 3 2 2" xfId="6864"/>
    <cellStyle name="标题 1 2 2 4 2 2 2" xfId="6865"/>
    <cellStyle name="强调文字颜色 6 2 2 7 2 2" xfId="6866"/>
    <cellStyle name="汇总 2 8 3 2 3 2" xfId="6867"/>
    <cellStyle name="20% - 强调文字颜色 5 3 3 2 2" xfId="6868"/>
    <cellStyle name="60% - 强调文字颜色 3 2 2 2 2 2 2 2 2" xfId="6869"/>
    <cellStyle name="输出 2 5 2 2 4" xfId="6870"/>
    <cellStyle name="汇总 2 7 5 2 2" xfId="6871"/>
    <cellStyle name="输出 2 2 5 4 3" xfId="6872"/>
    <cellStyle name="输入 2 2 3 2 4" xfId="6873"/>
    <cellStyle name="计算 2 3 2 4 3" xfId="6874"/>
    <cellStyle name="注释 2 4 3 2 3 2" xfId="6875"/>
    <cellStyle name="注释 4 3" xfId="6876"/>
    <cellStyle name="汇总 2 6 9 2" xfId="6877"/>
    <cellStyle name="常规 11 3 2 2" xfId="6878"/>
    <cellStyle name="常规 18" xfId="6879"/>
    <cellStyle name="常规 23" xfId="6880"/>
    <cellStyle name="计算 2 6 2 3 8" xfId="6881"/>
    <cellStyle name="20% - 强调文字颜色 5 2 3 2 3 3 2" xfId="6882"/>
    <cellStyle name="汇总 2 2 4 3 2 2 4 2 2" xfId="6883"/>
    <cellStyle name="20% - 强调文字颜色 1 2 3 2 2 2" xfId="6884"/>
    <cellStyle name="适中 2 3 2 3 2 2" xfId="6885"/>
    <cellStyle name="输出 2 2 5 2 2 3 3" xfId="6886"/>
    <cellStyle name="计算 3 2 7 2 2" xfId="6887"/>
    <cellStyle name="警告文本 2 3 3 5" xfId="6888"/>
    <cellStyle name="输出 2 2 2 2 2 9" xfId="6889"/>
    <cellStyle name="20% - 强调文字颜色 4 2 2 5 2 2 2" xfId="6890"/>
    <cellStyle name="链接单元格 2 3" xfId="6891"/>
    <cellStyle name="常规 3 3 7 2 3 2" xfId="6892"/>
    <cellStyle name="输出 2 2 4 2 2 3" xfId="6893"/>
    <cellStyle name="20% - 强调文字颜色 5 3 5 2" xfId="6894"/>
    <cellStyle name="计算 2 2 5 2 10" xfId="6895"/>
    <cellStyle name="20% - 强调文字颜色 2 2 4 4 3 2" xfId="6896"/>
    <cellStyle name="适中 2 4 5 3" xfId="6897"/>
    <cellStyle name="注释 2 3 2 4" xfId="6898"/>
    <cellStyle name="20% - 强调文字颜色 1 3 6 2" xfId="6899"/>
    <cellStyle name="强调文字颜色 2 2 2 2 6 2" xfId="6900"/>
    <cellStyle name="检查单元格 2 4 5 2 2" xfId="6901"/>
    <cellStyle name="汇总 2 3 2 2 2 2" xfId="6902"/>
    <cellStyle name="计算 4 2 2 3 2 2" xfId="6903"/>
    <cellStyle name="注释 2 2 3 2 2 2 2 2 2" xfId="6904"/>
    <cellStyle name="输入 2 2 8 10" xfId="6905"/>
    <cellStyle name="输入 4 4 3" xfId="6906"/>
    <cellStyle name="汇总 2 7 4 5" xfId="6907"/>
    <cellStyle name="计算 2 4 3 7" xfId="6908"/>
    <cellStyle name="输出 2 2 7 8" xfId="6909"/>
    <cellStyle name="60% - 强调文字颜色 2 2 3 2 2 4" xfId="6910"/>
    <cellStyle name="输入 2 2 5 4 3" xfId="6911"/>
    <cellStyle name="标题 3 2 2 2 3 2 3" xfId="6912"/>
    <cellStyle name="60% - 强调文字颜色 1 2 2 2 2 4 2" xfId="6913"/>
    <cellStyle name="60% - 强调文字颜色 3 2 4 2 2 2" xfId="6914"/>
    <cellStyle name="计算 2 4 3 5 2" xfId="6915"/>
    <cellStyle name="60% - 强调文字颜色 2 2 3 2 2 2 2" xfId="6916"/>
    <cellStyle name="60% - 强调文字颜色 1 2 2 2 2 6" xfId="6917"/>
    <cellStyle name="输出 2 2 7 6 2" xfId="6918"/>
    <cellStyle name="汇总 2 2 10 2 2 2 2" xfId="6919"/>
    <cellStyle name="计算 2 4 2 9 2" xfId="6920"/>
    <cellStyle name="输入 2 2 5 3 5 2" xfId="6921"/>
    <cellStyle name="计算 2 3 2 13" xfId="6922"/>
    <cellStyle name="输入 2 2 13 3" xfId="6923"/>
    <cellStyle name="60% - 强调文字颜色 3 2 2 2 4 3 2 2" xfId="6924"/>
    <cellStyle name="输出 2 2 3 13" xfId="6925"/>
    <cellStyle name="常规 10 2 3 2 3 3" xfId="6926"/>
    <cellStyle name="输入 2 5 2 4 6" xfId="6927"/>
    <cellStyle name="60% - 强调文字颜色 3 2 2 6 3 2" xfId="6928"/>
    <cellStyle name="标题 3 3 4 2" xfId="6929"/>
    <cellStyle name="强调文字颜色 4 2 4 4 2 2" xfId="6930"/>
    <cellStyle name="输入 2 2 3 8 2 2" xfId="6931"/>
    <cellStyle name="计算 2 2 7 6 2" xfId="6932"/>
    <cellStyle name="计算 2 5 2 6 2 3" xfId="6933"/>
    <cellStyle name="标题 2 2 2" xfId="6934"/>
    <cellStyle name="40% - 强调文字颜色 1 2 5 4 2" xfId="6935"/>
    <cellStyle name="解释性文本 2 3 2 2 3 2" xfId="6936"/>
    <cellStyle name="汇总 2 5 2 5 4" xfId="6937"/>
    <cellStyle name="输入 2 5 2 2 3 2 2 2" xfId="6938"/>
    <cellStyle name="标题 4 3 2 2 2 3" xfId="6939"/>
    <cellStyle name="输出 3 12" xfId="6940"/>
    <cellStyle name="常规 4 8 3" xfId="6941"/>
    <cellStyle name="40% - 强调文字颜色 4 3 3 2 2" xfId="6942"/>
    <cellStyle name="注释 2 2 4 2 3" xfId="6943"/>
    <cellStyle name="输入 2 6 2 2 2 3" xfId="6944"/>
    <cellStyle name="汇总 2 2 6 4 2 7" xfId="6945"/>
    <cellStyle name="40% - 强调文字颜色 1 2 3 3" xfId="6946"/>
    <cellStyle name="40% - 强调文字颜色 2 2 2 2 3 2 2 2" xfId="6947"/>
    <cellStyle name="输入 2 5 3 3 3" xfId="6948"/>
    <cellStyle name="汇总 3 3 2 6" xfId="6949"/>
    <cellStyle name="汇总 2 2 2 3 5" xfId="6950"/>
    <cellStyle name="计算 2 5 9 2 2" xfId="6951"/>
    <cellStyle name="注释 2 3 3 6" xfId="6952"/>
    <cellStyle name="40% - 强调文字颜色 5 2 6 3 2" xfId="6953"/>
    <cellStyle name="计算 2 2 2 3 5 3" xfId="6954"/>
    <cellStyle name="60% - 强调文字颜色 2 2 3 2 5" xfId="6955"/>
    <cellStyle name="60% - 强调文字颜色 3 2 4 5" xfId="6956"/>
    <cellStyle name="汇总 2 5 5 3" xfId="6957"/>
    <cellStyle name="链接单元格 2 4 2 2 2 2 2" xfId="6958"/>
    <cellStyle name="计算 2 5 2 2 2 2 4 2" xfId="6959"/>
    <cellStyle name="汇总 2 2 2 3 2 8" xfId="6960"/>
    <cellStyle name="强调文字颜色 3 2 2 2 2 4 3 2" xfId="6961"/>
    <cellStyle name="输入 3 6 2" xfId="6962"/>
    <cellStyle name="20% - 强调文字颜色 4 3 2 2 4" xfId="6963"/>
    <cellStyle name="强调文字颜色 2 2 2 2 2 2 2 2 3" xfId="6964"/>
    <cellStyle name="计算 2 5 2 2 7 2" xfId="6965"/>
    <cellStyle name="计算 5 2 3 2" xfId="6966"/>
    <cellStyle name="链接单元格 2 2 4 3 2 2" xfId="6967"/>
    <cellStyle name="汇总 2 2 6 11" xfId="6968"/>
    <cellStyle name="计算 2 8 4 4" xfId="6969"/>
    <cellStyle name="适中 2 2 6 4" xfId="6970"/>
    <cellStyle name="计算 2 5 2 4 2 4" xfId="6971"/>
    <cellStyle name="输出 2 5 2 6 2 2" xfId="6972"/>
    <cellStyle name="超链接 2 2 5 3" xfId="6973"/>
    <cellStyle name="注释 2 6 4 2 5" xfId="6974"/>
    <cellStyle name="解释性文本 2 2 2 2 3 3" xfId="6975"/>
    <cellStyle name="计算 2 2 4 2 4 5 2" xfId="6976"/>
    <cellStyle name="计算 3 2 3 3" xfId="6977"/>
    <cellStyle name="汇总 3 2 2 2 2 2" xfId="6978"/>
    <cellStyle name="超链接 2 4 3 2 3" xfId="6979"/>
    <cellStyle name="超链接 3 2 3 2 2 2" xfId="6980"/>
    <cellStyle name="输入 2 6 4 2 2 2" xfId="6981"/>
    <cellStyle name="汇总 2 3 3 2 4 2" xfId="6982"/>
    <cellStyle name="40% - 强调文字颜色 1 2 3 2 2 3 2 2 2" xfId="6983"/>
    <cellStyle name="超链接 2 2 2 2 2 4" xfId="6984"/>
    <cellStyle name="20% - 强调文字颜色 5 2 3 2 5 2 2" xfId="6985"/>
    <cellStyle name="计算 3 3 6 3" xfId="6986"/>
    <cellStyle name="强调文字颜色 4 2 2 2 2 2 2 2 2 2" xfId="6987"/>
    <cellStyle name="注释 2 2 4 2 3 2 2" xfId="6988"/>
    <cellStyle name="好 4 2 2 2 3" xfId="6989"/>
    <cellStyle name="汇总 2 2 3 2 7" xfId="6990"/>
    <cellStyle name="常规 11 4 2 4 2" xfId="6991"/>
    <cellStyle name="输入 2 5 4 2 5" xfId="6992"/>
    <cellStyle name="40% - 强调文字颜色 1 3 6" xfId="6993"/>
    <cellStyle name="20% - 强调文字颜色 6 3 2 2 3 2 2" xfId="6994"/>
    <cellStyle name="常规 9 2 6" xfId="6995"/>
    <cellStyle name="输出 2 7 2 2 5" xfId="6996"/>
    <cellStyle name="标题 1 2 3 6 2 2" xfId="6997"/>
    <cellStyle name="计算 2 4 5 2 2" xfId="6998"/>
    <cellStyle name="输出 2 2 9 3 2" xfId="6999"/>
    <cellStyle name="输出 2 4 4 8" xfId="7000"/>
    <cellStyle name="警告文本 2 2 2 5" xfId="7001"/>
    <cellStyle name="汇总 2 3 3 3 2" xfId="7002"/>
    <cellStyle name="计算 4 2 3 4 2" xfId="7003"/>
    <cellStyle name="好 2 3 2 2 2 3" xfId="7004"/>
    <cellStyle name="百分比 2 2 3 2 2" xfId="7005"/>
    <cellStyle name="注释 2 2 3 7 3" xfId="7006"/>
    <cellStyle name="40% - 强调文字颜色 5 2 2 2 2 3" xfId="7007"/>
    <cellStyle name="40% - 强调文字颜色 3 2 3 6 2" xfId="7008"/>
    <cellStyle name="标题 1 2 2 5 2 2 2" xfId="7009"/>
    <cellStyle name="常规 5 2 2" xfId="7010"/>
    <cellStyle name="链接单元格 2 2 2 2 2 4" xfId="7011"/>
    <cellStyle name="解释性文本 3 3 2 2" xfId="7012"/>
    <cellStyle name="差 3 2 2 3 2 3" xfId="7013"/>
    <cellStyle name="标题 2 3 8" xfId="7014"/>
    <cellStyle name="计算 3 2 2 2 3" xfId="7015"/>
    <cellStyle name="输入 3 7" xfId="7016"/>
    <cellStyle name="标题 1 2 2 2 4 2" xfId="7017"/>
    <cellStyle name="40% - 强调文字颜色 5 2 3 2 5 2 2" xfId="7018"/>
    <cellStyle name="汇总 2 8 8 2 2" xfId="7019"/>
    <cellStyle name="汇总 2 2 4 2 2 4" xfId="7020"/>
    <cellStyle name="输入 2 2 6 4 2 4" xfId="7021"/>
    <cellStyle name="输入 2 2 10 3" xfId="7022"/>
    <cellStyle name="警告文本 2 2 3 5 2" xfId="7023"/>
    <cellStyle name="计算 2 2 5 2 2 4" xfId="7024"/>
    <cellStyle name="计算 2 5 4 2 7" xfId="7025"/>
    <cellStyle name="强调文字颜色 1 2 7 2 2" xfId="7026"/>
    <cellStyle name="40% - 强调文字颜色 6 4 2 4" xfId="7027"/>
    <cellStyle name="汇总 2 6 2 2 2 3 2 2" xfId="7028"/>
    <cellStyle name="汇总 2 2 8 4 3" xfId="7029"/>
    <cellStyle name="汇总 2 2 2 2 2 2 7" xfId="7030"/>
    <cellStyle name="标题 2 2 2 2 3 3" xfId="7031"/>
    <cellStyle name="输入 3 2 5 3" xfId="7032"/>
    <cellStyle name="常规 10 6" xfId="7033"/>
    <cellStyle name="20% - 强调文字颜色 1 4 2 3 2 2" xfId="7034"/>
    <cellStyle name="汇总 3 3 3" xfId="7035"/>
    <cellStyle name="差 2 4 2 2 2 2" xfId="7036"/>
    <cellStyle name="标题 1 2 2 6 3 3" xfId="7037"/>
    <cellStyle name="百分比 2 3 4 3" xfId="7038"/>
    <cellStyle name="20% - 强调文字颜色 3 2 7 2 2 2" xfId="7039"/>
    <cellStyle name="差 2 3 3 3 2" xfId="7040"/>
    <cellStyle name="强调文字颜色 1 4 2 3" xfId="7041"/>
    <cellStyle name="常规 5 3 3 2 4 2" xfId="7042"/>
    <cellStyle name="汇总 2 2 8 2" xfId="7043"/>
    <cellStyle name="输入 3 2 3" xfId="7044"/>
    <cellStyle name="计算 2 6 2 3 5" xfId="7045"/>
    <cellStyle name="计算 3 2 4 3 2 2" xfId="7046"/>
    <cellStyle name="计算 2 2 3 3 2 4" xfId="7047"/>
    <cellStyle name="20% - 强调文字颜色 3 3 5" xfId="7048"/>
    <cellStyle name="强调文字颜色 1 2 2 2 4 3 3" xfId="7049"/>
    <cellStyle name="适中 2 2 7" xfId="7050"/>
    <cellStyle name="20% - 强调文字颜色 3 2 2 2 3 5" xfId="7051"/>
    <cellStyle name="标题 1 3 2 2 3 2 2" xfId="7052"/>
    <cellStyle name="输出 2 8 4 3" xfId="7053"/>
    <cellStyle name="计算 2 3 4 2 2" xfId="7054"/>
    <cellStyle name="标题 1 2 2 5 2 2" xfId="7055"/>
    <cellStyle name="百分比 2 2 3 2" xfId="7056"/>
    <cellStyle name="汇总 2 8 4 2 3" xfId="7057"/>
    <cellStyle name="40% - 强调文字颜色 3 2 3 6" xfId="7058"/>
    <cellStyle name="强调文字颜色 6 2 2 4 3 2" xfId="7059"/>
    <cellStyle name="20% - 强调文字颜色 1 2 2 4 2 2 2 2" xfId="7060"/>
    <cellStyle name="强调文字颜色 4 2 3 2 6" xfId="7061"/>
    <cellStyle name="输出 2 2 7 3 2 5" xfId="7062"/>
    <cellStyle name="常规 5 3 2 4 2 2" xfId="7063"/>
    <cellStyle name="标题 4 2 2 2 2 3 3 2" xfId="7064"/>
    <cellStyle name="计算 2 7 5 5" xfId="7065"/>
    <cellStyle name="标题 7" xfId="7066"/>
    <cellStyle name="强调文字颜色 3 2 3 2" xfId="7067"/>
    <cellStyle name="注释 2 5 2 2 8" xfId="7068"/>
    <cellStyle name="常规 11 3 4 2" xfId="7069"/>
    <cellStyle name="输入 3 4" xfId="7070"/>
    <cellStyle name="标题 3 2 3 3 3" xfId="7071"/>
    <cellStyle name="计算 2 2 6 5 3 3" xfId="7072"/>
    <cellStyle name="汇总 2 5 2 5 3 2" xfId="7073"/>
    <cellStyle name="差 4 2 5" xfId="7074"/>
    <cellStyle name="计算 2 6 10" xfId="7075"/>
    <cellStyle name="20% - 强调文字颜色 6 2 4 4 2 2" xfId="7076"/>
    <cellStyle name="汇总 2 6 2 3 2" xfId="7077"/>
    <cellStyle name="常规 4 2 4 5 2" xfId="7078"/>
    <cellStyle name="20% - 强调文字颜色 4 2 2 2 4" xfId="7079"/>
    <cellStyle name="超链接 2 5 4 2 2" xfId="7080"/>
    <cellStyle name="解释性文本 2 3 4 2 2 2" xfId="7081"/>
    <cellStyle name="差 3 10" xfId="7082"/>
    <cellStyle name="输出 2 4 3 4 2 2" xfId="7083"/>
    <cellStyle name="汇总 2 2 5 3" xfId="7084"/>
    <cellStyle name="解释性文本 2 9 2 2" xfId="7085"/>
    <cellStyle name="40% - 强调文字颜色 4 3 2 2 2 2" xfId="7086"/>
    <cellStyle name="计算 2 2 4 4 3 3 2 2" xfId="7087"/>
    <cellStyle name="输出 2 5 3 4" xfId="7088"/>
    <cellStyle name="解释性文本 2 4 4 2" xfId="7089"/>
    <cellStyle name="标题 3 2 2 9" xfId="7090"/>
    <cellStyle name="检查单元格 2 3 5" xfId="7091"/>
    <cellStyle name="汇总 2 8 2 5 2 2" xfId="7092"/>
    <cellStyle name="标题 6 2 3 2 3" xfId="7093"/>
    <cellStyle name="适中 2 2 3 3" xfId="7094"/>
    <cellStyle name="20% - 强调文字颜色 5 2 2 3 2 2" xfId="7095"/>
    <cellStyle name="标题 1 3 2" xfId="7096"/>
    <cellStyle name="计算 2 5 2 4 2 6" xfId="7097"/>
    <cellStyle name="汇总 2 6 4 3 2 2" xfId="7098"/>
    <cellStyle name="40% - 强调文字颜色 1 2 4 5 2" xfId="7099"/>
    <cellStyle name="计算 3 2 2 7 2" xfId="7100"/>
    <cellStyle name="解释性文本 2 2 6 3 2 2" xfId="7101"/>
    <cellStyle name="输出 4 2 2 3" xfId="7102"/>
    <cellStyle name="常规 2 2 3 5 2 2" xfId="7103"/>
    <cellStyle name="输出 3 3 5" xfId="7104"/>
    <cellStyle name="40% - 强调文字颜色 4 2 4 3 2 2" xfId="7105"/>
    <cellStyle name="常规 3 2 3" xfId="7106"/>
    <cellStyle name="20% - 强调文字颜色 6 2 2 4 4" xfId="7107"/>
    <cellStyle name="检查单元格 4 2 2 2" xfId="7108"/>
    <cellStyle name="输入 2 4 4 2" xfId="7109"/>
    <cellStyle name="汇总 2 6 3 2 5" xfId="7110"/>
    <cellStyle name="超链接 3 5 3 2 3" xfId="7111"/>
    <cellStyle name="警告文本 2 2 2 4 2" xfId="7112"/>
    <cellStyle name="计算 2 2 10 2 2 2 2" xfId="7113"/>
    <cellStyle name="解释性文本 2 2 2 2 6 2 2" xfId="7114"/>
    <cellStyle name="汇总 2 2 3 2 6" xfId="7115"/>
    <cellStyle name="计算 2 7 2 3 3" xfId="7116"/>
    <cellStyle name="汇总 2 2 4 2 3 6 2 2" xfId="7117"/>
    <cellStyle name="40% - 强调文字颜色 3 3 3 3 2 2 2" xfId="7118"/>
    <cellStyle name="输出 2 3 3 4" xfId="7119"/>
    <cellStyle name="60% - 强调文字颜色 5 2 7 2" xfId="7120"/>
    <cellStyle name="解释性文本 2 2 4 2" xfId="7121"/>
    <cellStyle name="计算 2 2 5 2 2 2 3 2 2" xfId="7122"/>
    <cellStyle name="超链接 2 4 2 2" xfId="7123"/>
    <cellStyle name="60% - 强调文字颜色 2 2 3 4 2" xfId="7124"/>
    <cellStyle name="计算 2 2 4 2 6 4 2" xfId="7125"/>
    <cellStyle name="计算 2 2 5 2 9 2" xfId="7126"/>
    <cellStyle name="60% - 强调文字颜色 3 2 6 2" xfId="7127"/>
    <cellStyle name="解释性文本 2 2 2 4 2 3" xfId="7128"/>
    <cellStyle name="计算 2 11 4 2" xfId="7129"/>
    <cellStyle name="40% - 强调文字颜色 5 2 2 2 6 2 2 2" xfId="7130"/>
    <cellStyle name="汇总 2 2 7 5" xfId="7131"/>
    <cellStyle name="20% - 强调文字颜色 6 2 5 4 2 2" xfId="7132"/>
    <cellStyle name="计算 2 2 4 2 13" xfId="7133"/>
    <cellStyle name="40% - 强调文字颜色 4 5" xfId="7134"/>
    <cellStyle name="汇总 2 7 6 3" xfId="7135"/>
    <cellStyle name="汇总 2 2 8 2 2 7" xfId="7136"/>
    <cellStyle name="检查单元格 2 6 2 2" xfId="7137"/>
    <cellStyle name="汇总 2 3 15" xfId="7138"/>
    <cellStyle name="好 2 2 3 2 2 3" xfId="7139"/>
    <cellStyle name="输出 2 5 2 2 5 2" xfId="7140"/>
    <cellStyle name="适中 4 8" xfId="7141"/>
    <cellStyle name="输出 2 2 3 4 2 5" xfId="7142"/>
    <cellStyle name="计算 2 2 5 2 2 2" xfId="7143"/>
    <cellStyle name="60% - 强调文字颜色 6 2 2 2 4 2 2 2" xfId="7144"/>
    <cellStyle name="40% - 强调文字颜色 6 2 2 3 3" xfId="7145"/>
    <cellStyle name="汇总 2 2 4 2 3 2 2 2 2" xfId="7146"/>
    <cellStyle name="适中 2 3 2 3 4" xfId="7147"/>
    <cellStyle name="注释 2 2 7 3 5" xfId="7148"/>
    <cellStyle name="好 2 2 2 2 2 2 2 2" xfId="7149"/>
    <cellStyle name="60% - 强调文字颜色 5 2 3 3 3" xfId="7150"/>
    <cellStyle name="计算 2 2 5 2 2 7 2" xfId="7151"/>
    <cellStyle name="输出 2 5 6 2 2" xfId="7152"/>
    <cellStyle name="常规 2 4 4 2 2" xfId="7153"/>
    <cellStyle name="20% - 强调文字颜色 5 2 2 2 3 3" xfId="7154"/>
    <cellStyle name="汇总 2 6 4 2 3 3" xfId="7155"/>
    <cellStyle name="解释性文本 2 2 2 2 2 2 2 2 2" xfId="7156"/>
    <cellStyle name="差 2 2 2 9" xfId="7157"/>
    <cellStyle name="链接单元格 2 2 2 8" xfId="7158"/>
    <cellStyle name="40% - 强调文字颜色 3 3 2 2" xfId="7159"/>
    <cellStyle name="20% - 强调文字颜色 1 2 7 2 2" xfId="7160"/>
    <cellStyle name="注释 2 2 3 4 2" xfId="7161"/>
    <cellStyle name="汇总 2 2 3 2 3 5" xfId="7162"/>
    <cellStyle name="汇总 2 2 3 6 3" xfId="7163"/>
    <cellStyle name="适中 2 8 3 2" xfId="7164"/>
    <cellStyle name="差 3 5" xfId="7165"/>
    <cellStyle name="汇总 2 3 10 2" xfId="7166"/>
    <cellStyle name="计算 2 3 2 2 2 2 3" xfId="7167"/>
    <cellStyle name="输出 3 7 2 2" xfId="7168"/>
    <cellStyle name="汇总 2 6 2 8 2" xfId="7169"/>
    <cellStyle name="常规 4 2 3 2 2 4 2" xfId="7170"/>
    <cellStyle name="40% - 强调文字颜色 6 6" xfId="7171"/>
    <cellStyle name="计算 2 2 3 2 4 3 2 2" xfId="7172"/>
    <cellStyle name="链接单元格 3 6" xfId="7173"/>
    <cellStyle name="汇总 2 2 5 7" xfId="7174"/>
    <cellStyle name="常规 4 3 3 4 2 2" xfId="7175"/>
    <cellStyle name="强调文字颜色 3 2 2 4 4 2" xfId="7176"/>
    <cellStyle name="汇总 2 2 5 4 2 6" xfId="7177"/>
    <cellStyle name="注释 2 4 5 3 3" xfId="7178"/>
    <cellStyle name="注释 2 4 3 2 3 3" xfId="7179"/>
    <cellStyle name="适中 2 2 3 5" xfId="7180"/>
    <cellStyle name="汇总 2 2 5 4 2 4 2" xfId="7181"/>
    <cellStyle name="强调文字颜色 2 2 8" xfId="7182"/>
    <cellStyle name="常规 5 2 5 5 2 2" xfId="7183"/>
    <cellStyle name="汇总 2 2 5 4 2 2 2" xfId="7184"/>
    <cellStyle name="标题 3 3 2 4 2 2" xfId="7185"/>
    <cellStyle name="注释 2 4 5 2 4" xfId="7186"/>
    <cellStyle name="适中 2 2 2 6" xfId="7187"/>
    <cellStyle name="输入 2 2 3 2 3 6" xfId="7188"/>
    <cellStyle name="60% - 强调文字颜色 1 2 4 2 2 2 2 2" xfId="7189"/>
    <cellStyle name="输入 2 13" xfId="7190"/>
    <cellStyle name="汇总 2 5 3 2 2 2" xfId="7191"/>
    <cellStyle name="Normal 5 2 2" xfId="7192"/>
    <cellStyle name="计算 2 2 7 2 2 3" xfId="7193"/>
    <cellStyle name="汇总 2 4 5 4" xfId="7194"/>
    <cellStyle name="汇总 2 2 6 5 3 3" xfId="7195"/>
    <cellStyle name="常规 4 2 6" xfId="7196"/>
    <cellStyle name="检查单元格 2 2 2 2 4 3" xfId="7197"/>
    <cellStyle name="输入 2 6 2 2 6 2" xfId="7198"/>
    <cellStyle name="常规 4 8" xfId="7199"/>
    <cellStyle name="60% - 强调文字颜色 5 2 2 2 4 2" xfId="7200"/>
    <cellStyle name="计算 2 2 5 4 2 3" xfId="7201"/>
    <cellStyle name="输出 2 2 4 2 6 2" xfId="7202"/>
    <cellStyle name="输出 2 2 7 3 4" xfId="7203"/>
    <cellStyle name="计算 2 4 3 2 4" xfId="7204"/>
    <cellStyle name="汇总 2 2 5 3 2 4 3" xfId="7205"/>
    <cellStyle name="60% - 强调文字颜色 1 2 2 4 5" xfId="7206"/>
    <cellStyle name="计算 2 2 3 3 2 3" xfId="7207"/>
    <cellStyle name="20% - 强调文字颜色 3 3 4" xfId="7208"/>
    <cellStyle name="输入 2 8 3 3" xfId="7209"/>
    <cellStyle name="超链接 3 4 2 3" xfId="7210"/>
    <cellStyle name="常规 2 3 2 3 2 2 2" xfId="7211"/>
    <cellStyle name="常规 2 3 2 2 4 2 2 2" xfId="7212"/>
    <cellStyle name="检查单元格 2 2 2 2 5 3" xfId="7213"/>
    <cellStyle name="输出 2 15" xfId="7214"/>
    <cellStyle name="常规 4 3 6" xfId="7215"/>
    <cellStyle name="40% - 强调文字颜色 6 2 2 4" xfId="7216"/>
    <cellStyle name="强调文字颜色 1 2 5 2 2" xfId="7217"/>
    <cellStyle name="汇总 2 4 5 3" xfId="7218"/>
    <cellStyle name="40% - 强调文字颜色 2 2 3 2 2 3 3" xfId="7219"/>
    <cellStyle name="强调文字颜色 4 2 2 4 5 3" xfId="7220"/>
    <cellStyle name="汇总 5 5 2" xfId="7221"/>
    <cellStyle name="40% - 强调文字颜色 1 2 2 5 3 2" xfId="7222"/>
    <cellStyle name="计算 2 2 2 11 2" xfId="7223"/>
    <cellStyle name="标题 6 3 3 2" xfId="7224"/>
    <cellStyle name="强调文字颜色 6 2 3 2 2" xfId="7225"/>
    <cellStyle name="汇总 2 2 4 2 2 2 3 2" xfId="7226"/>
    <cellStyle name="计算 2 2 4 3 2 6 2" xfId="7227"/>
    <cellStyle name="输出 2 3 2 2 4 3" xfId="7228"/>
    <cellStyle name="汇总 2 5 5 2 2 3" xfId="7229"/>
    <cellStyle name="汇总 3 2 2 2 5 2" xfId="7230"/>
    <cellStyle name="链接单元格 2 2 7 2 2" xfId="7231"/>
    <cellStyle name="输入 2 5 2 2 3 4" xfId="7232"/>
    <cellStyle name="计算 2 5 2 2 2 4 2 2" xfId="7233"/>
    <cellStyle name="注释 2 4 3 3 2 3" xfId="7234"/>
    <cellStyle name="汇总 2 2 5 2 2 5 3" xfId="7235"/>
    <cellStyle name="输入 2 2 7 3 2 4" xfId="7236"/>
    <cellStyle name="汇总 2 2 2 2 2 3 2 3" xfId="7237"/>
    <cellStyle name="汇总 2 4 4 8" xfId="7238"/>
    <cellStyle name="注释 4 8 2" xfId="7239"/>
    <cellStyle name="注释 2 2 2 2 4 2" xfId="7240"/>
    <cellStyle name="输入 2 2 3 2 2 5 2 2" xfId="7241"/>
    <cellStyle name="强调文字颜色 3 2 2 6 3 3" xfId="7242"/>
    <cellStyle name="超链接 2 3 4 4 2" xfId="7243"/>
    <cellStyle name="计算 2 2 5 2" xfId="7244"/>
    <cellStyle name="40% - 强调文字颜色 2 2 3 5 2 2 2" xfId="7245"/>
    <cellStyle name="差 2 3 3 2 2 3" xfId="7246"/>
    <cellStyle name="20% - 强调文字颜色 5 3 2 2 2 2 2 2" xfId="7247"/>
    <cellStyle name="常规 2 5 3 2" xfId="7248"/>
    <cellStyle name="输出 2 6 5 2" xfId="7249"/>
    <cellStyle name="计算 2 3 3 2 4" xfId="7250"/>
    <cellStyle name="输出 2 2 3 2 6 2" xfId="7251"/>
    <cellStyle name="汇总 2 2 5 2 2 4 3" xfId="7252"/>
    <cellStyle name="常规 4 4 2 3" xfId="7253"/>
    <cellStyle name="汇总 2 6 3 2 4 2 2" xfId="7254"/>
    <cellStyle name="警告文本 2 3 3 2 3" xfId="7255"/>
    <cellStyle name="汇总 2 2 6 2 3 4 2" xfId="7256"/>
    <cellStyle name="标题 5 4 3 3 2" xfId="7257"/>
    <cellStyle name="好 2 2 2 5 2 2" xfId="7258"/>
    <cellStyle name="输入 2 9 5" xfId="7259"/>
    <cellStyle name="超链接 3 5 4" xfId="7260"/>
    <cellStyle name="60% - 强调文字颜色 1 2 2 4 3 2" xfId="7261"/>
    <cellStyle name="20% - 强调文字颜色 3 3 2 2" xfId="7262"/>
    <cellStyle name="强调文字颜色 2 2 4 2 2 2" xfId="7263"/>
    <cellStyle name="计算 2 6 4 3" xfId="7264"/>
    <cellStyle name="强调文字颜色 1 2 3 2 2 4" xfId="7265"/>
    <cellStyle name="标题 2 2 3 2 4 2 2" xfId="7266"/>
    <cellStyle name="输出 2 4 2 7" xfId="7267"/>
    <cellStyle name="解释性文本 2 3 3 5" xfId="7268"/>
    <cellStyle name="输出 2 2 7 7 2 2" xfId="7269"/>
    <cellStyle name="输入 2 2 5 4 2 2 2" xfId="7270"/>
    <cellStyle name="计算 2 5 5 7" xfId="7271"/>
    <cellStyle name="标题 3 2 2 2 3 2 2 2 2" xfId="7272"/>
    <cellStyle name="计算 2 4 3 6 2 2" xfId="7273"/>
    <cellStyle name="输入 2 2 6 6 3" xfId="7274"/>
    <cellStyle name="强调文字颜色 4 2 7 2 3" xfId="7275"/>
    <cellStyle name="标题 4 2 3 2 4 2 3" xfId="7276"/>
    <cellStyle name="60% - 强调文字颜色 1 2 2 2 2 5 2 2" xfId="7277"/>
    <cellStyle name="20% - 强调文字颜色 3 2 3 6" xfId="7278"/>
    <cellStyle name="检查单元格 6" xfId="7279"/>
    <cellStyle name="60% - 强调文字颜色 3 3 2 2 2 2 2 2" xfId="7280"/>
    <cellStyle name="输出 2 6 4 2" xfId="7281"/>
    <cellStyle name="常规 4 2 2 2 3 3 3" xfId="7282"/>
    <cellStyle name="常规 2 5 2 2" xfId="7283"/>
    <cellStyle name="计算 2 7 5" xfId="7284"/>
    <cellStyle name="输出 2 2 3 4 2 2 2" xfId="7285"/>
    <cellStyle name="强调文字颜色 4 2 4 2" xfId="7286"/>
    <cellStyle name="输入 2 2 3 6" xfId="7287"/>
    <cellStyle name="汇总 2 2 5 10 2" xfId="7288"/>
    <cellStyle name="输出 2 6 3 4 2" xfId="7289"/>
    <cellStyle name="常规 13 4 3 4" xfId="7290"/>
    <cellStyle name="注释 2 7 3 3 2" xfId="7291"/>
    <cellStyle name="汇总 2 2 8 2 2 5" xfId="7292"/>
    <cellStyle name="好 2 2 4 2 4" xfId="7293"/>
    <cellStyle name="注释 2 2 6 3 2 3" xfId="7294"/>
    <cellStyle name="计算 2 2 3 2 2 2 7" xfId="7295"/>
    <cellStyle name="适中 2 2 2 2 3" xfId="7296"/>
    <cellStyle name="汇总 4 2 6" xfId="7297"/>
    <cellStyle name="解释性文本 2 4 10" xfId="7298"/>
    <cellStyle name="20% - 强调文字颜色 4 2 2 2 2 2 4 3" xfId="7299"/>
    <cellStyle name="汇总 2 2 2 2 4 4" xfId="7300"/>
    <cellStyle name="解释性文本 5 3" xfId="7301"/>
    <cellStyle name="汇总 2 3 2 2 2 5 2" xfId="7302"/>
    <cellStyle name="输入 2 2 2 2 2 2" xfId="7303"/>
    <cellStyle name="输出 2 2 4 2 3 5" xfId="7304"/>
    <cellStyle name="注释 2 2 2 2 2 3 2 2" xfId="7305"/>
    <cellStyle name="强调文字颜色 1 2 2 5 3 2" xfId="7306"/>
    <cellStyle name="20% - 强调文字颜色 4 2 2 2 2 3" xfId="7307"/>
    <cellStyle name="汇总 2 5 4 7" xfId="7308"/>
    <cellStyle name="输入 2 7 10 2" xfId="7309"/>
    <cellStyle name="标题 3 2 2 2 5 2 2 3" xfId="7310"/>
    <cellStyle name="汇总 2 2 2 2 2 4 2 2" xfId="7311"/>
    <cellStyle name="计算 2 6 3 6 3" xfId="7312"/>
    <cellStyle name="汇总 2 2 4 4 7" xfId="7313"/>
    <cellStyle name="好 2 4 2 2 2 3" xfId="7314"/>
    <cellStyle name="强调文字颜色 5 2" xfId="7315"/>
    <cellStyle name="输出 2 4 2 4 2 5" xfId="7316"/>
    <cellStyle name="计算 2 4 4 2 2 2" xfId="7317"/>
    <cellStyle name="输出 2 2 8 3 2 2" xfId="7318"/>
    <cellStyle name="20% - 强调文字颜色 1 2 2 3 4 2" xfId="7319"/>
    <cellStyle name="强调文字颜色 5 2 5 2 2 2" xfId="7320"/>
    <cellStyle name="20% - 强调文字颜色 3 2 2 2 2 2 3 2 2 2" xfId="7321"/>
    <cellStyle name="60% - 强调文字颜色 4 2 3 4 3 2" xfId="7322"/>
    <cellStyle name="常规 6 3 2 3 3" xfId="7323"/>
    <cellStyle name="汇总 4 3 3 2" xfId="7324"/>
    <cellStyle name="输出 2 2 3 3 6" xfId="7325"/>
    <cellStyle name="60% - 强调文字颜色 3 3 3 3 2" xfId="7326"/>
    <cellStyle name="常规 2 2 2 2 2 3 2 2" xfId="7327"/>
    <cellStyle name="Normal 4 4" xfId="7328"/>
    <cellStyle name="强调文字颜色 2 2 3 5" xfId="7329"/>
    <cellStyle name="20% - 强调文字颜色 2 6" xfId="7330"/>
    <cellStyle name="标题 3 2 3 5 3" xfId="7331"/>
    <cellStyle name="常规 5 2 3 2 2 3 2" xfId="7332"/>
    <cellStyle name="计算 2 2 5 2 2 6" xfId="7333"/>
    <cellStyle name="40% - 强调文字颜色 3 2 2 2 2 2 3 3" xfId="7334"/>
    <cellStyle name="常规 9 3 4 2" xfId="7335"/>
    <cellStyle name="40% - 强调文字颜色 1 4 4 2" xfId="7336"/>
    <cellStyle name="汇总 2 7 3 2 4 2" xfId="7337"/>
    <cellStyle name="超链接 2 4 2 2 3" xfId="7338"/>
    <cellStyle name="汇总 2 8 2 2 5" xfId="7339"/>
    <cellStyle name="计算 2 9 8" xfId="7340"/>
    <cellStyle name="链接单元格 2 3 4 3 2 2" xfId="7341"/>
    <cellStyle name="输出 2 2 2 5 3" xfId="7342"/>
    <cellStyle name="计算 2 2 6 14" xfId="7343"/>
    <cellStyle name="汇总 2 8 5 3" xfId="7344"/>
    <cellStyle name="输出 2 5 3 2 3 2" xfId="7345"/>
    <cellStyle name="输入 2 2 7 3" xfId="7346"/>
    <cellStyle name="计算 2 5 2 4 2 5" xfId="7347"/>
    <cellStyle name="适中 2 2 3 2" xfId="7348"/>
    <cellStyle name="计算 2 2 2 2 2 2 5 3" xfId="7349"/>
    <cellStyle name="输出 4 2 2 2" xfId="7350"/>
    <cellStyle name="汇总 2 2 5 4 8" xfId="7351"/>
    <cellStyle name="标题 3 2 2 2 2 3 3 3" xfId="7352"/>
    <cellStyle name="输入 2 2 4 5 3 3" xfId="7353"/>
    <cellStyle name="20% - 强调文字颜色 2 2 3 7" xfId="7354"/>
    <cellStyle name="输入 2 2 5 3 2 2 3" xfId="7355"/>
    <cellStyle name="超链接 3 5 4 2" xfId="7356"/>
    <cellStyle name="输入 2 9 5 2" xfId="7357"/>
    <cellStyle name="40% - 强调文字颜色 1 2 7 2 2" xfId="7358"/>
    <cellStyle name="计算 2 3 4 4" xfId="7359"/>
    <cellStyle name="输出 2 4 2 12" xfId="7360"/>
    <cellStyle name="汇总 2 2 6 6 3 3" xfId="7361"/>
    <cellStyle name="强调文字颜色 5 2 3 5" xfId="7362"/>
    <cellStyle name="常规 5 2 6" xfId="7363"/>
    <cellStyle name="输出 2 2 3 3 2 4 3" xfId="7364"/>
    <cellStyle name="常规 6 2 6 2" xfId="7365"/>
    <cellStyle name="标题 4 3 4 2 2 2" xfId="7366"/>
    <cellStyle name="注释 2 5 3 2 6" xfId="7367"/>
    <cellStyle name="常规 2 3 2" xfId="7368"/>
    <cellStyle name="40% - 强调文字颜色 2 2 2 2 3 5" xfId="7369"/>
    <cellStyle name="输出 2 4 4" xfId="7370"/>
    <cellStyle name="标题 2 4 2 3 3" xfId="7371"/>
    <cellStyle name="输入 2 6 3 2" xfId="7372"/>
    <cellStyle name="超链接 3 2 2 2" xfId="7373"/>
    <cellStyle name="40% - 强调文字颜色 1 2 3 2 2 2 2" xfId="7374"/>
    <cellStyle name="常规 5 5 4 2" xfId="7375"/>
    <cellStyle name="计算 2 2 8 3 2 7" xfId="7376"/>
    <cellStyle name="汇总 2 2 5 2 2 3 3 3" xfId="7377"/>
    <cellStyle name="40% - 强调文字颜色 6 3 4 2 2" xfId="7378"/>
    <cellStyle name="强调文字颜色 3 2 2 4 4" xfId="7379"/>
    <cellStyle name="输出 2 2 4 3 2 5" xfId="7380"/>
    <cellStyle name="计算 2 2 4 2 3 3 3 2 2" xfId="7381"/>
    <cellStyle name="汇总 2 11 2 3" xfId="7382"/>
    <cellStyle name="解释性文本 2 3 2 4 3 2" xfId="7383"/>
    <cellStyle name="标题 4 2 2" xfId="7384"/>
    <cellStyle name="常规 5 3 4 2 5" xfId="7385"/>
    <cellStyle name="强调文字颜色 4 2 3 2 7" xfId="7386"/>
    <cellStyle name="常规 8 2 2 5 2" xfId="7387"/>
    <cellStyle name="超链接 2 5" xfId="7388"/>
    <cellStyle name="计算 2 2 5 2 2 2 4" xfId="7389"/>
    <cellStyle name="输出 2 2 2 6 2" xfId="7390"/>
    <cellStyle name="计算 2 2 10 2 3" xfId="7391"/>
    <cellStyle name="解释性文本 2 2 2 2 7" xfId="7392"/>
    <cellStyle name="40% - 强调文字颜色 2 2 5 2 2 2" xfId="7393"/>
    <cellStyle name="输入 2 2 4 2 4 2 2 2" xfId="7394"/>
    <cellStyle name="20% - 强调文字颜色 4 2 3 3 4" xfId="7395"/>
    <cellStyle name="计算 4 3 4 2" xfId="7396"/>
    <cellStyle name="注释 2 2 6 6 2" xfId="7397"/>
    <cellStyle name="检查单元格 2 2 4 3" xfId="7398"/>
    <cellStyle name="汇总 4 2 4 2" xfId="7399"/>
    <cellStyle name="计算 2 8 5 3 2 2" xfId="7400"/>
    <cellStyle name="汇总 2 2 4 2 2 5 3" xfId="7401"/>
    <cellStyle name="输出 2 2 4 7" xfId="7402"/>
    <cellStyle name="汇总 2 3 2 2 2 2 3 2" xfId="7403"/>
    <cellStyle name="汇总 2 9 3 2 2" xfId="7404"/>
    <cellStyle name="标题 1 2 3 2 2 2 2 3" xfId="7405"/>
    <cellStyle name="40% - 强调文字颜色 6 2 2 2 4 2 2 2" xfId="7406"/>
    <cellStyle name="强调文字颜色 5 2 2 2 2 4 3" xfId="7407"/>
    <cellStyle name="汇总 2 7 2 2 2 2 2" xfId="7408"/>
    <cellStyle name="输入 2 5 2 3 9" xfId="7409"/>
    <cellStyle name="强调文字颜色 6 2 3 2 2 2 3" xfId="7410"/>
    <cellStyle name="强调文字颜色 3 2 2 2 2 2 2 2 2" xfId="7411"/>
    <cellStyle name="强调文字颜色 5 2 2 2 3 2 3" xfId="7412"/>
    <cellStyle name="输入 2 5 2 7 2 2" xfId="7413"/>
    <cellStyle name="输出 2 4 2 6 2" xfId="7414"/>
    <cellStyle name="汇总 2 4 2 2 9" xfId="7415"/>
    <cellStyle name="强调文字颜色 2 3 5 2" xfId="7416"/>
    <cellStyle name="20% - 强调文字颜色 2 2 3 2 2 3 2 2 2" xfId="7417"/>
    <cellStyle name="60% - 强调文字颜色 5 3 4 2 2" xfId="7418"/>
    <cellStyle name="60% - 强调文字颜色 2 4 4 2 2 2" xfId="7419"/>
    <cellStyle name="标题 1 2 6 2 2" xfId="7420"/>
    <cellStyle name="常规 5 4 3 2 4 2" xfId="7421"/>
    <cellStyle name="强调文字颜色 4 2 2 3 4 2 2" xfId="7422"/>
    <cellStyle name="差 5 2 3" xfId="7423"/>
    <cellStyle name="60% - 强调文字颜色 4 2 2 4 5 2" xfId="7424"/>
    <cellStyle name="强调文字颜色 4 2 3 2 4 4" xfId="7425"/>
    <cellStyle name="计算 2 2 6 3 2 3 2 2" xfId="7426"/>
    <cellStyle name="汇总 2 5 2 3 2 2 2 2" xfId="7427"/>
    <cellStyle name="常规 9 2 2 2 3 4" xfId="7428"/>
    <cellStyle name="40% - 强调文字颜色 6 2 2 3 2 2 2 2 2" xfId="7429"/>
    <cellStyle name="60% - 强调文字颜色 1 2 2 2 3 3" xfId="7430"/>
    <cellStyle name="40% - 强调文字颜色 1 2 8 2 2" xfId="7431"/>
    <cellStyle name="计算 2 4 4 4" xfId="7432"/>
    <cellStyle name="输出 2 2 8 5" xfId="7433"/>
    <cellStyle name="解释性文本 2 2 2 2 2" xfId="7434"/>
    <cellStyle name="注释 2 2 9 2 4" xfId="7435"/>
    <cellStyle name="60% - 强调文字颜色 5 2 5 2 2" xfId="7436"/>
    <cellStyle name="40% - 强调文字颜色 2 2 2 2 2 2 4 2" xfId="7437"/>
    <cellStyle name="汇总 2 2 8 2 8" xfId="7438"/>
    <cellStyle name="40% - 强调文字颜色 5 2 5 2 2 2 2" xfId="7439"/>
    <cellStyle name="汇总 2 2 4 5 4 2" xfId="7440"/>
    <cellStyle name="注释 2 3 5" xfId="7441"/>
    <cellStyle name="输入 2 8 4 2" xfId="7442"/>
    <cellStyle name="常规 2 2 2 2 2 3 3" xfId="7443"/>
    <cellStyle name="超链接 3 4 3 2" xfId="7444"/>
    <cellStyle name="40% - 强调文字颜色 1 2 3 2 4 3 2" xfId="7445"/>
    <cellStyle name="计算 2 10 2 4 2" xfId="7446"/>
    <cellStyle name="常规 4 2 2 2 5 3" xfId="7447"/>
    <cellStyle name="输出 2 4 2 4 4" xfId="7448"/>
    <cellStyle name="20% - 强调文字颜色 5 2 3 4 2" xfId="7449"/>
    <cellStyle name="计算 2 5 12" xfId="7450"/>
    <cellStyle name="注释 2 2 7 3 2 4" xfId="7451"/>
    <cellStyle name="常规 4 3 2 5 2 2" xfId="7452"/>
    <cellStyle name="输入 2 2 6 2 3 3" xfId="7453"/>
    <cellStyle name="输出 2 2 2 2 8 2" xfId="7454"/>
    <cellStyle name="计算 2 2 3 4 4" xfId="7455"/>
    <cellStyle name="注释 2 4 2 3 3 3" xfId="7456"/>
    <cellStyle name="标题 2 2 2 4 4 2" xfId="7457"/>
    <cellStyle name="汇总 2 2 4 5 2 6" xfId="7458"/>
    <cellStyle name="解释性文本 3 2 2 2" xfId="7459"/>
    <cellStyle name="40% - 强调文字颜色 2 3 2 4 2 2 2" xfId="7460"/>
    <cellStyle name="差 3 2 2 2 2 3" xfId="7461"/>
    <cellStyle name="解释性文本 2 2 3 6 2 2" xfId="7462"/>
    <cellStyle name="输出 2 4 2 2 2 5 2" xfId="7463"/>
    <cellStyle name="标题 5 3 3 6" xfId="7464"/>
    <cellStyle name="20% - 强调文字颜色 1 2 3" xfId="7465"/>
    <cellStyle name="40% - 强调文字颜色 2 2 8" xfId="7466"/>
    <cellStyle name="40% - 强调文字颜色 6 2 2 3 3 2 2" xfId="7467"/>
    <cellStyle name="常规 9 5 3 2 3" xfId="7468"/>
    <cellStyle name="60% - 强调文字颜色 5 2 2 4 4 2 2" xfId="7469"/>
    <cellStyle name="注释 2 6 13" xfId="7470"/>
    <cellStyle name="输出 2 5 2 4 3" xfId="7471"/>
    <cellStyle name="40% - 强调文字颜色 2 2 2 2 2 2 4 2 2 2" xfId="7472"/>
    <cellStyle name="20% - 强调文字颜色 2 2 2 4 5 2 2" xfId="7473"/>
    <cellStyle name="输出 2 2 5 4 6" xfId="7474"/>
    <cellStyle name="常规 16 4" xfId="7475"/>
    <cellStyle name="输出 2 4 4 4 3" xfId="7476"/>
    <cellStyle name="常规 2 3 2 4 3" xfId="7477"/>
    <cellStyle name="常规 5 2 6 3 2 2" xfId="7478"/>
    <cellStyle name="常规 9 5 2 4" xfId="7479"/>
    <cellStyle name="20% - 强调文字颜色 6 3 3 2 2 2 2" xfId="7480"/>
    <cellStyle name="链接单元格 2 3 4 3 2" xfId="7481"/>
    <cellStyle name="计算 2 2 4 2 4 3 2" xfId="7482"/>
    <cellStyle name="输出 2 2 4 5 2" xfId="7483"/>
    <cellStyle name="输入 2 2 2 3 3" xfId="7484"/>
    <cellStyle name="计算 2 2 6 3 2 6" xfId="7485"/>
    <cellStyle name="汇总 2 5 2 3 2 5" xfId="7486"/>
    <cellStyle name="汇总 2 2 4 4 2 2 3" xfId="7487"/>
    <cellStyle name="链接单元格 3 3 4" xfId="7488"/>
    <cellStyle name="汇总 2 2 4 4 2 3" xfId="7489"/>
    <cellStyle name="汇总 2 2 4 4 2 2 2" xfId="7490"/>
    <cellStyle name="汇总 2 5 2 3 2 4" xfId="7491"/>
    <cellStyle name="链接单元格 3 3 3" xfId="7492"/>
    <cellStyle name="计算 2 2 6 3 2 5" xfId="7493"/>
    <cellStyle name="差 2 3 2 3 3 2" xfId="7494"/>
    <cellStyle name="40% - 强调文字颜色 6 2 2" xfId="7495"/>
    <cellStyle name="解释性文本 4 2 4" xfId="7496"/>
    <cellStyle name="好 4 3 2 3" xfId="7497"/>
    <cellStyle name="汇总 2 2 4 3 7" xfId="7498"/>
    <cellStyle name="输出 2 2 3" xfId="7499"/>
    <cellStyle name="汇总 2 2 3 2 2 5 2" xfId="7500"/>
    <cellStyle name="注释 2 2 3 3 2 2" xfId="7501"/>
    <cellStyle name="警告文本 2 4 2 2 2 2" xfId="7502"/>
    <cellStyle name="适中 2 2 3 3 4" xfId="7503"/>
    <cellStyle name="计算 2 2 5 3 2 5 2" xfId="7504"/>
    <cellStyle name="常规 9 2 3 4 3" xfId="7505"/>
    <cellStyle name="汇总 2 2 4 3 2 2 2 2" xfId="7506"/>
    <cellStyle name="输出 2 4 2 2 3 3" xfId="7507"/>
    <cellStyle name="输入 2 2 3" xfId="7508"/>
    <cellStyle name="汇总 2 2 2 4 5 2 2" xfId="7509"/>
    <cellStyle name="40% - 强调文字颜色 4 2 4 4" xfId="7510"/>
    <cellStyle name="强调文字颜色 1 2 4 3 2" xfId="7511"/>
    <cellStyle name="强调文字颜色 5 2 2 3 2 2 2 2" xfId="7512"/>
    <cellStyle name="计算 2 5 4 2 5 2" xfId="7513"/>
    <cellStyle name="解释性文本 2 2 2 2 5" xfId="7514"/>
    <cellStyle name="汇总 2 5 4 4 3" xfId="7515"/>
    <cellStyle name="40% - 强调文字颜色 6 2 2 2 4 3" xfId="7516"/>
    <cellStyle name="汇总 2 7 2 2 3" xfId="7517"/>
    <cellStyle name="常规 4 3 4 4 3" xfId="7518"/>
    <cellStyle name="20% - 强调文字颜色 2 2 3 2 5 2 2 2" xfId="7519"/>
    <cellStyle name="适中 2 2 2 2 6" xfId="7520"/>
    <cellStyle name="常规 5 2 3 2 3 3 2" xfId="7521"/>
    <cellStyle name="输出 2 2 5 11" xfId="7522"/>
    <cellStyle name="计算 2 2 5 3 2 6" xfId="7523"/>
    <cellStyle name="汇总 2 2 4 3 2 2 3" xfId="7524"/>
    <cellStyle name="常规 5 3 3 2 4" xfId="7525"/>
    <cellStyle name="强调文字颜色 3 2 2 4 2 2" xfId="7526"/>
    <cellStyle name="输入 2 2 4 2 2 2 2 3 2" xfId="7527"/>
    <cellStyle name="汇总 2 8 3 2 2 2 2" xfId="7528"/>
    <cellStyle name="20% - 强调文字颜色 3 2 3 2 2 3 2" xfId="7529"/>
    <cellStyle name="20% - 强调文字颜色 6 2 4 5" xfId="7530"/>
    <cellStyle name="差 4 3 2 2 2" xfId="7531"/>
    <cellStyle name="输入 2 4 4 5" xfId="7532"/>
    <cellStyle name="标题 3 2 2 4 2 3" xfId="7533"/>
    <cellStyle name="汇总 2 6 3 2 8" xfId="7534"/>
    <cellStyle name="输入 2 2 6 3 2 2 2" xfId="7535"/>
    <cellStyle name="计算 2 5 2 6 2 2" xfId="7536"/>
    <cellStyle name="检查单元格 2 2 2 4 2 2" xfId="7537"/>
    <cellStyle name="强调文字颜色 2 2 2 2 2 3 3 2" xfId="7538"/>
    <cellStyle name="强调文字颜色 5 2 4 7" xfId="7539"/>
    <cellStyle name="计算 3 2 6 3" xfId="7540"/>
    <cellStyle name="注释 2 2 4 2 2 2 2" xfId="7541"/>
    <cellStyle name="20% - 强调文字颜色 4 2 2 4 5" xfId="7542"/>
    <cellStyle name="输出 2 2 8 2 5" xfId="7543"/>
    <cellStyle name="输出 2 2 4 3 5 3" xfId="7544"/>
    <cellStyle name="40% - 强调文字颜色 4 3 2 2 3 2 2" xfId="7545"/>
    <cellStyle name="输出 2 4 2 3 3" xfId="7546"/>
    <cellStyle name="常规 9 2 4 4" xfId="7547"/>
    <cellStyle name="计算 2 2 4 4 2 2" xfId="7548"/>
    <cellStyle name="超链接 2 5 5" xfId="7549"/>
    <cellStyle name="好 2 2 2 4 2 3" xfId="7550"/>
    <cellStyle name="输入 2 2 4 3 2 4 2" xfId="7551"/>
    <cellStyle name="解释性文本 2 7 3" xfId="7552"/>
    <cellStyle name="输出 2 2 2 2 2 2 2 2" xfId="7553"/>
    <cellStyle name="注释 3 2 2 2" xfId="7554"/>
    <cellStyle name="计算 2 2 7 2 5 2" xfId="7555"/>
    <cellStyle name="60% - 强调文字颜色 5 2 2 2" xfId="7556"/>
    <cellStyle name="常规 5 3 2 3 2" xfId="7557"/>
    <cellStyle name="输出 3 2 2 7 2" xfId="7558"/>
    <cellStyle name="40% - 强调文字颜色 2 2 3 2 5" xfId="7559"/>
    <cellStyle name="汇总 2 6 2 3 2 2 2" xfId="7560"/>
    <cellStyle name="注释 2 4 4 6" xfId="7561"/>
    <cellStyle name="汇总 2 2 9 2 3 2" xfId="7562"/>
    <cellStyle name="输入 2 5 9 3" xfId="7563"/>
    <cellStyle name="标题 5 7" xfId="7564"/>
    <cellStyle name="标题 3 2 3 2 2" xfId="7565"/>
    <cellStyle name="60% - 强调文字颜色 4 2 2 3 4 3" xfId="7566"/>
    <cellStyle name="计算 2 2 6 5 2 2" xfId="7567"/>
    <cellStyle name="60% - 强调文字颜色 3 2 2 5 2 2 2" xfId="7568"/>
    <cellStyle name="计算 2 2 4 7 3" xfId="7569"/>
    <cellStyle name="60% - 强调文字颜色 3 2 2 3 4 3" xfId="7570"/>
    <cellStyle name="20% - 强调文字颜色 1 2 3 7" xfId="7571"/>
    <cellStyle name="适中 2 3 2 8" xfId="7572"/>
    <cellStyle name="输入 2 2 5 2 2 2 3" xfId="7573"/>
    <cellStyle name="60% - 强调文字颜色 3 3 4" xfId="7574"/>
    <cellStyle name="60% - 强调文字颜色 2 2 4 2" xfId="7575"/>
    <cellStyle name="计算 2 2 5 3 7" xfId="7576"/>
    <cellStyle name="计算 2 2 4 2 7 2" xfId="7577"/>
    <cellStyle name="计算 2 12 2" xfId="7578"/>
    <cellStyle name="20% - 强调文字颜色 2 2 2 6 3 2" xfId="7579"/>
    <cellStyle name="常规 5 2 9" xfId="7580"/>
    <cellStyle name="注释 4 3 2 2" xfId="7581"/>
    <cellStyle name="60% - 强调文字颜色 2 2 2 3 7" xfId="7582"/>
    <cellStyle name="40% - 强调文字颜色 1 2 2 4 5 2" xfId="7583"/>
    <cellStyle name="汇总 4 7 2" xfId="7584"/>
    <cellStyle name="强调文字颜色 3 2 3 5" xfId="7585"/>
    <cellStyle name="汇总 2 2 4 6 3 3" xfId="7586"/>
    <cellStyle name="常规 9 2 4 3 2 2" xfId="7587"/>
    <cellStyle name="输出 2 4 2 3 2 2 2" xfId="7588"/>
    <cellStyle name="汇总 2 2 4 2 3 2 2 2" xfId="7589"/>
    <cellStyle name="输入 2 2 6 2 2 7" xfId="7590"/>
    <cellStyle name="60% - 强调文字颜色 6 2 2 2 4 2 2" xfId="7591"/>
    <cellStyle name="计算 4 6 3" xfId="7592"/>
    <cellStyle name="计算 2 2 4 4 2 5 2" xfId="7593"/>
    <cellStyle name="好 4 4 2 2 2" xfId="7594"/>
    <cellStyle name="输出 2 2 4 2 3 2 3" xfId="7595"/>
    <cellStyle name="常规 14 2 2 2" xfId="7596"/>
    <cellStyle name="计算 2 2 2 14" xfId="7597"/>
    <cellStyle name="计算 2 2 4 10 3" xfId="7598"/>
    <cellStyle name="计算 2 2 6 2 3 2" xfId="7599"/>
    <cellStyle name="强调文字颜色 6 2 2 4 3 2 2" xfId="7600"/>
    <cellStyle name="输出 2 2 3 7 3" xfId="7601"/>
    <cellStyle name="20% - 强调文字颜色 4 2 3 2 2 3 2 2 2" xfId="7602"/>
    <cellStyle name="20% - 强调文字颜色 1 2 2 2 2 5" xfId="7603"/>
    <cellStyle name="汇总 2 2 11 2" xfId="7604"/>
    <cellStyle name="适中 2 3 4 2" xfId="7605"/>
    <cellStyle name="20% - 强调文字颜色 3 2 2 2 4 2 2" xfId="7606"/>
    <cellStyle name="计算 2 9 2 2" xfId="7607"/>
    <cellStyle name="输出 2 7 6 3" xfId="7608"/>
    <cellStyle name="标题 1 3 4" xfId="7609"/>
    <cellStyle name="强调文字颜色 4 2 2 4 2" xfId="7610"/>
    <cellStyle name="20% - 强调文字颜色 6 2 3 3 2 2" xfId="7611"/>
    <cellStyle name="40% - 强调文字颜色 3 2 3 4 2 2 2" xfId="7612"/>
    <cellStyle name="注释 2 2 3 5 3 2 2" xfId="7613"/>
    <cellStyle name="常规 5 4" xfId="7614"/>
    <cellStyle name="20% - 强调文字颜色 1 2 3 2 2 2 2 2 2 2" xfId="7615"/>
    <cellStyle name="输出 4 3 3 2" xfId="7616"/>
    <cellStyle name="差 2 2 2 2 4 3" xfId="7617"/>
    <cellStyle name="输出 2 11" xfId="7618"/>
    <cellStyle name="差 2 2 2 2 3 2 2" xfId="7619"/>
    <cellStyle name="常规 4 3 2" xfId="7620"/>
    <cellStyle name="计算 2 3 6" xfId="7621"/>
    <cellStyle name="标题 1 2 2 7" xfId="7622"/>
    <cellStyle name="检查单元格 2 2 3 4 3" xfId="7623"/>
    <cellStyle name="60% - 强调文字颜色 2 2 2 4 2 3" xfId="7624"/>
    <cellStyle name="60% - 强调文字颜色 3 4 3 2 2 2" xfId="7625"/>
    <cellStyle name="汇总 2 4 3 4 2" xfId="7626"/>
    <cellStyle name="标题 5 5 4" xfId="7627"/>
    <cellStyle name="输出 2 2 2 3 2 2 3" xfId="7628"/>
    <cellStyle name="输入 3 2 2 6" xfId="7629"/>
    <cellStyle name="计算 2 6 2 2 3 3 3" xfId="7630"/>
    <cellStyle name="强调文字颜色 5 2 3 2" xfId="7631"/>
    <cellStyle name="百分比 2 2 3 2 2 3" xfId="7632"/>
    <cellStyle name="40% - 强调文字颜色 5 2 2 2 2 3 3" xfId="7633"/>
    <cellStyle name="输出 4 5 2 2" xfId="7634"/>
    <cellStyle name="差 2 2 2 4 3 3" xfId="7635"/>
    <cellStyle name="链接单元格 2 2 3 3 3 2" xfId="7636"/>
    <cellStyle name="标题 5 2 2 4 4" xfId="7637"/>
    <cellStyle name="60% - 强调文字颜色 1 2 3 5 2 2" xfId="7638"/>
    <cellStyle name="链接单元格 2 4 7" xfId="7639"/>
    <cellStyle name="常规 10 2 2 2 5" xfId="7640"/>
    <cellStyle name="计算 4 2 3 2 3" xfId="7641"/>
    <cellStyle name="常规 5 2 2 2 2 3 4 2" xfId="7642"/>
    <cellStyle name="20% - 强调文字颜色 4 2 2 2 4 3" xfId="7643"/>
    <cellStyle name="强调文字颜色 6 3 2 2 3 2" xfId="7644"/>
    <cellStyle name="强调文字颜色 1 2 3 2 2 2 2 2 2" xfId="7645"/>
    <cellStyle name="计算 3 2 4 2 3" xfId="7646"/>
    <cellStyle name="计算 2 2 4 2 3 10" xfId="7647"/>
    <cellStyle name="20% - 强调文字颜色 6 3 2 2 4" xfId="7648"/>
    <cellStyle name="解释性文本 3 2 2 4" xfId="7649"/>
    <cellStyle name="计算 3 4 3 2 2" xfId="7650"/>
    <cellStyle name="汇总 2 2 2 2 2 2 5 3" xfId="7651"/>
    <cellStyle name="强调文字颜色 5 2 4 2 2 3" xfId="7652"/>
    <cellStyle name="60% - 强调文字颜色 4 2 2 4 3 3" xfId="7653"/>
    <cellStyle name="强调文字颜色 3 2 2 2 2 7" xfId="7654"/>
    <cellStyle name="强调文字颜色 4 2 3 2 2 5" xfId="7655"/>
    <cellStyle name="链接单元格 2 3 4 2 2 2" xfId="7656"/>
    <cellStyle name="汇总 2 7 5 3" xfId="7657"/>
    <cellStyle name="警告文本 2 2 4 6" xfId="7658"/>
    <cellStyle name="计算 2 2 2 2 3 2 2 2" xfId="7659"/>
    <cellStyle name="计算 2 16 2 2" xfId="7660"/>
    <cellStyle name="20% - 强调文字颜色 2 2" xfId="7661"/>
    <cellStyle name="计算 2 4 2 2 6" xfId="7662"/>
    <cellStyle name="输出 2 2 6 3 6" xfId="7663"/>
    <cellStyle name="输入 2 2 4 5 2 2 2" xfId="7664"/>
    <cellStyle name="20% - 强调文字颜色 2 2 2 6 2" xfId="7665"/>
    <cellStyle name="标题 3 2 2 2 2 3 2 2 2" xfId="7666"/>
    <cellStyle name="标题 4 2 2 3 4 2 3" xfId="7667"/>
    <cellStyle name="计算 2 2 9 2 3 2" xfId="7668"/>
    <cellStyle name="标题 3 2 8" xfId="7669"/>
    <cellStyle name="20% - 强调文字颜色 5 3 3 3 2 2" xfId="7670"/>
    <cellStyle name="汇总 2 7 5 3 2 2" xfId="7671"/>
    <cellStyle name="计算 2 6 2 8" xfId="7672"/>
    <cellStyle name="输入 2 2 7 3 4" xfId="7673"/>
    <cellStyle name="强调文字颜色 2 2 2 2 2 2 2 2 2" xfId="7674"/>
    <cellStyle name="20% - 强调文字颜色 1 3 2 2 2 2 2" xfId="7675"/>
    <cellStyle name="20% - 强调文字颜色 4 3 2 2 3" xfId="7676"/>
    <cellStyle name="输入 2 8 2 7" xfId="7677"/>
    <cellStyle name="汇总 2 2 2 3 3 3 2" xfId="7678"/>
    <cellStyle name="标题 2 2 5" xfId="7679"/>
    <cellStyle name="强调文字颜色 4 2 3 3 3" xfId="7680"/>
    <cellStyle name="输入 2 2 2 7 3" xfId="7681"/>
    <cellStyle name="输出 2 2 7 3 3 2" xfId="7682"/>
    <cellStyle name="计算 2 4 3 2 3 2" xfId="7683"/>
    <cellStyle name="适中 2 4 3 3" xfId="7684"/>
    <cellStyle name="常规 5 2 3 2 3 3" xfId="7685"/>
    <cellStyle name="解释性文本 2 9 2" xfId="7686"/>
    <cellStyle name="计算 2 2 4 2 5 2 2 2" xfId="7687"/>
    <cellStyle name="60% - 强调文字颜色 2 2 2 2 2 2" xfId="7688"/>
    <cellStyle name="计算 2 10 2 2 2" xfId="7689"/>
    <cellStyle name="计算 2 2 4 3 2 2 3" xfId="7690"/>
    <cellStyle name="20% - 强调文字颜色 1 2 5 3 2" xfId="7691"/>
    <cellStyle name="汇总 2 2 11 4 2" xfId="7692"/>
    <cellStyle name="计算 2 4 2 2 3 5" xfId="7693"/>
    <cellStyle name="常规 5 2 4 3 4" xfId="7694"/>
    <cellStyle name="20% - 强调文字颜色 4 2 2 2 2 2 3 2 2" xfId="7695"/>
    <cellStyle name="标题 3 2 4 4 2 2 2" xfId="7696"/>
    <cellStyle name="汇总 2 2 2 2 3 3 2" xfId="7697"/>
    <cellStyle name="注释 2 5 2 3 5" xfId="7698"/>
    <cellStyle name="解释性文本 4 2 2" xfId="7699"/>
    <cellStyle name="注释 2 2 7 6 2 2" xfId="7700"/>
    <cellStyle name="无色 3 2" xfId="7701"/>
    <cellStyle name="检查单元格 2 3 4 3 2" xfId="7702"/>
    <cellStyle name="强调文字颜色 2 2 2 3 4 2 3" xfId="7703"/>
    <cellStyle name="汇总 2 7 3 6" xfId="7704"/>
    <cellStyle name="20% - 强调文字颜色 3 3 3 4 2" xfId="7705"/>
    <cellStyle name="计算 2 6 4 2 6" xfId="7706"/>
    <cellStyle name="输出 2 3 9 2" xfId="7707"/>
    <cellStyle name="常规 2 2 7 2" xfId="7708"/>
    <cellStyle name="汇总 2 2 2 2 2 9" xfId="7709"/>
    <cellStyle name="汇总 2 6 3 2 2 2 2" xfId="7710"/>
    <cellStyle name="强调文字颜色 3 2 2 2 2 3 3 3" xfId="7711"/>
    <cellStyle name="常规 9 6 2 2 2" xfId="7712"/>
    <cellStyle name="输入 2 2 2 2 3 6" xfId="7713"/>
    <cellStyle name="标题 1 2 2 2 2 4 3 2" xfId="7714"/>
    <cellStyle name="40% - 强调文字颜色 1 2 2 2 3 2 2 2 2" xfId="7715"/>
    <cellStyle name="计算 2 2 6 2 2 3" xfId="7716"/>
    <cellStyle name="汇总 2 5 2 2 2 2" xfId="7717"/>
    <cellStyle name="适中 2 2 2" xfId="7718"/>
    <cellStyle name="标题 5 2 4 5 2 2" xfId="7719"/>
    <cellStyle name="输入 2 5 4 8" xfId="7720"/>
    <cellStyle name="强调文字颜色 1 2 2 2 3 3 2" xfId="7721"/>
    <cellStyle name="链接单元格 2 3 5 2 3" xfId="7722"/>
    <cellStyle name="强调文字颜色 6 2 7 2" xfId="7723"/>
    <cellStyle name="适中 2 2 4 5 2" xfId="7724"/>
    <cellStyle name="超链接 3 2 3 4 3" xfId="7725"/>
    <cellStyle name="输入 2 6 4 4 3" xfId="7726"/>
    <cellStyle name="计算 2 8 2 5 2" xfId="7727"/>
    <cellStyle name="汇总 3 13" xfId="7728"/>
    <cellStyle name="注释 2 2 4 2 2 4 3" xfId="7729"/>
    <cellStyle name="强调文字颜色 3 2 2 4 2 2 2" xfId="7730"/>
    <cellStyle name="汇总 2 2 3 7 2" xfId="7731"/>
    <cellStyle name="计算 2 2 2 2 3 8" xfId="7732"/>
    <cellStyle name="汇总 2 5 2 3 2 4 2 2" xfId="7733"/>
    <cellStyle name="适中 2 9 2" xfId="7734"/>
    <cellStyle name="注释 2 4 3 6 2" xfId="7735"/>
    <cellStyle name="注释 2 2 2 3 2 6" xfId="7736"/>
    <cellStyle name="汇总 2 2 9 2 2 2 2" xfId="7737"/>
    <cellStyle name="计算 2 6 4 4" xfId="7738"/>
    <cellStyle name="强调文字颜色 1 2 3 2 2 5" xfId="7739"/>
    <cellStyle name="输出 2 2 2 2 2 2 2 2 2" xfId="7740"/>
    <cellStyle name="标题 4 4" xfId="7741"/>
    <cellStyle name="20% - 强调文字颜色 5 2 2 6 3" xfId="7742"/>
    <cellStyle name="计算 2 5 2 5" xfId="7743"/>
    <cellStyle name="常规 2 2 4 6" xfId="7744"/>
    <cellStyle name="常规 9 3 2 3 2 3" xfId="7745"/>
    <cellStyle name="40% - 强调文字颜色 4 2 5 4" xfId="7746"/>
    <cellStyle name="20% - 强调文字颜色 2 2 4 3 2 2 2" xfId="7747"/>
    <cellStyle name="汇总 2 2 7 3 3 3" xfId="7748"/>
    <cellStyle name="计算 3 3 2 4 2" xfId="7749"/>
    <cellStyle name="常规 2 2 2 2 2 4 2" xfId="7750"/>
    <cellStyle name="注释 2 4 4" xfId="7751"/>
    <cellStyle name="检查单元格 2 2 5 4" xfId="7752"/>
    <cellStyle name="强调文字颜色 1 2 2 6 3" xfId="7753"/>
    <cellStyle name="输入 2 2 8 2 4 2" xfId="7754"/>
    <cellStyle name="输出 2 2 4 2 8" xfId="7755"/>
    <cellStyle name="汇总 2 8 3 3 2" xfId="7756"/>
    <cellStyle name="常规 5 2 5 3 3 2" xfId="7757"/>
    <cellStyle name="超链接 2 2 2 2 2 2 2 2" xfId="7758"/>
    <cellStyle name="链接单元格 2 2 4 4 2" xfId="7759"/>
    <cellStyle name="汇总 2 2 6 3 9" xfId="7760"/>
    <cellStyle name="差 2 2 2 2 2 4" xfId="7761"/>
    <cellStyle name="常规 3 5" xfId="7762"/>
    <cellStyle name="差 3 2 3 2 2 2" xfId="7763"/>
    <cellStyle name="输入 2 3 3 4 2 2" xfId="7764"/>
    <cellStyle name="60% - 强调文字颜色 3 3 2 2 3 2" xfId="7765"/>
    <cellStyle name="20% - 强调文字颜色 2 3 3 3 2" xfId="7766"/>
    <cellStyle name="强调文字颜色 2 2 3 2 3 3 2" xfId="7767"/>
    <cellStyle name="计算 2 2 3 2 2 2 3 2" xfId="7768"/>
    <cellStyle name="汇总 2 4 2 2 3 3" xfId="7769"/>
    <cellStyle name="计算 2 5 2 3 3" xfId="7770"/>
    <cellStyle name="注释 2 4 5 2 2 2" xfId="7771"/>
    <cellStyle name="输入 2 3 4 2 4" xfId="7772"/>
    <cellStyle name="适中 2 2 2 4 2" xfId="7773"/>
    <cellStyle name="汇总 4 4 5" xfId="7774"/>
    <cellStyle name="标题 2 2 3 2 5 2" xfId="7775"/>
    <cellStyle name="输出 2 2 2 4 7" xfId="7776"/>
    <cellStyle name="输出 2 2 4 8" xfId="7777"/>
    <cellStyle name="汇总 2 3 2 2 2 2 3 3" xfId="7778"/>
    <cellStyle name="警告文本 2 3 4 2 3" xfId="7779"/>
    <cellStyle name="说明文本 2 5" xfId="7780"/>
    <cellStyle name="输入 2 5 4 3 3" xfId="7781"/>
    <cellStyle name="汇总 2 2 3 3 5" xfId="7782"/>
    <cellStyle name="计算 2 7 2 4 2" xfId="7783"/>
    <cellStyle name="汇总 3 2 4 2 2" xfId="7784"/>
    <cellStyle name="强调文字颜色 4 2 2 2 2 5 2 2" xfId="7785"/>
    <cellStyle name="60% - 强调文字颜色 5 3 2 2 4" xfId="7786"/>
    <cellStyle name="40% - 强调文字颜色 6 2 4 4 2" xfId="7787"/>
    <cellStyle name="汇总 2 7 2 2 2 2 3" xfId="7788"/>
    <cellStyle name="强调文字颜色 5 2 2 2 2 4 4" xfId="7789"/>
    <cellStyle name="计算 2 7 12 2" xfId="7790"/>
    <cellStyle name="检查单元格 3 4 2" xfId="7791"/>
    <cellStyle name="40% - 强调文字颜色 2 4 3" xfId="7792"/>
    <cellStyle name="汇总 2 7 4 2 3" xfId="7793"/>
    <cellStyle name="40% - 强调文字颜色 2 2 3 6" xfId="7794"/>
    <cellStyle name="强调文字颜色 6 2 2 6 2 3" xfId="7795"/>
    <cellStyle name="输出 2 12 2 2" xfId="7796"/>
    <cellStyle name="适中 2 2 3 2 2" xfId="7797"/>
    <cellStyle name="汇总 5 2 5" xfId="7798"/>
    <cellStyle name="20% - 强调文字颜色 1 2 2 2 2 2 2 2 2 2 2" xfId="7799"/>
    <cellStyle name="强调文字颜色 1 3 3 2" xfId="7800"/>
    <cellStyle name="注释 2 3 4 3 2" xfId="7801"/>
    <cellStyle name="汇总 2 4 3 2 3 2 2" xfId="7802"/>
    <cellStyle name="汇总 2 2 4 3 2 5" xfId="7803"/>
    <cellStyle name="标题 1 2 3 3 5" xfId="7804"/>
    <cellStyle name="汇总 2 4 2 4 3" xfId="7805"/>
    <cellStyle name="40% - 强调文字颜色 1 2 2 2 2 2 4 3" xfId="7806"/>
    <cellStyle name="汇总 2 2 4 3 3 4 2" xfId="7807"/>
    <cellStyle name="汇总 2 8 6 2 2" xfId="7808"/>
    <cellStyle name="20% - 强调文字颜色 3 2 3 3 2" xfId="7809"/>
    <cellStyle name="60% - 强调文字颜色 1 2 2 3 4 3 2" xfId="7810"/>
    <cellStyle name="计算 2 5 5 4 2" xfId="7811"/>
    <cellStyle name="注释 2 4 2 7 2 2" xfId="7812"/>
    <cellStyle name="输入 2 2 4 2 6" xfId="7813"/>
    <cellStyle name="常规 11 3 5 2" xfId="7814"/>
    <cellStyle name="计算 2 4 2 3 5" xfId="7815"/>
    <cellStyle name="输入 2 2 4 13" xfId="7816"/>
    <cellStyle name="输出 2 2 6 4 5" xfId="7817"/>
    <cellStyle name="输出 2 5 4 2 3" xfId="7818"/>
    <cellStyle name="汇总 2 4 10" xfId="7819"/>
    <cellStyle name="强调文字颜色 5 2 2 4 5 3" xfId="7820"/>
    <cellStyle name="计算 2 5 4 6 2" xfId="7821"/>
    <cellStyle name="标题 3 2 2 2 4 3 2 2" xfId="7822"/>
    <cellStyle name="输入 2 2 6 5 2 2" xfId="7823"/>
    <cellStyle name="20% - 强调文字颜色 4 2 2 6" xfId="7824"/>
    <cellStyle name="输入 2 4 10" xfId="7825"/>
    <cellStyle name="计算 2 2 7 2 2 2 2" xfId="7826"/>
    <cellStyle name="注释 2 2 3 2 4" xfId="7827"/>
    <cellStyle name="输入 2 12 2" xfId="7828"/>
    <cellStyle name="超链接 2 2 4 2" xfId="7829"/>
    <cellStyle name="汇总 2 4 2 2 6 2 2" xfId="7830"/>
    <cellStyle name="计算 2 2 5 2 2 2 2 2 2" xfId="7831"/>
    <cellStyle name="超链接 2 3 2 2" xfId="7832"/>
    <cellStyle name="解释性文本 2 2 2 2 5 2 2" xfId="7833"/>
    <cellStyle name="计算 2 5 4 3 2 2 2" xfId="7834"/>
    <cellStyle name="40% - 强调文字颜色 4 2 2 2 2 2 2 3" xfId="7835"/>
    <cellStyle name="汇总 6 2" xfId="7836"/>
    <cellStyle name="计算 2 5 2 2 3 4" xfId="7837"/>
    <cellStyle name="常规 10 2 3" xfId="7838"/>
    <cellStyle name="计算 2 2 2 3 3 4 2" xfId="7839"/>
    <cellStyle name="输入 2 3 2 7" xfId="7840"/>
    <cellStyle name="差 3 2 2 5" xfId="7841"/>
    <cellStyle name="强调文字颜色 4 3 3 3" xfId="7842"/>
    <cellStyle name="强调文字颜色 6 3" xfId="7843"/>
    <cellStyle name="计算 2 4 4 2 3 3" xfId="7844"/>
    <cellStyle name="强调文字颜色 4 2 2 2 2 3 3 2 2" xfId="7845"/>
    <cellStyle name="超链接 3 2 6" xfId="7846"/>
    <cellStyle name="输入 2 6 7" xfId="7847"/>
    <cellStyle name="注释 2 2 5 3 3 2" xfId="7848"/>
    <cellStyle name="40% - 强调文字颜色 3 2 5 2 2 2" xfId="7849"/>
    <cellStyle name="解释性文本 4 5" xfId="7850"/>
    <cellStyle name="输出 2 2 5 3 3 2 2" xfId="7851"/>
    <cellStyle name="警告文本 2 2 2 4 3" xfId="7852"/>
    <cellStyle name="强调文字颜色 3 2 2 2 2 3 2 3" xfId="7853"/>
    <cellStyle name="标题 5 3 7 2" xfId="7854"/>
    <cellStyle name="计算 2 4 2 13" xfId="7855"/>
    <cellStyle name="警告文本 2 5 3 3" xfId="7856"/>
    <cellStyle name="计算 2 2 4 2 2 4" xfId="7857"/>
    <cellStyle name="60% - 强调文字颜色 2 2 4 2 2" xfId="7858"/>
    <cellStyle name="计算 2 2 4 2 7 2 2" xfId="7859"/>
    <cellStyle name="计算 2 2 5 3 7 2" xfId="7860"/>
    <cellStyle name="60% - 强调文字颜色 3 3 4 2" xfId="7861"/>
    <cellStyle name="计算 2 12 2 2" xfId="7862"/>
    <cellStyle name="常规 9 2 2 2 3 3" xfId="7863"/>
    <cellStyle name="计算 2 2 2 2 2 4 2 2" xfId="7864"/>
    <cellStyle name="强调文字颜色 2 2 2 3 8" xfId="7865"/>
    <cellStyle name="常规 3 2 4 2 3 2 2" xfId="7866"/>
    <cellStyle name="常规 7 9" xfId="7867"/>
    <cellStyle name="输入 2 4 6 2 2" xfId="7868"/>
    <cellStyle name="常规 13 2 2 2 2 2 2" xfId="7869"/>
    <cellStyle name="注释 2 2 2 2 2 4" xfId="7870"/>
    <cellStyle name="计算 2 7 4 2 2 3" xfId="7871"/>
    <cellStyle name="注释 3 2 3 2 2 2" xfId="7872"/>
    <cellStyle name="计算 2 3 2 2 2 5 2 2" xfId="7873"/>
    <cellStyle name="强调文字颜色 3 2 8" xfId="7874"/>
    <cellStyle name="汇总 2 2 4 3 2" xfId="7875"/>
    <cellStyle name="强调文字颜色 6 2 2 3 5" xfId="7876"/>
    <cellStyle name="汇总 2 2 3 3 3 3 3" xfId="7877"/>
    <cellStyle name="汇总 2 2 7 3 3 2" xfId="7878"/>
    <cellStyle name="适中 2 2 2 2 8" xfId="7879"/>
    <cellStyle name="汇总 2 3 2 2 6 2" xfId="7880"/>
    <cellStyle name="超链接 3 2 2 2 4 2" xfId="7881"/>
    <cellStyle name="检查单元格 2 2 3 2 2 3" xfId="7882"/>
    <cellStyle name="20% - 强调文字颜色 4 2 2 6 3 2" xfId="7883"/>
    <cellStyle name="输入 3 2 2 2 3" xfId="7884"/>
    <cellStyle name="强调文字颜色 2 4 3 2" xfId="7885"/>
    <cellStyle name="40% - 强调文字颜色 2 2 3 4 3" xfId="7886"/>
    <cellStyle name="计算 2 2 6 2 2 5 2" xfId="7887"/>
    <cellStyle name="链接单元格 2 3 3 2" xfId="7888"/>
    <cellStyle name="汇总 2 5 2 2 2 4 2" xfId="7889"/>
    <cellStyle name="汇总 2 2 4 2 11 2" xfId="7890"/>
    <cellStyle name="适中 6 2" xfId="7891"/>
    <cellStyle name="40% - 强调文字颜色 6 2 3 5 2 2" xfId="7892"/>
    <cellStyle name="60% - 强调文字颜色 5 2 2 7 2" xfId="7893"/>
    <cellStyle name="注释 2 5 2 2 2" xfId="7894"/>
    <cellStyle name="20% - 强调文字颜色 4 2 3 3" xfId="7895"/>
    <cellStyle name="输出 2 4 2 8 2 2" xfId="7896"/>
    <cellStyle name="常规 3 3 2 2 2 3 2" xfId="7897"/>
    <cellStyle name="汇总 2 2 6 2 3 3 2 2" xfId="7898"/>
    <cellStyle name="强调文字颜色 3 2 2 3 5" xfId="7899"/>
    <cellStyle name="汇总 2 2 3 9 2" xfId="7900"/>
    <cellStyle name="汇总 2 6 5 2 2 2" xfId="7901"/>
    <cellStyle name="20% - 强调文字颜色 4 2 2 2 2 4" xfId="7902"/>
    <cellStyle name="汇总 2 2 4 4 8" xfId="7903"/>
    <cellStyle name="常规 4 2 4 2 4 2" xfId="7904"/>
    <cellStyle name="常规 13 2 2 2 2 2" xfId="7905"/>
    <cellStyle name="常规 4 6 2 4 2" xfId="7906"/>
    <cellStyle name="注释 3 2 3 2 2" xfId="7907"/>
    <cellStyle name="计算 2 3 2 2 2 5 2" xfId="7908"/>
    <cellStyle name="差 2 3 6 3" xfId="7909"/>
    <cellStyle name="强调文字颜色 5 3 3 2 2" xfId="7910"/>
    <cellStyle name="汇总 2 2 4 4 6" xfId="7911"/>
    <cellStyle name="计算 2 7 3 5 3" xfId="7912"/>
    <cellStyle name="汇总 5 6 2" xfId="7913"/>
    <cellStyle name="注释 3 15" xfId="7914"/>
    <cellStyle name="40% - 强调文字颜色 3 5 2 2 2" xfId="7915"/>
    <cellStyle name="计算 2 2 9 2 6" xfId="7916"/>
    <cellStyle name="注释 2 5 2 3 3" xfId="7917"/>
    <cellStyle name="汇总 2 2 4 2 4 3 3" xfId="7918"/>
    <cellStyle name="60% - 强调文字颜色 6 2 2 3 5 3" xfId="7919"/>
    <cellStyle name="计算 2 2 5 3 2 5" xfId="7920"/>
    <cellStyle name="40% - 强调文字颜色 5 2 2 9 2" xfId="7921"/>
    <cellStyle name="汇总 2 2 4 3 2 2 2" xfId="7922"/>
    <cellStyle name="警告文本 2 2 4 5 3" xfId="7923"/>
    <cellStyle name="输出 2 2 5 10" xfId="7924"/>
    <cellStyle name="输入 3 2 7 2" xfId="7925"/>
    <cellStyle name="输入 2 7 14" xfId="7926"/>
    <cellStyle name="20% - 强调文字颜色 5 2 2 2 2 2 3 3 2 2" xfId="7927"/>
    <cellStyle name="标题 2 2 2 2 5 2" xfId="7928"/>
    <cellStyle name="强调文字颜色 3 2 2 4 5 2" xfId="7929"/>
    <cellStyle name="解释性文本 2 3 2 2 2 3" xfId="7930"/>
    <cellStyle name="40% - 强调文字颜色 1 2 5 3 3" xfId="7931"/>
    <cellStyle name="计算 2 2 5 2 4 4 2" xfId="7932"/>
    <cellStyle name="注释 2 2 6 10" xfId="7933"/>
    <cellStyle name="标题 2 4 2 3" xfId="7934"/>
    <cellStyle name="汇总 2 2 7 2 2 5" xfId="7935"/>
    <cellStyle name="注释 2 6 3 3 2" xfId="7936"/>
    <cellStyle name="输入 2 3 2 2 2 5" xfId="7937"/>
    <cellStyle name="强调文字颜色 6 2 4 3 3 2" xfId="7938"/>
    <cellStyle name="计算 2 6 3 3 3 2 2" xfId="7939"/>
    <cellStyle name="适中 4 4 2" xfId="7940"/>
    <cellStyle name="计算 2 6 5" xfId="7941"/>
    <cellStyle name="60% - 强调文字颜色 6 2 2 2 2 2 4" xfId="7942"/>
    <cellStyle name="60% - 强调文字颜色 2 2 4 4 3 2" xfId="7943"/>
    <cellStyle name="强调文字颜色 3 2 6 2 2 2" xfId="7944"/>
    <cellStyle name="20% - 强调文字颜色 4 3 2 4" xfId="7945"/>
    <cellStyle name="标题 4 2 2 2 3 2 2 2" xfId="7946"/>
    <cellStyle name="20% - 强调文字颜色 1 2 3 2 4 2" xfId="7947"/>
    <cellStyle name="输入 2 2 4 5 2 4" xfId="7948"/>
    <cellStyle name="20% - 强调文字颜色 2 2 2 8" xfId="7949"/>
    <cellStyle name="40% - 强调文字颜色 1 2 2 2 2 4 3" xfId="7950"/>
    <cellStyle name="20% - 强调文字颜色 4 2 2 3 4 2" xfId="7951"/>
    <cellStyle name="输入 2 5 2 3 5 3" xfId="7952"/>
    <cellStyle name="计算 2 2 4 2 2 2 2 2 2" xfId="7953"/>
    <cellStyle name="汇总 2 2 5 2 11" xfId="7954"/>
    <cellStyle name="汇总 2 5 2 5 7" xfId="7955"/>
    <cellStyle name="差 2 2 7 2" xfId="7956"/>
    <cellStyle name="汇总 2 5 2 3 3 4 2" xfId="7957"/>
    <cellStyle name="汇总 2 2 4 4 2 3 2 2" xfId="7958"/>
    <cellStyle name="检查单元格 2" xfId="7959"/>
    <cellStyle name="计算 2 2 2 2 4 2" xfId="7960"/>
    <cellStyle name="注释 2 5 3 6" xfId="7961"/>
    <cellStyle name="汇总 2 2 9 3 2 2" xfId="7962"/>
    <cellStyle name="链接单元格 2 2 3 2 2 2 2" xfId="7963"/>
    <cellStyle name="强调文字颜色 6 2 2 2 2 3" xfId="7964"/>
    <cellStyle name="输出 2 2 2 4 2 4" xfId="7965"/>
    <cellStyle name="强调文字颜色 2 3 3 2 2" xfId="7966"/>
    <cellStyle name="计算 2 4 2 10" xfId="7967"/>
    <cellStyle name="强调文字颜色 5 3 4" xfId="7968"/>
    <cellStyle name="20% - 强调文字颜色 3 2 2 2 2 3 2" xfId="7969"/>
    <cellStyle name="40% - 强调文字颜色 5 4 2 3" xfId="7970"/>
    <cellStyle name="计算 2 2 3 2" xfId="7971"/>
    <cellStyle name="超链接 2 3 4 2 2" xfId="7972"/>
    <cellStyle name="强调文字颜色 3 2 3 2 2 3" xfId="7973"/>
    <cellStyle name="警告文本 3 2 2 2 2" xfId="7974"/>
    <cellStyle name="20% - 强调文字颜色 4 2 4 5 2" xfId="7975"/>
    <cellStyle name="汇总 2 4 2 8" xfId="7976"/>
    <cellStyle name="输出 2 2 3 2 5 2" xfId="7977"/>
    <cellStyle name="汇总 2 2 5 2 2 3 3" xfId="7978"/>
    <cellStyle name="输出 5 3 2" xfId="7979"/>
    <cellStyle name="常规 10 2 2 4 3" xfId="7980"/>
    <cellStyle name="60% - 强调文字颜色 4 2 2 7" xfId="7981"/>
    <cellStyle name="强调文字颜色 1 2 4 3 3 2" xfId="7982"/>
    <cellStyle name="注释 2 5 4 4" xfId="7983"/>
    <cellStyle name="常规 3 2 4 2 3 3 2 2" xfId="7984"/>
    <cellStyle name="40% - 强调文字颜色 3 2 2 2 2 3 2 2 2 2" xfId="7985"/>
    <cellStyle name="超链接 2 2 2 3" xfId="7986"/>
    <cellStyle name="计算 2 5 2 8 3" xfId="7987"/>
    <cellStyle name="计算 2 2 6 2 2 9" xfId="7988"/>
    <cellStyle name="链接单元格 2 3 7" xfId="7989"/>
    <cellStyle name="汇总 2 5 2 2 2 8" xfId="7990"/>
    <cellStyle name="汇总 3 2 3 4" xfId="7991"/>
    <cellStyle name="60% - 强调文字颜色 3 2" xfId="7992"/>
    <cellStyle name="20% - 强调文字颜色 1 2 2 3 3 2 2 2" xfId="7993"/>
    <cellStyle name="计算 2 2 2 2 2 4 3" xfId="7994"/>
    <cellStyle name="汇总 2 4 6" xfId="7995"/>
    <cellStyle name="40% - 强调文字颜色 2 2 3 2 2 4" xfId="7996"/>
    <cellStyle name="输入 2 2 4 2 3 4 2" xfId="7997"/>
    <cellStyle name="40% - 强调文字颜色 3 2 6 3" xfId="7998"/>
    <cellStyle name="强调文字颜色 4 2 2 2 2 4 4" xfId="7999"/>
    <cellStyle name="标题 1 2 2 4 5" xfId="8000"/>
    <cellStyle name="检查单元格 2 4 2 2 2 2 2" xfId="8001"/>
    <cellStyle name="60% - 强调文字颜色 3 2 3 2 2" xfId="8002"/>
    <cellStyle name="计算 2 3 3 5" xfId="8003"/>
    <cellStyle name="计算 2 2 5 2 6 2 2" xfId="8004"/>
    <cellStyle name="常规 2 2 2 2 3 3 2" xfId="8005"/>
    <cellStyle name="汇总 2 2 4 2 4 2 2 2 2" xfId="8006"/>
    <cellStyle name="60% - 强调文字颜色 6 2 2 3 4 2 2 2" xfId="8007"/>
    <cellStyle name="注释 3 3 4" xfId="8008"/>
    <cellStyle name="强调文字颜色 1 2 2 2 8" xfId="8009"/>
    <cellStyle name="计算 2 2 4 2 2 3 2" xfId="8010"/>
    <cellStyle name="警告文本 2 5 3 2 2" xfId="8011"/>
    <cellStyle name="链接单元格 2 3 5 2 2" xfId="8012"/>
    <cellStyle name="差 2 4 3 3 3" xfId="8013"/>
    <cellStyle name="汇总 2 4 2 3 4" xfId="8014"/>
    <cellStyle name="输入 2 7 3 3 2" xfId="8015"/>
    <cellStyle name="超链接 3 3 2 3 2" xfId="8016"/>
    <cellStyle name="输入 3 2 2 3 2" xfId="8017"/>
    <cellStyle name="汇总 2 2 19" xfId="8018"/>
    <cellStyle name="汇总 2 4 2 2 3 5" xfId="8019"/>
    <cellStyle name="常规 6 2 3 3 2 2 2" xfId="8020"/>
    <cellStyle name="常规 5 2 2 3 2 4 2" xfId="8021"/>
    <cellStyle name="输出 2 2 3 2 3 3 2 2" xfId="8022"/>
    <cellStyle name="60% - 强调文字颜色 3 2 2 3 5" xfId="8023"/>
    <cellStyle name="计算 2 2 4 8" xfId="8024"/>
    <cellStyle name="强调文字颜色 6 2 2 4 5 2 2" xfId="8025"/>
    <cellStyle name="输入 2 2 5 2 2 3" xfId="8026"/>
    <cellStyle name="输出 2 2 5 7 3" xfId="8027"/>
    <cellStyle name="计算 2 2 2 9" xfId="8028"/>
    <cellStyle name="输入 2 2 3 3 5" xfId="8029"/>
    <cellStyle name="输出 2 2 5 5 4" xfId="8030"/>
    <cellStyle name="计算 2 6 2 8 2" xfId="8031"/>
    <cellStyle name="40% - 强调文字颜色 5 3 2 3" xfId="8032"/>
    <cellStyle name="好 2 4 2 3" xfId="8033"/>
    <cellStyle name="计算 2 7 3 2 7" xfId="8034"/>
    <cellStyle name="强调文字颜色 5 2 2 2 5 2 2" xfId="8035"/>
    <cellStyle name="60% - 强调文字颜色 6 2 3 5 2 2" xfId="8036"/>
    <cellStyle name="警告文本 2 2 2 5 3" xfId="8037"/>
    <cellStyle name="输出 2 2 3 3 2 8" xfId="8038"/>
    <cellStyle name="计算 2 9" xfId="8039"/>
    <cellStyle name="汇总 2 2 2 9 2" xfId="8040"/>
    <cellStyle name="输入 2 2 4 2 2 2 5" xfId="8041"/>
    <cellStyle name="标题 2 3 3 2 2" xfId="8042"/>
    <cellStyle name="注释 2 6 3 2" xfId="8043"/>
    <cellStyle name="60% - 强调文字颜色 5 2 2 2 2 2 3" xfId="8044"/>
    <cellStyle name="输出 2 2 4 3 2 2" xfId="8045"/>
    <cellStyle name="60% - 强调文字颜色 6 3 3 2 2 3" xfId="8046"/>
    <cellStyle name="60% - 强调文字颜色 5 2 4 8" xfId="8047"/>
    <cellStyle name="20% - 强调文字颜色 2 2 7 3 2 2" xfId="8048"/>
    <cellStyle name="汇总 2 2 5 4 5 3" xfId="8049"/>
    <cellStyle name="输入 2 3 2 4 2 2" xfId="8050"/>
    <cellStyle name="差 3 2 2 2 2 2" xfId="8051"/>
    <cellStyle name="汇总 2 4 14" xfId="8052"/>
    <cellStyle name="汇总 2 2 8 3 6" xfId="8053"/>
    <cellStyle name="标题 3 2 3 2 2 4" xfId="8054"/>
    <cellStyle name="强调文字颜色 5 2 5 2" xfId="8055"/>
    <cellStyle name="输出 6 2 2" xfId="8056"/>
    <cellStyle name="20% - 强调文字颜色 3 2 2 2 2 2 3 2" xfId="8057"/>
    <cellStyle name="标题 2 2 2 2 2 6" xfId="8058"/>
    <cellStyle name="标题 4 2 4 2 2 2" xfId="8059"/>
    <cellStyle name="计算 2 2 4 3 4 3" xfId="8060"/>
    <cellStyle name="强调文字颜色 3 6" xfId="8061"/>
    <cellStyle name="常规 8 3 2 3 2" xfId="8062"/>
    <cellStyle name="计算 3 5 2" xfId="8063"/>
    <cellStyle name="输入 2 2 4 2 2 2 3 2 2" xfId="8064"/>
    <cellStyle name="汇总 2 2 8 2 7" xfId="8065"/>
    <cellStyle name="常规 5 2 3 2 2 2 2" xfId="8066"/>
    <cellStyle name="警告文本 2 2 3 4 4" xfId="8067"/>
    <cellStyle name="常规 4 2 2 2 2 4 2" xfId="8068"/>
    <cellStyle name="链接单元格 2 2 5 3 2 2" xfId="8069"/>
    <cellStyle name="标题 4 2 2 3 2 2 2 3" xfId="8070"/>
    <cellStyle name="链接单元格 2 2 2 2 4 2 2" xfId="8071"/>
    <cellStyle name="60% - 强调文字颜色 3 2 2 4 5 2" xfId="8072"/>
    <cellStyle name="计算 2 2 5 8 2" xfId="8073"/>
    <cellStyle name="输入 2 2 5 2 3 3 2" xfId="8074"/>
    <cellStyle name="强调文字颜色 3 2 3 2 4 4" xfId="8075"/>
    <cellStyle name="60% - 强调文字颜色 3 4 4 2" xfId="8076"/>
    <cellStyle name="60% - 强调文字颜色 2 2 5 2 2" xfId="8077"/>
    <cellStyle name="计算 2 2 4 2 8 2 2" xfId="8078"/>
    <cellStyle name="计算 2 13 2 2" xfId="8079"/>
    <cellStyle name="计算 2 2 5 3" xfId="8080"/>
    <cellStyle name="20% - 强调文字颜色 4 2 3 2 5 2 2" xfId="8081"/>
    <cellStyle name="常规 3 7 2 5" xfId="8082"/>
    <cellStyle name="40% - 强调文字颜色 1 2 2 2 2 3 2 2 2" xfId="8083"/>
    <cellStyle name="汇总 2 4 3 2 2 2" xfId="8084"/>
    <cellStyle name="适中 2 4 6 2" xfId="8085"/>
    <cellStyle name="注释 2 3 3 3" xfId="8086"/>
    <cellStyle name="汇总 2 2 3 8 2 2" xfId="8087"/>
    <cellStyle name="强调文字颜色 2 4 2 4" xfId="8088"/>
    <cellStyle name="输入 2 4 2 2 6 2" xfId="8089"/>
    <cellStyle name="汇总 3 2 8 3" xfId="8090"/>
    <cellStyle name="汇总 2 11 3 2" xfId="8091"/>
    <cellStyle name="标题 1 2 2 8 3" xfId="8092"/>
    <cellStyle name="百分比 2 5 4" xfId="8093"/>
    <cellStyle name="计算 2 3 7 3" xfId="8094"/>
    <cellStyle name="计算 2 2 4 2 2 2 9" xfId="8095"/>
    <cellStyle name="40% - 强调文字颜色 3 2 2 2 6 2 2" xfId="8096"/>
    <cellStyle name="强调文字颜色 5 4" xfId="8097"/>
    <cellStyle name="超链接 2 2 3 3" xfId="8098"/>
    <cellStyle name="汇总 2 5 5 2 6" xfId="8099"/>
    <cellStyle name="输出 2 3 2 2 8" xfId="8100"/>
    <cellStyle name="输入 2 2 3 2 2 2 2" xfId="8101"/>
    <cellStyle name="20% - 强调文字颜色 3 2 3 7 2" xfId="8102"/>
    <cellStyle name="注释 5 4 2 2" xfId="8103"/>
    <cellStyle name="60% - 强调文字颜色 6 3 2 2 3 2" xfId="8104"/>
    <cellStyle name="汇总 2 2 2 2 14" xfId="8105"/>
    <cellStyle name="强调文字颜色 6 2 3 4 3" xfId="8106"/>
    <cellStyle name="计算 2 6 3 2 4 2" xfId="8107"/>
    <cellStyle name="60% - 强调文字颜色 6 4 3 2 3" xfId="8108"/>
    <cellStyle name="汇总 2 2 3 2 3 3 2" xfId="8109"/>
    <cellStyle name="输出 2 3 2 2 9" xfId="8110"/>
    <cellStyle name="检查单元格 2 2 2 2 2" xfId="8111"/>
    <cellStyle name="汇总 2 2 4 2 12" xfId="8112"/>
    <cellStyle name="60% - 强调文字颜色 3 2 4 3 2 2 2" xfId="8113"/>
    <cellStyle name="60% - 强调文字颜色 2 2 3 2 3 2 2 2" xfId="8114"/>
    <cellStyle name="计算 2 4 4 5 2 2" xfId="8115"/>
    <cellStyle name="计算 2 5 3 7 2" xfId="8116"/>
    <cellStyle name="输入 2 2 6 4 3 2" xfId="8117"/>
    <cellStyle name="40% - 强调文字颜色 5 2 5 4" xfId="8118"/>
    <cellStyle name="标题 1 2 2 6" xfId="8119"/>
    <cellStyle name="检查单元格 2 2 3 4 2" xfId="8120"/>
    <cellStyle name="输出 2 4 2 6 3" xfId="8121"/>
    <cellStyle name="强调文字颜色 3 2 2 2 2 2" xfId="8122"/>
    <cellStyle name="好 2 3 3 6" xfId="8123"/>
    <cellStyle name="输出 2 2 7 4 3" xfId="8124"/>
    <cellStyle name="计算 2 4 3 3 3" xfId="8125"/>
    <cellStyle name="60% - 强调文字颜色 1 2 2 2 2 2 3" xfId="8126"/>
    <cellStyle name="输出 2 2 5 9" xfId="8127"/>
    <cellStyle name="注释 2 4 4 3 2 2" xfId="8128"/>
    <cellStyle name="输入 2 2 5 2 4" xfId="8129"/>
    <cellStyle name="汇总 2 2 5 3 2 5 2" xfId="8130"/>
    <cellStyle name="输入 2 2 4 2 4 3" xfId="8131"/>
    <cellStyle name="计算 2 4 2 3 3 3" xfId="8132"/>
    <cellStyle name="强调文字颜色 4 2 2 2 2 4 2 2" xfId="8133"/>
    <cellStyle name="强调文字颜色 5 2 3 2 2 2 2 2" xfId="8134"/>
    <cellStyle name="注释 2 2 6 2 3" xfId="8135"/>
    <cellStyle name="汇总 2 7 2 6 3" xfId="8136"/>
    <cellStyle name="60% - 强调文字颜色 4 2 3 5 2 2" xfId="8137"/>
    <cellStyle name="计算 2 2 6 5 4" xfId="8138"/>
    <cellStyle name="标题 3 2 3 4" xfId="8139"/>
    <cellStyle name="计算 2 5 3 2 2 3 2 2" xfId="8140"/>
    <cellStyle name="强调文字颜色 5 2 3 2 4 2 2" xfId="8141"/>
    <cellStyle name="计算 2 2 2 4 8" xfId="8142"/>
    <cellStyle name="警告文本 2 4 4 2 3" xfId="8143"/>
    <cellStyle name="计算 2 8 4 5" xfId="8144"/>
    <cellStyle name="汇总 2 2 6 12" xfId="8145"/>
    <cellStyle name="标题 5 2 3 2 2 2 2 2" xfId="8146"/>
    <cellStyle name="40% - 强调文字颜色 2 2 3 3 2" xfId="8147"/>
    <cellStyle name="适中 2 5 3" xfId="8148"/>
    <cellStyle name="输出 4 5 2" xfId="8149"/>
    <cellStyle name="链接单元格 2 2 3 3 3" xfId="8150"/>
    <cellStyle name="输出 2 5 2 2" xfId="8151"/>
    <cellStyle name="40% - 强调文字颜色 2 2 2 2 4 3 2" xfId="8152"/>
    <cellStyle name="标题 4 2 3 3 2 2 2 2" xfId="8153"/>
    <cellStyle name="链接单元格 2 2 4 3 2 3" xfId="8154"/>
    <cellStyle name="60% - 强调文字颜色 5 2 2 4 2 3" xfId="8155"/>
    <cellStyle name="计算 2 2 2 2 9 2" xfId="8156"/>
    <cellStyle name="检查单元格 2 2 2 5 3" xfId="8157"/>
    <cellStyle name="强调文字颜色 2 2 2 2 2 4 4" xfId="8158"/>
    <cellStyle name="差 2 2 2 5 2 2 2" xfId="8159"/>
    <cellStyle name="输出 4 2 3 3" xfId="8160"/>
    <cellStyle name="链接单元格 2 2 2 2 6" xfId="8161"/>
    <cellStyle name="差 2 2 2 2 2 2 3" xfId="8162"/>
    <cellStyle name="40% - 强调文字颜色 4 2 4 3 3 2" xfId="8163"/>
    <cellStyle name="常规 3 3 3" xfId="8164"/>
    <cellStyle name="输出 3 4 5" xfId="8165"/>
    <cellStyle name="输入 2 2 5 3 3 3" xfId="8166"/>
    <cellStyle name="计算 2 4 2 7 3" xfId="8167"/>
    <cellStyle name="标题 4 3 3 3 2 2 2" xfId="8168"/>
    <cellStyle name="标题 3 2 2 2 2 4 4" xfId="8169"/>
    <cellStyle name="计算 2 5 5 5 3" xfId="8170"/>
    <cellStyle name="好 2 2 3 6" xfId="8171"/>
    <cellStyle name="汇总 2 6 2 3 4 3" xfId="8172"/>
    <cellStyle name="常规 2 2 5 3 2" xfId="8173"/>
    <cellStyle name="计算 2 5 3 2 2" xfId="8174"/>
    <cellStyle name="强调文字颜色 5 2 2 2 2 2 4" xfId="8175"/>
    <cellStyle name="计算 2 7 10 2" xfId="8176"/>
    <cellStyle name="60% - 强调文字颜色 4 2 3 2 2 2 2 2" xfId="8177"/>
    <cellStyle name="汇总 2 9 5 2" xfId="8178"/>
    <cellStyle name="20% - 强调文字颜色 4 2 3 2" xfId="8179"/>
    <cellStyle name="输入 2 12 2 2" xfId="8180"/>
    <cellStyle name="注释 2 2 3 2 4 2" xfId="8181"/>
    <cellStyle name="差 2 9" xfId="8182"/>
    <cellStyle name="计算 2 2 7 2 2 2 2 2" xfId="8183"/>
    <cellStyle name="输出 3 3 4 3" xfId="8184"/>
    <cellStyle name="常规 3 2 2 3" xfId="8185"/>
    <cellStyle name="强调文字颜色 3 4 2" xfId="8186"/>
    <cellStyle name="40% - 强调文字颜色 1 3 2 4 2 2" xfId="8187"/>
    <cellStyle name="常规 9 2 2 4 2 2" xfId="8188"/>
    <cellStyle name="无色 2 3" xfId="8189"/>
    <cellStyle name="检查单元格 2 3 4 2 3" xfId="8190"/>
    <cellStyle name="注释 2 3 8" xfId="8191"/>
    <cellStyle name="计算 2 2 3 4 6 2" xfId="8192"/>
    <cellStyle name="60% - 强调文字颜色 1 4 3 2" xfId="8193"/>
    <cellStyle name="输入 2 8 4 5" xfId="8194"/>
    <cellStyle name="输入 2 5 2 2 3 3 2" xfId="8195"/>
    <cellStyle name="汇总 2 2 3 3 6 2" xfId="8196"/>
    <cellStyle name="40% - 强调文字颜色 1 2 3 2 3 2 2" xfId="8197"/>
    <cellStyle name="输入 2 7 3 2" xfId="8198"/>
    <cellStyle name="超链接 3 3 2 2" xfId="8199"/>
    <cellStyle name="计算 2 2 5 2 2 3 2 2 2" xfId="8200"/>
    <cellStyle name="汇总 2 2 2 2 2 2 4 2" xfId="8201"/>
    <cellStyle name="解释性文本 2 2 3 3 2 3" xfId="8202"/>
    <cellStyle name="注释 3 3 5" xfId="8203"/>
    <cellStyle name="超链接 3 5 3 2" xfId="8204"/>
    <cellStyle name="输入 2 9 4 2" xfId="8205"/>
    <cellStyle name="检查单元格 2 3 2 3 2 2 2" xfId="8206"/>
    <cellStyle name="计算 4 3 3 3" xfId="8207"/>
    <cellStyle name="汇总 2 4 3 2" xfId="8208"/>
    <cellStyle name="40% - 强调文字颜色 1 2 2 2 2 3 2" xfId="8209"/>
    <cellStyle name="20% - 强调文字颜色 4 2 3 2 5" xfId="8210"/>
    <cellStyle name="输出 2 9 4" xfId="8211"/>
    <cellStyle name="输入 2 2" xfId="8212"/>
    <cellStyle name="常规 2 8 2" xfId="8213"/>
    <cellStyle name="强调文字颜色 1 2 4 2" xfId="8214"/>
    <cellStyle name="汇总 2 5 2 16" xfId="8215"/>
    <cellStyle name="输出 2 2 3 3 2 2 4" xfId="8216"/>
    <cellStyle name="解释性文本 2 2 4 2 2 2 2" xfId="8217"/>
    <cellStyle name="输入 2 9 9" xfId="8218"/>
    <cellStyle name="输入 2 5 5 2 2 2 2" xfId="8219"/>
    <cellStyle name="标题 1 6 2 2 2" xfId="8220"/>
    <cellStyle name="汇总 2 2 4 2 4 2 2" xfId="8221"/>
    <cellStyle name="计算 2 2 4 5 2 5" xfId="8222"/>
    <cellStyle name="60% - 强调文字颜色 6 2 2 3 4 2" xfId="8223"/>
    <cellStyle name="强调文字颜色 5 2 4 5 3" xfId="8224"/>
    <cellStyle name="计算 2 5 2 4 2 2 2 2" xfId="8225"/>
    <cellStyle name="标题 2 2 7 3" xfId="8226"/>
    <cellStyle name="好 2 5" xfId="8227"/>
    <cellStyle name="输入 2 2 3 10" xfId="8228"/>
    <cellStyle name="计算 2 10 3 2 2" xfId="8229"/>
    <cellStyle name="链接单元格 3 8" xfId="8230"/>
    <cellStyle name="60% - 强调文字颜色 2 2 2 3 2 2" xfId="8231"/>
    <cellStyle name="计算 2 2 4 2 5 3 2 2" xfId="8232"/>
    <cellStyle name="计算 2 5 2 6 3 2" xfId="8233"/>
    <cellStyle name="常规 3 3 2 2 2 2 2 2 2" xfId="8234"/>
    <cellStyle name="60% - 强调文字颜色 1 2 3 6 2" xfId="8235"/>
    <cellStyle name="汇总 2 2 3 3 2 8" xfId="8236"/>
    <cellStyle name="注释 2 2 4 3 5" xfId="8237"/>
    <cellStyle name="强调文字颜色 1 2 3 2 3 3" xfId="8238"/>
    <cellStyle name="计算 2 6 5 2" xfId="8239"/>
    <cellStyle name="常规 9 6 2 2" xfId="8240"/>
    <cellStyle name="汇总 2 6 3 2 2 2" xfId="8241"/>
    <cellStyle name="输出 2 3 9" xfId="8242"/>
    <cellStyle name="常规 2 2 7" xfId="8243"/>
    <cellStyle name="40% - 强调文字颜色 6 2 6 2 2 2" xfId="8244"/>
    <cellStyle name="注释 2 2 3 2 2 3 3 2" xfId="8245"/>
    <cellStyle name="20% - 强调文字颜色 1 2 5 3" xfId="8246"/>
    <cellStyle name="标题 4 2 6 2 3" xfId="8247"/>
    <cellStyle name="汇总 2 2 11 4" xfId="8248"/>
    <cellStyle name="适中 2 3 4 4" xfId="8249"/>
    <cellStyle name="20% - 强调文字颜色 3 2 6 3 2 2" xfId="8250"/>
    <cellStyle name="注释 2 2 5 6 2" xfId="8251"/>
    <cellStyle name="标题 6 4 2 2 2" xfId="8252"/>
    <cellStyle name="注释 2 2 4 3 2 2" xfId="8253"/>
    <cellStyle name="汇总 2 2 3 3 2 5 2" xfId="8254"/>
    <cellStyle name="适中 2 2 3 3 2 2" xfId="8255"/>
    <cellStyle name="20% - 强调文字颜色 4 2 2 3 3" xfId="8256"/>
    <cellStyle name="输入 2 6 2 2 3 2 2" xfId="8257"/>
    <cellStyle name="常规 4 2 5 2" xfId="8258"/>
    <cellStyle name="40% - 强调文字颜色 1 5" xfId="8259"/>
    <cellStyle name="检查单元格 2 2 2 2 4 2 2" xfId="8260"/>
    <cellStyle name="20% - 强调文字颜色 4 2 5 2 3" xfId="8261"/>
    <cellStyle name="常规 9 4" xfId="8262"/>
    <cellStyle name="汇总 2 7 12" xfId="8263"/>
    <cellStyle name="适中 3 3 5" xfId="8264"/>
    <cellStyle name="20% - 强调文字颜色 3 2 2 3 4 3" xfId="8265"/>
    <cellStyle name="计算 3 9 3" xfId="8266"/>
    <cellStyle name="注释 6 2" xfId="8267"/>
    <cellStyle name="计算 2 4 2 2 7 2" xfId="8268"/>
    <cellStyle name="输出 3 2 2 4 2 2" xfId="8269"/>
    <cellStyle name="强调文字颜色 2 2 3 2 2" xfId="8270"/>
    <cellStyle name="计算 2 9 10" xfId="8271"/>
    <cellStyle name="20% - 强调文字颜色 2 3 2" xfId="8272"/>
    <cellStyle name="强调文字颜色 4 2 2 2 2 2 2 2 3" xfId="8273"/>
    <cellStyle name="注释 2 2 4 2 3 3" xfId="8274"/>
    <cellStyle name="汇总 2 2 3 2 8" xfId="8275"/>
    <cellStyle name="输入 2 5 4 2 6" xfId="8276"/>
    <cellStyle name="汇总 2 2 3 2 7 2" xfId="8277"/>
    <cellStyle name="强调文字颜色 1 4 2 2" xfId="8278"/>
    <cellStyle name="常规 5 2 2 2 2 2 3" xfId="8279"/>
    <cellStyle name="输出 2 2 2 2 2 2 2 3" xfId="8280"/>
    <cellStyle name="强调文字颜色 3 3 2 2 3" xfId="8281"/>
    <cellStyle name="输出 2 2 2 2 2 2 4" xfId="8282"/>
    <cellStyle name="输出 2 3 2 3 2 2 2" xfId="8283"/>
    <cellStyle name="常规 8 2 4 3 2 2" xfId="8284"/>
    <cellStyle name="60% - 强调文字颜色 5 2 3 2 2" xfId="8285"/>
    <cellStyle name="注释 2 2 7 2 4" xfId="8286"/>
    <cellStyle name="常规 7 8" xfId="8287"/>
    <cellStyle name="常规 4 5 6" xfId="8288"/>
    <cellStyle name="40% - 强调文字颜色 6 2 4 4" xfId="8289"/>
    <cellStyle name="20% - 强调文字颜色 4 2 3 6 2 2" xfId="8290"/>
    <cellStyle name="20% - 强调文字颜色 3 2 2 6 2 2 2" xfId="8291"/>
    <cellStyle name="汇总 2 2 5 14" xfId="8292"/>
    <cellStyle name="计算 2 2 7 2 2" xfId="8293"/>
    <cellStyle name="输出 2 2 4 2 2 3 3" xfId="8294"/>
    <cellStyle name="汇总 2 4 12" xfId="8295"/>
    <cellStyle name="60% - 强调文字颜色 2 2 2 5 2 2 2" xfId="8296"/>
    <cellStyle name="汇总 2 4 5 3 2" xfId="8297"/>
    <cellStyle name="40% - 强调文字颜色 2 2 3 2 2 3 3 2" xfId="8298"/>
    <cellStyle name="计算 2 7 9" xfId="8299"/>
    <cellStyle name="常规 5 2 5 2 3 2 2" xfId="8300"/>
    <cellStyle name="输出 2 3 4 2 3 2" xfId="8301"/>
    <cellStyle name="常规 2 2 2 2 3 2" xfId="8302"/>
    <cellStyle name="汇总 2 2 2 2 2 2 2 5" xfId="8303"/>
    <cellStyle name="警告文本 2 3 2 3 2 2" xfId="8304"/>
    <cellStyle name="20% - 强调文字颜色 2 3 2 5" xfId="8305"/>
    <cellStyle name="强调文字颜色 2 2 3 2 2 5" xfId="8306"/>
    <cellStyle name="强调文字颜色 3 2 4 2 2 3" xfId="8307"/>
    <cellStyle name="强调文字颜色 1 2 2 2 2 7" xfId="8308"/>
    <cellStyle name="60% - 强调文字颜色 2 2 2 4 3 3" xfId="8309"/>
    <cellStyle name="汇总 2 2 2 3 2 5 2" xfId="8310"/>
    <cellStyle name="注释 2 2 3 4" xfId="8311"/>
    <cellStyle name="汇总 2 2 13 3" xfId="8312"/>
    <cellStyle name="警告文本 2 2 3 4" xfId="8313"/>
    <cellStyle name="强调文字颜色 6 2 2 2 3 2 2 2" xfId="8314"/>
    <cellStyle name="输入 2 4 3 8" xfId="8315"/>
    <cellStyle name="20% - 强调文字颜色 4 2 4 2 2 2 2 2" xfId="8316"/>
    <cellStyle name="计算 2 2 4 2 4 2 3" xfId="8317"/>
    <cellStyle name="汇总 2 2 2 2 4 5" xfId="8318"/>
    <cellStyle name="标题 3 2 2 10" xfId="8319"/>
    <cellStyle name="计算 2 2 2 4 2 5 2" xfId="8320"/>
    <cellStyle name="常规 10 2 2 2 2 6" xfId="8321"/>
    <cellStyle name="强调文字颜色 5 2 2 4 5" xfId="8322"/>
    <cellStyle name="40% - 强调文字颜色 1 2 2 3 5" xfId="8323"/>
    <cellStyle name="汇总 3 7" xfId="8324"/>
    <cellStyle name="汇总 2 2 4 5 4 2 2" xfId="8325"/>
    <cellStyle name="计算 3 13" xfId="8326"/>
    <cellStyle name="常规 5 3 4 4" xfId="8327"/>
    <cellStyle name="40% - 强调文字颜色 6 3 2 2 4" xfId="8328"/>
    <cellStyle name="汇总 3 7 2 2" xfId="8329"/>
    <cellStyle name="40% - 强调文字颜色 1 2 2 3 5 2 2" xfId="8330"/>
    <cellStyle name="输出 2 2 3 2 3 2 5" xfId="8331"/>
    <cellStyle name="好 2 2 2 6 2 2" xfId="8332"/>
    <cellStyle name="标题 5 4 4 3 2" xfId="8333"/>
    <cellStyle name="强调文字颜色 5 2 2 2 3 2" xfId="8334"/>
    <cellStyle name="常规 11 2 2 4 2" xfId="8335"/>
    <cellStyle name="注释 2 4 5 2 2 3" xfId="8336"/>
    <cellStyle name="计算 2 5 2 3 4" xfId="8337"/>
    <cellStyle name="40% - 强调文字颜色 3 2 4 4 2 2" xfId="8338"/>
    <cellStyle name="20% - 强调文字颜色 1 2 3 2 2 3 2 2 2" xfId="8339"/>
    <cellStyle name="适中 2 2 2 4 3" xfId="8340"/>
    <cellStyle name="60% - 强调文字颜色 2 3 2 2 4 2" xfId="8341"/>
    <cellStyle name="常规 12 2 3 2" xfId="8342"/>
    <cellStyle name="输出 2 4 2 7 2" xfId="8343"/>
    <cellStyle name="计算 2 5 2 10 2" xfId="8344"/>
    <cellStyle name="强调文字颜色 1 3 4 3" xfId="8345"/>
    <cellStyle name="强调文字颜色 5 2 2 3 3 2 2" xfId="8346"/>
    <cellStyle name="输入 2 5 2 3 3 2 2" xfId="8347"/>
    <cellStyle name="汇总 3 2 2 6 2 2" xfId="8348"/>
    <cellStyle name="20% - 强调文字颜色 1 2 2 2 2 3 2" xfId="8349"/>
    <cellStyle name="检查单元格 2 3 6 2" xfId="8350"/>
    <cellStyle name="40% - 强调文字颜色 3 4 2 2" xfId="8351"/>
    <cellStyle name="链接单元格 2 3 2 8" xfId="8352"/>
    <cellStyle name="标题 5 2 2 2 4 4" xfId="8353"/>
    <cellStyle name="注释 2 5 2 2 2 5" xfId="8354"/>
    <cellStyle name="超链接 2 2 2 2 4" xfId="8355"/>
    <cellStyle name="计算 2 2 4 2 2 2 2 4 2 2" xfId="8356"/>
    <cellStyle name="汇总 2 2 6 3 2 7" xfId="8357"/>
    <cellStyle name="汇总 2 5 2 11 3" xfId="8358"/>
    <cellStyle name="60% - 强调文字颜色 3 2 4 6" xfId="8359"/>
    <cellStyle name="60% - 强调文字颜色 2 2 3 2 6" xfId="8360"/>
    <cellStyle name="20% - 强调文字颜色 4 2 3 2 2 3 3 2 2" xfId="8361"/>
    <cellStyle name="20% - 强调文字颜色 6 2 2 7 2" xfId="8362"/>
    <cellStyle name="计算 2 5 4 5 3" xfId="8363"/>
    <cellStyle name="20% - 强调文字颜色 4 2 2 4 2 3 2" xfId="8364"/>
    <cellStyle name="标题 4 5 2 2 2 2" xfId="8365"/>
    <cellStyle name="强调文字颜色 6 2 2 2 2 3 3 3" xfId="8366"/>
    <cellStyle name="注释 2 2 4 2 2 3 2 2" xfId="8367"/>
    <cellStyle name="链接单元格 3 3" xfId="8368"/>
    <cellStyle name="常规 9 2 2 2 4 3" xfId="8369"/>
    <cellStyle name="60% - 强调文字颜色 2 2 4 3 2" xfId="8370"/>
    <cellStyle name="标题 4 2 2 7" xfId="8371"/>
    <cellStyle name="60% - 强调文字颜色 3 3 5 2" xfId="8372"/>
    <cellStyle name="注释 2 3 7 2" xfId="8373"/>
    <cellStyle name="检查单元格 2 3 4 2 2 2" xfId="8374"/>
    <cellStyle name="无色 2 2 2" xfId="8375"/>
    <cellStyle name="超链接 3 2 2 5 2" xfId="8376"/>
    <cellStyle name="输入 2 6 3 5 2" xfId="8377"/>
    <cellStyle name="标题 5 2 3 10" xfId="8378"/>
    <cellStyle name="输入 2 3 10" xfId="8379"/>
    <cellStyle name="好 2 3 2 6" xfId="8380"/>
    <cellStyle name="计算 2 3 2 6 3" xfId="8381"/>
    <cellStyle name="输入 2 2 4 3 2 3" xfId="8382"/>
    <cellStyle name="注释 2 2 4 6 2" xfId="8383"/>
    <cellStyle name="常规 7 2 2 4 3 2 2" xfId="8384"/>
    <cellStyle name="20% - 强调文字颜色 3 2 6 2 2 2" xfId="8385"/>
    <cellStyle name="汇总 3 10" xfId="8386"/>
    <cellStyle name="差 2 2 3 3 2" xfId="8387"/>
    <cellStyle name="常规 10 5 4" xfId="8388"/>
    <cellStyle name="汇总 2 2 2 3 3" xfId="8389"/>
    <cellStyle name="汇总 3 3 2 4" xfId="8390"/>
    <cellStyle name="常规 4 4 3 2 2" xfId="8391"/>
    <cellStyle name="百分比 2 2 2 2 3" xfId="8392"/>
    <cellStyle name="40% - 强调文字颜色 3 2 2 6 3" xfId="8393"/>
    <cellStyle name="警告文本 2 2" xfId="8394"/>
    <cellStyle name="常规 5 3 2 2" xfId="8395"/>
    <cellStyle name="差 2 2 2 2 4 2 2 2" xfId="8396"/>
    <cellStyle name="汇总 2 2 3 3 3 3 2" xfId="8397"/>
    <cellStyle name="输出 2 2 3 2 2 2 7" xfId="8398"/>
    <cellStyle name="汇总 2 2 5 3 3" xfId="8399"/>
    <cellStyle name="常规 5 2 2 2 7" xfId="8400"/>
    <cellStyle name="20% - 强调文字颜色 6 4 3" xfId="8401"/>
    <cellStyle name="输入 2 2 3 4 2 3 2" xfId="8402"/>
    <cellStyle name="60% - 强调文字颜色 3 2 2 2 3 3 2" xfId="8403"/>
    <cellStyle name="链接单元格 2 3 2 5 3" xfId="8404"/>
    <cellStyle name="20% - 强调文字颜色 5 2 5 5 2" xfId="8405"/>
    <cellStyle name="输入 2 2 3 3 8" xfId="8406"/>
    <cellStyle name="计算 2 2 4 3 2 3 2" xfId="8407"/>
    <cellStyle name="警告文本 2 6 3 2 2" xfId="8408"/>
    <cellStyle name="计算 2 2 17" xfId="8409"/>
    <cellStyle name="好 2 2 3 3 3 2" xfId="8410"/>
    <cellStyle name="强调文字颜色 3 2 4 7" xfId="8411"/>
    <cellStyle name="注释 2 2 6 2 3 2 2" xfId="8412"/>
    <cellStyle name="超链接 3 6 3" xfId="8413"/>
    <cellStyle name="40% - 强调文字颜色 3 3 2 2 3 2 2" xfId="8414"/>
    <cellStyle name="常规 6 8" xfId="8415"/>
    <cellStyle name="40% - 强调文字颜色 6 2 3 4" xfId="8416"/>
    <cellStyle name="20% - 强调文字颜色 1 2 3 5 2 2 2" xfId="8417"/>
    <cellStyle name="强调文字颜色 1 2 5 3 2" xfId="8418"/>
    <cellStyle name="检查单元格 2 2 2 2 6 3" xfId="8419"/>
    <cellStyle name="差 2 3 2 6" xfId="8420"/>
    <cellStyle name="常规 3 2 2 4 4" xfId="8421"/>
    <cellStyle name="好 6" xfId="8422"/>
    <cellStyle name="百分比 2 2 2 2 2 2 3" xfId="8423"/>
    <cellStyle name="标题 4 2 3 2 3 3 3" xfId="8424"/>
    <cellStyle name="60% - 强调文字颜色 1 2 2 2 2 4 3 2" xfId="8425"/>
    <cellStyle name="输入 2 2 5 4 4 2" xfId="8426"/>
    <cellStyle name="输出 2 2 5 3" xfId="8427"/>
    <cellStyle name="汇总 2 2 3 2 5 2 2" xfId="8428"/>
    <cellStyle name="输入 2 2 5 3 6 2" xfId="8429"/>
    <cellStyle name="差 2 3 3" xfId="8430"/>
    <cellStyle name="常规 7 6 3" xfId="8431"/>
    <cellStyle name="常规 4 2 3 4 3" xfId="8432"/>
    <cellStyle name="输入 2 2 4 5 2 3 2" xfId="8433"/>
    <cellStyle name="20% - 强调文字颜色 2 2 2 7 2" xfId="8434"/>
    <cellStyle name="注释 2 4 2 4 2 2 2" xfId="8435"/>
    <cellStyle name="注释 2 2 2 2 2 2 6" xfId="8436"/>
    <cellStyle name="计算 2 2 4 3 3 2" xfId="8437"/>
    <cellStyle name="20% - 强调文字颜色 6 2 2 2 2 2 5 2 2" xfId="8438"/>
    <cellStyle name="计算 2 11 3 3" xfId="8439"/>
    <cellStyle name="标题 6 3 2 2 2" xfId="8440"/>
    <cellStyle name="20% - 强调文字颜色 3 2 5 3 2 2" xfId="8441"/>
    <cellStyle name="常规 2 2 4 5 2 2" xfId="8442"/>
    <cellStyle name="计算 2 5 2 4 2 2" xfId="8443"/>
    <cellStyle name="输出 5 2 2 3" xfId="8444"/>
    <cellStyle name="标题 3 2 2 3 2 2 2 3" xfId="8445"/>
    <cellStyle name="输出 2" xfId="8446"/>
    <cellStyle name="注释 2 2 5 8 2" xfId="8447"/>
    <cellStyle name="40% - 强调文字颜色 5 2 2 4 3 2" xfId="8448"/>
    <cellStyle name="汇总 2 2 4 2 2 2 2 3 2 2" xfId="8449"/>
    <cellStyle name="汇总 2 2 2 2 2 3 5" xfId="8450"/>
    <cellStyle name="20% - 强调文字颜色 6 5 2 2" xfId="8451"/>
    <cellStyle name="链接单元格 2 3 2 6 2 2" xfId="8452"/>
    <cellStyle name="标题 5 2 2 2 4 2 2 2" xfId="8453"/>
    <cellStyle name="标题 3 2 3 2 4" xfId="8454"/>
    <cellStyle name="汇总 2 5 2 5 2 3" xfId="8455"/>
    <cellStyle name="20% - 强调文字颜色 4 2 4 3 3 2" xfId="8456"/>
    <cellStyle name="标题 1 2 2 2 4 2 3" xfId="8457"/>
    <cellStyle name="检查单元格 2 2 2 2 3 3 2 2" xfId="8458"/>
    <cellStyle name="输出 4 8 2" xfId="8459"/>
    <cellStyle name="链接单元格 2 2 3 6 3" xfId="8460"/>
    <cellStyle name="标题 2 2 2 2 2 3 3 2 2" xfId="8461"/>
    <cellStyle name="常规 5 4 6" xfId="8462"/>
    <cellStyle name="40% - 强调文字颜色 6 3 3 4" xfId="8463"/>
    <cellStyle name="强调文字颜色 1 2 6 3 2" xfId="8464"/>
    <cellStyle name="警告文本 2 2 7 2 2" xfId="8465"/>
    <cellStyle name="计算 2 2 2 2 8 2" xfId="8466"/>
    <cellStyle name="检查单元格 2 2 2 4 3" xfId="8467"/>
    <cellStyle name="强调文字颜色 2 2 2 2 2 3 4" xfId="8468"/>
    <cellStyle name="40% - 强调文字颜色 3 2 3 2 2 5 2" xfId="8469"/>
    <cellStyle name="强调文字颜色 6 2 6 3" xfId="8470"/>
    <cellStyle name="适中 2 2 4 4 3" xfId="8471"/>
    <cellStyle name="计算 2 2 4 2 2 2 4" xfId="8472"/>
    <cellStyle name="超链接 3 2 3 3 4" xfId="8473"/>
    <cellStyle name="计算 2 8 2 4 3" xfId="8474"/>
    <cellStyle name="输入 2 7 2 2 3 3" xfId="8475"/>
    <cellStyle name="输入 2 4 7 2 2" xfId="8476"/>
    <cellStyle name="计算 2 2 4 3 2 4" xfId="8477"/>
    <cellStyle name="警告文本 2 6 3 3" xfId="8478"/>
    <cellStyle name="解释性文本 3 7 2" xfId="8479"/>
    <cellStyle name="汇总 2 2 3 2 2 2 3" xfId="8480"/>
    <cellStyle name="汇总 2 2 6 2 2 2" xfId="8481"/>
    <cellStyle name="常规 5 3 3 5 2" xfId="8482"/>
    <cellStyle name="输入 2 2 6 2 2 3 2 2" xfId="8483"/>
    <cellStyle name="输出 2 10 3 2" xfId="8484"/>
    <cellStyle name="强调文字颜色 6 2 2 4 3 3" xfId="8485"/>
    <cellStyle name="汇总 2 3 2 3 3 2 2" xfId="8486"/>
    <cellStyle name="汇总 2 7 2 3 3" xfId="8487"/>
    <cellStyle name="计算 2 2 2 3 2" xfId="8488"/>
    <cellStyle name="常规 5 6 5 3" xfId="8489"/>
    <cellStyle name="计算 2 2 6 2 4" xfId="8490"/>
    <cellStyle name="汇总 2 6 2 3 3" xfId="8491"/>
    <cellStyle name="汇总 2 3 2 2 3 2 2" xfId="8492"/>
    <cellStyle name="常规 4 2 4 5 3" xfId="8493"/>
    <cellStyle name="差 2 2 4 4 2 2" xfId="8494"/>
    <cellStyle name="60% - 强调文字颜色 4 2 6 3 2" xfId="8495"/>
    <cellStyle name="标题 4 2 2 3 2 2 2 2" xfId="8496"/>
    <cellStyle name="标题 4 2 6 2 2 3" xfId="8497"/>
    <cellStyle name="20% - 强调文字颜色 1 2 5 2 3" xfId="8498"/>
    <cellStyle name="40% - 强调文字颜色 5 2 2 4 2 2 2" xfId="8499"/>
    <cellStyle name="注释 2 2 5 7 2 2" xfId="8500"/>
    <cellStyle name="好 2 3 2 4 2 2 2" xfId="8501"/>
    <cellStyle name="汇总 2 2 11 3 3" xfId="8502"/>
    <cellStyle name="适中 2 3 4 3 3" xfId="8503"/>
    <cellStyle name="强调文字颜色 6 2 2 4 4" xfId="8504"/>
    <cellStyle name="20% - 强调文字颜色 4 4 2 2 2 2" xfId="8505"/>
    <cellStyle name="60% - 强调文字颜色 6 2 2 4 6" xfId="8506"/>
    <cellStyle name="汇总 2 2 4 2 5 4" xfId="8507"/>
    <cellStyle name="汇总 2 5 3 2 2 5" xfId="8508"/>
    <cellStyle name="计算 2 2 7 2 2 6" xfId="8509"/>
    <cellStyle name="输入 2 16" xfId="8510"/>
    <cellStyle name="常规 5 2 3 4 2 3 2" xfId="8511"/>
    <cellStyle name="输入 3 3 5 2 2" xfId="8512"/>
    <cellStyle name="计算 2 2 4 12" xfId="8513"/>
    <cellStyle name="差 2 6 2 3" xfId="8514"/>
    <cellStyle name="标题 2 2 2 3 3 2 2" xfId="8515"/>
    <cellStyle name="汇总 2 2 9 4 2 2" xfId="8516"/>
    <cellStyle name="注释 2 6 3 6" xfId="8517"/>
    <cellStyle name="注释 2 4 2 2 2 3 2" xfId="8518"/>
    <cellStyle name="强调文字颜色 5 2 2 2 2" xfId="8519"/>
    <cellStyle name="汇总 2 5 2 2 3 3 3" xfId="8520"/>
    <cellStyle name="链接单元格 2 4 2 3" xfId="8521"/>
    <cellStyle name="40% - 强调文字颜色 5 2 5 4 2 2" xfId="8522"/>
    <cellStyle name="检查单元格 2 2 2 2 4 2" xfId="8523"/>
    <cellStyle name="计算 2 6 14" xfId="8524"/>
    <cellStyle name="常规 3 7 5 2" xfId="8525"/>
    <cellStyle name="标题 3 2 3 3 7" xfId="8526"/>
    <cellStyle name="计算 2 4 8 2 2" xfId="8527"/>
    <cellStyle name="强调文字颜色 6 2 2 2 2 3 2" xfId="8528"/>
    <cellStyle name="链接单元格 2 2 3 2 2 2 2 2" xfId="8529"/>
    <cellStyle name="警告文本 2 6 2 3" xfId="8530"/>
    <cellStyle name="标题 5 4 6 2" xfId="8531"/>
    <cellStyle name="输入 2 2 4 3 2 7" xfId="8532"/>
    <cellStyle name="计算 2 2 4 2 3 5 2" xfId="8533"/>
    <cellStyle name="常规 12 4 2 3 2 2" xfId="8534"/>
    <cellStyle name="汇总 4 2 2 2" xfId="8535"/>
    <cellStyle name="强调文字颜色 5 2 2 6 4" xfId="8536"/>
    <cellStyle name="注释 2 3 4 3 3" xfId="8537"/>
    <cellStyle name="40% - 强调文字颜色 3 3 4 2 2" xfId="8538"/>
    <cellStyle name="适中 2 2 2 2 3 3 2 2" xfId="8539"/>
    <cellStyle name="汇总 2 2 4 3 2 6" xfId="8540"/>
    <cellStyle name="强调文字颜色 1 2 3 2 3 2 3" xfId="8541"/>
    <cellStyle name="20% - 强调文字颜色 6 2 2 5 3 2" xfId="8542"/>
    <cellStyle name="汇总 2 5 2 2 3 3 2 2" xfId="8543"/>
    <cellStyle name="标题 2 2 2 7 3" xfId="8544"/>
    <cellStyle name="链接单元格 2 4 2 2 2" xfId="8545"/>
    <cellStyle name="汇总 2 2 6" xfId="8546"/>
    <cellStyle name="计算 2 2 2 2 2 2 2 3 3" xfId="8547"/>
    <cellStyle name="20% - 强调文字颜色 3 2 3 3 5" xfId="8548"/>
    <cellStyle name="注释 2 4 2 2 2 5" xfId="8549"/>
    <cellStyle name="汇总 2 2 4 2 3 2 5" xfId="8550"/>
    <cellStyle name="计算 2 2 4 4 2 8" xfId="8551"/>
    <cellStyle name="常规 3 2 4 3 2" xfId="8552"/>
    <cellStyle name="计算 3 5 2 2 2" xfId="8553"/>
    <cellStyle name="汇总 2 7 2 2 4 3" xfId="8554"/>
    <cellStyle name="汇总 2 3 4 6 2" xfId="8555"/>
    <cellStyle name="好 3 3 4" xfId="8556"/>
    <cellStyle name="40% - 强调文字颜色 1 2 2 2 2 5 2 2 2" xfId="8557"/>
    <cellStyle name="输出 2 2 2 2 4 2" xfId="8558"/>
    <cellStyle name="强调文字颜色 3 5 2" xfId="8559"/>
    <cellStyle name="输出 3 3 5 3" xfId="8560"/>
    <cellStyle name="输出 2 5 12" xfId="8561"/>
    <cellStyle name="常规 3 2 3 3" xfId="8562"/>
    <cellStyle name="汇总 2 2 3 9 2 2" xfId="8563"/>
    <cellStyle name="输出 2 2 3 2 3 5 3" xfId="8564"/>
    <cellStyle name="输入 2 2 2 4 3 2" xfId="8565"/>
    <cellStyle name="输出 2 2 4 6 2 2" xfId="8566"/>
    <cellStyle name="计算 2 2 8 3 2 2" xfId="8567"/>
    <cellStyle name="标题 3 2 2 5 2 2" xfId="8568"/>
    <cellStyle name="60% - 强调文字颜色 4 4 2 2 2" xfId="8569"/>
    <cellStyle name="输入 2 5 4 4" xfId="8570"/>
    <cellStyle name="计算 2 5 5 2 4 3" xfId="8571"/>
    <cellStyle name="标题 1 2 2 2 2 3 2" xfId="8572"/>
    <cellStyle name="强调文字颜色 6 2 3 4" xfId="8573"/>
    <cellStyle name="汇总 2 2 4 4 4 3" xfId="8574"/>
    <cellStyle name="强调文字颜色 4 4 2 3 2" xfId="8575"/>
    <cellStyle name="常规 3 3 2 3 3 2" xfId="8576"/>
    <cellStyle name="汇总 2 2 2 6 3 2 2" xfId="8577"/>
    <cellStyle name="输出 2 6 8" xfId="8578"/>
    <cellStyle name="强调文字颜色 1 2 3 4 2" xfId="8579"/>
    <cellStyle name="常规 4 4" xfId="8580"/>
    <cellStyle name="40% - 强调文字颜色 2 2 2 4 2 3 2" xfId="8581"/>
    <cellStyle name="汇总 2 2 6 4 8" xfId="8582"/>
    <cellStyle name="差 2 2 2 2 3 3" xfId="8583"/>
    <cellStyle name="输出 4 3 2 2" xfId="8584"/>
    <cellStyle name="标题 1 2 4" xfId="8585"/>
    <cellStyle name="强调文字颜色 4 2 2 3 2" xfId="8586"/>
    <cellStyle name="汇总 2 2 10 2" xfId="8587"/>
    <cellStyle name="适中 2 3 3 2" xfId="8588"/>
    <cellStyle name="常规 7 4 4 2 2" xfId="8589"/>
    <cellStyle name="常规 4 2 3 2 4 2 2" xfId="8590"/>
    <cellStyle name="60% - 强调文字颜色 5 2 3 8" xfId="8591"/>
    <cellStyle name="输入 2 4 5 2 2" xfId="8592"/>
    <cellStyle name="强调文字颜色 1 2 4 4 3" xfId="8593"/>
    <cellStyle name="检查单元格 2 5 4" xfId="8594"/>
    <cellStyle name="常规 9 2 2 3" xfId="8595"/>
    <cellStyle name="40% - 强调文字颜色 1 3 2 3" xfId="8596"/>
    <cellStyle name="计算 2 2 4 2 12 2" xfId="8597"/>
    <cellStyle name="汇总 2 2 7 4 2" xfId="8598"/>
    <cellStyle name="强调文字颜色 6 2 6 2" xfId="8599"/>
    <cellStyle name="适中 2 2 4 4 2" xfId="8600"/>
    <cellStyle name="输入 2 6 4 3 3" xfId="8601"/>
    <cellStyle name="超链接 3 2 3 3 3" xfId="8602"/>
    <cellStyle name="汇总 2 3 3 3 5" xfId="8603"/>
    <cellStyle name="计算 2 8 2 4 2" xfId="8604"/>
    <cellStyle name="输入 2 7 2 2 3 2" xfId="8605"/>
    <cellStyle name="常规 11 2 2 5 3" xfId="8606"/>
    <cellStyle name="计算 2 5 2 4 5" xfId="8607"/>
    <cellStyle name="输入 2 15" xfId="8608"/>
    <cellStyle name="输入 2 20" xfId="8609"/>
    <cellStyle name="计算 2 2 7 2 2 5" xfId="8610"/>
    <cellStyle name="汇总 2 5 3 2 2 4" xfId="8611"/>
    <cellStyle name="链接单元格 2 3 2 2 2 2 2 2" xfId="8612"/>
    <cellStyle name="强调文字颜色 1 2 2 2 3 2 3" xfId="8613"/>
    <cellStyle name="20% - 强调文字颜色 4 2 2 4 3 2 2" xfId="8614"/>
    <cellStyle name="链接单元格 2 2 3 4" xfId="8615"/>
    <cellStyle name="40% - 强调文字颜色 2 2 2 4 5" xfId="8616"/>
    <cellStyle name="注释 2 5 10" xfId="8617"/>
    <cellStyle name="标题 6 3 3 2 2 2" xfId="8618"/>
    <cellStyle name="60% - 强调文字颜色 6 2 3 4 3 2" xfId="8619"/>
    <cellStyle name="输入 2 5 5 2 2 2" xfId="8620"/>
    <cellStyle name="计算 2 3 2 2 2 2 4 2" xfId="8621"/>
    <cellStyle name="输入 2 2 4 2 3 2 2 2" xfId="8622"/>
    <cellStyle name="标题 2 2 5 3" xfId="8623"/>
    <cellStyle name="标题 2 2 3 2 3 2" xfId="8624"/>
    <cellStyle name="输入 4 2 5 2" xfId="8625"/>
    <cellStyle name="标题 1 2 2 2 3 4" xfId="8626"/>
    <cellStyle name="输出 9" xfId="8627"/>
    <cellStyle name="标题 4 2 4 5" xfId="8628"/>
    <cellStyle name="计算 2 4 4 4 2 2" xfId="8629"/>
    <cellStyle name="输入 2 2 6 3 3 2" xfId="8630"/>
    <cellStyle name="计算 2 5 2 7 2" xfId="8631"/>
    <cellStyle name="标题 4 2 3 3 2 2 3" xfId="8632"/>
    <cellStyle name="强调文字颜色 6 2 3 3 5" xfId="8633"/>
    <cellStyle name="超链接 2 3 2 2 2 2 2" xfId="8634"/>
    <cellStyle name="标题 4 2 2 2 4 2 3" xfId="8635"/>
    <cellStyle name="计算 2 3 3 6 2 2" xfId="8636"/>
    <cellStyle name="标题 3 2 2 2 2 2 2 2 2" xfId="8637"/>
    <cellStyle name="60% - 强调文字颜色 3 2 3 2 3 2 2" xfId="8638"/>
    <cellStyle name="强调文字颜色 3 2 7 2 3" xfId="8639"/>
    <cellStyle name="输入 2 2 4 4 2 2 2" xfId="8640"/>
    <cellStyle name="20% - 强调文字颜色 6 2 5 4 2" xfId="8641"/>
    <cellStyle name="输入 2 4 2 8" xfId="8642"/>
    <cellStyle name="注释 2 2 10 3" xfId="8643"/>
    <cellStyle name="计算 2 3 3 3 2" xfId="8644"/>
    <cellStyle name="强调文字颜色 6 2 4 2 2 2 3" xfId="8645"/>
    <cellStyle name="计算 2 6 4 9" xfId="8646"/>
    <cellStyle name="强调文字颜色 5 2 7 2 2 2" xfId="8647"/>
    <cellStyle name="标题 3 2 6 2" xfId="8648"/>
    <cellStyle name="计算 2 2 6 8 2" xfId="8649"/>
    <cellStyle name="输出 2 2 4 5 3" xfId="8650"/>
    <cellStyle name="输入 2 2 2 3 4" xfId="8651"/>
    <cellStyle name="输出 2 2 2 2 7 2" xfId="8652"/>
    <cellStyle name="计算 2 2 3 3 4" xfId="8653"/>
    <cellStyle name="注释 2 4 2 3 2 3" xfId="8654"/>
    <cellStyle name="检查单元格 3 3 3 2" xfId="8655"/>
    <cellStyle name="20% - 强调文字颜色 2 2 3 2 2 4 2 2" xfId="8656"/>
    <cellStyle name="强调文字颜色 3 2 4 6" xfId="8657"/>
    <cellStyle name="20% - 强调文字颜色 3 2 4 2 2 2 2 2" xfId="8658"/>
    <cellStyle name="20% - 强调文字颜色 1 2 2 2 2 4 2" xfId="8659"/>
    <cellStyle name="常规 10 4 2 3 2" xfId="8660"/>
    <cellStyle name="汇总 2 2 5 2 2 2 5 2" xfId="8661"/>
    <cellStyle name="20% - 强调文字颜色 4 2 3 5 2 2 2" xfId="8662"/>
    <cellStyle name="常规 5 2 3 2 2 3" xfId="8663"/>
    <cellStyle name="常规 4 2 2 2 2 5" xfId="8664"/>
    <cellStyle name="检查单元格 2 3 3 5" xfId="8665"/>
    <cellStyle name="60% - 强调文字颜色 5 2 3 5 2" xfId="8666"/>
    <cellStyle name="强调文字颜色 2 2 4 9" xfId="8667"/>
    <cellStyle name="强调文字颜色 1 2 3 4 4" xfId="8668"/>
    <cellStyle name="40% - 强调文字颜色 4 3 5 2 2" xfId="8669"/>
    <cellStyle name="输出 4 2 5 2" xfId="8670"/>
    <cellStyle name="强调文字颜色 1 2 3 4 2 3" xfId="8671"/>
    <cellStyle name="输出 2 6 8 3" xfId="8672"/>
    <cellStyle name="60% - 强调文字颜色 6 2 2 2 2 4 3 2" xfId="8673"/>
    <cellStyle name="计算 2 8 4 2" xfId="8674"/>
    <cellStyle name="汇总 2 2 4 5 5 2" xfId="8675"/>
    <cellStyle name="输入 2 2 8 7 2 2" xfId="8676"/>
    <cellStyle name="汇总 2 2 7 5 5" xfId="8677"/>
    <cellStyle name="汇总 2 2 4 2 2 3 3 2 2" xfId="8678"/>
    <cellStyle name="注释 2 3 2 2" xfId="8679"/>
    <cellStyle name="强调文字颜色 6 2 2 2 5" xfId="8680"/>
    <cellStyle name="强调文字颜色 1 2 4 2 2 2 2 2" xfId="8681"/>
    <cellStyle name="常规 3 3 6 2 2 2" xfId="8682"/>
    <cellStyle name="链接单元格 2 2 3 10" xfId="8683"/>
    <cellStyle name="强调文字颜色 3 2 2 3 2 2" xfId="8684"/>
    <cellStyle name="输出 3 3 2 2 2" xfId="8685"/>
    <cellStyle name="汇总 2 3 11 3" xfId="8686"/>
    <cellStyle name="差 4 6" xfId="8687"/>
    <cellStyle name="汇总 2 6 2 2 2 3 2" xfId="8688"/>
    <cellStyle name="强调文字颜色 1 2 7 2" xfId="8689"/>
    <cellStyle name="计算 3 3 4" xfId="8690"/>
    <cellStyle name="20% - 强调文字颜色 1 2 3 2 2 2 2 2 2" xfId="8691"/>
    <cellStyle name="注释 2 2 3 5 3 2" xfId="8692"/>
    <cellStyle name="40% - 强调文字颜色 3 2 3 4 2 2" xfId="8693"/>
    <cellStyle name="计算 4 2 3 2 2 2" xfId="8694"/>
    <cellStyle name="汇总 2 2 2 5 4 2" xfId="8695"/>
    <cellStyle name="注释 2 2 2 8" xfId="8696"/>
    <cellStyle name="输入 2 2 5 2 2 5 2" xfId="8697"/>
    <cellStyle name="强调文字颜色 2 2 2 6 3 3" xfId="8698"/>
    <cellStyle name="差 2 7" xfId="8699"/>
    <cellStyle name="汇总 2 2 2 2 4 3 3" xfId="8700"/>
    <cellStyle name="常规 2 2 2 3 2 2" xfId="8701"/>
    <cellStyle name="常规 13 2 2 2 2 3 2" xfId="8702"/>
    <cellStyle name="输出 2 3 4 3 2 2" xfId="8703"/>
    <cellStyle name="汇总 2 4 6 2 2" xfId="8704"/>
    <cellStyle name="40% - 强调文字颜色 2 2 3 2 2 4 2 2" xfId="8705"/>
    <cellStyle name="输出 2 2 3 2 4" xfId="8706"/>
    <cellStyle name="40% - 强调文字颜色 3 2 4 2 2 2 2 2" xfId="8707"/>
    <cellStyle name="强调文字颜色 3 2 2 6 3" xfId="8708"/>
    <cellStyle name="常规 10 4 3 3 2" xfId="8709"/>
    <cellStyle name="输出 2 2 2 2 2 8" xfId="8710"/>
    <cellStyle name="警告文本 2 3 3 4" xfId="8711"/>
    <cellStyle name="60% - 强调文字颜色 6 2 2 4 2 2" xfId="8712"/>
    <cellStyle name="差 2 2 2 4 2 2 3" xfId="8713"/>
    <cellStyle name="20% - 强调文字颜色 1 2 2 4 5" xfId="8714"/>
    <cellStyle name="好 2 2 4 2 2 2 2" xfId="8715"/>
    <cellStyle name="输入 2 2 9 2 2" xfId="8716"/>
    <cellStyle name="汇总 2 2 8 2 2 3 2 2" xfId="8717"/>
    <cellStyle name="40% - 强调文字颜色 1 5 2 2 2" xfId="8718"/>
    <cellStyle name="常规 9 4 2 2 2" xfId="8719"/>
    <cellStyle name="计算 2 2 7 2 3 2 2" xfId="8720"/>
    <cellStyle name="强调文字颜色 4 2 2 2 2 2 2 3" xfId="8721"/>
    <cellStyle name="注释 2 2 2 2 2 4 2" xfId="8722"/>
    <cellStyle name="计算 2 2 5 2 4 3 2 2" xfId="8723"/>
    <cellStyle name="40% - 强调文字颜色 1 2 5 2 3 2" xfId="8724"/>
    <cellStyle name="汇总 2 6 4 5 3" xfId="8725"/>
    <cellStyle name="标题 3 3 3 3 2 3" xfId="8726"/>
    <cellStyle name="标题 4 2 2 4 3 2 2" xfId="8727"/>
    <cellStyle name="解释性文本 2 3 3 3" xfId="8728"/>
    <cellStyle name="注释 2 6" xfId="8729"/>
    <cellStyle name="输出 2 5 4 2 2 2 2" xfId="8730"/>
    <cellStyle name="常规 2 4 2 2 2 2 2" xfId="8731"/>
    <cellStyle name="标题 2 2 2 2 4 3 2" xfId="8732"/>
    <cellStyle name="汇总 2 7 3 3" xfId="8733"/>
    <cellStyle name="40% - 强调文字颜色 6 2 2 3 5" xfId="8734"/>
    <cellStyle name="汇总 3 2 4 3 3" xfId="8735"/>
    <cellStyle name="输入 2 4 2 2 2 2 3" xfId="8736"/>
    <cellStyle name="计算 2 2 8 2 2 2 2 2" xfId="8737"/>
    <cellStyle name="输入 2 2 4 2 3 5 2 2" xfId="8738"/>
    <cellStyle name="汇总 2 2 3 4 6" xfId="8739"/>
    <cellStyle name="计算 2 7 2 5 3" xfId="8740"/>
    <cellStyle name="60% - 强调文字颜色 5 4 3 2 2 2" xfId="8741"/>
    <cellStyle name="计算 2 2 8 12" xfId="8742"/>
    <cellStyle name="常规 5 2 2 2 3 2 2" xfId="8743"/>
    <cellStyle name="常规 5 4 3 4 2" xfId="8744"/>
    <cellStyle name="常规 9 2 2 5 2" xfId="8745"/>
    <cellStyle name="常规 9 2 2 6" xfId="8746"/>
    <cellStyle name="适中 2 2 2 2 6 2" xfId="8747"/>
    <cellStyle name="40% - 强调文字颜色 1 3 2 6" xfId="8748"/>
    <cellStyle name="输出 2 2 4 3 2 6" xfId="8749"/>
    <cellStyle name="标题 1 2 2 2 2 3 3 2" xfId="8750"/>
    <cellStyle name="常规 3 2 4 2 3 4" xfId="8751"/>
    <cellStyle name="常规 9 4 3 2" xfId="8752"/>
    <cellStyle name="强调文字颜色 2 2 3 5 2 3" xfId="8753"/>
    <cellStyle name="汇总 2 3 2 4 5" xfId="8754"/>
    <cellStyle name="超链接 3 2 2 4 3" xfId="8755"/>
    <cellStyle name="输入 2 6 3 4 3" xfId="8756"/>
    <cellStyle name="适中 2 3 2 2 3" xfId="8757"/>
    <cellStyle name="标题 5 2 3 6 2 2" xfId="8758"/>
    <cellStyle name="标题 1 2 2 3 2" xfId="8759"/>
    <cellStyle name="40% - 强调文字颜色 4 2 2 2 6 2" xfId="8760"/>
    <cellStyle name="注释 2 6 7 2 2" xfId="8761"/>
    <cellStyle name="汇总 2 2 2 2 4 2 3" xfId="8762"/>
    <cellStyle name="40% - 强调文字颜色 6 2 2 3 5 2" xfId="8763"/>
    <cellStyle name="汇总 2 7 3 3 2" xfId="8764"/>
    <cellStyle name="输入 2 5 3 2 2 2 3" xfId="8765"/>
    <cellStyle name="20% - 强调文字颜色 4 3 5 2 2 2" xfId="8766"/>
    <cellStyle name="输出 2 2 3 2 2 3 2 2" xfId="8767"/>
    <cellStyle name="标题 1 2 2 2 6 3" xfId="8768"/>
    <cellStyle name="常规 6 2 6" xfId="8769"/>
    <cellStyle name="常规 9 4 2 3" xfId="8770"/>
    <cellStyle name="解释性文本 3 6 2" xfId="8771"/>
    <cellStyle name="汇总 2 2 2 2 2 7 2" xfId="8772"/>
    <cellStyle name="汇总 2 5 5 2 2 2" xfId="8773"/>
    <cellStyle name="计算 2 2 9 2 2 3" xfId="8774"/>
    <cellStyle name="输入 2 2 5 2 3 6" xfId="8775"/>
    <cellStyle name="输出 2 3 2 2 4 2" xfId="8776"/>
    <cellStyle name="40% - 强调文字颜色 6 2 3 2 2 2 2 2 2" xfId="8777"/>
    <cellStyle name="40% - 强调文字颜色 5 2 2 2 2 4 2 2 2" xfId="8778"/>
    <cellStyle name="标题 5 2 4 4" xfId="8779"/>
    <cellStyle name="标题 2 2 2 4 3 3 2" xfId="8780"/>
    <cellStyle name="输入 2 5 2 2 2 2 2" xfId="8781"/>
    <cellStyle name="超链接 3 3 2 5" xfId="8782"/>
    <cellStyle name="输入 2 7 3 5" xfId="8783"/>
    <cellStyle name="强调文字颜色 3 2 2 3 8" xfId="8784"/>
    <cellStyle name="常规 6 2 3 3 3 2" xfId="8785"/>
    <cellStyle name="计算 2 2 2 3 2 4 2 2" xfId="8786"/>
    <cellStyle name="汇总 2 2 8 2 3" xfId="8787"/>
    <cellStyle name="常规 5 2 2 3 3 4" xfId="8788"/>
    <cellStyle name="60% - 强调文字颜色 4 3 10" xfId="8789"/>
    <cellStyle name="输出 2 2 3 5 4 2 2" xfId="8790"/>
    <cellStyle name="40% - 强调文字颜色 5 4 2 3 2 2 2" xfId="8791"/>
    <cellStyle name="输出 2 2 6 6 2 2" xfId="8792"/>
    <cellStyle name="计算 2 4 2 5 2 2" xfId="8793"/>
    <cellStyle name="标题 3 2 2 2 2 2 3 2" xfId="8794"/>
    <cellStyle name="计算 2 3 3 7 2" xfId="8795"/>
    <cellStyle name="60% - 强调文字颜色 3 2 3 2 4 2" xfId="8796"/>
    <cellStyle name="输入 2 2 4 4 3 2" xfId="8797"/>
    <cellStyle name="汇总 2 2 2 2 2 7" xfId="8798"/>
    <cellStyle name="警告文本 2 2 2 3 4" xfId="8799"/>
    <cellStyle name="解释性文本 3 6" xfId="8800"/>
    <cellStyle name="60% - 强调文字颜色 1 2 2 2 2 4" xfId="8801"/>
    <cellStyle name="计算 2 11 2 2 2" xfId="8802"/>
    <cellStyle name="输出 2 2 7 6" xfId="8803"/>
    <cellStyle name="计算 2 4 3 5" xfId="8804"/>
    <cellStyle name="60% - 强调文字颜色 3 2 4 2 2" xfId="8805"/>
    <cellStyle name="60% - 强调文字颜色 2 2 3 2 2 2" xfId="8806"/>
    <cellStyle name="计算 2 2 5 2 7 2 2" xfId="8807"/>
    <cellStyle name="计算 2 2 4 2 6 2 2 2" xfId="8808"/>
    <cellStyle name="强调文字颜色 4 2 4 5" xfId="8809"/>
    <cellStyle name="输入 2 2 3 9" xfId="8810"/>
    <cellStyle name="计算 2 5 2 4 2 3 3" xfId="8811"/>
    <cellStyle name="注释 2 7 4 2" xfId="8812"/>
    <cellStyle name="20% - 强调文字颜色 4 2 5 2" xfId="8813"/>
    <cellStyle name="差 2 2 2 2 8" xfId="8814"/>
    <cellStyle name="输入 3 12" xfId="8815"/>
    <cellStyle name="20% - 强调文字颜色 1 2 4 2 2 2 2" xfId="8816"/>
    <cellStyle name="计算 2 5 2 9 2" xfId="8817"/>
    <cellStyle name="常规 5 2 2 2 3" xfId="8818"/>
    <cellStyle name="常规 2 10" xfId="8819"/>
    <cellStyle name="标题 1 2 2 2 4" xfId="8820"/>
    <cellStyle name="汇总 2 3 2 4 2 3" xfId="8821"/>
    <cellStyle name="40% - 强调文字颜色 5 2 3 2 5 2" xfId="8822"/>
    <cellStyle name="强调文字颜色 1 2 2 2 3 7" xfId="8823"/>
    <cellStyle name="计算 2 2 3 2 2 2 5" xfId="8824"/>
    <cellStyle name="注释 2 2 4 4" xfId="8825"/>
    <cellStyle name="汇总 2 2 14 3" xfId="8826"/>
    <cellStyle name="40% - 强调文字颜色 1 2 2 2 4 3 2" xfId="8827"/>
    <cellStyle name="60% - 强调文字颜色 1 2 4 3 2 2" xfId="8828"/>
    <cellStyle name="常规 9 6" xfId="8829"/>
    <cellStyle name="汇总 2 6 3 2" xfId="8830"/>
    <cellStyle name="汇总 2 2 7 2 5 3" xfId="8831"/>
    <cellStyle name="注释 2 2 4 3 2 4" xfId="8832"/>
    <cellStyle name="汇总 2 3 8" xfId="8833"/>
    <cellStyle name="常规 10 9" xfId="8834"/>
    <cellStyle name="标题 3 2 5 3 2" xfId="8835"/>
    <cellStyle name="计算 2 7 5 6" xfId="8836"/>
    <cellStyle name="输入 2 2 8 6 2" xfId="8837"/>
    <cellStyle name="标题 4 2 2 2 2 3 3 3" xfId="8838"/>
    <cellStyle name="检查单元格 2 3 2 6 2 2" xfId="8839"/>
    <cellStyle name="汇总 5 4 3" xfId="8840"/>
    <cellStyle name="汇总 2 3 2 2 3 4 2" xfId="8841"/>
    <cellStyle name="汇总 2 6 2 5 3" xfId="8842"/>
    <cellStyle name="警告文本 3 9" xfId="8843"/>
    <cellStyle name="汇总 2 2 4 3 11" xfId="8844"/>
    <cellStyle name="适中 2 2 4 2 2" xfId="8845"/>
    <cellStyle name="20% - 强调文字颜色 3 2 2 2 3 2 2 2" xfId="8846"/>
    <cellStyle name="强调文字颜色 6 2 4 2" xfId="8847"/>
    <cellStyle name="强调文字颜色 2 2 6 4" xfId="8848"/>
    <cellStyle name="标题 5 2 2 2 3 2" xfId="8849"/>
    <cellStyle name="汇总 2 5 2 2 2 2 6" xfId="8850"/>
    <cellStyle name="40% - 强调文字颜色 6 2 2 2 6 2 2 2" xfId="8851"/>
    <cellStyle name="20% - 强调文字颜色 5 5" xfId="8852"/>
    <cellStyle name="常规 3 3 2 4 2 2 2" xfId="8853"/>
    <cellStyle name="常规 5 2 6 5" xfId="8854"/>
    <cellStyle name="链接单元格 2 3 2 3 2 3" xfId="8855"/>
    <cellStyle name="20% - 强调文字颜色 6 2 2 3" xfId="8856"/>
    <cellStyle name="汇总 2 2 5 5 2" xfId="8857"/>
    <cellStyle name="强调文字颜色 3 4 3" xfId="8858"/>
    <cellStyle name="解释性文本 3 2 5 2" xfId="8859"/>
    <cellStyle name="60% - 强调文字颜色 6 2 8 2" xfId="8860"/>
    <cellStyle name="常规 3 2 2 4" xfId="8861"/>
    <cellStyle name="计算 2 2 5 2 3 4 2" xfId="8862"/>
    <cellStyle name="40% - 强调文字颜色 1 2 4 3 3" xfId="8863"/>
    <cellStyle name="警告文本 2 2 3 6 2 2" xfId="8864"/>
    <cellStyle name="输出 2 2 3 8 3" xfId="8865"/>
    <cellStyle name="强调文字颜色 6 2 2 4 3 3 2" xfId="8866"/>
    <cellStyle name="强调文字颜色 4 2 2 2 4" xfId="8867"/>
    <cellStyle name="输出 2 2 7 2 2 3" xfId="8868"/>
    <cellStyle name="常规 5 3 3 2 2" xfId="8869"/>
    <cellStyle name="输入 2 6 6 3" xfId="8870"/>
    <cellStyle name="超链接 3 2 5 3" xfId="8871"/>
    <cellStyle name="计算 2 10 3 2" xfId="8872"/>
    <cellStyle name="计算 2 2 4 2 5 3 2" xfId="8873"/>
    <cellStyle name="60% - 强调文字颜色 2 2 2 3 2" xfId="8874"/>
    <cellStyle name="适中 3 2 5 3" xfId="8875"/>
    <cellStyle name="计算 2 3 3" xfId="8876"/>
    <cellStyle name="超链接 2 3 5 2" xfId="8877"/>
    <cellStyle name="注释 2 6 7 3" xfId="8878"/>
    <cellStyle name="40% - 强调文字颜色 4 2 2 2 7" xfId="8879"/>
    <cellStyle name="40% - 强调文字颜色 2 2 5 4 2 2" xfId="8880"/>
    <cellStyle name="标题 1 2 2 4" xfId="8881"/>
    <cellStyle name="汇总 2 2 2 11 3" xfId="8882"/>
    <cellStyle name="输出 3 2 7 2" xfId="8883"/>
    <cellStyle name="好 3 3" xfId="8884"/>
    <cellStyle name="解释性文本 2 3 4 3 3" xfId="8885"/>
    <cellStyle name="20% - 强调文字颜色 5 2 3 2 3" xfId="8886"/>
    <cellStyle name="检查单元格 2 2 3 2 2 2 2" xfId="8887"/>
    <cellStyle name="输出 2 4 2 2 5" xfId="8888"/>
    <cellStyle name="汇总 2 6 5 2 3" xfId="8889"/>
    <cellStyle name="20% - 强调文字颜色 3 6" xfId="8890"/>
    <cellStyle name="强调文字颜色 2 2 4 5" xfId="8891"/>
    <cellStyle name="标题 3 2 3 6 3" xfId="8892"/>
    <cellStyle name="好 2 2 2 2 7" xfId="8893"/>
    <cellStyle name="强调文字颜色 5 2 3 4 3 2" xfId="8894"/>
    <cellStyle name="输入 2 2 4 2 2 3 2 3" xfId="8895"/>
    <cellStyle name="计算 2 5 3 2 4 2 2" xfId="8896"/>
    <cellStyle name="强调文字颜色 4 2 2 4 3 4" xfId="8897"/>
    <cellStyle name="计算 2 2 3 3 10" xfId="8898"/>
    <cellStyle name="强调文字颜色 1 2 3 3 2 3" xfId="8899"/>
    <cellStyle name="60% - 强调文字颜色 6 2 2 2 2 3 3 2" xfId="8900"/>
    <cellStyle name="计算 2 7 4 2" xfId="8901"/>
    <cellStyle name="40% - 强调文字颜色 5 2 2 3 5" xfId="8902"/>
    <cellStyle name="好 2 3 2 3 3" xfId="8903"/>
    <cellStyle name="汇总 2 2 4 2 2 2 2 2 2" xfId="8904"/>
    <cellStyle name="注释 2 2 4 8" xfId="8905"/>
    <cellStyle name="计算 2 2 4 3 2 5 2 2" xfId="8906"/>
    <cellStyle name="40% - 强调文字颜色 5 2 2 3 3" xfId="8907"/>
    <cellStyle name="强调文字颜色 5 2 2 5 3 2 2" xfId="8908"/>
    <cellStyle name="强调文字颜色 3 3 4 3" xfId="8909"/>
    <cellStyle name="差 2 2 3 5" xfId="8910"/>
    <cellStyle name="注释 2 4 2 9 2" xfId="8911"/>
    <cellStyle name="计算 2 3 6 3" xfId="8912"/>
    <cellStyle name="百分比 2 4 4" xfId="8913"/>
    <cellStyle name="标题 1 2 2 7 3" xfId="8914"/>
    <cellStyle name="汇总 2 11 2 2" xfId="8915"/>
    <cellStyle name="输出 2 6 3 3 2" xfId="8916"/>
    <cellStyle name="汇总 4 2 5 2" xfId="8917"/>
    <cellStyle name="40% - 强调文字颜色 3 2 3" xfId="8918"/>
    <cellStyle name="适中 2 2 2 2 2 2" xfId="8919"/>
    <cellStyle name="强调文字颜色 3 2 3 2 3 2" xfId="8920"/>
    <cellStyle name="计算 2 3 3 2 2 2 2" xfId="8921"/>
    <cellStyle name="40% - 强调文字颜色 2 5 2" xfId="8922"/>
    <cellStyle name="常规 4 2 6 2 2" xfId="8923"/>
    <cellStyle name="20% - 强调文字颜色 4 2 5 3 3 2" xfId="8924"/>
    <cellStyle name="标题 1 2 2 3 4 2 3" xfId="8925"/>
    <cellStyle name="计算 2 3 2 4 2 3" xfId="8926"/>
    <cellStyle name="标题 4 3 2 2 2 2 2" xfId="8927"/>
    <cellStyle name="汇总 2 9 2 7" xfId="8928"/>
    <cellStyle name="输出 2 2 2 2 2 4 3" xfId="8929"/>
    <cellStyle name="强调文字颜色 6 2 3 3 3" xfId="8930"/>
    <cellStyle name="计算 2 6 3 2 3 2" xfId="8931"/>
    <cellStyle name="输入 2 2 4 3 2 2 4" xfId="8932"/>
    <cellStyle name="标题 3 2 2 3 2 2 2 2 2" xfId="8933"/>
    <cellStyle name="20% - 强调文字颜色 4 2 2 4 4" xfId="8934"/>
    <cellStyle name="计算 4 2 5 2" xfId="8935"/>
    <cellStyle name="强调文字颜色 1 2 2 2 2 3 2 2" xfId="8936"/>
    <cellStyle name="警告文本 2 7" xfId="8937"/>
    <cellStyle name="强调文字颜色 4 2 3 2 3 3 2" xfId="8938"/>
    <cellStyle name="输入 4 2 2 4" xfId="8939"/>
    <cellStyle name="计算 2 2 5 2 3 5" xfId="8940"/>
    <cellStyle name="警告文本 2 2 3 6 3" xfId="8941"/>
    <cellStyle name="20% - 强调文字颜色 2 2 2 2 2 2 2 3" xfId="8942"/>
    <cellStyle name="输出 2 2 7 3 2 3" xfId="8943"/>
    <cellStyle name="计算 2 4 3 2 2 3" xfId="8944"/>
    <cellStyle name="强调文字颜色 4 2 3 2 4" xfId="8945"/>
    <cellStyle name="解释性文本 2 2 3 4 2 3" xfId="8946"/>
    <cellStyle name="60% - 强调文字颜色 2 3 3 4 2" xfId="8947"/>
    <cellStyle name="60% - 强调文字颜色 4 2 6 2" xfId="8948"/>
    <cellStyle name="输出 2 2 3 4 4 3" xfId="8949"/>
    <cellStyle name="计算 2 3 4 3 3" xfId="8950"/>
    <cellStyle name="注释 2 4 3 4 2 2" xfId="8951"/>
    <cellStyle name="汇总 2 2 5 2 3 5 2" xfId="8952"/>
    <cellStyle name="常规 11 2 2 2 2 2" xfId="8953"/>
    <cellStyle name="汇总 2 10 5 3" xfId="8954"/>
    <cellStyle name="标题 4 2 3 2 2 2 2" xfId="8955"/>
    <cellStyle name="计算 2 4 3" xfId="8956"/>
    <cellStyle name="注释 2 2 5 2 4 2 2" xfId="8957"/>
    <cellStyle name="超链接 2 3 6 2" xfId="8958"/>
    <cellStyle name="超链接 3 4 3" xfId="8959"/>
    <cellStyle name="计算 2 2 5 2 2 3 3 3" xfId="8960"/>
    <cellStyle name="输入 2 8 4" xfId="8961"/>
    <cellStyle name="强调文字颜色 4 2 3 2 2 3 2" xfId="8962"/>
    <cellStyle name="计算 2 5 2 2 2 3 3" xfId="8963"/>
    <cellStyle name="强调文字颜色 3 2 2 2 2 5 2" xfId="8964"/>
    <cellStyle name="注释 2 16" xfId="8965"/>
    <cellStyle name="强调文字颜色 1 2 2 2 2 2 2 2" xfId="8966"/>
    <cellStyle name="强调文字颜色 6 2 2 3 3 2 2 2" xfId="8967"/>
    <cellStyle name="计算 2 2 5 2 3 2 2" xfId="8968"/>
    <cellStyle name="注释 2 7 3 5" xfId="8969"/>
    <cellStyle name="20% - 强调文字颜色 1 2 2 2 6" xfId="8970"/>
    <cellStyle name="注释 2 2 5 4 2 5" xfId="8971"/>
    <cellStyle name="注释 2 2 3 3 2 3 2 2" xfId="8972"/>
    <cellStyle name="输出 2 2 4 2 2" xfId="8973"/>
    <cellStyle name="常规 7 4 3 3" xfId="8974"/>
    <cellStyle name="输出 2 2 4 4 2 2 2 2" xfId="8975"/>
    <cellStyle name="计算 2 2 3 2 3 2 3" xfId="8976"/>
    <cellStyle name="40% - 强调文字颜色 4 2 2 2 3 3 2 2" xfId="8977"/>
    <cellStyle name="汇总 2 2 7" xfId="8978"/>
    <cellStyle name="汇总 2 2 3 3 2 4 3" xfId="8979"/>
    <cellStyle name="汇总 2 2 7 2 4 2" xfId="8980"/>
    <cellStyle name="标题 4 6 2 2" xfId="8981"/>
    <cellStyle name="链接单元格 2 2 2 2 4 2 2 2" xfId="8982"/>
    <cellStyle name="输出 2 4 2 2 2 4" xfId="8983"/>
    <cellStyle name="计算 2 2 5 3 2 4 3" xfId="8984"/>
    <cellStyle name="常规 9 2 3 3 4" xfId="8985"/>
    <cellStyle name="差 5 2 2 2" xfId="8986"/>
    <cellStyle name="强调文字颜色 4 2 3 2 4 3 2" xfId="8987"/>
    <cellStyle name="输出 2 2 4 4 7" xfId="8988"/>
    <cellStyle name="差 2 2 4 4" xfId="8989"/>
    <cellStyle name="强调文字颜色 3 3 5 2" xfId="8990"/>
    <cellStyle name="汇总 2 5 2 2 9" xfId="8991"/>
    <cellStyle name="标题 4 2 2 3 2 2" xfId="8992"/>
    <cellStyle name="输出 2 2 4 10" xfId="8993"/>
    <cellStyle name="好 2 3 2 4 2" xfId="8994"/>
    <cellStyle name="20% - 强调文字颜色 3 2 6 2" xfId="8995"/>
    <cellStyle name="常规 7 2 2 4 3" xfId="8996"/>
    <cellStyle name="注释 4 2 2 4" xfId="8997"/>
    <cellStyle name="计算 2 5 8 3" xfId="8998"/>
    <cellStyle name="强调文字颜色 1 2 4 4 4" xfId="8999"/>
    <cellStyle name="注释 2 2 4 2 10" xfId="9000"/>
    <cellStyle name="好 4 2 3" xfId="9001"/>
    <cellStyle name="差 2 3 2 4 2 3" xfId="9002"/>
    <cellStyle name="常规 12 3" xfId="9003"/>
    <cellStyle name="40% - 强调文字颜色 4 2 2 2 2 4 3" xfId="9004"/>
    <cellStyle name="标题 5 3 5 2 2 2" xfId="9005"/>
    <cellStyle name="好 2 3 3 2 2 2 3" xfId="9006"/>
    <cellStyle name="汇总 2 10 6 2" xfId="9007"/>
    <cellStyle name="解释性文本 2 2 2 2 2 2 2 3" xfId="9008"/>
    <cellStyle name="注释 2 2 6 2 4 2" xfId="9009"/>
    <cellStyle name="60% - 强调文字颜色 5 2 2 2 2 2" xfId="9010"/>
    <cellStyle name="常规 5 5 2" xfId="9011"/>
    <cellStyle name="汇总 3 2 8 2 2" xfId="9012"/>
    <cellStyle name="强调文字颜色 4 2 2 3 7" xfId="9013"/>
    <cellStyle name="标题 1 2 9" xfId="9014"/>
    <cellStyle name="标题 1 2 2 2 2 4 2 3" xfId="9015"/>
    <cellStyle name="输入 2 2 2 2 2 7" xfId="9016"/>
    <cellStyle name="常规 2 2 4 4 2" xfId="9017"/>
    <cellStyle name="计算 2 5 2 3 2" xfId="9018"/>
    <cellStyle name="输入 2 3 4 2 3" xfId="9019"/>
    <cellStyle name="解释性文本 2 2 7 2 2" xfId="9020"/>
    <cellStyle name="汇总 2 6 2 2 5 3" xfId="9021"/>
    <cellStyle name="60% - 强调文字颜色 1 6 2 2 2" xfId="9022"/>
    <cellStyle name="注释 2 4 2 2 4 2" xfId="9023"/>
    <cellStyle name="输出 2 7" xfId="9024"/>
    <cellStyle name="标题 3 2 3 2 2 2 2 2 2" xfId="9025"/>
    <cellStyle name="60% - 强调文字颜色 4 2 3 2 3 2 2" xfId="9026"/>
    <cellStyle name="标题 2 2 2 2 2 4 2 2 2" xfId="9027"/>
    <cellStyle name="链接单元格 2 3 2 6 3" xfId="9028"/>
    <cellStyle name="标题 5 2 2 2 4 2 3" xfId="9029"/>
    <cellStyle name="输入 2 2 5 2 2 3 3" xfId="9030"/>
    <cellStyle name="汇总 2 2 10 8" xfId="9031"/>
    <cellStyle name="20% - 强调文字颜色 1 2 4 7" xfId="9032"/>
    <cellStyle name="计算 2 2 4 8 3" xfId="9033"/>
    <cellStyle name="输出 2 2 3 12" xfId="9034"/>
    <cellStyle name="汇总 2 2 4 4 3 5" xfId="9035"/>
    <cellStyle name="40% - 强调文字颜色 2 2 3 2 5 2" xfId="9036"/>
    <cellStyle name="汇总 2 7 4" xfId="9037"/>
    <cellStyle name="40% - 强调文字颜色 1 3 2 2 4" xfId="9038"/>
    <cellStyle name="好 4 3 2 2" xfId="9039"/>
    <cellStyle name="常规 13 2 2" xfId="9040"/>
    <cellStyle name="40% - 强调文字颜色 5 2 3 2 2 3 2 2" xfId="9041"/>
    <cellStyle name="计算 2 5 2 5 3 3" xfId="9042"/>
    <cellStyle name="常规 9 12" xfId="9043"/>
    <cellStyle name="40% - 强调文字颜色 4 2 2 2 2 5 2 2" xfId="9044"/>
    <cellStyle name="计算 2 2 8" xfId="9045"/>
    <cellStyle name="汇总 2 4 3 3 4" xfId="9046"/>
    <cellStyle name="超链接 3 3 3 3 2" xfId="9047"/>
    <cellStyle name="输入 2 7 4 3 2" xfId="9048"/>
    <cellStyle name="40% - 强调文字颜色 5 2 3 2 3 3 2" xfId="9049"/>
    <cellStyle name="标题 1 2 4 4 4" xfId="9050"/>
    <cellStyle name="40% - 强调文字颜色 4 2 6 3" xfId="9051"/>
    <cellStyle name="60% - 强调文字颜色 3 2 2 2 4 2 2" xfId="9052"/>
    <cellStyle name="输入 2 2 3 4 3 2 2" xfId="9053"/>
    <cellStyle name="计算 2 2 3 7 2 2" xfId="9054"/>
    <cellStyle name="强调文字颜色 5 2 4 8" xfId="9055"/>
    <cellStyle name="强调文字颜色 2 2 2 2 2 3 3 3" xfId="9056"/>
    <cellStyle name="检查单元格 2 2 2 4 2 3" xfId="9057"/>
    <cellStyle name="标题 3 2 2 2 4 2 3" xfId="9058"/>
    <cellStyle name="计算 2 5 3 7" xfId="9059"/>
    <cellStyle name="输入 2 2 6 4 3" xfId="9060"/>
    <cellStyle name="计算 2 4 4 5 2" xfId="9061"/>
    <cellStyle name="60% - 强调文字颜色 2 2 3 2 3 2 2" xfId="9062"/>
    <cellStyle name="60% - 强调文字颜色 3 2 4 3 2 2" xfId="9063"/>
    <cellStyle name="计算 2 2 7 2 2 4 2" xfId="9064"/>
    <cellStyle name="汇总 2 5 3 2 2 3 2" xfId="9065"/>
    <cellStyle name="输入 2 14 2" xfId="9066"/>
    <cellStyle name="注释 2 2 3 4 4" xfId="9067"/>
    <cellStyle name="汇总 2 2 3 2 3 7" xfId="9068"/>
    <cellStyle name="40% - 强调文字颜色 3 2 3 3 3" xfId="9069"/>
    <cellStyle name="20% - 强调文字颜色 5 2 3 2 3 2 2" xfId="9070"/>
    <cellStyle name="输出 2 4 2 2 5 2 2" xfId="9071"/>
    <cellStyle name="强调文字颜色 1 2 2 6 4" xfId="9072"/>
    <cellStyle name="汇总 3 3 6 2" xfId="9073"/>
    <cellStyle name="计算 2 2 10 7" xfId="9074"/>
    <cellStyle name="百分比 2 2 2 4 2" xfId="9075"/>
    <cellStyle name="40% - 强调文字颜色 3 2 2 8 2" xfId="9076"/>
    <cellStyle name="汇总 2 2 4 2 4 2 3 3" xfId="9077"/>
    <cellStyle name="常规 5 6 3 3 2" xfId="9078"/>
    <cellStyle name="解释性文本 2 4 2 3" xfId="9079"/>
    <cellStyle name="注释 2 9 6" xfId="9080"/>
    <cellStyle name="输出 2 6 4" xfId="9081"/>
    <cellStyle name="60% - 强调文字颜色 3 3 2 2 2 2 2" xfId="9082"/>
    <cellStyle name="常规 2 5 2" xfId="9083"/>
    <cellStyle name="常规 3 3 5 2 2 2" xfId="9084"/>
    <cellStyle name="汇总 2 14 2 2" xfId="9085"/>
    <cellStyle name="好 3 2 2 3 2 2 2" xfId="9086"/>
    <cellStyle name="无色 2 3 2 2" xfId="9087"/>
    <cellStyle name="强调文字颜色 5 2 2 2 2 4 2 3" xfId="9088"/>
    <cellStyle name="标题 4 2 3 3" xfId="9089"/>
    <cellStyle name="计算 2 6 2 2 2 4 2" xfId="9090"/>
    <cellStyle name="计算 2 2 2 2 2 8" xfId="9091"/>
    <cellStyle name="常规 5 3 3 2 3 2" xfId="9092"/>
    <cellStyle name="注释 2 2 4 2 2 3 3" xfId="9093"/>
    <cellStyle name="汇总 2 2 5 2 4 5" xfId="9094"/>
    <cellStyle name="注释 2 4 3 5 2" xfId="9095"/>
    <cellStyle name="计算 2 6 3 4" xfId="9096"/>
    <cellStyle name="60% - 强调文字颜色 6 2 3 2 3 2 2 2" xfId="9097"/>
    <cellStyle name="60% - 强调文字颜色 1 2 2 4 2 3" xfId="9098"/>
    <cellStyle name="40% - 强调文字颜色 6 2 2 4 3 2" xfId="9099"/>
    <cellStyle name="40% - 强调文字颜色 2 2 2 5" xfId="9100"/>
    <cellStyle name="解释性文本 2 3 3 2 2 2" xfId="9101"/>
    <cellStyle name="输出 2 4 2 4 2 2" xfId="9102"/>
    <cellStyle name="注释 2 5 2 2" xfId="9103"/>
    <cellStyle name="60% - 强调文字颜色 3 2 2 3 8" xfId="9104"/>
    <cellStyle name="输入 2 2 5 2 2 6" xfId="9105"/>
    <cellStyle name="输出 2 3 2 2 3 2" xfId="9106"/>
    <cellStyle name="计算 2 2 5 2 2 2 3 2" xfId="9107"/>
    <cellStyle name="超链接 2 4 2" xfId="9108"/>
    <cellStyle name="汇总 2 4 3 6 3" xfId="9109"/>
    <cellStyle name="汇总 2 3 14" xfId="9110"/>
    <cellStyle name="适中 2 2 3 6 2" xfId="9111"/>
    <cellStyle name="链接单元格 2 3 4 3 3" xfId="9112"/>
    <cellStyle name="40% - 强调文字颜色 3 2 2 4 2 2 2 2" xfId="9113"/>
    <cellStyle name="计算 2 2 2 2 2 3 2 2" xfId="9114"/>
    <cellStyle name="常规 3 2 4 2 2 2 2" xfId="9115"/>
    <cellStyle name="解释性文本 2 3 6 2" xfId="9116"/>
    <cellStyle name="注释 2 2 8 2 3" xfId="9117"/>
    <cellStyle name="60% - 强调文字颜色 5 2 2 4 3 2 2 2" xfId="9118"/>
    <cellStyle name="强调文字颜色 6 2 4 2 2 2 2 2" xfId="9119"/>
    <cellStyle name="输出 2 8 2 6" xfId="9120"/>
    <cellStyle name="60% - 强调文字颜色 4 2 3 2 3 2 2 2" xfId="9121"/>
    <cellStyle name="汇总 2 5 2 2 6 2 2" xfId="9122"/>
    <cellStyle name="60% - 强调文字颜色 4 2 3 3 2" xfId="9123"/>
    <cellStyle name="注释 2 2 5 4 2 2" xfId="9124"/>
    <cellStyle name="20% - 强调文字颜色 1 2 2 2 3" xfId="9125"/>
    <cellStyle name="输出 2 2 3 4 2" xfId="9126"/>
    <cellStyle name="汇总 2 2 2 4 4" xfId="9127"/>
    <cellStyle name="汇总 3 3 3 5" xfId="9128"/>
    <cellStyle name="计算 2 2 3 10" xfId="9129"/>
    <cellStyle name="输入 2 5 3 4 2" xfId="9130"/>
    <cellStyle name="注释 2 2 4 2 4 2 2" xfId="9131"/>
    <cellStyle name="60% - 强调文字颜色 1 2 3 2 5 2" xfId="9132"/>
    <cellStyle name="汇总 2 2 3 2 2 3 4 2" xfId="9133"/>
    <cellStyle name="汇总 2 2 6 2 3 3 2" xfId="9134"/>
    <cellStyle name="输入 2 2 4 3 6 2" xfId="9135"/>
    <cellStyle name="计算 2 8 2 8" xfId="9136"/>
    <cellStyle name="适中 4 3 2" xfId="9137"/>
    <cellStyle name="计算 2 5 5" xfId="9138"/>
    <cellStyle name="标题 1 2 2 4 3 2 2 2" xfId="9139"/>
    <cellStyle name="计算 2 3 3 3 2 2 2" xfId="9140"/>
    <cellStyle name="强调文字颜色 1 2 2 2 3 6" xfId="9141"/>
    <cellStyle name="60% - 强调文字颜色 2 2 2 4 4 2" xfId="9142"/>
    <cellStyle name="计算 2 2 18" xfId="9143"/>
    <cellStyle name="计算 2 2 5 3 3 2" xfId="9144"/>
    <cellStyle name="强调文字颜色 6 2 2 3 4 2 2" xfId="9145"/>
    <cellStyle name="注释 2 2 4 3" xfId="9146"/>
    <cellStyle name="汇总 2 2 14 2" xfId="9147"/>
    <cellStyle name="输入 3 2" xfId="9148"/>
    <cellStyle name="常规 2 9 2" xfId="9149"/>
    <cellStyle name="20% - 强调文字颜色 4 2 3 2 2 5" xfId="9150"/>
    <cellStyle name="输出 2 2 2 11" xfId="9151"/>
    <cellStyle name="计算 2 2 4 3 2" xfId="9152"/>
    <cellStyle name="输出 2 6 2 3 2" xfId="9153"/>
    <cellStyle name="适中 2 2 2 2 3 3 3" xfId="9154"/>
    <cellStyle name="计算 2 2 2 2 10" xfId="9155"/>
    <cellStyle name="强调文字颜色 4 2 2 6 3 3" xfId="9156"/>
    <cellStyle name="强调文字颜色 1 2 2" xfId="9157"/>
    <cellStyle name="解释性文本 2 2 5 2 2 2" xfId="9158"/>
    <cellStyle name="输入 2 3 2 2 3 2" xfId="9159"/>
    <cellStyle name="常规 2 2 2 4 2 2" xfId="9160"/>
    <cellStyle name="输出 2 3 4 4 2 2" xfId="9161"/>
    <cellStyle name="汇总 2 7 2 2 2 2" xfId="9162"/>
    <cellStyle name="常规 4 3 4 4 2 2" xfId="9163"/>
    <cellStyle name="40% - 强调文字颜色 6 2 2 2 4 2 2" xfId="9164"/>
    <cellStyle name="计算 2 6 3 3 5" xfId="9165"/>
    <cellStyle name="常规 13 4 5 2" xfId="9166"/>
    <cellStyle name="超链接 3 6" xfId="9167"/>
    <cellStyle name="计算 2 2 5 2 2 3 5" xfId="9168"/>
    <cellStyle name="输出 2 2 2 7 3" xfId="9169"/>
    <cellStyle name="强调文字颜色 6 2 2 4 2 2 2" xfId="9170"/>
    <cellStyle name="汇总 2 6 2 2 2 2 3" xfId="9171"/>
    <cellStyle name="强调文字颜色 6 2 3 3 2 2 2" xfId="9172"/>
    <cellStyle name="强调文字颜色 1 2 6 3" xfId="9173"/>
    <cellStyle name="计算 2 6 2 3 3 2" xfId="9174"/>
    <cellStyle name="20% - 强调文字颜色 6 2 2 2 5 2 2" xfId="9175"/>
    <cellStyle name="强调文字颜色 4 2 3 2 2 4" xfId="9176"/>
    <cellStyle name="60% - 强调文字颜色 4 2 2 4 3 2" xfId="9177"/>
    <cellStyle name="20% - 强调文字颜色 3 2 2 2 2 2 2 2 2 2" xfId="9178"/>
    <cellStyle name="强调文字颜色 5 2 4 2 2 2" xfId="9179"/>
    <cellStyle name="强调文字颜色 3 2 2 2 2 6" xfId="9180"/>
    <cellStyle name="汇总 2 3 6 3 3" xfId="9181"/>
    <cellStyle name="计算 2 2 7 3 3 3" xfId="9182"/>
    <cellStyle name="汇总 2 5 3 3 3 2" xfId="9183"/>
    <cellStyle name="计算 2 5 4 2 5" xfId="9184"/>
    <cellStyle name="注释 2 2 3 2 6 2" xfId="9185"/>
    <cellStyle name="计算 2 2 2 4 2 3" xfId="9186"/>
    <cellStyle name="输入 3 3 5 2" xfId="9187"/>
    <cellStyle name="汇总 2 7 2 3 5" xfId="9188"/>
    <cellStyle name="检查单元格 2 4 3 2 2" xfId="9189"/>
    <cellStyle name="60% - 强调文字颜色 4 2 3" xfId="9190"/>
    <cellStyle name="计算 2 2 6 2 6" xfId="9191"/>
    <cellStyle name="标题 2 2 2 2 2 6 3" xfId="9192"/>
    <cellStyle name="标题 4 2 4 2 2 2 3" xfId="9193"/>
    <cellStyle name="强调文字颜色 5 2 2 2 3 3" xfId="9194"/>
    <cellStyle name="60% - 强调文字颜色 3 2 2 3 3 2 2" xfId="9195"/>
    <cellStyle name="20% - 强调文字颜色 1 2 2 6 2" xfId="9196"/>
    <cellStyle name="计算 2 2 4 6 2 2" xfId="9197"/>
    <cellStyle name="汇总 2 2 2 9" xfId="9198"/>
    <cellStyle name="输入 2 4 2 3 6" xfId="9199"/>
    <cellStyle name="输出 2 4 2 3 4 3" xfId="9200"/>
    <cellStyle name="汇总 2 2 6 4 2 3 2 2" xfId="9201"/>
    <cellStyle name="汇总 2 2 4 4 2 7" xfId="9202"/>
    <cellStyle name="汇总 2 5 3 3 4 2 2" xfId="9203"/>
    <cellStyle name="适中 4" xfId="9204"/>
    <cellStyle name="解释性文本 2 2 2 5 2 2 2" xfId="9205"/>
    <cellStyle name="标题 4 2 3 6 2" xfId="9206"/>
    <cellStyle name="注释 2 6 8 2" xfId="9207"/>
    <cellStyle name="40% - 强调文字颜色 4 2 2 3 6" xfId="9208"/>
    <cellStyle name="适中 2 14" xfId="9209"/>
    <cellStyle name="常规 9 2 4 3" xfId="9210"/>
    <cellStyle name="输出 2 4 2 3 2" xfId="9211"/>
    <cellStyle name="60% - 强调文字颜色 5 5 2 2 2" xfId="9212"/>
    <cellStyle name="汇总 2 2 4 10 2" xfId="9213"/>
    <cellStyle name="20% - 强调文字颜色 6 2 2 8" xfId="9214"/>
    <cellStyle name="计算 2 4 2 4 3 3" xfId="9215"/>
    <cellStyle name="40% - 强调文字颜色 4 2 2 4 3 2 2" xfId="9216"/>
    <cellStyle name="注释 3 2 2 2 3" xfId="9217"/>
    <cellStyle name="40% - 强调文字颜色 4 2 3 2 5 2 2" xfId="9218"/>
    <cellStyle name="适中 2 2 2 3 2" xfId="9219"/>
    <cellStyle name="汇总 4 3 5" xfId="9220"/>
    <cellStyle name="超链接 3 3 3 4" xfId="9221"/>
    <cellStyle name="输入 2 7 4 4" xfId="9222"/>
    <cellStyle name="标题 3 2 2 7 2 2" xfId="9223"/>
    <cellStyle name="60% - 强调文字颜色 2 3 5 2 2 2" xfId="9224"/>
    <cellStyle name="60% - 强调文字颜色 4 4 4 2 2" xfId="9225"/>
    <cellStyle name="汇总 2 3 4 2 2" xfId="9226"/>
    <cellStyle name="20% - 强调文字颜色 4 2 2 3 5 2" xfId="9227"/>
    <cellStyle name="输入 2 2 5 3 5 2 2" xfId="9228"/>
    <cellStyle name="标题 4 3 5 2" xfId="9229"/>
    <cellStyle name="注释 2 2 4 5" xfId="9230"/>
    <cellStyle name="差 2 2 3 2" xfId="9231"/>
    <cellStyle name="汇总 2 3 2 3" xfId="9232"/>
    <cellStyle name="常规 12 2 2 3 4 2" xfId="9233"/>
    <cellStyle name="计算 4 2 2 4" xfId="9234"/>
    <cellStyle name="标题 3 6 2 3" xfId="9235"/>
    <cellStyle name="汇总 2 2 6 2 4 3" xfId="9236"/>
    <cellStyle name="强调文字颜色 1 2 2 4 5 3" xfId="9237"/>
    <cellStyle name="解释性文本 2 2 2 3 5" xfId="9238"/>
    <cellStyle name="汇总 2 5 4 5 3" xfId="9239"/>
    <cellStyle name="输出 2 2 4 3 2 3" xfId="9240"/>
    <cellStyle name="20% - 强调文字颜色 5 4 5 2" xfId="9241"/>
    <cellStyle name="汇总 2 4 15" xfId="9242"/>
    <cellStyle name="超链接 3 3" xfId="9243"/>
    <cellStyle name="计算 2 2 5 2 2 3 2" xfId="9244"/>
    <cellStyle name="强调文字颜色 5 2 3 2 5 2 2" xfId="9245"/>
    <cellStyle name="汇总 4 2 2 4" xfId="9246"/>
    <cellStyle name="计算 2 5 3 2 2 4 2 2" xfId="9247"/>
    <cellStyle name="计算 2 3 2 3 4" xfId="9248"/>
    <cellStyle name="注释 2 4 3 2 2 3" xfId="9249"/>
    <cellStyle name="汇总 2 2 13" xfId="9250"/>
    <cellStyle name="计算 4 3 3 2 2" xfId="9251"/>
    <cellStyle name="适中 2 3 6" xfId="9252"/>
    <cellStyle name="输出 2 8 5 2" xfId="9253"/>
    <cellStyle name="20% - 强调文字颜色 3 2 5 3 2 2 2" xfId="9254"/>
    <cellStyle name="标题 6 3 2 2 2 2" xfId="9255"/>
    <cellStyle name="常规 3 3 2 3 2" xfId="9256"/>
    <cellStyle name="常规 9 3 9" xfId="9257"/>
    <cellStyle name="强调文字颜色 4 4 2 2" xfId="9258"/>
    <cellStyle name="汇总 2 2 2 3 2 4 2 2" xfId="9259"/>
    <cellStyle name="注释 2 2 2 4 2" xfId="9260"/>
    <cellStyle name="汇总 2 2 12 3 2" xfId="9261"/>
    <cellStyle name="检查单元格 2 3 2 3 2 2" xfId="9262"/>
    <cellStyle name="汇总 2 4 3" xfId="9263"/>
    <cellStyle name="汇总 2 6 4 3" xfId="9264"/>
    <cellStyle name="常规 4 2 6 5" xfId="9265"/>
    <cellStyle name="常规 3 3 2 3 2 2 2" xfId="9266"/>
    <cellStyle name="输出 3 14" xfId="9267"/>
    <cellStyle name="标题 5 3 3 2 2 3" xfId="9268"/>
    <cellStyle name="40% - 强调文字颜色 6 2 7 3" xfId="9269"/>
    <cellStyle name="常规 4 8 5" xfId="9270"/>
    <cellStyle name="超链接 2 2 4 3 3" xfId="9271"/>
    <cellStyle name="60% - 强调文字颜色 6 2 6 3 2 2" xfId="9272"/>
    <cellStyle name="20% - 强调文字颜色 6 2 2 2 2 2 4 3 2" xfId="9273"/>
    <cellStyle name="计算 2 10 4 3" xfId="9274"/>
    <cellStyle name="60% - 强调文字颜色 2 2 2 4 3" xfId="9275"/>
    <cellStyle name="强调文字颜色 3 2 4 2 2" xfId="9276"/>
    <cellStyle name="20% - 强调文字颜色 3 2 5 2 3 2" xfId="9277"/>
    <cellStyle name="差 4 5 2" xfId="9278"/>
    <cellStyle name="汇总 2 3 11 2 2" xfId="9279"/>
    <cellStyle name="好 2 2 2 2 4" xfId="9280"/>
    <cellStyle name="40% - 强调文字颜色 4 2 2 2 3 4" xfId="9281"/>
    <cellStyle name="汇总 2 2 5 3 2 3" xfId="9282"/>
    <cellStyle name="常规 5 2 4 5 3" xfId="9283"/>
    <cellStyle name="汇总 2 3 3 2 3 2 2" xfId="9284"/>
    <cellStyle name="计算 2 5 2 2 3 2 2 2" xfId="9285"/>
    <cellStyle name="标题 5 2 2 3 2 2 2" xfId="9286"/>
    <cellStyle name="计算 2 7 4 4" xfId="9287"/>
    <cellStyle name="20% - 强调文字颜色 3 4 2 3" xfId="9288"/>
    <cellStyle name="强调文字颜色 2 2 4 3 2 3" xfId="9289"/>
    <cellStyle name="计算 2 2 4 2 3 2 3 2 2" xfId="9290"/>
    <cellStyle name="输出 2 2 3 3 2 5" xfId="9291"/>
    <cellStyle name="差 2 5 2" xfId="9292"/>
    <cellStyle name="适中 2 8 2 2 2" xfId="9293"/>
    <cellStyle name="标题 6 2 4" xfId="9294"/>
    <cellStyle name="常规 4 4 3 2 2 2 2" xfId="9295"/>
    <cellStyle name="输入 2 2 6 7 2" xfId="9296"/>
    <cellStyle name="警告文本 2 2 2 2" xfId="9297"/>
    <cellStyle name="40% - 强调文字颜色 3 2 2 6 3 2 2" xfId="9298"/>
    <cellStyle name="标题 4 2 3 2 4 3 2" xfId="9299"/>
    <cellStyle name="20% - 强调文字颜色 3 2 4 5" xfId="9300"/>
    <cellStyle name="标题 5 2 2 2 2 2 2" xfId="9301"/>
    <cellStyle name="20% - 强调文字颜色 4 5 2" xfId="9302"/>
    <cellStyle name="40% - 强调文字颜色 5 2 2 2 2 4 3 2" xfId="9303"/>
    <cellStyle name="40% - 强调文字颜色 6 2 3 2 2 2 3 2" xfId="9304"/>
    <cellStyle name="常规 6 3 2 2" xfId="9305"/>
    <cellStyle name="警告文本 2 3 2 2" xfId="9306"/>
    <cellStyle name="标题 7 2 4" xfId="9307"/>
    <cellStyle name="输入 2 2 7 7 2" xfId="9308"/>
    <cellStyle name="汇总 2 4 4 4" xfId="9309"/>
    <cellStyle name="输出 2 5 2 2 2 2 2 2" xfId="9310"/>
    <cellStyle name="解释性文本 3 3" xfId="9311"/>
    <cellStyle name="20% - 强调文字颜色 5 2 2 2 3 2 2 2 2 2" xfId="9312"/>
    <cellStyle name="链接单元格 3 2 3 2" xfId="9313"/>
    <cellStyle name="常规 6 2 3 2 3 2" xfId="9314"/>
    <cellStyle name="计算 2 2 2 3 2 3 2 2" xfId="9315"/>
    <cellStyle name="汇总 2 2 7 2 3" xfId="9316"/>
    <cellStyle name="计算 2 2 4 2 10 3" xfId="9317"/>
    <cellStyle name="常规 5 4 3 6" xfId="9318"/>
    <cellStyle name="强调文字颜色 4 2 2 5 3 2" xfId="9319"/>
    <cellStyle name="标题 1 4 5 2" xfId="9320"/>
    <cellStyle name="输出 3 3 6 2" xfId="9321"/>
    <cellStyle name="常规 3 2 4 2" xfId="9322"/>
    <cellStyle name="解释性文本 3 3 5" xfId="9323"/>
    <cellStyle name="60% - 强调文字颜色 6 3 8" xfId="9324"/>
    <cellStyle name="40% - 强调文字颜色 3 2 4 4 2 2 2" xfId="9325"/>
    <cellStyle name="好 2 4 3" xfId="9326"/>
    <cellStyle name="计算 2 5 2 2 2 5 2 2" xfId="9327"/>
    <cellStyle name="输出 2 2 3 5 2 3 2" xfId="9328"/>
    <cellStyle name="注释 2 2 9 2 5" xfId="9329"/>
    <cellStyle name="解释性文本 2 2 2 2 3" xfId="9330"/>
    <cellStyle name="输入 2 2 5 3 2 2 2" xfId="9331"/>
    <cellStyle name="计算 2 4 2 6 2 2" xfId="9332"/>
    <cellStyle name="输出 2 2 6 7 2 2" xfId="9333"/>
    <cellStyle name="20% - 强调文字颜色 2 2 3 6" xfId="9334"/>
    <cellStyle name="标题 3 2 2 2 2 3 3 2" xfId="9335"/>
    <cellStyle name="输入 2 2 4 5 3 2" xfId="9336"/>
    <cellStyle name="注释 2 3 2 2 5" xfId="9337"/>
    <cellStyle name="60% - 强调文字颜色 6 3 3 2 2 2" xfId="9338"/>
    <cellStyle name="40% - 强调文字颜色 6 2 3 7 2" xfId="9339"/>
    <cellStyle name="60% - 强调文字颜色 5 2 4 7" xfId="9340"/>
    <cellStyle name="输出 2 2 3 5 2 4" xfId="9341"/>
    <cellStyle name="好 2 2 3 3 2 2" xfId="9342"/>
    <cellStyle name="汇总 4 6 3" xfId="9343"/>
    <cellStyle name="60% - 强调文字颜色 6 2 4 4 2 2 2" xfId="9344"/>
    <cellStyle name="60% - 强调文字颜色 1 2 6 3 2" xfId="9345"/>
    <cellStyle name="标题 3 2 2 3 4 3" xfId="9346"/>
    <cellStyle name="强调文字颜色 5 4 2 2 2" xfId="9347"/>
    <cellStyle name="常规 9 4 2 3 2" xfId="9348"/>
    <cellStyle name="汇总 2 2 5 4 2 5" xfId="9349"/>
    <cellStyle name="注释 2 4 5 3 2" xfId="9350"/>
    <cellStyle name="汇总 2 5 2 3 2 3" xfId="9351"/>
    <cellStyle name="计算 2 2 6 3 2 4" xfId="9352"/>
    <cellStyle name="链接单元格 3 3 2" xfId="9353"/>
    <cellStyle name="说明文本 6" xfId="9354"/>
    <cellStyle name="60% - 强调文字颜色 5 2 2 3 2 2 2" xfId="9355"/>
    <cellStyle name="适中 3 2 2 2" xfId="9356"/>
    <cellStyle name="检查单元格 2 2 2 5 2 2" xfId="9357"/>
    <cellStyle name="强调文字颜色 2 2 2 2 2 4 3 2" xfId="9358"/>
    <cellStyle name="强调文字颜色 2 2 2 6 2 2 2" xfId="9359"/>
    <cellStyle name="输入 2 2 7 2 6" xfId="9360"/>
    <cellStyle name="计算 2 7 2 2 5 3" xfId="9361"/>
    <cellStyle name="计算 2 4 2 4 5" xfId="9362"/>
    <cellStyle name="计算 2 2 4 2 2 10" xfId="9363"/>
    <cellStyle name="输入 2 2 4 3 6" xfId="9364"/>
    <cellStyle name="输出 2 2 2 3 2 2 2 2" xfId="9365"/>
    <cellStyle name="注释 2 2 5 2 2 3" xfId="9366"/>
    <cellStyle name="标题 5 5 3 2" xfId="9367"/>
    <cellStyle name="检查单元格 2 2 3 6" xfId="9368"/>
    <cellStyle name="强调文字颜色 6 2 4 3 2" xfId="9369"/>
    <cellStyle name="60% - 强调文字颜色 5 2 2 5 3" xfId="9370"/>
    <cellStyle name="适中 2 2 4 2 3 2" xfId="9371"/>
    <cellStyle name="适中 4 3" xfId="9372"/>
    <cellStyle name="60% - 强调文字颜色 2 3 2 4 2 2 2" xfId="9373"/>
    <cellStyle name="链接单元格 4" xfId="9374"/>
    <cellStyle name="输入 2 5 7 2 2" xfId="9375"/>
    <cellStyle name="标题 3 6 2" xfId="9376"/>
    <cellStyle name="汇总 2 2 6 2 4" xfId="9377"/>
    <cellStyle name="输入 2 9 7" xfId="9378"/>
    <cellStyle name="计算 2 2 4 5 2 3" xfId="9379"/>
    <cellStyle name="汇总 2 5 4 3 3 2 2" xfId="9380"/>
    <cellStyle name="强调文字颜色 1 2 2 4 5" xfId="9381"/>
    <cellStyle name="输入 2 6 2 2 2 2 2" xfId="9382"/>
    <cellStyle name="常规 11 3 3 3" xfId="9383"/>
    <cellStyle name="计算 2 7 2 2 2 3 2 2" xfId="9384"/>
    <cellStyle name="计算 2 2 4 2 3 2 4 3" xfId="9385"/>
    <cellStyle name="标题 1 2 2 3 6" xfId="9386"/>
    <cellStyle name="常规 9 10 2" xfId="9387"/>
    <cellStyle name="汇总 2 3 10" xfId="9388"/>
    <cellStyle name="适中 2 8 3" xfId="9389"/>
    <cellStyle name="汇总 2 5 3 3 2 3" xfId="9390"/>
    <cellStyle name="计算 2 2 7 3 2 4" xfId="9391"/>
    <cellStyle name="汇总 2 2 5 2 2 2 2 2" xfId="9392"/>
    <cellStyle name="输入 2 2 4 2 2 9" xfId="9393"/>
    <cellStyle name="注释 2 3 2 3 6" xfId="9394"/>
    <cellStyle name="汇总 2 2 10 2 3 3" xfId="9395"/>
    <cellStyle name="汇总 2 2 3 2 6 2" xfId="9396"/>
    <cellStyle name="常规 9 2 2 3 2 2" xfId="9397"/>
    <cellStyle name="检查单元格 2 2 2 5 2 3" xfId="9398"/>
    <cellStyle name="标题 5 5 3 2 2" xfId="9399"/>
    <cellStyle name="注释 2 2 5 2 2 3 2" xfId="9400"/>
    <cellStyle name="计算 2 7" xfId="9401"/>
    <cellStyle name="标题 1 2 2 2 6 2 3" xfId="9402"/>
    <cellStyle name="强调文字颜色 6 2 4 5" xfId="9403"/>
    <cellStyle name="输入 2 9 2 3" xfId="9404"/>
    <cellStyle name="汇总 2 9 3" xfId="9405"/>
    <cellStyle name="警告文本 3 2 2 3" xfId="9406"/>
    <cellStyle name="20% - 强调文字颜色 4 2 4 6" xfId="9407"/>
    <cellStyle name="计算 2 4 6 2 2" xfId="9408"/>
    <cellStyle name="输出 2 5 4 8" xfId="9409"/>
    <cellStyle name="计算 2 2 7 3 3 2" xfId="9410"/>
    <cellStyle name="强调文字颜色 3 2 2 2 5 2 2 2" xfId="9411"/>
    <cellStyle name="强调文字颜色 6 2 2 2 6 2" xfId="9412"/>
    <cellStyle name="计算 2 2 4 5 3" xfId="9413"/>
    <cellStyle name="计算 2 2 2 2 7 3" xfId="9414"/>
    <cellStyle name="40% - 强调文字颜色 3 2 3 2 2 4 3" xfId="9415"/>
    <cellStyle name="警告文本 2 4 3" xfId="9416"/>
    <cellStyle name="输入 2 2 8 8" xfId="9417"/>
    <cellStyle name="20% - 强调文字颜色 5 2 3 2 2 3 3 2 2" xfId="9418"/>
    <cellStyle name="计算 2 2 8 2 4 3" xfId="9419"/>
    <cellStyle name="汇总 2 5 4 2 4 2" xfId="9420"/>
    <cellStyle name="汇总 2 2 5 3 2 3 2 2" xfId="9421"/>
    <cellStyle name="输出 2 2 3 9 2" xfId="9422"/>
    <cellStyle name="输出 2 2 7 2 3 2" xfId="9423"/>
    <cellStyle name="强调文字颜色 4 2 2 3 3" xfId="9424"/>
    <cellStyle name="标题 1 2 5" xfId="9425"/>
    <cellStyle name="输入 2 2 4 2 2 2 7" xfId="9426"/>
    <cellStyle name="注释 2 6 3 4" xfId="9427"/>
    <cellStyle name="计算 2 2 4 10" xfId="9428"/>
    <cellStyle name="计算 2 2 3 2 3 8" xfId="9429"/>
    <cellStyle name="常规 14 3 2 2 2 2" xfId="9430"/>
    <cellStyle name="20% - 强调文字颜色 6 2 3 2 2 4 2 2" xfId="9431"/>
    <cellStyle name="强调文字颜色 2 4 2 3" xfId="9432"/>
    <cellStyle name="常规 5 3 4 2 4 2" xfId="9433"/>
    <cellStyle name="标题 4 2 2 5 2 2 3" xfId="9434"/>
    <cellStyle name="强调文字颜色 3 2 5" xfId="9435"/>
    <cellStyle name="60% - 强调文字颜色 6 2 6 4" xfId="9436"/>
    <cellStyle name="标题 4 2 2 2 2" xfId="9437"/>
    <cellStyle name="汇总 2 4 2 2 2 2" xfId="9438"/>
    <cellStyle name="40% - 强调文字颜色 1 2 2 2 2 2 2 2 2" xfId="9439"/>
    <cellStyle name="注释 2 2 5 3 2 2 2" xfId="9440"/>
    <cellStyle name="标题 3 6" xfId="9441"/>
    <cellStyle name="输入 2 5 7 2" xfId="9442"/>
    <cellStyle name="强调文字颜色 5 3 2" xfId="9443"/>
    <cellStyle name="输出 2 2 2 4 2 2" xfId="9444"/>
    <cellStyle name="计算 2 8 7 2" xfId="9445"/>
    <cellStyle name="常规 9 2 4 2 2 2" xfId="9446"/>
    <cellStyle name="汇总 2 2 4 5 3 3" xfId="9447"/>
    <cellStyle name="汇总 3 7 2" xfId="9448"/>
    <cellStyle name="常规 4 7 3" xfId="9449"/>
    <cellStyle name="强调文字颜色 5 2 3 5 2 2 2" xfId="9450"/>
    <cellStyle name="检查单元格 2 2 2 2 4 2 3" xfId="9451"/>
    <cellStyle name="常规 9 5" xfId="9452"/>
    <cellStyle name="40% - 强调文字颜色 1 6" xfId="9453"/>
    <cellStyle name="常规 4 2 5 3" xfId="9454"/>
    <cellStyle name="计算 2 2 4 4 2 4 2 2" xfId="9455"/>
    <cellStyle name="20% - 强调文字颜色 3 4 4 2 2 2" xfId="9456"/>
    <cellStyle name="汇总 2 3 7" xfId="9457"/>
    <cellStyle name="汇总 2 2 7 2 5 2" xfId="9458"/>
    <cellStyle name="注释 2 2 4 3 2 3" xfId="9459"/>
    <cellStyle name="计算 2 7 6 3 2 2" xfId="9460"/>
    <cellStyle name="常规 10 8" xfId="9461"/>
    <cellStyle name="好 2 2 2 3 7" xfId="9462"/>
    <cellStyle name="检查单元格 2 2" xfId="9463"/>
    <cellStyle name="差 2 2 7 2 2" xfId="9464"/>
    <cellStyle name="检查单元格 2 4 3 3" xfId="9465"/>
    <cellStyle name="强调文字颜色 1 2 4 4 2" xfId="9466"/>
    <cellStyle name="注释 4 2 2 2" xfId="9467"/>
    <cellStyle name="输出 8" xfId="9468"/>
    <cellStyle name="强调文字颜色 5 2 6 3 2 2" xfId="9469"/>
    <cellStyle name="40% - 强调文字颜色 5 2 2 2 2 3 2 2 2" xfId="9470"/>
    <cellStyle name="标题 4 2 4 4" xfId="9471"/>
    <cellStyle name="汇总 2 4 3 3 3 2 2" xfId="9472"/>
    <cellStyle name="注释 2 4 4 3 2" xfId="9473"/>
    <cellStyle name="汇总 2 2 5 3 2 5" xfId="9474"/>
    <cellStyle name="20% - 强调文字颜色 2 2 4 3" xfId="9475"/>
    <cellStyle name="适中 2 4 5 2 2" xfId="9476"/>
    <cellStyle name="注释 2 3 2 3 2" xfId="9477"/>
    <cellStyle name="注释 2 2 3 2 11" xfId="9478"/>
    <cellStyle name="常规 9 4 4" xfId="9479"/>
    <cellStyle name="常规 13 2 3 2 2" xfId="9480"/>
    <cellStyle name="注释 3 3 3 2" xfId="9481"/>
    <cellStyle name="解释性文本 2 3 2 3 3 2" xfId="9482"/>
    <cellStyle name="标题 3 2 2" xfId="9483"/>
    <cellStyle name="计算 2 2 6 4" xfId="9484"/>
    <cellStyle name="常规 5 3 3 3 4 2" xfId="9485"/>
    <cellStyle name="汇总 2 2 4 7 2" xfId="9486"/>
    <cellStyle name="强调文字颜色 3 2 2 4 3 2 2" xfId="9487"/>
    <cellStyle name="适中 2 3 2 4 2 3" xfId="9488"/>
    <cellStyle name="汇总 2 2 2 4 5 2" xfId="9489"/>
    <cellStyle name="40% - 强调文字颜色 2 2 2 4 2 3" xfId="9490"/>
    <cellStyle name="输出 4 3 2" xfId="9491"/>
    <cellStyle name="汇总 2 2 10" xfId="9492"/>
    <cellStyle name="适中 2 3 3" xfId="9493"/>
    <cellStyle name="注释 2 5 3 3 3" xfId="9494"/>
    <cellStyle name="标题 2 3 2 2 3 3" xfId="9495"/>
    <cellStyle name="汇总 2 2 6 2 2 6" xfId="9496"/>
    <cellStyle name="汇总 2 2 3 2 2 2 7" xfId="9497"/>
    <cellStyle name="计算 2 2 4 2 3 2 3 2" xfId="9498"/>
    <cellStyle name="60% - 强调文字颜色 6 3 2 2 2 2 2" xfId="9499"/>
    <cellStyle name="40% - 强调文字颜色 5 2 2 2 2 2 3 2 2 2" xfId="9500"/>
    <cellStyle name="计算 3 9" xfId="9501"/>
    <cellStyle name="60% - 强调文字颜色 5 2 2 2 2 3 3" xfId="9502"/>
    <cellStyle name="警告文本 2 3 2 3 3 2 2" xfId="9503"/>
    <cellStyle name="超链接 3 2 3 2" xfId="9504"/>
    <cellStyle name="输入 2 6 4 2" xfId="9505"/>
    <cellStyle name="40% - 强调文字颜色 1 2 3 2 2 3 2" xfId="9506"/>
    <cellStyle name="输出 2 4 2 2 7" xfId="9507"/>
    <cellStyle name="20% - 强调文字颜色 5 2 3 2 5" xfId="9508"/>
    <cellStyle name="汇总 2 11 5" xfId="9509"/>
    <cellStyle name="汇总 2 6 2 2 3 3 3" xfId="9510"/>
    <cellStyle name="20% - 强调文字颜色 2 2 2 2 6" xfId="9511"/>
    <cellStyle name="60% - 强调文字颜色 4 2 2 9" xfId="9512"/>
    <cellStyle name="计算 2 2 3 4 3 2 2" xfId="9513"/>
    <cellStyle name="20% - 强调文字颜色 4 4 3 2" xfId="9514"/>
    <cellStyle name="汇总 2 10 2 6" xfId="9515"/>
    <cellStyle name="输出 2 2 3 2 2 5 2" xfId="9516"/>
    <cellStyle name="强调文字颜色 2 2 5" xfId="9517"/>
    <cellStyle name="警告文本 6" xfId="9518"/>
    <cellStyle name="常规 6 2 2 2 3 2" xfId="9519"/>
    <cellStyle name="40% - 强调文字颜色 4 2 2 4 3 2 2 2" xfId="9520"/>
    <cellStyle name="注释 3 2 2 2 3 2" xfId="9521"/>
    <cellStyle name="计算 2 7 3 2 3 3" xfId="9522"/>
    <cellStyle name="强调文字颜色 4 2 2 6 2 3" xfId="9523"/>
    <cellStyle name="汇总 2 2 11 5" xfId="9524"/>
    <cellStyle name="输入 4" xfId="9525"/>
    <cellStyle name="强调文字颜色 5 2 2 2 2 2 2 2 2" xfId="9526"/>
    <cellStyle name="标题 1 2 2 6 3 2" xfId="9527"/>
    <cellStyle name="百分比 2 3 4 2" xfId="9528"/>
    <cellStyle name="汇总 2 8 5 3 3" xfId="9529"/>
    <cellStyle name="计算 2 3 5 3 2" xfId="9530"/>
    <cellStyle name="好 5 2 3" xfId="9531"/>
    <cellStyle name="计算 2 2 8 2" xfId="9532"/>
    <cellStyle name="好 4 4 2 3" xfId="9533"/>
    <cellStyle name="好 4 4 2 2" xfId="9534"/>
    <cellStyle name="常规 14 2 2" xfId="9535"/>
    <cellStyle name="标题 2 2 3 4 3 3" xfId="9536"/>
    <cellStyle name="输入 2 5 3 2 2 2" xfId="9537"/>
    <cellStyle name="20% - 强调文字颜色 5 2 10" xfId="9538"/>
    <cellStyle name="超链接 3 2 2 7" xfId="9539"/>
    <cellStyle name="输入 2 6 3 7" xfId="9540"/>
    <cellStyle name="汇总 4 2 2 4 2 2" xfId="9541"/>
    <cellStyle name="注释 2 6 2 2 5" xfId="9542"/>
    <cellStyle name="20% - 强调文字颜色 5 2 3 6" xfId="9543"/>
    <cellStyle name="汇总 2 2 6 2 6 2 2" xfId="9544"/>
    <cellStyle name="注释 2 2 3 3 3 3 2" xfId="9545"/>
    <cellStyle name="40% - 强调文字颜色 3 2 3 2 2 3 2" xfId="9546"/>
    <cellStyle name="40% - 强调文字颜色 2 2 2 2 2 5 2" xfId="9547"/>
    <cellStyle name="常规 2 2 2 2" xfId="9548"/>
    <cellStyle name="输出 2 3 4 2" xfId="9549"/>
    <cellStyle name="计算 2 2 6 2 4 2" xfId="9550"/>
    <cellStyle name="汇总 2 7 2 3 3 2" xfId="9551"/>
    <cellStyle name="标题 4 3 2 4 2 3" xfId="9552"/>
    <cellStyle name="常规 4 2 2 6 3" xfId="9553"/>
    <cellStyle name="强调文字颜色 6 3 7" xfId="9554"/>
    <cellStyle name="注释 2 4 2 5 5" xfId="9555"/>
    <cellStyle name="强调文字颜色 6 2 3 2 4 3 2" xfId="9556"/>
    <cellStyle name="40% - 强调文字颜色 5 2 2 2 2 2 5 2 2" xfId="9557"/>
    <cellStyle name="注释 2 2 3 2 3 5" xfId="9558"/>
    <cellStyle name="标题 1 2 4 2 2 2 3" xfId="9559"/>
    <cellStyle name="汇总 2 2 10 2 3 2 2" xfId="9560"/>
    <cellStyle name="输入 5 4 3" xfId="9561"/>
    <cellStyle name="强调文字颜色 5 2 3 4" xfId="9562"/>
    <cellStyle name="汇总 2 2 6 6 3 2" xfId="9563"/>
    <cellStyle name="输出 2 4 2 11" xfId="9564"/>
    <cellStyle name="20% - 强调文字颜色 6 3 3 4 2" xfId="9565"/>
    <cellStyle name="好 3 5 2 2 2" xfId="9566"/>
    <cellStyle name="输出 2 2 3 3 3 2 3" xfId="9567"/>
    <cellStyle name="常规 6 3 4 2" xfId="9568"/>
    <cellStyle name="40% - 强调文字颜色 6 4 2 2 2" xfId="9569"/>
    <cellStyle name="好 3 5 2 2" xfId="9570"/>
    <cellStyle name="40% - 强调文字颜色 6 4 2 2" xfId="9571"/>
    <cellStyle name="常规 6 3 4" xfId="9572"/>
    <cellStyle name="好 3 5 2" xfId="9573"/>
    <cellStyle name="40% - 强调文字颜色 6 4 2" xfId="9574"/>
    <cellStyle name="60% - 强调文字颜色 6 2 2 2 2 5 3" xfId="9575"/>
    <cellStyle name="计算 2 9 4" xfId="9576"/>
    <cellStyle name="输入 2 2 3 11" xfId="9577"/>
    <cellStyle name="好 2 6" xfId="9578"/>
    <cellStyle name="40% - 强调文字颜色 5 5" xfId="9579"/>
    <cellStyle name="适中 2 3 2 4 2" xfId="9580"/>
    <cellStyle name="常规 6 4 2 3 2" xfId="9581"/>
    <cellStyle name="警告文本 2 2 3 3 4" xfId="9582"/>
    <cellStyle name="常规 4 2 2 2 2 3 2" xfId="9583"/>
    <cellStyle name="计算 2 2 3 5 2 2" xfId="9584"/>
    <cellStyle name="20% - 强调文字颜色 5 3 3" xfId="9585"/>
    <cellStyle name="强调文字颜色 2 2 6 2 3" xfId="9586"/>
    <cellStyle name="60% - 强调文字颜色 3 2 2 2 2 2 2" xfId="9587"/>
    <cellStyle name="汇总 2 5 2 2 2 2 4 3" xfId="9588"/>
    <cellStyle name="常规 10 2 3 5 2" xfId="9589"/>
    <cellStyle name="输出 2 14" xfId="9590"/>
    <cellStyle name="好 3 3 2 3" xfId="9591"/>
    <cellStyle name="检查单元格 2 2 2 2 5 2" xfId="9592"/>
    <cellStyle name="计算 2 2 2 2 2 2 2 5" xfId="9593"/>
    <cellStyle name="汇总 3 2 2 3" xfId="9594"/>
    <cellStyle name="检查单元格 2 3 2 6 3" xfId="9595"/>
    <cellStyle name="超链接 3 2 3 2 2 3" xfId="9596"/>
    <cellStyle name="输入 2 6 4 2 2 3" xfId="9597"/>
    <cellStyle name="40% - 强调文字颜色 5 2 2 4 4 2" xfId="9598"/>
    <cellStyle name="注释 2 2 5 9 2" xfId="9599"/>
    <cellStyle name="40% - 强调文字颜色 2 2 2 2 5 2 2 2" xfId="9600"/>
    <cellStyle name="40% - 强调文字颜色 3 2 3 3" xfId="9601"/>
    <cellStyle name="适中 2 2 2 2 2 2 3" xfId="9602"/>
    <cellStyle name="强调文字颜色 4 2 2 2 2 3 3" xfId="9603"/>
    <cellStyle name="40% - 强调文字颜色 1 2 4 3 3 2" xfId="9604"/>
    <cellStyle name="计算 2 2 5 2 3 4 2 2" xfId="9605"/>
    <cellStyle name="20% - 强调文字颜色 3 3 6 2" xfId="9606"/>
    <cellStyle name="计算 2 2 3 3 2 5 2" xfId="9607"/>
    <cellStyle name="输出 2 2 2 2 3 3" xfId="9608"/>
    <cellStyle name="计算 2 6 8 3" xfId="9609"/>
    <cellStyle name="60% - 强调文字颜色 5 3 2 2 3" xfId="9610"/>
    <cellStyle name="标题 2 2 2 2 2 5 2 2" xfId="9611"/>
    <cellStyle name="20% - 强调文字颜色 1 2 2 8" xfId="9612"/>
    <cellStyle name="60% - 强调文字颜色 4 2 3 3 3 2" xfId="9613"/>
    <cellStyle name="汇总 2 7 2 2 4 2" xfId="9614"/>
    <cellStyle name="好 3 3 3" xfId="9615"/>
    <cellStyle name="20% - 强调文字颜色 1 2 2 5 3" xfId="9616"/>
    <cellStyle name="强调文字颜色 5 2 2 2 2 4" xfId="9617"/>
    <cellStyle name="60% - 强调文字颜色 2 2 3 7 2" xfId="9618"/>
    <cellStyle name="60% - 强调文字颜色 3 2 9 2" xfId="9619"/>
    <cellStyle name="强调文字颜色 1 2 2 3 4 2 2" xfId="9620"/>
    <cellStyle name="汇总 2 2 2 15" xfId="9621"/>
    <cellStyle name="输入 2 2 6 4 2 2" xfId="9622"/>
    <cellStyle name="计算 2 5 3 6 2" xfId="9623"/>
    <cellStyle name="标题 3 2 2 2 4 2 2 2" xfId="9624"/>
    <cellStyle name="标题 3 2 2 3 3 3 3" xfId="9625"/>
    <cellStyle name="强调文字颜色 2 2 3 2 5 2 2" xfId="9626"/>
    <cellStyle name="20% - 强调文字颜色 2 3 5 2 2" xfId="9627"/>
    <cellStyle name="计算 2 2 3 2 2 4 2 2" xfId="9628"/>
    <cellStyle name="60% - 强调文字颜色 1 2 2 10" xfId="9629"/>
    <cellStyle name="强调文字颜色 2 2 3 2 2 2 2 3" xfId="9630"/>
    <cellStyle name="汇总 2 2 2 2 2 5 2" xfId="9631"/>
    <cellStyle name="适中 2 2 6 2 2 2" xfId="9632"/>
    <cellStyle name="输出 2 2 2 4 5 2" xfId="9633"/>
    <cellStyle name="20% - 强调文字颜色 1 3 2 4" xfId="9634"/>
    <cellStyle name="20% - 强调文字颜色 6 2 2 2 2 2 3 3 2 2" xfId="9635"/>
    <cellStyle name="强调文字颜色 2 2 2 2 2 4" xfId="9636"/>
    <cellStyle name="输入 2 2 4 2 2 3 4" xfId="9637"/>
    <cellStyle name="计算 3 8" xfId="9638"/>
    <cellStyle name="好 3 2 2 4" xfId="9639"/>
    <cellStyle name="汇总 2 2 2 2 3 4 3" xfId="9640"/>
    <cellStyle name="汇总 2 7 2 5 2" xfId="9641"/>
    <cellStyle name="40% - 强调文字颜色 6 2 2 2 7 2" xfId="9642"/>
    <cellStyle name="解释性文本 4 3 3" xfId="9643"/>
    <cellStyle name="输入 2 2 4 4 6" xfId="9644"/>
    <cellStyle name="40% - 强调文字颜色 5 2 3 2 2 2 2 2 2 2" xfId="9645"/>
    <cellStyle name="计算 2 2 2 2 2 5" xfId="9646"/>
    <cellStyle name="常规 12 2 2 2 2" xfId="9647"/>
    <cellStyle name="好 4 2 2 2 2 2" xfId="9648"/>
    <cellStyle name="解释性文本 2 2 4 3 2" xfId="9649"/>
    <cellStyle name="输出 2 3 3 5 2" xfId="9650"/>
    <cellStyle name="汇总 2 3 2 5" xfId="9651"/>
    <cellStyle name="计算 4 2 2 6" xfId="9652"/>
    <cellStyle name="输入 2 4 3 3 2" xfId="9653"/>
    <cellStyle name="常规 8 2 2 3 3 2 2" xfId="9654"/>
    <cellStyle name="标题 5 3 3 2 3" xfId="9655"/>
    <cellStyle name="汇总 2 7 3 5 2 2" xfId="9656"/>
    <cellStyle name="40% - 强调文字颜色 6 2 8" xfId="9657"/>
    <cellStyle name="40% - 强调文字颜色 4 2 7 2 2" xfId="9658"/>
    <cellStyle name="差 2 3 2 4 2 2 2" xfId="9659"/>
    <cellStyle name="常规 12 2 2" xfId="9660"/>
    <cellStyle name="计算 2 2 7 3 7" xfId="9661"/>
    <cellStyle name="60% - 强调文字颜色 2 4 4 2" xfId="9662"/>
    <cellStyle name="60% - 强调文字颜色 5 3 4" xfId="9663"/>
    <cellStyle name="计算 2 2 4 4 7 2" xfId="9664"/>
    <cellStyle name="计算 2 4 2 4 3 2 2" xfId="9665"/>
    <cellStyle name="常规 4 5 3 2 2" xfId="9666"/>
    <cellStyle name="40% - 强调文字颜色 2 2 3 2 4 3 2" xfId="9667"/>
    <cellStyle name="汇总 2 6 5 2" xfId="9668"/>
    <cellStyle name="好 2 5 3" xfId="9669"/>
    <cellStyle name="计算 2 6 3 2 2 2 2" xfId="9670"/>
    <cellStyle name="强调文字颜色 6 2 3 2 3 2" xfId="9671"/>
    <cellStyle name="计算 2 3 4 2 3" xfId="9672"/>
    <cellStyle name="20% - 强调文字颜色 1 2 2 2 2 2 3 2 2 2" xfId="9673"/>
    <cellStyle name="输出 2 2 3 4 3 3" xfId="9674"/>
    <cellStyle name="输入 2 5 2 4 5" xfId="9675"/>
    <cellStyle name="强调文字颜色 5 2 3 2 3 3 2 2" xfId="9676"/>
    <cellStyle name="解释性文本 2 2 2 3 3" xfId="9677"/>
    <cellStyle name="链接单元格 2 3 5 2 2 2" xfId="9678"/>
    <cellStyle name="计算 2 2 4 2 2 3 2 2" xfId="9679"/>
    <cellStyle name="计算 2 2 4 4 4 2 2" xfId="9680"/>
    <cellStyle name="输出 2 2 2 7 2 2" xfId="9681"/>
    <cellStyle name="40% - 强调文字颜色 1 2 3 2 5 2" xfId="9682"/>
    <cellStyle name="超链接 3 5 2" xfId="9683"/>
    <cellStyle name="计算 2 2 5 2 2 3 4 2" xfId="9684"/>
    <cellStyle name="输入 2 9 3" xfId="9685"/>
    <cellStyle name="强调文字颜色 6 2 7" xfId="9686"/>
    <cellStyle name="适中 2 2 4 5" xfId="9687"/>
    <cellStyle name="60% - 强调文字颜色 2 2 3 2 4 2 2 2" xfId="9688"/>
    <cellStyle name="60% - 强调文字颜色 3 2 4 4 2 2 2" xfId="9689"/>
    <cellStyle name="汇总 2 5 5 6" xfId="9690"/>
    <cellStyle name="40% - 强调文字颜色 1 2 4 2 2 2 2" xfId="9691"/>
    <cellStyle name="差 2 6 3 3" xfId="9692"/>
    <cellStyle name="超链接 2 3 2 5" xfId="9693"/>
    <cellStyle name="标题 2 2 2 3 3 3 2" xfId="9694"/>
    <cellStyle name="计算 2 2 2 10" xfId="9695"/>
    <cellStyle name="常规 4 2 6 3 2 2" xfId="9696"/>
    <cellStyle name="计算 2 5 2 2 2 6" xfId="9697"/>
    <cellStyle name="40% - 强调文字颜色 1 2 2 5 2" xfId="9698"/>
    <cellStyle name="40% - 强调文字颜色 2 6 2 2" xfId="9699"/>
    <cellStyle name="常规 4 8 3 2 2" xfId="9700"/>
    <cellStyle name="输出 2 2 3 3 3 2 2" xfId="9701"/>
    <cellStyle name="计算 2 2 4 5 5 2" xfId="9702"/>
    <cellStyle name="60% - 强调文字颜色 2 5 2 2" xfId="9703"/>
    <cellStyle name="注释 3 11" xfId="9704"/>
    <cellStyle name="输入 2 6 2 2 2 5" xfId="9705"/>
    <cellStyle name="常规 6 2 2 2 2 3 2" xfId="9706"/>
    <cellStyle name="40% - 强调文字颜色 3 3 2 4 2 2" xfId="9707"/>
    <cellStyle name="差 3 2" xfId="9708"/>
    <cellStyle name="计算 2 7 6" xfId="9709"/>
    <cellStyle name="输出 2 2 3 4 2 2 3" xfId="9710"/>
    <cellStyle name="常规 17" xfId="9711"/>
    <cellStyle name="常规 22" xfId="9712"/>
    <cellStyle name="输出 2 2 5 7" xfId="9713"/>
    <cellStyle name="汇总 2 3 2 2 2 2 4 2" xfId="9714"/>
    <cellStyle name="输入 2 2 5 2 2" xfId="9715"/>
    <cellStyle name="汇总 2 2 4 2 2 2 3 3" xfId="9716"/>
    <cellStyle name="计算 2 2 8 3 5 2" xfId="9717"/>
    <cellStyle name="60% - 强调文字颜色 6 3 2 2" xfId="9718"/>
    <cellStyle name="20% - 强调文字颜色 6 2 3 4 2 2" xfId="9719"/>
    <cellStyle name="输入 2 2 2 8 2" xfId="9720"/>
    <cellStyle name="强调文字颜色 4 2 3 4 2" xfId="9721"/>
    <cellStyle name="标题 2 3 4" xfId="9722"/>
    <cellStyle name="汇总 2 5 2 6 2 3" xfId="9723"/>
    <cellStyle name="好 3 2 2 2 2" xfId="9724"/>
    <cellStyle name="常规 3 3 4 2" xfId="9725"/>
    <cellStyle name="好 2 2 2 2 6 2 2" xfId="9726"/>
    <cellStyle name="标题 3 2 3 6 2 2 2" xfId="9727"/>
    <cellStyle name="计算 2 2 5 2 6 2" xfId="9728"/>
    <cellStyle name="60% - 强调文字颜色 3 2 3 2" xfId="9729"/>
    <cellStyle name="计算 2 2 4 2 4" xfId="9730"/>
    <cellStyle name="输出 2 2 2 3 6 2" xfId="9731"/>
    <cellStyle name="强调文字颜色 3 2 2 2 3 4" xfId="9732"/>
    <cellStyle name="输出 2 2 7 3 2 2 2" xfId="9733"/>
    <cellStyle name="计算 2 4 3 2 2 2 2" xfId="9734"/>
    <cellStyle name="强调文字颜色 4 2 3 2 3 2" xfId="9735"/>
    <cellStyle name="汇总 2 5 2 3 2" xfId="9736"/>
    <cellStyle name="标题 2 2 3 2 2 3 3" xfId="9737"/>
    <cellStyle name="输出 2 2 2 2 2 4" xfId="9738"/>
    <cellStyle name="计算 2 2 3 3 2 4 3" xfId="9739"/>
    <cellStyle name="输出 2 2 5 13" xfId="9740"/>
    <cellStyle name="输出 2 6 6 3" xfId="9741"/>
    <cellStyle name="汇总 2 2 4 3 2 2 5" xfId="9742"/>
    <cellStyle name="计算 2 8 2 2" xfId="9743"/>
    <cellStyle name="计算 2 2 5 3 2 8" xfId="9744"/>
    <cellStyle name="计算 2 6 4 2 2 2" xfId="9745"/>
    <cellStyle name="好 2 4 8" xfId="9746"/>
    <cellStyle name="标题 5 3 2 3 3" xfId="9747"/>
    <cellStyle name="40% - 强调文字颜色 5 3 8" xfId="9748"/>
    <cellStyle name="输入 2 5 8 2 2" xfId="9749"/>
    <cellStyle name="标题 4 6 2" xfId="9750"/>
    <cellStyle name="汇总 2 2 7 2 4" xfId="9751"/>
    <cellStyle name="60% - 强调文字颜色 2 2 3 2 2" xfId="9752"/>
    <cellStyle name="计算 2 2 4 2 6 2 2" xfId="9753"/>
    <cellStyle name="计算 2 2 5 2 7 2" xfId="9754"/>
    <cellStyle name="60% - 强调文字颜色 3 2 4 2" xfId="9755"/>
    <cellStyle name="计算 2 11 2 2" xfId="9756"/>
    <cellStyle name="标题 5 2 7 2" xfId="9757"/>
    <cellStyle name="警告文本 2 4 3 3" xfId="9758"/>
    <cellStyle name="标题 2 2 2 2 4 3 3" xfId="9759"/>
    <cellStyle name="汇总 2 2 2 4 2 2 3" xfId="9760"/>
    <cellStyle name="标题 4 2 3 2 2 2 2 2" xfId="9761"/>
    <cellStyle name="超链接 2 3 6 2 2" xfId="9762"/>
    <cellStyle name="输出 2 2 7 3" xfId="9763"/>
    <cellStyle name="计算 2 4 3 2" xfId="9764"/>
    <cellStyle name="超链接 3 2 2" xfId="9765"/>
    <cellStyle name="输入 2 6 3" xfId="9766"/>
    <cellStyle name="强调文字颜色 5 2 3 2 3 4" xfId="9767"/>
    <cellStyle name="强调文字颜色 4 2 4 2 2 2 3" xfId="9768"/>
    <cellStyle name="60% - 强调文字颜色 5 2 2 4 4 2" xfId="9769"/>
    <cellStyle name="强调文字颜色 4 2 2 2 3 6" xfId="9770"/>
    <cellStyle name="计算 2 6 3 3 2 2 2" xfId="9771"/>
    <cellStyle name="计算 2 4 3 2 2 2" xfId="9772"/>
    <cellStyle name="输出 2 2 7 3 2 2" xfId="9773"/>
    <cellStyle name="强调文字颜色 4 2 3 2 3" xfId="9774"/>
    <cellStyle name="输入 2 2 2 6 3" xfId="9775"/>
    <cellStyle name="输出 2 2 4 8 2" xfId="9776"/>
    <cellStyle name="检查单元格 2 2 6 2 2 2" xfId="9777"/>
    <cellStyle name="输出 3 8 2 2" xfId="9778"/>
    <cellStyle name="强调文字颜色 3 3 9" xfId="9779"/>
    <cellStyle name="标题 4 2 2 3 6" xfId="9780"/>
    <cellStyle name="常规 11 2 4 2 2" xfId="9781"/>
    <cellStyle name="输入 2 3 12" xfId="9782"/>
    <cellStyle name="好 2 3 2 8" xfId="9783"/>
    <cellStyle name="60% - 强调文字颜色 1 3 10" xfId="9784"/>
    <cellStyle name="百分比 2 3 2 3" xfId="9785"/>
    <cellStyle name="输入 2 5 4 3 2 2" xfId="9786"/>
    <cellStyle name="汇总 2 2 3 3 4 2" xfId="9787"/>
    <cellStyle name="20% - 强调文字颜色 5 2 2 2 6 2 2" xfId="9788"/>
    <cellStyle name="60% - 强调文字颜色 2 2 7 2" xfId="9789"/>
    <cellStyle name="计算 2 15 2" xfId="9790"/>
    <cellStyle name="40% - 强调文字颜色 1 2 2 2" xfId="9791"/>
    <cellStyle name="计算 2 6 3 5 2" xfId="9792"/>
    <cellStyle name="60% - 强调文字颜色 3 2 6 2 2 2" xfId="9793"/>
    <cellStyle name="60% - 强调文字颜色 2 2 3 4 2 2 2" xfId="9794"/>
    <cellStyle name="20% - 强调文字颜色 1 2 2 2 3 2 2" xfId="9795"/>
    <cellStyle name="汇总 2 2 3 4 3 2" xfId="9796"/>
    <cellStyle name="20% - 强调文字颜色 5 2 2 2 2 2 3 3" xfId="9797"/>
    <cellStyle name="标题 2 2 3 2 5 3" xfId="9798"/>
    <cellStyle name="计算 2 2 3 2 3 5 2" xfId="9799"/>
    <cellStyle name="强调文字颜色 5 2 2 3" xfId="9800"/>
    <cellStyle name="20% - 强调文字颜色 6 2 3 2 5 2 2 2" xfId="9801"/>
    <cellStyle name="汇总 2 2 3 2 6 2 2" xfId="9802"/>
    <cellStyle name="输出 2 4 2 5 4" xfId="9803"/>
    <cellStyle name="20% - 强调文字颜色 5 2 3 5 2" xfId="9804"/>
    <cellStyle name="百分比 2 3 2 2" xfId="9805"/>
    <cellStyle name="链接单元格 4 2" xfId="9806"/>
    <cellStyle name="强调文字颜色 3 2 3 3 2 2" xfId="9807"/>
    <cellStyle name="常规 9 2 2 4 3" xfId="9808"/>
    <cellStyle name="汇总 2 2 3 3 7" xfId="9809"/>
    <cellStyle name="标题 3 2 2 3 2 2 3" xfId="9810"/>
    <cellStyle name="输入 2 3 4 4 3" xfId="9811"/>
    <cellStyle name="差 3 2 4 2 3" xfId="9812"/>
    <cellStyle name="60% - 强调文字颜色 6 2 2 4 3 3" xfId="9813"/>
    <cellStyle name="强调文字颜色 5 2 2 2 2 7" xfId="9814"/>
    <cellStyle name="强调文字颜色 6 2 3 2 2 5" xfId="9815"/>
    <cellStyle name="强调文字颜色 4 2 2 5" xfId="9816"/>
    <cellStyle name="输出 2 6 5 5" xfId="9817"/>
    <cellStyle name="标题 1 3 2 2 2 2 2 2" xfId="9818"/>
    <cellStyle name="60% - 强调文字颜色 1 4 3 2 2" xfId="9819"/>
    <cellStyle name="计算 2 2 4 2 2 2 2 5" xfId="9820"/>
    <cellStyle name="注释 2 3 8 2" xfId="9821"/>
    <cellStyle name="无色 2 3 2" xfId="9822"/>
    <cellStyle name="注释 2 4 2 8 2" xfId="9823"/>
    <cellStyle name="好 2 3 2 2 3" xfId="9824"/>
    <cellStyle name="输入 2 6 9 2" xfId="9825"/>
    <cellStyle name="注释 2 9 4" xfId="9826"/>
    <cellStyle name="输出 3 8" xfId="9827"/>
    <cellStyle name="输入 2 2 3 3 2 4" xfId="9828"/>
    <cellStyle name="标题 2 2 2 2 2 3 2 2" xfId="9829"/>
    <cellStyle name="60% - 强调文字颜色 3 2 3 2 4 3 2" xfId="9830"/>
    <cellStyle name="常规 11 4 2 3 3" xfId="9831"/>
    <cellStyle name="汇总 2 10 5 2 2" xfId="9832"/>
    <cellStyle name="计算 2 7 2 2 5" xfId="9833"/>
    <cellStyle name="输出 2 3 2 11" xfId="9834"/>
    <cellStyle name="计算 2 2 9 3 2" xfId="9835"/>
    <cellStyle name="输出 2 4 4 3 3" xfId="9836"/>
    <cellStyle name="常规 2 3 2 3 3" xfId="9837"/>
    <cellStyle name="计算 2 2 8 3 2 2 2" xfId="9838"/>
    <cellStyle name="输入 2 2 2 4 3 2 2" xfId="9839"/>
    <cellStyle name="40% - 强调文字颜色 6 3 2 2 3 2 2" xfId="9840"/>
    <cellStyle name="20% - 强调文字颜色 3 4 2 3 2" xfId="9841"/>
    <cellStyle name="计算 2 7 4 4 2" xfId="9842"/>
    <cellStyle name="汇总 2 2 5 3 5" xfId="9843"/>
    <cellStyle name="计算 2 5 5 5 2" xfId="9844"/>
    <cellStyle name="计算 3 10" xfId="9845"/>
    <cellStyle name="输入 2 2 5 2 2 2 5" xfId="9846"/>
    <cellStyle name="标题 3 3 3 2 2" xfId="9847"/>
    <cellStyle name="计算 2 2 7 5 2 2" xfId="9848"/>
    <cellStyle name="60% - 强调文字颜色 3 2 2 6 2 2 2" xfId="9849"/>
    <cellStyle name="强调文字颜色 4 2 3 7" xfId="9850"/>
    <cellStyle name="标题 3 2 2 2 2 2 4" xfId="9851"/>
    <cellStyle name="计算 2 3 3 8" xfId="9852"/>
    <cellStyle name="60% - 强调文字颜色 3 2 3 2 5" xfId="9853"/>
    <cellStyle name="输入 2 2 4 4 4" xfId="9854"/>
    <cellStyle name="计算 2 4 2 5 3" xfId="9855"/>
    <cellStyle name="标题 3 3 2 3 2 2 2" xfId="9856"/>
    <cellStyle name="输出 2 2 6 6 3" xfId="9857"/>
    <cellStyle name="输出 2 4 2 2 3 2 3" xfId="9858"/>
    <cellStyle name="好 2 2 2 2 6" xfId="9859"/>
    <cellStyle name="标题 3 2 3 6 2" xfId="9860"/>
    <cellStyle name="汇总 2 7 6 4 2" xfId="9861"/>
    <cellStyle name="常规 12 4 4 3" xfId="9862"/>
    <cellStyle name="输出 3 3 7" xfId="9863"/>
    <cellStyle name="常规 3 2 5" xfId="9864"/>
    <cellStyle name="汇总 2 6 11 2" xfId="9865"/>
    <cellStyle name="输出 2 2 8 4" xfId="9866"/>
    <cellStyle name="计算 2 4 4 3" xfId="9867"/>
    <cellStyle name="20% - 强调文字颜色 3 3 2 2 2 2" xfId="9868"/>
    <cellStyle name="强调文字颜色 2 2 4 2 2 2 2 2" xfId="9869"/>
    <cellStyle name="60% - 强调文字颜色 1 2 2 4 3 2 2 2" xfId="9870"/>
    <cellStyle name="标题 3 2 2 3 3 4" xfId="9871"/>
    <cellStyle name="60% - 强调文字颜色 5 2 2 2 3 2" xfId="9872"/>
    <cellStyle name="输出 4 2 6 2" xfId="9873"/>
    <cellStyle name="强调文字颜色 1 2 3 4 3 3" xfId="9874"/>
    <cellStyle name="计算 2 8 5 2" xfId="9875"/>
    <cellStyle name="标题 1 3 2 2 3 2 2 2" xfId="9876"/>
    <cellStyle name="适中 2 2 7 2" xfId="9877"/>
    <cellStyle name="常规 4 5 3 4 2" xfId="9878"/>
    <cellStyle name="标题 2 3 2 4 2 2" xfId="9879"/>
    <cellStyle name="注释 2 5 5 2 2" xfId="9880"/>
    <cellStyle name="输出 2 3 2 2 6 2" xfId="9881"/>
    <cellStyle name="汇总 2 5 5 2 4 2" xfId="9882"/>
    <cellStyle name="标题 3 3 9" xfId="9883"/>
    <cellStyle name="标题 1 2 5 2 2 2" xfId="9884"/>
    <cellStyle name="强调文字颜色 4 2 2 3 3 2 2 2" xfId="9885"/>
    <cellStyle name="强调文字颜色 1 2 2 3 4" xfId="9886"/>
    <cellStyle name="标题 5 4 3 2 3" xfId="9887"/>
    <cellStyle name="超链接 3 4 5" xfId="9888"/>
    <cellStyle name="输入 2 8 6" xfId="9889"/>
    <cellStyle name="解释性文本 2 3 2 3 2" xfId="9890"/>
    <cellStyle name="40% - 强调文字颜色 1 2 6 3" xfId="9891"/>
    <cellStyle name="计算 2 6 3 2 3 3" xfId="9892"/>
    <cellStyle name="强调文字颜色 6 2 3 3 4" xfId="9893"/>
    <cellStyle name="40% - 强调文字颜色 4 2 2 3 3 2 2 2" xfId="9894"/>
    <cellStyle name="输入 2 2 4 9 2 2" xfId="9895"/>
    <cellStyle name="标题 4 4 4 2" xfId="9896"/>
    <cellStyle name="输出 2 4 2 2 3 3 2" xfId="9897"/>
    <cellStyle name="汇总 2 2 4 3 2 2 2 2 2" xfId="9898"/>
    <cellStyle name="好 2 2 2 3 5" xfId="9899"/>
    <cellStyle name="常规 10 3 4" xfId="9900"/>
    <cellStyle name="强调文字颜色 1 3 2 3 2" xfId="9901"/>
    <cellStyle name="好 2 2 2 3 3" xfId="9902"/>
    <cellStyle name="常规 8 2 2 4 3 2" xfId="9903"/>
    <cellStyle name="适中 3 2 5 2" xfId="9904"/>
    <cellStyle name="20% - 强调文字颜色 3 2 2 3 3 3 2" xfId="9905"/>
    <cellStyle name="好 2 2 2 2 5 2" xfId="9906"/>
    <cellStyle name="汇总 3 2 3 3 3" xfId="9907"/>
    <cellStyle name="输出 2 4 2 2 3 2 2 2" xfId="9908"/>
    <cellStyle name="好 2 2 2 2 3 2" xfId="9909"/>
    <cellStyle name="60% - 强调文字颜色 2 2 2 2 3 2 2" xfId="9910"/>
    <cellStyle name="输入 2 5 3 2 2 3 2" xfId="9911"/>
    <cellStyle name="汇总 3 3 3 4 2" xfId="9912"/>
    <cellStyle name="60% - 强调文字颜色 3 5 2 2 2 2" xfId="9913"/>
    <cellStyle name="标题 2 2 3 6 2 3" xfId="9914"/>
    <cellStyle name="汇总 2 2 2 4 3 2" xfId="9915"/>
    <cellStyle name="好 2 3 6" xfId="9916"/>
    <cellStyle name="标题 4 2 3 6 2 2 2" xfId="9917"/>
    <cellStyle name="适中 2 2 5" xfId="9918"/>
    <cellStyle name="40% - 强调文字颜色 4 2 2 2 4 3 2 2" xfId="9919"/>
    <cellStyle name="20% - 强调文字颜色 3 2 2 2 3 3" xfId="9920"/>
    <cellStyle name="计算 2 5 2 2 2 9" xfId="9921"/>
    <cellStyle name="计算 2 2 2 13" xfId="9922"/>
    <cellStyle name="输出 2 2 4 2 3 2 2" xfId="9923"/>
    <cellStyle name="汇总 5 7" xfId="9924"/>
    <cellStyle name="60% - 强调文字颜色 6 2 2 4 2 3" xfId="9925"/>
    <cellStyle name="好 5 2 2 2" xfId="9926"/>
    <cellStyle name="标题 3 3 2 2 3 2" xfId="9927"/>
    <cellStyle name="注释 2 4 3 3 4" xfId="9928"/>
    <cellStyle name="汇总 2 2 5 2 2 7" xfId="9929"/>
    <cellStyle name="汇总 2 2 4 11" xfId="9930"/>
    <cellStyle name="计算 3 3 2" xfId="9931"/>
    <cellStyle name="输入 2 3 2 2 7" xfId="9932"/>
    <cellStyle name="强调文字颜色 1 6" xfId="9933"/>
    <cellStyle name="计算 2 2 13 2 2" xfId="9934"/>
    <cellStyle name="标题 2 2 2 4 3 2 2" xfId="9935"/>
    <cellStyle name="注释 2 7 6 2" xfId="9936"/>
    <cellStyle name="计算 3 2 2" xfId="9937"/>
    <cellStyle name="输入 2 4 8" xfId="9938"/>
    <cellStyle name="汇总 2 2 8 2 4 2" xfId="9939"/>
    <cellStyle name="汇总 2 2 3 4 2 4 3" xfId="9940"/>
    <cellStyle name="标题 5 6 2 2" xfId="9941"/>
    <cellStyle name="强调文字颜色 5 2 7 2 3" xfId="9942"/>
    <cellStyle name="输入 2 2 6 4 2 2 2" xfId="9943"/>
    <cellStyle name="超链接 3 6 2" xfId="9944"/>
    <cellStyle name="强调文字颜色 6 2 2 4 2 2 2 2" xfId="9945"/>
    <cellStyle name="常规 12 2 4" xfId="9946"/>
    <cellStyle name="解释性文本 6" xfId="9947"/>
    <cellStyle name="计算 2 5 4 3 2 2" xfId="9948"/>
    <cellStyle name="计算 2 2 10 2 7" xfId="9949"/>
    <cellStyle name="40% - 强调文字颜色 4 2 3 2 2 2 3" xfId="9950"/>
    <cellStyle name="计算 2 2 8 8 3" xfId="9951"/>
    <cellStyle name="解释性文本 4 7" xfId="9952"/>
    <cellStyle name="汇总 2 2 2 2 3 8" xfId="9953"/>
    <cellStyle name="强调文字颜色 5 2 2 4 4 3" xfId="9954"/>
    <cellStyle name="Porcentaje 2" xfId="9955"/>
    <cellStyle name="强调文字颜色 3 2 2 3 2 2 3" xfId="9956"/>
    <cellStyle name="输入 4 6" xfId="9957"/>
    <cellStyle name="汇总 2 2 4 2 2 2 7" xfId="9958"/>
    <cellStyle name="汇总 2 2 2 2 2 2" xfId="9959"/>
    <cellStyle name="40% - 强调文字颜色 4 2 2 2 2 2 4 3 2" xfId="9960"/>
    <cellStyle name="强调文字颜色 1 5 3" xfId="9961"/>
    <cellStyle name="汇总 2 2 6 4" xfId="9962"/>
    <cellStyle name="汇总 2 2 4 3 3 4 2 2" xfId="9963"/>
    <cellStyle name="计算 2 2 4 2 3 2 2 2 2" xfId="9964"/>
    <cellStyle name="汇总 2 5 2 2 3 3 2" xfId="9965"/>
    <cellStyle name="链接单元格 2 4 2 2" xfId="9966"/>
    <cellStyle name="40% - 强调文字颜色 2 2 4 3 3" xfId="9967"/>
    <cellStyle name="20% - 强调文字颜色 5 2 3 2 2" xfId="9968"/>
    <cellStyle name="常规 9 2 3 5" xfId="9969"/>
    <cellStyle name="输出 2 4 2 2 4" xfId="9970"/>
    <cellStyle name="汇总 2 6 5 2 2" xfId="9971"/>
    <cellStyle name="40% - 强调文字颜色 2 2 3 2 4 3 2 2" xfId="9972"/>
    <cellStyle name="计算 2 2 3 2 2 6 3" xfId="9973"/>
    <cellStyle name="计算 2 2 2 2 2 2 2 2 3" xfId="9974"/>
    <cellStyle name="汇总 2 2 3 3 2 3 2" xfId="9975"/>
    <cellStyle name="60% - 强调文字颜色 6 5 2 2 3" xfId="9976"/>
    <cellStyle name="标题 5 4 3 3 3" xfId="9977"/>
    <cellStyle name="输入 2 9 6" xfId="9978"/>
    <cellStyle name="超链接 3 5 5" xfId="9979"/>
    <cellStyle name="40% - 强调文字颜色 1 2 7 2" xfId="9980"/>
    <cellStyle name="注释 2 2 3 2 7 2 2" xfId="9981"/>
    <cellStyle name="40% - 强调文字颜色 6 2 2 3 2 2 2" xfId="9982"/>
    <cellStyle name="40% - 强调文字颜色 1 2 8" xfId="9983"/>
    <cellStyle name="注释 2 3 7" xfId="9984"/>
    <cellStyle name="检查单元格 2 3 4 2 2" xfId="9985"/>
    <cellStyle name="无色 2 2" xfId="9986"/>
    <cellStyle name="超链接 3 4 3 4" xfId="9987"/>
    <cellStyle name="输入 2 8 4 4" xfId="9988"/>
    <cellStyle name="强调文字颜色 2 2 2 5 2" xfId="9989"/>
    <cellStyle name="20% - 强调文字颜色 1 6 2" xfId="9990"/>
    <cellStyle name="强调文字颜色 4 2 2" xfId="9991"/>
    <cellStyle name="链接单元格 2 2 2 2 3 3" xfId="9992"/>
    <cellStyle name="输出 3 4 2 3" xfId="9993"/>
    <cellStyle name="常规 2 2 2 7 2 2" xfId="9994"/>
    <cellStyle name="汇总 2 2 3 4 4 3" xfId="9995"/>
    <cellStyle name="20% - 强调文字颜色 6 2 4 4 3 2" xfId="9996"/>
    <cellStyle name="计算 2 2 2 2 6 2" xfId="9997"/>
    <cellStyle name="汇总 2 2 9 3 4 2" xfId="9998"/>
    <cellStyle name="检查单元格 2 2 2 2 3" xfId="9999"/>
    <cellStyle name="适中 2 8 2 2" xfId="10000"/>
    <cellStyle name="差 2 5" xfId="10001"/>
    <cellStyle name="60% - 强调文字颜色 1 4 2 4" xfId="10002"/>
    <cellStyle name="汇总 2 2 10 5 2" xfId="10003"/>
    <cellStyle name="计算 2 2 5 6" xfId="10004"/>
    <cellStyle name="60% - 强调文字颜色 3 2 2 4 3" xfId="10005"/>
    <cellStyle name="强调文字颜色 4 2 4 2 2" xfId="10006"/>
    <cellStyle name="输入 2 2 3 6 2" xfId="10007"/>
    <cellStyle name="常规 9 9" xfId="10008"/>
    <cellStyle name="汇总 2 6 3 5" xfId="10009"/>
    <cellStyle name="标题 3 2 2 4 4 2 2" xfId="10010"/>
    <cellStyle name="超链接 3 3 6 3" xfId="10011"/>
    <cellStyle name="输入 2 7 7 3" xfId="10012"/>
    <cellStyle name="计算 2 4 2 2 2 2" xfId="10013"/>
    <cellStyle name="输出 2 2 6 3 2 2" xfId="10014"/>
    <cellStyle name="输入 6" xfId="10015"/>
    <cellStyle name="输入 2 2 5 2 2 4 2" xfId="10016"/>
    <cellStyle name="汇总 2 2 11 7" xfId="10017"/>
    <cellStyle name="计算 2 2 4 9 2" xfId="10018"/>
    <cellStyle name="注释 2 2 4 2 2 2 5" xfId="10019"/>
    <cellStyle name="汇总 2 4 2 3 5 2" xfId="10020"/>
    <cellStyle name="超链接 3 3 2 3 3 2" xfId="10021"/>
    <cellStyle name="输入 2 5 5" xfId="10022"/>
    <cellStyle name="超链接 3 3 4 3 3" xfId="10023"/>
    <cellStyle name="计算 2 9 3 4 2" xfId="10024"/>
    <cellStyle name="标题 3 2 3 2 3 3 3" xfId="10025"/>
    <cellStyle name="标题 3 2 2 3 3 2 2 2" xfId="10026"/>
    <cellStyle name="40% - 强调文字颜色 5 2 10 2" xfId="10027"/>
    <cellStyle name="20% - 强调文字颜色 3 3 2 2 2 2 2" xfId="10028"/>
    <cellStyle name="输出 2 5 2 7" xfId="10029"/>
    <cellStyle name="解释性文本 2 4 3 5" xfId="10030"/>
    <cellStyle name="标题 4 2 3 2 2 2 2 2 3" xfId="10031"/>
    <cellStyle name="常规 7 3 5 2 2" xfId="10032"/>
    <cellStyle name="适中 3 5" xfId="10033"/>
    <cellStyle name="检查单元格 2 2 2 8" xfId="10034"/>
    <cellStyle name="输入 2 8 9" xfId="10035"/>
    <cellStyle name="注释 3 4 3" xfId="10036"/>
    <cellStyle name="强调文字颜色 1 2 2 3 7" xfId="10037"/>
    <cellStyle name="标题 4 4 2 3 2 2" xfId="10038"/>
    <cellStyle name="标题 2 2 6 2 2 3" xfId="10039"/>
    <cellStyle name="输入 2 2 2 2 2" xfId="10040"/>
    <cellStyle name="计算 2 6 7 3" xfId="10041"/>
    <cellStyle name="输出 2 2 2 2 2 3" xfId="10042"/>
    <cellStyle name="20% - 强调文字颜色 3 3 5 2" xfId="10043"/>
    <cellStyle name="计算 2 2 3 3 2 4 2" xfId="10044"/>
    <cellStyle name="40% - 强调文字颜色 2 2 3 3 3" xfId="10045"/>
    <cellStyle name="链接单元格 2 3 2 2" xfId="10046"/>
    <cellStyle name="计算 2 2 6 2 2 4 2" xfId="10047"/>
    <cellStyle name="汇总 2 5 2 2 2 3 2" xfId="10048"/>
    <cellStyle name="汇总 2 2 6 13" xfId="10049"/>
    <cellStyle name="计算 2 8 4 6" xfId="10050"/>
    <cellStyle name="标题 4 2 2 2 2 4 2 3" xfId="10051"/>
    <cellStyle name="汇总 2 2 4 2 10 2" xfId="10052"/>
    <cellStyle name="20% - 强调文字颜色 1 2 2 3 5 2 2" xfId="10053"/>
    <cellStyle name="60% - 强调文字颜色 6 2 2 2 2 4 3" xfId="10054"/>
    <cellStyle name="计算 2 8 4" xfId="10055"/>
    <cellStyle name="汇总 4 2 2 3 2" xfId="10056"/>
    <cellStyle name="常规 4 3 2 3 2" xfId="10057"/>
    <cellStyle name="强调文字颜色 6 2 2 5 3 3" xfId="10058"/>
    <cellStyle name="20% - 强调文字颜色 2 2 5 3" xfId="10059"/>
    <cellStyle name="计算 2 2 5 4 2 3 3" xfId="10060"/>
    <cellStyle name="常规 9 3 3 2 4" xfId="10061"/>
    <cellStyle name="汇总 2 3 2 6 3" xfId="10062"/>
    <cellStyle name="计算 2 2 7 4 4 2" xfId="10063"/>
    <cellStyle name="标题 3 3 2 4 2" xfId="10064"/>
    <cellStyle name="20% - 强调文字颜色 6 2 2 4 3" xfId="10065"/>
    <cellStyle name="汇总 2 2 5 5 3 3" xfId="10066"/>
    <cellStyle name="输入 2 2 6 3 4 2" xfId="10067"/>
    <cellStyle name="计算 2 5 2 8 2" xfId="10068"/>
    <cellStyle name="强调文字颜色 3 2 2 2 2 2 5" xfId="10069"/>
    <cellStyle name="常规 9 2 2 2 5" xfId="10070"/>
    <cellStyle name="60% - 强调文字颜色 5 3 2 2 3 2 2" xfId="10071"/>
    <cellStyle name="解释性文本 2 2 2 5 2" xfId="10072"/>
    <cellStyle name="汇总 4 4" xfId="10073"/>
    <cellStyle name="40% - 强调文字颜色 1 2 2 4 2" xfId="10074"/>
    <cellStyle name="计算 2 4 2 2 3" xfId="10075"/>
    <cellStyle name="输出 2 2 6 3 3" xfId="10076"/>
    <cellStyle name="强调文字颜色 5 2 7" xfId="10077"/>
    <cellStyle name="20% - 强调文字颜色 3 2 2 2 2 2 5" xfId="10078"/>
    <cellStyle name="输出 2 4 5 7" xfId="10079"/>
    <cellStyle name="输入 2 2 7 2 2" xfId="10080"/>
    <cellStyle name="计算 2 7 5 4 2" xfId="10081"/>
    <cellStyle name="汇总 2 2 6 3 5" xfId="10082"/>
    <cellStyle name="汇总 2 2 4 5 2 4 2" xfId="10083"/>
    <cellStyle name="常规 3 2 3 5" xfId="10084"/>
    <cellStyle name="常规 2 3 2 5" xfId="10085"/>
    <cellStyle name="输出 2 4 4 5" xfId="10086"/>
    <cellStyle name="解释性文本 2 3 5 3" xfId="10087"/>
    <cellStyle name="强调文字颜色 2 2 4 8" xfId="10088"/>
    <cellStyle name="检查单元格 2 3 3 4" xfId="10089"/>
    <cellStyle name="注释 2 2 7 5 3" xfId="10090"/>
    <cellStyle name="输入 2 2 4 3 3 4" xfId="10091"/>
    <cellStyle name="注释 2 2 3 10" xfId="10092"/>
    <cellStyle name="标题 5 2 3 3 2" xfId="10093"/>
    <cellStyle name="适中 2 3 2 3 2 2 2" xfId="10094"/>
    <cellStyle name="40% - 强调文字颜色 3 2 3 4" xfId="10095"/>
    <cellStyle name="20% - 强调文字颜色 1 2 3 2 2 2 2" xfId="10096"/>
    <cellStyle name="超链接 3 3 2 3" xfId="10097"/>
    <cellStyle name="输入 2 7 3 3" xfId="10098"/>
    <cellStyle name="20% - 强调文字颜色 2 2 3 4" xfId="10099"/>
    <cellStyle name="计算 2 10 3 4 2" xfId="10100"/>
    <cellStyle name="60% - 强调文字颜色 5 2 2 2 3" xfId="10101"/>
    <cellStyle name="计算 2 3 2 11" xfId="10102"/>
    <cellStyle name="60% - 强调文字颜色 3 2 3 6 2" xfId="10103"/>
    <cellStyle name="标题 4 3 3" xfId="10104"/>
    <cellStyle name="输入 2 7 3 2 2" xfId="10105"/>
    <cellStyle name="超链接 3 3 2 2 2" xfId="10106"/>
    <cellStyle name="注释 3 3 4 2" xfId="10107"/>
    <cellStyle name="计算 2 6 2 3" xfId="10108"/>
    <cellStyle name="汇总 2 2 8 2 3 3" xfId="10109"/>
    <cellStyle name="输入 2 3 9" xfId="10110"/>
    <cellStyle name="好 2 2 4 3 2" xfId="10111"/>
    <cellStyle name="计算 2 3 2 3 4 2" xfId="10112"/>
    <cellStyle name="输入 2 3 2 10" xfId="10113"/>
    <cellStyle name="60% - 强调文字颜色 5 3 3 2 2" xfId="10114"/>
    <cellStyle name="强调文字颜色 1 4 4 2" xfId="10115"/>
    <cellStyle name="计算 2 8 2 2 6" xfId="10116"/>
    <cellStyle name="警告文本 4 2 4" xfId="10117"/>
    <cellStyle name="强调文字颜色 6 2 4 5 2 2" xfId="10118"/>
    <cellStyle name="强调文字颜色 5 2 3 2 4" xfId="10119"/>
    <cellStyle name="计算 2 5 3 2 2 3" xfId="10120"/>
    <cellStyle name="汇总 2 2 4 2 3 3 3 2 2" xfId="10121"/>
    <cellStyle name="标题 2 2 5 4" xfId="10122"/>
    <cellStyle name="输入 2 6 2 2 5" xfId="10123"/>
    <cellStyle name="汇总 2 11 2" xfId="10124"/>
    <cellStyle name="警告文本 2 3 2 6 2 2" xfId="10125"/>
    <cellStyle name="强调文字颜色 6 2 2 6 2" xfId="10126"/>
    <cellStyle name="20% - 强调文字颜色 4 2 5 3 2" xfId="10127"/>
    <cellStyle name="40% - 强调文字颜色 2 4" xfId="10128"/>
    <cellStyle name="40% - 强调文字颜色 2 2 3 2 5 2 2" xfId="10129"/>
    <cellStyle name="40% - 强调文字颜色 6 2 2 4 4" xfId="10130"/>
    <cellStyle name="汇总 2 7 4 2" xfId="10131"/>
    <cellStyle name="20% - 强调文字颜色 5 3 2 2" xfId="10132"/>
    <cellStyle name="强调文字颜色 2 2 6 2 2 2" xfId="10133"/>
    <cellStyle name="60% - 强调文字颜色 1 2 4 4 3 2" xfId="10134"/>
    <cellStyle name="汇总 2 5 2 2 2 2 4 2 2" xfId="10135"/>
    <cellStyle name="输入 2 4 2 2 2 3 2" xfId="10136"/>
    <cellStyle name="汇总 3 2 4 4 2" xfId="10137"/>
    <cellStyle name="强调文字颜色 6 4 5" xfId="10138"/>
    <cellStyle name="适中 2 2 6 3" xfId="10139"/>
    <cellStyle name="输出 4 2 5 3" xfId="10140"/>
    <cellStyle name="输出 2 2 4 2 6" xfId="10141"/>
    <cellStyle name="超链接 3 3 7 2 2" xfId="10142"/>
    <cellStyle name="输入 2 7 8 2 2" xfId="10143"/>
    <cellStyle name="计算 2 2 8 5 2 2" xfId="10144"/>
    <cellStyle name="标题 3 4 3 2 2" xfId="10145"/>
    <cellStyle name="标题 4 2 2 3 3 2" xfId="10146"/>
    <cellStyle name="汇总 2 6 2 4 3 2 2" xfId="10147"/>
    <cellStyle name="汇总 2 5 2 3 9" xfId="10148"/>
    <cellStyle name="差 2 2 5 4" xfId="10149"/>
    <cellStyle name="汇总 2 2 4 2 3 2 5 2" xfId="10150"/>
    <cellStyle name="适中 2 5 4" xfId="10151"/>
    <cellStyle name="20% - 强调文字颜色 3 2 2 2 6 2" xfId="10152"/>
    <cellStyle name="常规 6 3" xfId="10153"/>
    <cellStyle name="差 2 2 2 2 5 2" xfId="10154"/>
    <cellStyle name="输出 4 5 3" xfId="10155"/>
    <cellStyle name="强调文字颜色 1 2 2 2" xfId="10156"/>
    <cellStyle name="输入 2 3 2 2 3 2 2" xfId="10157"/>
    <cellStyle name="汇总 2 2 2 4 3 2 2" xfId="10158"/>
    <cellStyle name="标题 1 2 2 2 5" xfId="10159"/>
    <cellStyle name="汇总 2 8 8 3" xfId="10160"/>
    <cellStyle name="无色 4 2" xfId="10161"/>
    <cellStyle name="警告文本 2 3 2 2 2 2 2 2" xfId="10162"/>
    <cellStyle name="注释 2 5 7" xfId="10163"/>
    <cellStyle name="标题 2 3 2 6" xfId="10164"/>
    <cellStyle name="20% - 强调文字颜色 4 2 2 2 2 2 3 2 2 2" xfId="10165"/>
    <cellStyle name="输入 2 2 8 3 2 3" xfId="10166"/>
    <cellStyle name="汇总 2 2 2 2 3 3 2 2" xfId="10167"/>
    <cellStyle name="汇总 2 2 6 2 3 2 2" xfId="10168"/>
    <cellStyle name="汇总 2 2 3 2 2 3 3 2" xfId="10169"/>
    <cellStyle name="注释 2 2 3 4 8" xfId="10170"/>
    <cellStyle name="40% - 强调文字颜色 5 2 9 2" xfId="10171"/>
    <cellStyle name="计算 2 2 3 2 2 2 2 3" xfId="10172"/>
    <cellStyle name="强调文字颜色 2 2 3 2 3 2 3" xfId="10173"/>
    <cellStyle name="汇总 2 2 4 13" xfId="10174"/>
    <cellStyle name="好 2 4 4 3" xfId="10175"/>
    <cellStyle name="输出 2 8 2 3 2" xfId="10176"/>
    <cellStyle name="汇总 2 4 2 2 2 4" xfId="10177"/>
    <cellStyle name="常规 8 2 2" xfId="10178"/>
    <cellStyle name="60% - 强调文字颜色 1 3 7" xfId="10179"/>
    <cellStyle name="计算 2 2 5 4 4 2 2" xfId="10180"/>
    <cellStyle name="汇总 2 2 3 4" xfId="10181"/>
    <cellStyle name="40% - 强调文字颜色 4 2 2 4 2 2 2 2" xfId="10182"/>
    <cellStyle name="输入 2 4 5 3" xfId="10183"/>
    <cellStyle name="计算 2 2 2 2 2 3 3" xfId="10184"/>
    <cellStyle name="链接单元格 2 2 3 3" xfId="10185"/>
    <cellStyle name="40% - 强调文字颜色 2 2 2 4 4" xfId="10186"/>
    <cellStyle name="标题 2 2 11" xfId="10187"/>
    <cellStyle name="警告文本 5" xfId="10188"/>
    <cellStyle name="强调文字颜色 4 4" xfId="10189"/>
    <cellStyle name="计算 2 2 5 3 3 3 2" xfId="10190"/>
    <cellStyle name="常规 9 2 4 2 3" xfId="10191"/>
    <cellStyle name="40% - 强调文字颜色 2 2 2 2 4" xfId="10192"/>
    <cellStyle name="60% - 强调文字颜色 3 2 4 5 2 2" xfId="10193"/>
    <cellStyle name="标题 5 2 3 2" xfId="10194"/>
    <cellStyle name="60% - 强调文字颜色 2 2 3 2 5 2 2" xfId="10195"/>
    <cellStyle name="汇总 2 3 2 2 2 4" xfId="10196"/>
    <cellStyle name="超链接 3 2 7" xfId="10197"/>
    <cellStyle name="输入 2 6 8" xfId="10198"/>
    <cellStyle name="注释 2 2 5 3 3 3" xfId="10199"/>
    <cellStyle name="汇总 2 2 8 2 6 2" xfId="10200"/>
    <cellStyle name="链接单元格 2 6 2 3" xfId="10201"/>
    <cellStyle name="强调文字颜色 5 2 4 2 2" xfId="10202"/>
    <cellStyle name="20% - 强调文字颜色 3 2 2 2 2 2 2 2 2" xfId="10203"/>
    <cellStyle name="60% - 强调文字颜色 4 2 2 4 3" xfId="10204"/>
    <cellStyle name="强调文字颜色 4 2 2 2 5 3" xfId="10205"/>
    <cellStyle name="常规 5 4 2 3 5" xfId="10206"/>
    <cellStyle name="标题 5 2 3 4" xfId="10207"/>
    <cellStyle name="计算 2 7 3 9" xfId="10208"/>
    <cellStyle name="输入 2 2 8 4 5" xfId="10209"/>
    <cellStyle name="注释 2 4 5 4" xfId="10210"/>
    <cellStyle name="强调文字颜色 4 2 2 2 3 5" xfId="10211"/>
    <cellStyle name="强调文字颜色 5 2 3 2 3 3" xfId="10212"/>
    <cellStyle name="计算 2 5 3 2 2 2 3" xfId="10213"/>
    <cellStyle name="60% - 强调文字颜色 3 2 2 4 3 2 2" xfId="10214"/>
    <cellStyle name="强调文字颜色 4 2 4 2 2 2 2" xfId="10215"/>
    <cellStyle name="计算 2 2 5 6 2 2" xfId="10216"/>
    <cellStyle name="汇总 2 2 6 11 2" xfId="10217"/>
    <cellStyle name="计算 2 8 4 4 2" xfId="10218"/>
    <cellStyle name="常规 10 7" xfId="10219"/>
    <cellStyle name="汇总 3 3 4" xfId="10220"/>
    <cellStyle name="强调文字颜色 3 3 3" xfId="10221"/>
    <cellStyle name="解释性文本 3 2 4 2" xfId="10222"/>
    <cellStyle name="计算 3 3 2 3 2 2" xfId="10223"/>
    <cellStyle name="常规 3 7 2 3" xfId="10224"/>
    <cellStyle name="计算 2 5 2 4 2 3 2 2" xfId="10225"/>
    <cellStyle name="计算 3 2 2 2 2 3" xfId="10226"/>
    <cellStyle name="输出 2 4 2 4 3" xfId="10227"/>
    <cellStyle name="解释性文本 2 3 3 2 3" xfId="10228"/>
    <cellStyle name="40% - 强调文字颜色 2 2 2 2 2 2 3 2 2 2" xfId="10229"/>
    <cellStyle name="常规 5 3 3 5 2 2" xfId="10230"/>
    <cellStyle name="汇总 2 2 3 2 2 2 3 2" xfId="10231"/>
    <cellStyle name="汇总 2 2 6 2 2 2 2" xfId="10232"/>
    <cellStyle name="检查单元格 2 2 3 2" xfId="10233"/>
    <cellStyle name="计算 2 4 2 2 3 2 2" xfId="10234"/>
    <cellStyle name="强调文字颜色 4 2 2 2 3 3" xfId="10235"/>
    <cellStyle name="40% - 强调文字颜色 5 2 2 3 2 2 2 2" xfId="10236"/>
    <cellStyle name="检查单元格 2 3 3 6" xfId="10237"/>
    <cellStyle name="汇总 3 3 2" xfId="10238"/>
    <cellStyle name="注释 4 8" xfId="10239"/>
    <cellStyle name="输入 2 2 3 2 2 5 2" xfId="10240"/>
    <cellStyle name="注释 2 2 2 2 4" xfId="10241"/>
    <cellStyle name="汇总 2 5 4 3 5" xfId="10242"/>
    <cellStyle name="汇总 2 4 2 2 5 2 2" xfId="10243"/>
    <cellStyle name="标题 3 3 5 2" xfId="10244"/>
    <cellStyle name="输入 2 10 2 3" xfId="10245"/>
    <cellStyle name="计算 2 2 7 7 2" xfId="10246"/>
    <cellStyle name="强调文字颜色 4 2 4 4 3 2" xfId="10247"/>
    <cellStyle name="输入 2 2 5 2 5 2 2" xfId="10248"/>
    <cellStyle name="输入 7 3" xfId="10249"/>
    <cellStyle name="注释 4" xfId="10250"/>
    <cellStyle name="输入 5 3 2" xfId="10251"/>
    <cellStyle name="计算 2 4 2 2 2 3 3" xfId="10252"/>
    <cellStyle name="60% - 强调文字颜色 4 2 2 2 4 2" xfId="10253"/>
    <cellStyle name="20% - 强调文字颜色 6 2 3 2 2 5 2" xfId="10254"/>
    <cellStyle name="20% - 强调文字颜色 1 2 3 5" xfId="10255"/>
    <cellStyle name="适中 2 3 2 6" xfId="10256"/>
    <cellStyle name="60% - 强调文字颜色 6 2 2 3 2 2" xfId="10257"/>
    <cellStyle name="输入 2 7 9" xfId="10258"/>
    <cellStyle name="超链接 3 3 8" xfId="10259"/>
    <cellStyle name="40% - 强调文字颜色 1 2 4 3 2 2" xfId="10260"/>
    <cellStyle name="汇总 2 2 4 3 8 2" xfId="10261"/>
    <cellStyle name="注释 2 5 2 2 4 2 2" xfId="10262"/>
    <cellStyle name="20% - 强调文字颜色 4 2 3 5 2 2" xfId="10263"/>
    <cellStyle name="注释 2 4 5 3" xfId="10264"/>
    <cellStyle name="汇总 2 4 3 3 4 2" xfId="10265"/>
    <cellStyle name="超链接 3 3 3 3 2 2" xfId="10266"/>
    <cellStyle name="输入 2 7 2 2 6" xfId="10267"/>
    <cellStyle name="强调文字颜色 4 2 2 2 3 4" xfId="10268"/>
    <cellStyle name="计算 2 5 3 2 2 2 2" xfId="10269"/>
    <cellStyle name="强调文字颜色 5 2 3 2 3 2" xfId="10270"/>
    <cellStyle name="强调文字颜色 3 2 4 2 2 2 3" xfId="10271"/>
    <cellStyle name="60% - 强调文字颜色 5 3 2 4 2 2" xfId="10272"/>
    <cellStyle name="汇总 2 5 2 7 2" xfId="10273"/>
    <cellStyle name="检查单元格 2 3 3 7" xfId="10274"/>
    <cellStyle name="强调文字颜色 6 2 5 3 3" xfId="10275"/>
    <cellStyle name="强调文字颜色 2 4 3" xfId="10276"/>
    <cellStyle name="输入 2 2 8 4 4" xfId="10277"/>
    <cellStyle name="计算 2 7 3 8" xfId="10278"/>
    <cellStyle name="标题 5 2 3 3" xfId="10279"/>
    <cellStyle name="标题 6 4" xfId="10280"/>
    <cellStyle name="计算 2 2 2 3 2 2 3" xfId="10281"/>
    <cellStyle name="60% - 强调文字颜色 3 2 2 3" xfId="10282"/>
    <cellStyle name="计算 2 2 5 2 5 3" xfId="10283"/>
    <cellStyle name="注释 2 2 2 4 2 2" xfId="10284"/>
    <cellStyle name="汇总 2 2 12 3 2 2" xfId="10285"/>
    <cellStyle name="计算 2 2 2 2 3 5" xfId="10286"/>
    <cellStyle name="汇总 2 7 6 2 2" xfId="10287"/>
    <cellStyle name="输出 2 5 3 2 4" xfId="10288"/>
    <cellStyle name="20% - 强调文字颜色 5 3 4 2 2" xfId="10289"/>
    <cellStyle name="输入 2 3 2 2 2 4 2" xfId="10290"/>
    <cellStyle name="输出 3 7 3" xfId="10291"/>
    <cellStyle name="60% - 强调文字颜色 3 2 3 2 4 2 2 2" xfId="10292"/>
    <cellStyle name="强调文字颜色 5 2 2 2 5 3" xfId="10293"/>
    <cellStyle name="20% - 强调文字颜色 1 2 2 8 2" xfId="10294"/>
    <cellStyle name="汇总 2 3 2 12" xfId="10295"/>
    <cellStyle name="20% - 强调文字颜色 6 3 2 2 4 2" xfId="10296"/>
    <cellStyle name="汇总 2 3 4 2" xfId="10297"/>
    <cellStyle name="计算 4 2 4 3" xfId="10298"/>
    <cellStyle name="输出 2 3 2 3 3" xfId="10299"/>
    <cellStyle name="汇总 2 5 2 6 3" xfId="10300"/>
    <cellStyle name="检查单元格 2 3 2 8" xfId="10301"/>
    <cellStyle name="强调文字颜色 4 2 2 2 2 5" xfId="10302"/>
    <cellStyle name="强调文字颜色 3 2 3 2 2 3 2" xfId="10303"/>
    <cellStyle name="20% - 强调文字颜色 1 3 2 5 2" xfId="10304"/>
    <cellStyle name="强调文字颜色 2 2 2 2 2 5 2" xfId="10305"/>
    <cellStyle name="强调文字颜色 5 2 3 2 2 3" xfId="10306"/>
    <cellStyle name="汇总 2 4 3 3 3 3" xfId="10307"/>
    <cellStyle name="注释 2 4 4 4" xfId="10308"/>
    <cellStyle name="超链接 3 2 3 2 4" xfId="10309"/>
    <cellStyle name="输入 2 6 4 2 4" xfId="10310"/>
    <cellStyle name="计算 2 8 2 3 3" xfId="10311"/>
    <cellStyle name="汇总 2 3 3 2 6" xfId="10312"/>
    <cellStyle name="标题 5 5" xfId="10313"/>
    <cellStyle name="适中 2 2 3 10" xfId="10314"/>
    <cellStyle name="差 5 2 2" xfId="10315"/>
    <cellStyle name="常规 5 5 2 2 5" xfId="10316"/>
    <cellStyle name="强调文字颜色 4 2 3 2 4 3" xfId="10317"/>
    <cellStyle name="汇总 3 2 4 3" xfId="10318"/>
    <cellStyle name="输入 2 4 2 2 2 2" xfId="10319"/>
    <cellStyle name="计算 2 2 4 2 4 2 2 2 2" xfId="10320"/>
    <cellStyle name="汇总 2 5 5" xfId="10321"/>
    <cellStyle name="40% - 强调文字颜色 2 2 3 2 3 3" xfId="10322"/>
    <cellStyle name="计算 2 7 2 5" xfId="10323"/>
    <cellStyle name="强调文字颜色 4 2 2 2 2 5 3" xfId="10324"/>
    <cellStyle name="计算 2 2 4 2 2 2 5 2" xfId="10325"/>
    <cellStyle name="计算 2 7 13" xfId="10326"/>
    <cellStyle name="检查单元格 3 5" xfId="10327"/>
    <cellStyle name="40% - 强调文字颜色 3 3 2 5 2" xfId="10328"/>
    <cellStyle name="好 2 3 2" xfId="10329"/>
    <cellStyle name="40% - 强调文字颜色 5 2 2" xfId="10330"/>
    <cellStyle name="差 2 3 2 2 3 2" xfId="10331"/>
    <cellStyle name="输出 2 2 3 2 12" xfId="10332"/>
    <cellStyle name="强调文字颜色 6 5" xfId="10333"/>
    <cellStyle name="警告文本 2 2 3 3 2 2" xfId="10334"/>
    <cellStyle name="标题 6 2 2 3 2 3" xfId="10335"/>
    <cellStyle name="汇总 2 2 3 2 2 2 8" xfId="10336"/>
    <cellStyle name="汇总 2 2 6 2 2 7" xfId="10337"/>
    <cellStyle name="汇总 2 2 5 2 2 5" xfId="10338"/>
    <cellStyle name="注释 2 4 3 3 2" xfId="10339"/>
    <cellStyle name="汇总 2 4 3 3 2 2 2" xfId="10340"/>
    <cellStyle name="计算 2 2 2 11" xfId="10341"/>
    <cellStyle name="40% - 强调文字颜色 1 2 2 5 3" xfId="10342"/>
    <cellStyle name="计算 2 5 2 2 2 7" xfId="10343"/>
    <cellStyle name="汇总 2 2 5 4 2 3" xfId="10344"/>
    <cellStyle name="输入 2 6 4 2 2 2 2" xfId="10345"/>
    <cellStyle name="超链接 3 2 3 2 2 2 2" xfId="10346"/>
    <cellStyle name="20% - 强调文字颜色 5 2 3 2 5 2 2 2" xfId="10347"/>
    <cellStyle name="常规 5 2 5 5 3" xfId="10348"/>
    <cellStyle name="汇总 2 3 3 2 4 2 2" xfId="10349"/>
    <cellStyle name="强调文字颜色 4 2 2 2 2 3 2 2" xfId="10350"/>
    <cellStyle name="适中 3 2 5" xfId="10351"/>
    <cellStyle name="20% - 强调文字颜色 3 2 2 3 3 3" xfId="10352"/>
    <cellStyle name="输出 5 2 4" xfId="10353"/>
    <cellStyle name="20% - 强调文字颜色 2 4 4 2 2 2" xfId="10354"/>
    <cellStyle name="输入 2 5 6" xfId="10355"/>
    <cellStyle name="输出 2 4 3 2 3 2 2" xfId="10356"/>
    <cellStyle name="强调文字颜色 3 2 4 2 2 2" xfId="10357"/>
    <cellStyle name="60% - 强调文字颜色 2 2 2 4 3 2" xfId="10358"/>
    <cellStyle name="强调文字颜色 1 2 2 2 2 6" xfId="10359"/>
    <cellStyle name="适中 4 2 2" xfId="10360"/>
    <cellStyle name="计算 2 4 5" xfId="10361"/>
    <cellStyle name="计算 2 2 5 11" xfId="10362"/>
    <cellStyle name="警告文本 2 3 4 4" xfId="10363"/>
    <cellStyle name="链接单元格 3 2" xfId="10364"/>
    <cellStyle name="注释 2 6 11" xfId="10365"/>
    <cellStyle name="输入 2 2 2 2 2 3 2 2" xfId="10366"/>
    <cellStyle name="60% - 强调文字颜色 4 4" xfId="10367"/>
    <cellStyle name="强调文字颜色 2 2 2 4 3 3" xfId="10368"/>
    <cellStyle name="标题 3 4 2 2 2 2 2" xfId="10369"/>
    <cellStyle name="输出 2 9" xfId="10370"/>
    <cellStyle name="计算 2 2 2 5 5" xfId="10371"/>
    <cellStyle name="解释性文本 4 8" xfId="10372"/>
    <cellStyle name="标题 1 2 5 2 2" xfId="10373"/>
    <cellStyle name="强调文字颜色 4 2 2 3 3 2 2" xfId="10374"/>
    <cellStyle name="输出 2 7 2 3 2" xfId="10375"/>
    <cellStyle name="标题 4 4 5 2" xfId="10376"/>
    <cellStyle name="60% - 强调文字颜色 1 2 2 2 6" xfId="10377"/>
    <cellStyle name="标题 1 2 3 4 3" xfId="10378"/>
    <cellStyle name="输入 2 6 3 5 2 2" xfId="10379"/>
    <cellStyle name="超链接 3 2 2 5 2 2" xfId="10380"/>
    <cellStyle name="注释 2 3 7 2 2" xfId="10381"/>
    <cellStyle name="无色 2 2 2 2" xfId="10382"/>
    <cellStyle name="强调文字颜色 5 2 2 2 2 3 2 3" xfId="10383"/>
    <cellStyle name="解释性文本 2 2 2 2 6 2" xfId="10384"/>
    <cellStyle name="计算 2 2 10 2 2 2" xfId="10385"/>
    <cellStyle name="计算 2 6 2 3 2 2" xfId="10386"/>
    <cellStyle name="适中 2 2 3 2 2 3" xfId="10387"/>
    <cellStyle name="输入 2 4 4 2 3 2" xfId="10388"/>
    <cellStyle name="输出 2 2 3 3 4 2 2" xfId="10389"/>
    <cellStyle name="标题 2 2 2 11" xfId="10390"/>
    <cellStyle name="标题 2 2 3 2 4 2 2 2" xfId="10391"/>
    <cellStyle name="40% - 强调文字颜色 2 2 2 2 2 2 2 3 2" xfId="10392"/>
    <cellStyle name="输入 2 2 4 2 2 6" xfId="10393"/>
    <cellStyle name="强调文字颜色 3 2 2 4 3 3" xfId="10394"/>
    <cellStyle name="注释 2 8 2" xfId="10395"/>
    <cellStyle name="输入 2 2 3 2 2 3 2 2" xfId="10396"/>
    <cellStyle name="标题 2 3 6 2" xfId="10397"/>
    <cellStyle name="注释 2 9 3" xfId="10398"/>
    <cellStyle name="输入 2 2 2 4 4 2" xfId="10399"/>
    <cellStyle name="标题 4 2 2 2 5 2 3" xfId="10400"/>
    <cellStyle name="60% - 强调文字颜色 3 2 3 2 4 2 2" xfId="10401"/>
    <cellStyle name="输入 2 2 4 4 3 2 2" xfId="10402"/>
    <cellStyle name="警告文本 4 2 3" xfId="10403"/>
    <cellStyle name="计算 2 2 8 6" xfId="10404"/>
    <cellStyle name="输入 2 2 3 9 2" xfId="10405"/>
    <cellStyle name="标题 3 4 4" xfId="10406"/>
    <cellStyle name="强调文字颜色 4 2 4 5 2" xfId="10407"/>
    <cellStyle name="20% - 强调文字颜色 1 2 6 3 2 2" xfId="10408"/>
    <cellStyle name="注释 2 2 2 5 2 2" xfId="10409"/>
    <cellStyle name="汇总 2 7 2 8" xfId="10410"/>
    <cellStyle name="输入 2 2 4 2 9 2" xfId="10411"/>
    <cellStyle name="输出 2 3 7 3" xfId="10412"/>
    <cellStyle name="常规 2 2 5 3" xfId="10413"/>
    <cellStyle name="计算 2 5 3 2" xfId="10414"/>
    <cellStyle name="常规 5 2 2 3 4" xfId="10415"/>
    <cellStyle name="汇总 3 9 2" xfId="10416"/>
    <cellStyle name="计算 2 3 9 3" xfId="10417"/>
    <cellStyle name="常规 6 2 3 2 2 2" xfId="10418"/>
    <cellStyle name="常规 5 4 2 6" xfId="10419"/>
    <cellStyle name="常规 5 2 2 2 2 4" xfId="10420"/>
    <cellStyle name="输入 2 2 3 3 3 2 2" xfId="10421"/>
    <cellStyle name="链接单元格 2 2 3 4 3" xfId="10422"/>
    <cellStyle name="计算 2 2 2 7 2 2" xfId="10423"/>
    <cellStyle name="计算 2 7 4 3 3" xfId="10424"/>
    <cellStyle name="汇总 2 2 5 2 6" xfId="10425"/>
    <cellStyle name="输出 2 4 2 3 2 2" xfId="10426"/>
    <cellStyle name="常规 9 2 4 3 2" xfId="10427"/>
    <cellStyle name="20% - 强调文字颜色 4 4 2 3 2 2 2" xfId="10428"/>
    <cellStyle name="40% - 强调文字颜色 5 2 2 4 3 2 2 2" xfId="10429"/>
    <cellStyle name="常规 13 10" xfId="10430"/>
    <cellStyle name="40% - 强调文字颜色 3 2 2 3 2 2" xfId="10431"/>
    <cellStyle name="注释 2 2 2 4 3 2" xfId="10432"/>
    <cellStyle name="汇总 2 2 7 9 2" xfId="10433"/>
    <cellStyle name="输出 2 2 3 2 3" xfId="10434"/>
    <cellStyle name="输出 2 2 3 2 2 2 2 3 2" xfId="10435"/>
    <cellStyle name="注释 2 2 3 3 2 2 2 3" xfId="10436"/>
    <cellStyle name="输入 2 6 3 5" xfId="10437"/>
    <cellStyle name="超链接 3 2 2 5" xfId="10438"/>
    <cellStyle name="标题 2 2 2 4 2 3 2" xfId="10439"/>
    <cellStyle name="输出 2 4 2 2 2 2 2 3" xfId="10440"/>
    <cellStyle name="常规 4 2 2 2 6" xfId="10441"/>
    <cellStyle name="输入 2 6 3 4 2" xfId="10442"/>
    <cellStyle name="超链接 3 2 2 4 2" xfId="10443"/>
    <cellStyle name="输出 2 4 2 2 2 2 2 2 2" xfId="10444"/>
    <cellStyle name="汇总 2 3 2 4 4" xfId="10445"/>
    <cellStyle name="注释 2 3 6 2" xfId="10446"/>
    <cellStyle name="汇总 2 2 2 2 6 2 2" xfId="10447"/>
    <cellStyle name="输出 2 5 2 3 3" xfId="10448"/>
    <cellStyle name="强调文字颜色 1 5 2" xfId="10449"/>
    <cellStyle name="常规 6 2 2 4 3 2 2" xfId="10450"/>
    <cellStyle name="强调文字颜色 2 2 2 2 4 3" xfId="10451"/>
    <cellStyle name="适中 2 4 3 4" xfId="10452"/>
    <cellStyle name="链接单元格 2 2 3 2 2 3" xfId="10453"/>
    <cellStyle name="输入 2 3 3 5 2 2" xfId="10454"/>
    <cellStyle name="输入 2 2 6 12" xfId="10455"/>
    <cellStyle name="计算 2 4 2 2 2" xfId="10456"/>
    <cellStyle name="输出 2 2 6 3 2" xfId="10457"/>
    <cellStyle name="输出 2 2 4 4 6" xfId="10458"/>
    <cellStyle name="20% - 强调文字颜色 2 2 2 4 4 2 2" xfId="10459"/>
    <cellStyle name="60% - 强调文字颜色 1 2 2 2 3 2 2 2 2" xfId="10460"/>
    <cellStyle name="输入 2 2 6 2 3 2 2" xfId="10461"/>
    <cellStyle name="汇总 2 5 4 2 3 3" xfId="10462"/>
    <cellStyle name="适中 2 4 4" xfId="10463"/>
    <cellStyle name="20% - 强调文字颜色 3 2 2 2 5 2" xfId="10464"/>
    <cellStyle name="汇总 2 2 4 3 4 2 2" xfId="10465"/>
    <cellStyle name="计算 2 6 3 6" xfId="10466"/>
    <cellStyle name="输入 2 2 7 4 2" xfId="10467"/>
    <cellStyle name="标题 3 2 2 2 5 2 2" xfId="10468"/>
    <cellStyle name="60% - 强调文字颜色 6 3 3 3" xfId="10469"/>
    <cellStyle name="计算 2 4 2 7" xfId="10470"/>
    <cellStyle name="60% - 强调文字颜色 1 2 2 2 2 3 2" xfId="10471"/>
    <cellStyle name="输入 2 2 5 3 3" xfId="10472"/>
    <cellStyle name="输出 2 2 6 8" xfId="10473"/>
    <cellStyle name="输出 2 2 7 5 2" xfId="10474"/>
    <cellStyle name="60% - 强调文字颜色 5 2 2 2 3 2 2 2 2" xfId="10475"/>
    <cellStyle name="计算 2 4 3 4 2" xfId="10476"/>
    <cellStyle name="计算 2 4 2 3 4 2" xfId="10477"/>
    <cellStyle name="常规 9 2 2 2 2 4" xfId="10478"/>
    <cellStyle name="40% - 强调文字颜色 2 3 3 2 2 2" xfId="10479"/>
    <cellStyle name="60% - 强调文字颜色 3 3 3 3" xfId="10480"/>
    <cellStyle name="计算 2 2 5 3 6 3" xfId="10481"/>
    <cellStyle name="强调文字颜色 1 4 3" xfId="10482"/>
    <cellStyle name="60% - 强调文字颜色 5 3 2 3 2 2" xfId="10483"/>
    <cellStyle name="计算 2 6 9 2 2" xfId="10484"/>
    <cellStyle name="汇总 2 2 7 4 2 2" xfId="10485"/>
    <cellStyle name="计算 2 2 8 2 2" xfId="10486"/>
    <cellStyle name="检查单元格 2 3 3 2 2 2" xfId="10487"/>
    <cellStyle name="超链接 2 2 3" xfId="10488"/>
    <cellStyle name="40% - 强调文字颜色 5 2 3 2 4 2" xfId="10489"/>
    <cellStyle name="强调文字颜色 5 2 6 3 3" xfId="10490"/>
    <cellStyle name="计算 3 3 3 5" xfId="10491"/>
    <cellStyle name="60% - 强调文字颜色 3 3 3 2 2" xfId="10492"/>
    <cellStyle name="计算 2 2 5 3 6 2 2" xfId="10493"/>
    <cellStyle name="常规 9 2 2 2 2 3 2" xfId="10494"/>
    <cellStyle name="输出 2 2 3 3 3" xfId="10495"/>
    <cellStyle name="常规 3 2 2 2 3" xfId="10496"/>
    <cellStyle name="输出 2 2 3 5 2" xfId="10497"/>
    <cellStyle name="超链接 3 2 2 2 5" xfId="10498"/>
    <cellStyle name="输入 2 6 3 2 5" xfId="10499"/>
    <cellStyle name="注释 2 3 4 5" xfId="10500"/>
    <cellStyle name="强调文字颜色 1 3 5" xfId="10501"/>
    <cellStyle name="常规 3 3 2 4 3" xfId="10502"/>
    <cellStyle name="汇总 2 2 6 5 3 2 2" xfId="10503"/>
    <cellStyle name="标题 5 3 2 2 5" xfId="10504"/>
    <cellStyle name="20% - 强调文字颜色 6 3 2 4 2 2" xfId="10505"/>
    <cellStyle name="40% - 强调文字颜色 2 2 2 2 3" xfId="10506"/>
    <cellStyle name="标题 1 2 2 2 2 4 2 2 2" xfId="10507"/>
    <cellStyle name="强调文字颜色 1 3 4" xfId="10508"/>
    <cellStyle name="注释 2 3 4 4" xfId="10509"/>
    <cellStyle name="汇总 2 4 3 2 3 3" xfId="10510"/>
    <cellStyle name="超链接 3 2 2 2 4" xfId="10511"/>
    <cellStyle name="输入 2 6 3 2 4" xfId="10512"/>
    <cellStyle name="汇总 2 3 2 2 6" xfId="10513"/>
    <cellStyle name="输入 2 2 2 4 4 3" xfId="10514"/>
    <cellStyle name="输出 2 2 2 3 4 2" xfId="10515"/>
    <cellStyle name="计算 2 7 9 2" xfId="10516"/>
    <cellStyle name="40% - 强调文字颜色 2 2 3 2 2 3 3 2 2" xfId="10517"/>
    <cellStyle name="汇总 2 4 5 3 2 2" xfId="10518"/>
    <cellStyle name="20% - 强调文字颜色 3 2 2 2 5 2 2" xfId="10519"/>
    <cellStyle name="适中 2 4 4 2" xfId="10520"/>
    <cellStyle name="常规 2 3 2 2 3 3" xfId="10521"/>
    <cellStyle name="计算 2 2 6 3 2 4 2" xfId="10522"/>
    <cellStyle name="链接单元格 3 3 2 2" xfId="10523"/>
    <cellStyle name="输出 2 5 2 2 2 3" xfId="10524"/>
    <cellStyle name="汇总 2 5 2 3 2 3 2" xfId="10525"/>
    <cellStyle name="超链接 3 5 4 3" xfId="10526"/>
    <cellStyle name="输入 2 9 5 3" xfId="10527"/>
    <cellStyle name="强调文字颜色 2 2 2 3 5 2 2" xfId="10528"/>
    <cellStyle name="强调文字颜色 1 2 3 2 2 2 2" xfId="10529"/>
    <cellStyle name="输出 2 4 8 2 2" xfId="10530"/>
    <cellStyle name="常规 2 3 6 2 2" xfId="10531"/>
    <cellStyle name="40% - 强调文字颜色 6 3 3 4 2" xfId="10532"/>
    <cellStyle name="常规 10 4 2 3 3" xfId="10533"/>
    <cellStyle name="强调文字颜色 1 2 6 3 2 2" xfId="10534"/>
    <cellStyle name="常规 5 4 6 2" xfId="10535"/>
    <cellStyle name="输入 2 3 4 3 2" xfId="10536"/>
    <cellStyle name="汇总 2 6 2 2 6 2" xfId="10537"/>
    <cellStyle name="计算 3 3 2 6" xfId="10538"/>
    <cellStyle name="差 2 3 3 2 2 2 2" xfId="10539"/>
    <cellStyle name="标题 3 2 2 4 3" xfId="10540"/>
    <cellStyle name="汇总 2 5 2 4 4 2" xfId="10541"/>
    <cellStyle name="差 3 3 5" xfId="10542"/>
    <cellStyle name="计算 2 2 6 4 4 3" xfId="10543"/>
    <cellStyle name="强调文字颜色 3 2 4 3 3" xfId="10544"/>
    <cellStyle name="计算 2 3 3 3 3 2" xfId="10545"/>
    <cellStyle name="汇总 2 2 5 3 3 4" xfId="10546"/>
    <cellStyle name="计算 2 2 2 2 2 2 5 2 2" xfId="10547"/>
    <cellStyle name="链接单元格 2 3 3 2 2" xfId="10548"/>
    <cellStyle name="汇总 2 5 2 2 2 4 2 2" xfId="10549"/>
    <cellStyle name="计算 2 2 6 2 2 5 2 2" xfId="10550"/>
    <cellStyle name="40% - 强调文字颜色 2 2 3 4 3 2" xfId="10551"/>
    <cellStyle name="解释性文本 2 2 2 2 3 3 2 2" xfId="10552"/>
    <cellStyle name="汇总 2 5 2 2 4 2 2" xfId="10553"/>
    <cellStyle name="计算 2 8 2 2 4" xfId="10554"/>
    <cellStyle name="适中 2 2 4 2 4" xfId="10555"/>
    <cellStyle name="强调文字颜色 6 2 4 4" xfId="10556"/>
    <cellStyle name="解释性文本 2 2 4 3 3" xfId="10557"/>
    <cellStyle name="常规 3 3 2" xfId="10558"/>
    <cellStyle name="输出 3 4 4" xfId="10559"/>
    <cellStyle name="汇总 2 3 2 13" xfId="10560"/>
    <cellStyle name="强调文字颜色 6 2 3 2 5 2" xfId="10561"/>
    <cellStyle name="计算 2 3 4 4 3" xfId="10562"/>
    <cellStyle name="40% - 强调文字颜色 5 2 2 3 3 3" xfId="10563"/>
    <cellStyle name="百分比 2 2 4 3 2" xfId="10564"/>
    <cellStyle name="好 2 3 2 3 3 3" xfId="10565"/>
    <cellStyle name="计算 2 6 2 12" xfId="10566"/>
    <cellStyle name="40% - 强调文字颜色 4 3 6" xfId="10567"/>
    <cellStyle name="标题 4 2 3 2 2 3 2" xfId="10568"/>
    <cellStyle name="标题 3 2 2 2 2 5 2" xfId="10569"/>
    <cellStyle name="输入 2 2 4 7 2" xfId="10570"/>
    <cellStyle name="强调文字颜色 4 2 5 3 2" xfId="10571"/>
    <cellStyle name="标题 4 2 4" xfId="10572"/>
    <cellStyle name="输入 2 2 4 2 13" xfId="10573"/>
    <cellStyle name="超链接 2 3 5 2 2" xfId="10574"/>
    <cellStyle name="计算 2 3 3 2" xfId="10575"/>
    <cellStyle name="计算 2 4 2 3" xfId="10576"/>
    <cellStyle name="输出 2 2 6 4" xfId="10577"/>
    <cellStyle name="常规 4 2 4 2 4" xfId="10578"/>
    <cellStyle name="计算 2 5 4 3 3 2" xfId="10579"/>
    <cellStyle name="20% - 强调文字颜色 3 2 2 2 3 2" xfId="10580"/>
    <cellStyle name="适中 2 2 4" xfId="10581"/>
    <cellStyle name="汇总 2 2 2 2 2 2 5 2 2" xfId="10582"/>
    <cellStyle name="强调文字颜色 6 2 2 3 4 2 3" xfId="10583"/>
    <cellStyle name="标题 2 2 3 2 4 2" xfId="10584"/>
    <cellStyle name="输入 4 2 6 2" xfId="10585"/>
    <cellStyle name="标题 1 2 2 2 4 4" xfId="10586"/>
    <cellStyle name="超链接 2 3 2 2 4" xfId="10587"/>
    <cellStyle name="标题 4 2 2 5 2" xfId="10588"/>
    <cellStyle name="注释 2 6 5 2 2" xfId="10589"/>
    <cellStyle name="计算 2 4 2 3 4 2 2" xfId="10590"/>
    <cellStyle name="输入 2 2 4 2 5 2 2" xfId="10591"/>
    <cellStyle name="汇总 2 2 4 2 2 10" xfId="10592"/>
    <cellStyle name="60% - 强调文字颜色 1 4" xfId="10593"/>
    <cellStyle name="40% - 强调文字颜色 4 4 3 2 2" xfId="10594"/>
    <cellStyle name="强调文字颜色 1 2 3 2 4" xfId="10595"/>
    <cellStyle name="计算 2 2 9 6" xfId="10596"/>
    <cellStyle name="计算 2 7 5 2 3" xfId="10597"/>
    <cellStyle name="汇总 2 2 7 2 2 7" xfId="10598"/>
    <cellStyle name="解释性文本 2 2 3" xfId="10599"/>
    <cellStyle name="计算 2 2 7 2 9" xfId="10600"/>
    <cellStyle name="60% - 强调文字颜色 5 2 6" xfId="10601"/>
    <cellStyle name="注释 2 6 4 3 2" xfId="10602"/>
    <cellStyle name="汇总 2 2 7 3 2 5" xfId="10603"/>
    <cellStyle name="20% - 强调文字颜色 5 2 3 2 2 2 2 2" xfId="10604"/>
    <cellStyle name="汇总 3 3 3 3 3" xfId="10605"/>
    <cellStyle name="汇总 2 2 2 4 2 3" xfId="10606"/>
    <cellStyle name="20% - 强调文字颜色 4 2 2 2 2 4 2 2" xfId="10607"/>
    <cellStyle name="输出 2 4 4 5 2 2" xfId="10608"/>
    <cellStyle name="常规 2 3 2 5 2 2" xfId="10609"/>
    <cellStyle name="汇总 3 3 5 3" xfId="10610"/>
    <cellStyle name="40% - 强调文字颜色 1 2 2 2 2 4 2" xfId="10611"/>
    <cellStyle name="20% - 强调文字颜色 4 2 3 3 5" xfId="10612"/>
    <cellStyle name="计算 4 3 4 3" xfId="10613"/>
    <cellStyle name="汇总 2 4 4 2" xfId="10614"/>
    <cellStyle name="40% - 强调文字颜色 2 2 3 2 2 2 2" xfId="10615"/>
    <cellStyle name="计算 3 3 5 3" xfId="10616"/>
    <cellStyle name="汇总 2 4 4 3 2 2" xfId="10617"/>
    <cellStyle name="40% - 强调文字颜色 1 2 2 2 2 4 3 2 2" xfId="10618"/>
    <cellStyle name="警告文本 2 2 2 2 2 2 2" xfId="10619"/>
    <cellStyle name="超链接 2 2 5 2 2" xfId="10620"/>
    <cellStyle name="标题 5 4 9" xfId="10621"/>
    <cellStyle name="汇总 2 2 4 3 2 6 2" xfId="10622"/>
    <cellStyle name="40% - 强调文字颜色 3 3 4 2 2 2" xfId="10623"/>
    <cellStyle name="汇总 2 3 2 3 3" xfId="10624"/>
    <cellStyle name="计算 4 2 2 4 3" xfId="10625"/>
    <cellStyle name="60% - 强调文字颜色 4 2 6 3" xfId="10626"/>
    <cellStyle name="差 2 2 4 4 2" xfId="10627"/>
    <cellStyle name="常规 6 6 3" xfId="10628"/>
    <cellStyle name="强调文字颜色 1 2 2 3 6" xfId="10629"/>
    <cellStyle name="注释 3 4 2" xfId="10630"/>
    <cellStyle name="输入 2 8 8" xfId="10631"/>
    <cellStyle name="警告文本 2 7 3" xfId="10632"/>
    <cellStyle name="注释 2 2 5 2 6" xfId="10633"/>
    <cellStyle name="汇总 2 11 6" xfId="10634"/>
    <cellStyle name="常规 3 2 5 2 2 2" xfId="10635"/>
    <cellStyle name="常规 6 2 3 2 3" xfId="10636"/>
    <cellStyle name="计算 2 2 2 3 2 3 2" xfId="10637"/>
    <cellStyle name="常规 2 2 9" xfId="10638"/>
    <cellStyle name="常规 6 3 3 2 2 2 2" xfId="10639"/>
    <cellStyle name="计算 2 2 9 3 4" xfId="10640"/>
    <cellStyle name="输出 2 3 2 13" xfId="10641"/>
    <cellStyle name="常规 5 3 2 2 2 4 2" xfId="10642"/>
    <cellStyle name="60% - 强调文字颜色 3 2 3 5 2 2" xfId="10643"/>
    <cellStyle name="标题 4 2 3 2" xfId="10644"/>
    <cellStyle name="强调文字颜色 4 2 2 4 3" xfId="10645"/>
    <cellStyle name="输出 2 2 7 2 4 2" xfId="10646"/>
    <cellStyle name="标题 1 3 5" xfId="10647"/>
    <cellStyle name="输出 2 2 4 2 5 2 2" xfId="10648"/>
    <cellStyle name="60% - 强调文字颜色 6 2 2 6 2 3" xfId="10649"/>
    <cellStyle name="强调文字颜色 5 3 9" xfId="10650"/>
    <cellStyle name="常规 11 2 6 2 2" xfId="10651"/>
    <cellStyle name="输入 2 2 3 3 6 2" xfId="10652"/>
    <cellStyle name="输入 2 6 4 2 3 2" xfId="10653"/>
    <cellStyle name="超链接 3 2 3 2 3 2" xfId="10654"/>
    <cellStyle name="超链接 2 2 2 2 3 4" xfId="10655"/>
    <cellStyle name="计算 2 8 2 3 2 2" xfId="10656"/>
    <cellStyle name="汇总 2 3 3 2 5 2" xfId="10657"/>
    <cellStyle name="计算 2 5 2 2 5 2 2" xfId="10658"/>
    <cellStyle name="强调文字颜色 6 2 2 4 5" xfId="10659"/>
    <cellStyle name="常规 11 2 2 3 3 2 2" xfId="10660"/>
    <cellStyle name="汇总 2 2 4 5 5 3" xfId="10661"/>
    <cellStyle name="注释 3 2 2 6 2 2" xfId="10662"/>
    <cellStyle name="输入 2 5 3 4 2 2" xfId="10663"/>
    <cellStyle name="计算 2 2 3 10 2" xfId="10664"/>
    <cellStyle name="适中 4 5" xfId="10665"/>
    <cellStyle name="输出 2 2 3 4 2 2" xfId="10666"/>
    <cellStyle name="60% - 强调文字颜色 6 3 2 3 2 3" xfId="10667"/>
    <cellStyle name="链接单元格 6" xfId="10668"/>
    <cellStyle name="链接单元格 2 2 3 5 2" xfId="10669"/>
    <cellStyle name="汇总 2 4 4 5 2 2" xfId="10670"/>
    <cellStyle name="标题 2 4 3 2 3" xfId="10671"/>
    <cellStyle name="标题 3 4 2 4 2" xfId="10672"/>
    <cellStyle name="计算 2 2 8 4 4 2" xfId="10673"/>
    <cellStyle name="强调文字颜色 2 2 2 2 3 2 3" xfId="10674"/>
    <cellStyle name="检查单元格 2 2 3 3 2" xfId="10675"/>
    <cellStyle name="注释 2 2 6 5 2 2" xfId="10676"/>
    <cellStyle name="常规 2 2 2 4 2" xfId="10677"/>
    <cellStyle name="输出 2 3 4 4 2" xfId="10678"/>
    <cellStyle name="超链接 2 2 2 2 2 2" xfId="10679"/>
    <cellStyle name="注释 2 5 2 2 2 3 2" xfId="10680"/>
    <cellStyle name="好 2 2 6 2 3" xfId="10681"/>
    <cellStyle name="标题 2 2 3 2 8" xfId="10682"/>
    <cellStyle name="计算 3 2 2 3 4 2" xfId="10683"/>
    <cellStyle name="标题 2 2 2 6 2 2 2" xfId="10684"/>
    <cellStyle name="40% - 强调文字颜色 3 2 5 3 3" xfId="10685"/>
    <cellStyle name="注释 2 2 5 4 4" xfId="10686"/>
    <cellStyle name="汇总 2 2 4 2 2 3 6" xfId="10687"/>
    <cellStyle name="常规 9 5 5" xfId="10688"/>
    <cellStyle name="输入 2 4 3 2" xfId="10689"/>
    <cellStyle name="计算 2 2 2 4 5" xfId="10690"/>
    <cellStyle name="注释 2 4 2 2 3 4" xfId="10691"/>
    <cellStyle name="汇总 2 2 9 5 3" xfId="10692"/>
    <cellStyle name="常规 5 2 8 2" xfId="10693"/>
    <cellStyle name="计算 3 3 2 2 2" xfId="10694"/>
    <cellStyle name="常规 2 2 2 2 2 3 2 2 2" xfId="10695"/>
    <cellStyle name="计算 2 8 3 4" xfId="10696"/>
    <cellStyle name="强调文字颜色 6 3 6" xfId="10697"/>
    <cellStyle name="适中 2 2 5 4" xfId="10698"/>
    <cellStyle name="标题 4 2 5 3 3" xfId="10699"/>
    <cellStyle name="强调文字颜色 4 2 3 5 2 3" xfId="10700"/>
    <cellStyle name="标题 2 4 4 3" xfId="10701"/>
    <cellStyle name="强调文字颜色 1 2 2 2 5 2 2" xfId="10702"/>
    <cellStyle name="输出 2 2 3 2 6" xfId="10703"/>
    <cellStyle name="输入 2 7 7 2 2" xfId="10704"/>
    <cellStyle name="超链接 3 3 6 2 2" xfId="10705"/>
    <cellStyle name="强调文字颜色 4 2 2 3 3 3 2" xfId="10706"/>
    <cellStyle name="标题 1 2 5 3 2" xfId="10707"/>
    <cellStyle name="适中 3 2 2 4" xfId="10708"/>
    <cellStyle name="警告文本 2 4 6 2" xfId="10709"/>
    <cellStyle name="输入 2 5 5 4 2 2" xfId="10710"/>
    <cellStyle name="60% - 强调文字颜色 4 4 2 3 2 2 2" xfId="10711"/>
    <cellStyle name="强调文字颜色 1 2 2 4 3 3" xfId="10712"/>
    <cellStyle name="标题 1 3 3 2 2 3" xfId="10713"/>
    <cellStyle name="标题 2 2 8 2" xfId="10714"/>
    <cellStyle name="计算 2 2 4 2 4 5" xfId="10715"/>
    <cellStyle name="强调文字颜色 2 2 3 4 3 2 2" xfId="10716"/>
    <cellStyle name="计算 2 2 3 2 4 2 2 2" xfId="10717"/>
    <cellStyle name="常规 9 5 2 3" xfId="10718"/>
    <cellStyle name="标题 2 2 2 6 3 3" xfId="10719"/>
    <cellStyle name="输入 2 5 2 4 2 2" xfId="10720"/>
    <cellStyle name="汇总 3 2 3 5 2" xfId="10721"/>
    <cellStyle name="警告文本 2 3 2 5 2 2" xfId="10722"/>
    <cellStyle name="标题 4 2 3 3 3 3" xfId="10723"/>
    <cellStyle name="40% - 强调文字颜色 3 2 2 7 2 2" xfId="10724"/>
    <cellStyle name="百分比 2 2 2 3 2 2" xfId="10725"/>
    <cellStyle name="40% - 强调文字颜色 1 2 2 3 2 2 2 2 2" xfId="10726"/>
    <cellStyle name="标题 1 3" xfId="10727"/>
    <cellStyle name="20% - 强调文字颜色 5 2 2 3 2" xfId="10728"/>
    <cellStyle name="40% - 强调文字颜色 1 2 4 5" xfId="10729"/>
    <cellStyle name="标题 1 2 4 10" xfId="10730"/>
    <cellStyle name="常规 3 3 2 3 2 2 2 2" xfId="10731"/>
    <cellStyle name="汇总 2 6 4 3 2" xfId="10732"/>
    <cellStyle name="40% - 强调文字颜色 2 4 2 2 2 2 2" xfId="10733"/>
    <cellStyle name="60% - 强调文字颜色 2 2 3 3 4" xfId="10734"/>
    <cellStyle name="注释 3 2 6" xfId="10735"/>
    <cellStyle name="输入 2 7 2 4" xfId="10736"/>
    <cellStyle name="标题 3 3 3" xfId="10737"/>
    <cellStyle name="60% - 强调文字颜色 3 2 2 6 2" xfId="10738"/>
    <cellStyle name="计算 2 2 7 5" xfId="10739"/>
    <cellStyle name="输出 2 2 2 2 3 2 3" xfId="10740"/>
    <cellStyle name="好 2 4 2 2 2" xfId="10741"/>
    <cellStyle name="40% - 强调文字颜色 5 3 2 2 2" xfId="10742"/>
    <cellStyle name="强调文字颜色 4 2 2 6 4" xfId="10743"/>
    <cellStyle name="计算 2 7 3 2 5" xfId="10744"/>
    <cellStyle name="强调文字颜色 3 4 2 3" xfId="10745"/>
    <cellStyle name="汇总 5 6" xfId="10746"/>
    <cellStyle name="计算 2 2 2 12" xfId="10747"/>
    <cellStyle name="计算 2 5 2 2 2 8" xfId="10748"/>
    <cellStyle name="警告文本 2 3 2 2 2 2" xfId="10749"/>
    <cellStyle name="20% - 强调文字颜色 2 2 2 5" xfId="10750"/>
    <cellStyle name="计算 2 10 3 3 3" xfId="10751"/>
    <cellStyle name="差 2 2 2 6 2 2" xfId="10752"/>
    <cellStyle name="常规 9 2 2 2 4 2" xfId="10753"/>
    <cellStyle name="40% - 强调文字颜色 1 3 2 2 4 2" xfId="10754"/>
    <cellStyle name="标题 4 2 2 6" xfId="10755"/>
    <cellStyle name="汇总 2 2 7 3 2 2" xfId="10756"/>
    <cellStyle name="汇总 2 2 3 3 3 2 3" xfId="10757"/>
    <cellStyle name="计算 2 2 4 2 11 2 2" xfId="10758"/>
    <cellStyle name="常规 5 6 3 4" xfId="10759"/>
    <cellStyle name="常规 5 2 2 4 3 2" xfId="10760"/>
    <cellStyle name="常规 8 2 4" xfId="10761"/>
    <cellStyle name="常规 6 8 2 2" xfId="10762"/>
    <cellStyle name="输出 2 2 5 3 2 2" xfId="10763"/>
    <cellStyle name="60% - 强调文字颜色 4 3 2 4 2 2" xfId="10764"/>
    <cellStyle name="差 2 4 6 2 2" xfId="10765"/>
    <cellStyle name="60% - 强调文字颜色 6 4 4 3" xfId="10766"/>
    <cellStyle name="汇总 3 2 8 2" xfId="10767"/>
    <cellStyle name="强调文字颜色 2 2 2 5 3 2" xfId="10768"/>
    <cellStyle name="计算 2 2 4 2 2 2 2 4 3" xfId="10769"/>
    <cellStyle name="常规 9 5 3 2 2 2" xfId="10770"/>
    <cellStyle name="输出 2 6 6 2" xfId="10771"/>
    <cellStyle name="汇总 2 2 4 3 2 2 4" xfId="10772"/>
    <cellStyle name="计算 2 2 5 3 2 7" xfId="10773"/>
    <cellStyle name="常规 5 2 3 2 3 3 3" xfId="10774"/>
    <cellStyle name="输出 2 2 5 12" xfId="10775"/>
    <cellStyle name="输入 2 2 2 6" xfId="10776"/>
    <cellStyle name="强调文字颜色 4 2 3 2" xfId="10777"/>
    <cellStyle name="输入 2 2 5 2 4 3" xfId="10778"/>
    <cellStyle name="常规 5 2 4 3 4 2" xfId="10779"/>
    <cellStyle name="输出 2 2 5 3 3" xfId="10780"/>
    <cellStyle name="常规 2 2 4 4" xfId="10781"/>
    <cellStyle name="计算 2 5 2 3" xfId="10782"/>
    <cellStyle name="解释性文本 2 2 7 2" xfId="10783"/>
    <cellStyle name="强调文字颜色 4 2 2 2 2 4 2 2 2" xfId="10784"/>
    <cellStyle name="注释 2 2 6 2 3 2" xfId="10785"/>
    <cellStyle name="强调文字颜色 5 2 3 2 2 2 2 2 2" xfId="10786"/>
    <cellStyle name="好 2 2 3 3 3" xfId="10787"/>
    <cellStyle name="输入 2 6 2 2 3 2" xfId="10788"/>
    <cellStyle name="汇总 2 2 3 3 2 5" xfId="10789"/>
    <cellStyle name="汇总 2 2 14 2 2" xfId="10790"/>
    <cellStyle name="注释 2 2 4 3 2" xfId="10791"/>
    <cellStyle name="20% - 强调文字颜色 4 2 3 2 4 3 2 2" xfId="10792"/>
    <cellStyle name="40% - 强调文字颜色 2 2 2" xfId="10793"/>
    <cellStyle name="输入 2 9 2 3 2" xfId="10794"/>
    <cellStyle name="汇总 2 3 2 2 2 2 3" xfId="10795"/>
    <cellStyle name="计算 2 5 3 2 2 3 3" xfId="10796"/>
    <cellStyle name="60% - 强调文字颜色 3 2 2 4 3 3 2" xfId="10797"/>
    <cellStyle name="强调文字颜色 5 2 3 2 4 3" xfId="10798"/>
    <cellStyle name="输入 2 2 4 5 5 2" xfId="10799"/>
    <cellStyle name="汇总 2 5 6 5" xfId="10800"/>
    <cellStyle name="标题 2 2 6 2 3" xfId="10801"/>
    <cellStyle name="注释 2 2 2 2 2 2 2 2" xfId="10802"/>
    <cellStyle name="常规 4 2 9" xfId="10803"/>
    <cellStyle name="注释 2 4 2 2 2 2 2 2 2" xfId="10804"/>
    <cellStyle name="计算 2 2 2 3 3 2 2 2" xfId="10805"/>
    <cellStyle name="汇总 2 3 6 2 3" xfId="10806"/>
    <cellStyle name="汇总 2 5 4 5" xfId="10807"/>
    <cellStyle name="标题 3 2 2 4 3 3 2" xfId="10808"/>
    <cellStyle name="输入 2 5 2 3 2 2" xfId="10809"/>
    <cellStyle name="标题 2 2 2 5 3 3" xfId="10810"/>
    <cellStyle name="汇总 3 2 2 5 2" xfId="10811"/>
    <cellStyle name="计算 2 2 4 4 3 4 2" xfId="10812"/>
    <cellStyle name="计算 2 5 2 5 7" xfId="10813"/>
    <cellStyle name="汇总 2 2 5 2 2 2 3 2" xfId="10814"/>
    <cellStyle name="计算 2 2 8 2 2 6" xfId="10815"/>
    <cellStyle name="输入 2 2 4 2 3 9" xfId="10816"/>
    <cellStyle name="输出 2 2 3 2 4 2 2" xfId="10817"/>
    <cellStyle name="差 6 2 3" xfId="10818"/>
    <cellStyle name="解释性文本 2 5 4" xfId="10819"/>
    <cellStyle name="适中 2 9 3" xfId="10820"/>
    <cellStyle name="60% - 强调文字颜色 5 2 2 6 3 2" xfId="10821"/>
    <cellStyle name="强调文字颜色 6 2 4 4 2 2" xfId="10822"/>
    <cellStyle name="计算 2 3 2 2 2 2 2 3" xfId="10823"/>
    <cellStyle name="链接单元格 2 6 3 2 2" xfId="10824"/>
    <cellStyle name="60% - 强调文字颜色 4 2 2 5 2 2" xfId="10825"/>
    <cellStyle name="标题 2 2 3 4" xfId="10826"/>
    <cellStyle name="输入 2 7 7 2" xfId="10827"/>
    <cellStyle name="超链接 3 3 6 2" xfId="10828"/>
    <cellStyle name="输入 5" xfId="10829"/>
    <cellStyle name="60% - 强调文字颜色 6 3 5 2 2 2" xfId="10830"/>
    <cellStyle name="输出 2 2 5 2 2 4" xfId="10831"/>
    <cellStyle name="汇总 2 2 6 8 2" xfId="10832"/>
    <cellStyle name="常规 9 3 8" xfId="10833"/>
    <cellStyle name="注释 2 2 2 9 2" xfId="10834"/>
    <cellStyle name="计算 2 2 6 2 5 2 2" xfId="10835"/>
    <cellStyle name="60% - 强调文字颜色 4 2 2 2 2" xfId="10836"/>
    <cellStyle name="计算 2 2 2 4 2 2 2 2" xfId="10837"/>
    <cellStyle name="强调文字颜色 5 2 2 2 4 2 3" xfId="10838"/>
    <cellStyle name="输入 2 5 2 8 2 2" xfId="10839"/>
    <cellStyle name="计算 2 7 2 2 8" xfId="10840"/>
    <cellStyle name="常规 9 3 7 3" xfId="10841"/>
    <cellStyle name="输出 2 4 3 6 2" xfId="10842"/>
    <cellStyle name="40% - 强调文字颜色 3 2 3 2" xfId="10843"/>
    <cellStyle name="适中 2 2 2 2 2 2 2" xfId="10844"/>
    <cellStyle name="汇总 4 2 5 2 2" xfId="10845"/>
    <cellStyle name="标题 2 2 2 4 2" xfId="10846"/>
    <cellStyle name="输入 3 4 4" xfId="10847"/>
    <cellStyle name="常规 10 4 2 2 2" xfId="10848"/>
    <cellStyle name="汇总 2 2 5 2 2 2 4 2" xfId="10849"/>
    <cellStyle name="输出 2 2 3 2 4 3 2" xfId="10850"/>
    <cellStyle name="60% - 强调文字颜色 6 2 2 2 4 3 3" xfId="10851"/>
    <cellStyle name="汇总 2 2 4 2 3 2 3 3" xfId="10852"/>
    <cellStyle name="常规 9 3 7" xfId="10853"/>
    <cellStyle name="常规 8 2 2 2" xfId="10854"/>
    <cellStyle name="常规 12 3 5" xfId="10855"/>
    <cellStyle name="60% - 强调文字颜色 5 2 2 5 2 2 2" xfId="10856"/>
    <cellStyle name="标题 1 2 3 6 2" xfId="10857"/>
    <cellStyle name="检查单元格 2 2 3 5 2 2" xfId="10858"/>
    <cellStyle name="40% - 强调文字颜色 1 2 2 2 2 2 5 2" xfId="10859"/>
    <cellStyle name="汇总 2 4 2 5 2" xfId="10860"/>
    <cellStyle name="输入 2 4 4 3 2 2" xfId="10861"/>
    <cellStyle name="汇总 2 2 9 2 2 2" xfId="10862"/>
    <cellStyle name="注释 2 4 3 6" xfId="10863"/>
    <cellStyle name="常规 9 3 4 2 4" xfId="10864"/>
    <cellStyle name="标题 1 2 3 4 4" xfId="10865"/>
    <cellStyle name="常规 9 3 4 2 3" xfId="10866"/>
    <cellStyle name="60% - 强调文字颜色 5 2 2 2 5 2 2" xfId="10867"/>
    <cellStyle name="常规 9 3 4 2 2 3" xfId="10868"/>
    <cellStyle name="适中 2 7" xfId="10869"/>
    <cellStyle name="输出 2 2 4 4 3 2" xfId="10870"/>
    <cellStyle name="解释性文本 2 3 2 8" xfId="10871"/>
    <cellStyle name="输入 2 2 2 2 4 2" xfId="10872"/>
    <cellStyle name="标题 2 4 2" xfId="10873"/>
    <cellStyle name="20% - 强调文字颜色 5 2 2 4 3 2" xfId="10874"/>
    <cellStyle name="标题 4 4 2 3 3" xfId="10875"/>
    <cellStyle name="汇总 2 4 3 6 2" xfId="10876"/>
    <cellStyle name="汇总 2 3 13" xfId="10877"/>
    <cellStyle name="输入 2 2 5 13" xfId="10878"/>
    <cellStyle name="60% - 强调文字颜色 5 2 6 2" xfId="10879"/>
    <cellStyle name="输出 2 3 2 4" xfId="10880"/>
    <cellStyle name="汇总 2 2 4 2 7" xfId="10881"/>
    <cellStyle name="注释 2 2 2 12" xfId="10882"/>
    <cellStyle name="强调文字颜色 4 2 2 7 3" xfId="10883"/>
    <cellStyle name="检查单元格 2 2 2 2 3 3" xfId="10884"/>
    <cellStyle name="输入 2 6 2 2 5 2" xfId="10885"/>
    <cellStyle name="输出 4 2 8" xfId="10886"/>
    <cellStyle name="注释 2 2 4 5 2" xfId="10887"/>
    <cellStyle name="40% - 强调文字颜色 2 4 2" xfId="10888"/>
    <cellStyle name="输入 2 2 2 2 4" xfId="10889"/>
    <cellStyle name="40% - 强调文字颜色 2 2 3 5" xfId="10890"/>
    <cellStyle name="40% - 强调文字颜色 2 2 3 2 5 2 2 2" xfId="10891"/>
    <cellStyle name="汇总 2 7 4 2 2" xfId="10892"/>
    <cellStyle name="40% - 强调文字颜色 6 2 2 4 4 2" xfId="10893"/>
    <cellStyle name="输入 2 2 5 2 3 2 2 2" xfId="10894"/>
    <cellStyle name="60% - 强调文字颜色 1 2 2 2 2 2 2 2 2 2" xfId="10895"/>
    <cellStyle name="输入 2 2 4 2 2 2 2 4" xfId="10896"/>
    <cellStyle name="60% - 强调文字颜色 3 2 2 4 4 2 2" xfId="10897"/>
    <cellStyle name="计算 2 2 5 7 2 2" xfId="10898"/>
    <cellStyle name="20% - 强调文字颜色 6 2 2 2 2 2 4 2 2" xfId="10899"/>
    <cellStyle name="计算 2 10 3 3" xfId="10900"/>
    <cellStyle name="计算 2 2 4 2 5 3 3" xfId="10901"/>
    <cellStyle name="60% - 强调文字颜色 2 2 2 3 3" xfId="10902"/>
    <cellStyle name="计算 2 2 2 2 2 2 3 3" xfId="10903"/>
    <cellStyle name="60% - 强调文字颜色 3 2 2 4 2 2 2 2" xfId="10904"/>
    <cellStyle name="常规 3 2 4 2 3 3 3" xfId="10905"/>
    <cellStyle name="汇总 2 8 3 3" xfId="10906"/>
    <cellStyle name="40% - 强调文字颜色 6 2 3 3 5" xfId="10907"/>
    <cellStyle name="强调文字颜色 6 2 3 5 3" xfId="10908"/>
    <cellStyle name="计算 2 6 3 2 5 2" xfId="10909"/>
    <cellStyle name="注释 2 4 3 2 7" xfId="10910"/>
    <cellStyle name="标题 4 3 3 2 2 3" xfId="10911"/>
    <cellStyle name="常规 9 3 2 4" xfId="10912"/>
    <cellStyle name="输入 2 3 4 3 3" xfId="10913"/>
    <cellStyle name="常规 9 3 2 3 2 2 2" xfId="10914"/>
    <cellStyle name="汇总 2 6 2 2 6 3" xfId="10915"/>
    <cellStyle name="40% - 强调文字颜色 1 4 2 3 2 2 2" xfId="10916"/>
    <cellStyle name="常规 2 2 4 5 2" xfId="10917"/>
    <cellStyle name="计算 2 5 2 4 2" xfId="10918"/>
    <cellStyle name="注释 2 5 2 3" xfId="10919"/>
    <cellStyle name="20% - 强调文字颜色 6 2 2 2 3 2 2 2 2 2" xfId="10920"/>
    <cellStyle name="计算 2 8 5 4" xfId="10921"/>
    <cellStyle name="超链接 2 8" xfId="10922"/>
    <cellStyle name="计算 2 2 5 2 2 2 7" xfId="10923"/>
    <cellStyle name="汇总 2 2 2 2 2 2 3 3" xfId="10924"/>
    <cellStyle name="标题 2 2 6 3" xfId="10925"/>
    <cellStyle name="输入 2 2 4 2 3 2 3 2" xfId="10926"/>
    <cellStyle name="差 6 2 2" xfId="10927"/>
    <cellStyle name="常规 9 3 2 2 3" xfId="10928"/>
    <cellStyle name="60% - 强调文字颜色 5 2 2 2 3 2 2" xfId="10929"/>
    <cellStyle name="强调文字颜色 3 2 4 8" xfId="10930"/>
    <cellStyle name="强调文字颜色 1 2 3 2 5" xfId="10931"/>
    <cellStyle name="标题 4 4 2" xfId="10932"/>
    <cellStyle name="20% - 强调文字颜色 5 2 2 6 3 2" xfId="10933"/>
    <cellStyle name="40% - 强调文字颜色 6 2 5 4" xfId="10934"/>
    <cellStyle name="60% - 强调文字颜色 2 2 6 3 2" xfId="10935"/>
    <cellStyle name="计算 2 2 5 2 6 3" xfId="10936"/>
    <cellStyle name="60% - 强调文字颜色 3 2 3 3" xfId="10937"/>
    <cellStyle name="输出 2 2 2 4 3" xfId="10938"/>
    <cellStyle name="计算 2 8 8" xfId="10939"/>
    <cellStyle name="汇总 2 2 8 2 5 2" xfId="10940"/>
    <cellStyle name="标题 5 6 3 2" xfId="10941"/>
    <cellStyle name="注释 2 2 5 3 2 3" xfId="10942"/>
    <cellStyle name="输入 2 5 8" xfId="10943"/>
    <cellStyle name="输入 2 6 7 3" xfId="10944"/>
    <cellStyle name="输出 2 4 2 3 2 3" xfId="10945"/>
    <cellStyle name="常规 9 2 4 3 3" xfId="10946"/>
    <cellStyle name="计算 2 2 5 3 3 4 2" xfId="10947"/>
    <cellStyle name="计算 2 3 2 2 2 3 2" xfId="10948"/>
    <cellStyle name="汇总 2 2 5 2 7" xfId="10949"/>
    <cellStyle name="强调文字颜色 2 2 3 7" xfId="10950"/>
    <cellStyle name="检查单元格 2 3 2 3" xfId="10951"/>
    <cellStyle name="注释 2 2 7 4 2" xfId="10952"/>
    <cellStyle name="输入 2 6 4 4 2" xfId="10953"/>
    <cellStyle name="标题 3 2 2 6 2 2 2" xfId="10954"/>
    <cellStyle name="60% - 强调文字颜色 4 4 3 2 2 2" xfId="10955"/>
    <cellStyle name="超链接 3 2 3 4 2" xfId="10956"/>
    <cellStyle name="强调文字颜色 4 2 2 2 4 3" xfId="10957"/>
    <cellStyle name="常规 5 4 2 2 5" xfId="10958"/>
    <cellStyle name="汇总 2 4 13" xfId="10959"/>
    <cellStyle name="标题 2 2 2 2 2 4 2" xfId="10960"/>
    <cellStyle name="60% - 强调文字颜色 4 2 3 2 3" xfId="10961"/>
    <cellStyle name="标题 3 2 3 2 2 2 2" xfId="10962"/>
    <cellStyle name="标题 4 3 2 4" xfId="10963"/>
    <cellStyle name="输入 2 6 2 2 8" xfId="10964"/>
    <cellStyle name="适中 2 3 2 6 2 2" xfId="10965"/>
    <cellStyle name="强调文字颜色 1 2 5 3" xfId="10966"/>
    <cellStyle name="20% - 强调文字颜色 1 2 3 5 2 2" xfId="10967"/>
    <cellStyle name="输出 2 2 2 2 8" xfId="10968"/>
    <cellStyle name="输出 2 2 6 3 2 2 2" xfId="10969"/>
    <cellStyle name="计算 2 4 2 2 2 2 2" xfId="10970"/>
    <cellStyle name="输入 6 2" xfId="10971"/>
    <cellStyle name="输入 2 2 4 3 2 8" xfId="10972"/>
    <cellStyle name="20% - 强调文字颜色 6 2 3 2 3 2 2 2 2" xfId="10973"/>
    <cellStyle name="强调文字颜色 3 2 2 3 2" xfId="10974"/>
    <cellStyle name="计算 2 2 4 2 3 5 3" xfId="10975"/>
    <cellStyle name="标题 2 2 2 2 5 2 3" xfId="10976"/>
    <cellStyle name="输出 2 2 8 4 2" xfId="10977"/>
    <cellStyle name="计算 2 4 4 3 2" xfId="10978"/>
    <cellStyle name="60% - 强调文字颜色 1 2 2 2 3 2 2" xfId="10979"/>
    <cellStyle name="输入 2 2 6 2 3" xfId="10980"/>
    <cellStyle name="输出 2 2 5 4 2 4" xfId="10981"/>
    <cellStyle name="汇总 2 2 8 8 2" xfId="10982"/>
    <cellStyle name="输入 2 2 3 2 3 4" xfId="10983"/>
    <cellStyle name="标题 2 2 2 2 2 2 3 2" xfId="10984"/>
    <cellStyle name="输入 2 11" xfId="10985"/>
    <cellStyle name="输入 2 8 2 3 2" xfId="10986"/>
    <cellStyle name="计算 2 4 3 5 3" xfId="10987"/>
    <cellStyle name="输出 2 2 7 6 3" xfId="10988"/>
    <cellStyle name="输出 2 2 7 9" xfId="10989"/>
    <cellStyle name="计算 2 4 3 8" xfId="10990"/>
    <cellStyle name="输入 2 2 5 4 4" xfId="10991"/>
    <cellStyle name="60% - 强调文字颜色 1 2 2 2 2 4 3" xfId="10992"/>
    <cellStyle name="注释 2 2 6 2 2 4" xfId="10993"/>
    <cellStyle name="40% - 强调文字颜色 5 2 3 5 2" xfId="10994"/>
    <cellStyle name="常规 13 3 3 5" xfId="10995"/>
    <cellStyle name="汇总 2 5 4 8" xfId="10996"/>
    <cellStyle name="常规 9 2 4 2 2 2 2" xfId="10997"/>
    <cellStyle name="常规 9 2 3 4 2 2" xfId="10998"/>
    <cellStyle name="好 2 2 2 2 5" xfId="10999"/>
    <cellStyle name="输出 2 4 2 2 3 2 2" xfId="11000"/>
    <cellStyle name="汇总 2 2 4 3 6 2" xfId="11001"/>
    <cellStyle name="20% - 强调文字颜色 6 2 5 2 3" xfId="11002"/>
    <cellStyle name="常规 3 3 2 2 5" xfId="11003"/>
    <cellStyle name="20% - 强调文字颜色 1 2 2 2 2 2 3 2 2" xfId="11004"/>
    <cellStyle name="汇总 2 3 3 7" xfId="11005"/>
    <cellStyle name="常规 2 2 2 8 2 2" xfId="11006"/>
    <cellStyle name="计算 2 4 4 2 2 2 2" xfId="11007"/>
    <cellStyle name="强调文字颜色 5 2 2" xfId="11008"/>
    <cellStyle name="计算 2 3 2 3 2 3" xfId="11009"/>
    <cellStyle name="汇总 2 2 3 15" xfId="11010"/>
    <cellStyle name="常规 4 7 2 2" xfId="11011"/>
    <cellStyle name="强调文字颜色 6 2 2 2 5 2" xfId="11012"/>
    <cellStyle name="标题 3 2 3 2 2 2 2 2 3" xfId="11013"/>
    <cellStyle name="计算 2 2 4 4 3" xfId="11014"/>
    <cellStyle name="计算 2 2 2 2 6 3" xfId="11015"/>
    <cellStyle name="计算 2 6 4 2 5" xfId="11016"/>
    <cellStyle name="计算 2 4 2 2 6 3" xfId="11017"/>
    <cellStyle name="计算 2 2 6 2 2 2" xfId="11018"/>
    <cellStyle name="输入 2 2 2 2 3 5" xfId="11019"/>
    <cellStyle name="输出 2 2 6 4 2 2" xfId="11020"/>
    <cellStyle name="输入 2 2 4 10 2" xfId="11021"/>
    <cellStyle name="输出 2 3 10" xfId="11022"/>
    <cellStyle name="计算 2 4 2 3 2 2" xfId="11023"/>
    <cellStyle name="输入 2 2 4 2 3 2" xfId="11024"/>
    <cellStyle name="标题 3 3 10" xfId="11025"/>
    <cellStyle name="解释性文本 3 2 6" xfId="11026"/>
    <cellStyle name="常规 11 4 2 4" xfId="11027"/>
    <cellStyle name="计算 2 4 2 3 5 2" xfId="11028"/>
    <cellStyle name="常规 11 3 5 2 2" xfId="11029"/>
    <cellStyle name="输入 2 2 4 2 6 2" xfId="11030"/>
    <cellStyle name="60% - 强调文字颜色 6 2 4 5" xfId="11031"/>
    <cellStyle name="60% - 强调文字颜色 5 3 3 2 2 2" xfId="11032"/>
    <cellStyle name="计算 3 2" xfId="11033"/>
    <cellStyle name="汇总 2 2 5 2 2 2 4 3" xfId="11034"/>
    <cellStyle name="常规 5 4 5 2" xfId="11035"/>
    <cellStyle name="40% - 强调文字颜色 6 3 3 3 2" xfId="11036"/>
    <cellStyle name="20% - 强调文字颜色 2 2 2 2 2 2 3 3 2 2" xfId="11037"/>
    <cellStyle name="链接单元格 2 2 6 3 3" xfId="11038"/>
    <cellStyle name="适中 2 2 4 5 2 2" xfId="11039"/>
    <cellStyle name="强调文字颜色 6 2 7 2 2" xfId="11040"/>
    <cellStyle name="计算 2 8 2 5 2 2" xfId="11041"/>
    <cellStyle name="注释 2 4 2" xfId="11042"/>
    <cellStyle name="计算 2 2 8 3 2 2 3" xfId="11043"/>
    <cellStyle name="警告文本 3 2 2" xfId="11044"/>
    <cellStyle name="百分比 2 2 2 3 3 2" xfId="11045"/>
    <cellStyle name="标题 3 2 3 8" xfId="11046"/>
    <cellStyle name="标题 4 2 5 3 2" xfId="11047"/>
    <cellStyle name="强调文字颜色 6 3 5" xfId="11048"/>
    <cellStyle name="适中 2 2 5 3" xfId="11049"/>
    <cellStyle name="输入 2 2 10 6" xfId="11050"/>
    <cellStyle name="输出 2 8 5" xfId="11051"/>
    <cellStyle name="标题 1 4 2 4 2" xfId="11052"/>
    <cellStyle name="常规 12 2 7" xfId="11053"/>
    <cellStyle name="差 4 2 3 2 3" xfId="11054"/>
    <cellStyle name="差 2 4 4 4" xfId="11055"/>
    <cellStyle name="60% - 强调文字颜色 4 3 2 2 4" xfId="11056"/>
    <cellStyle name="标题 5 3 3 2" xfId="11057"/>
    <cellStyle name="计算 2 2 9 3 2 2" xfId="11058"/>
    <cellStyle name="常规 5 3 2 6 2 2" xfId="11059"/>
    <cellStyle name="40% - 强调文字颜色 1 2 3 3 4" xfId="11060"/>
    <cellStyle name="计算 2 2 5 2 2 4 3" xfId="11061"/>
    <cellStyle name="链接单元格 2 2 2 2 3 2 2 2" xfId="11062"/>
    <cellStyle name="常规 9 2 3 3 2 2 2" xfId="11063"/>
    <cellStyle name="输出 2 4 2 2 2 2 2 2" xfId="11064"/>
    <cellStyle name="40% - 强调文字颜色 1 3 3 3 2 2 2" xfId="11065"/>
    <cellStyle name="超链接 3 2 2 4" xfId="11066"/>
    <cellStyle name="输入 2 6 3 4" xfId="11067"/>
    <cellStyle name="汇总 2 2 7 5 3 2 2" xfId="11068"/>
    <cellStyle name="40% - 强调文字颜色 6 2 2 2 3 2 2 2 2 2" xfId="11069"/>
    <cellStyle name="常规 6 3 2 3 2 2" xfId="11070"/>
    <cellStyle name="常规 7 5 2 2 2" xfId="11071"/>
    <cellStyle name="常规 4 2 3 3 2 2 2" xfId="11072"/>
    <cellStyle name="常规 5 2 8 3" xfId="11073"/>
    <cellStyle name="汇总 2 2 2 2 3 5 2" xfId="11074"/>
    <cellStyle name="适中 2 2 6 3 2 2" xfId="11075"/>
    <cellStyle name="20% - 强调文字颜色 4 2 4 5" xfId="11076"/>
    <cellStyle name="百分比 2 2 2 3 3 2 2" xfId="11077"/>
    <cellStyle name="警告文本 3 2 2 2" xfId="11078"/>
    <cellStyle name="计算 2 2 3" xfId="11079"/>
    <cellStyle name="输入 2 3 2 3 3" xfId="11080"/>
    <cellStyle name="解释性文本 2 2 5 3 2" xfId="11081"/>
    <cellStyle name="强调文字颜色 2 2" xfId="11082"/>
    <cellStyle name="输出 2 3 4 5 2" xfId="11083"/>
    <cellStyle name="常规 2 2 2 5 2" xfId="11084"/>
    <cellStyle name="常规 13 2 2 2 4 3" xfId="11085"/>
    <cellStyle name="40% - 强调文字颜色 1 2 5 2 2 2" xfId="11086"/>
    <cellStyle name="60% - 强调文字颜色 1 2 2 2 3 4" xfId="11087"/>
    <cellStyle name="标题 1 4 4 3" xfId="11088"/>
    <cellStyle name="强调文字颜色 4 2 2 5 2 3" xfId="11089"/>
    <cellStyle name="注释 2 2 2 3 3" xfId="11090"/>
    <cellStyle name="汇总 2 2 12 2 3" xfId="11091"/>
    <cellStyle name="40% - 强调文字颜色 3 2 2 2 2" xfId="11092"/>
    <cellStyle name="适中 2 3 5 2 3" xfId="11093"/>
    <cellStyle name="60% - 强调文字颜色 5 2 2 2 5" xfId="11094"/>
    <cellStyle name="注释 2 2 6 2 7" xfId="11095"/>
    <cellStyle name="好 2 2 3 4 4" xfId="11096"/>
    <cellStyle name="百分比 2 4" xfId="11097"/>
    <cellStyle name="警告文本 2 2 2 5 2 2" xfId="11098"/>
    <cellStyle name="常规 5 3 3 5 3" xfId="11099"/>
    <cellStyle name="汇总 2 3 3 3 2 2 2" xfId="11100"/>
    <cellStyle name="汇总 2 2 6 2 2 3" xfId="11101"/>
    <cellStyle name="常规 4 2 10" xfId="11102"/>
    <cellStyle name="汇总 2 2 3 2 2 2 4" xfId="11103"/>
    <cellStyle name="20% - 强调文字颜色 4 2 2 2 6 2 2 2" xfId="11104"/>
    <cellStyle name="检查单元格 2 2 4" xfId="11105"/>
    <cellStyle name="计算 2 6 2 4 3" xfId="11106"/>
    <cellStyle name="输入 2 5 2 2 3 2" xfId="11107"/>
    <cellStyle name="标题 2 2 2 4 4 3" xfId="11108"/>
    <cellStyle name="标题 4 2 3 2 2 2 3" xfId="11109"/>
    <cellStyle name="输出 2 2 6 8 2" xfId="11110"/>
    <cellStyle name="60% - 强调文字颜色 1 2 2 2 2 3 2 2" xfId="11111"/>
    <cellStyle name="输入 2 2 5 3 3 2" xfId="11112"/>
    <cellStyle name="计算 2 4 2 7 2" xfId="11113"/>
    <cellStyle name="输入 2 2 4 6 3" xfId="11114"/>
    <cellStyle name="计算 2 4 3 4 2 2" xfId="11115"/>
    <cellStyle name="60% - 强调文字颜色 5 2 2 2 3 2 2 2 2 2" xfId="11116"/>
    <cellStyle name="标题 3 2 2 2 2 4 3" xfId="11117"/>
    <cellStyle name="强调文字颜色 4 2 5 2 3" xfId="11118"/>
    <cellStyle name="输出 2 2 7 5 2 2" xfId="11119"/>
    <cellStyle name="标题 5 4 2 2 2 2" xfId="11120"/>
    <cellStyle name="计算 2 2 5 2 3" xfId="11121"/>
    <cellStyle name="常规 10 4 3 3" xfId="11122"/>
    <cellStyle name="汇总 2 2 5 2 2 3 5" xfId="11123"/>
    <cellStyle name="输出 2 2 3 2 5 4" xfId="11124"/>
    <cellStyle name="常规 11 2 2 6" xfId="11125"/>
    <cellStyle name="解释性文本 2 2 3 4 2 2 2" xfId="11126"/>
    <cellStyle name="标题 5 5 2 2 3" xfId="11127"/>
    <cellStyle name="输入 2 2 4 2 8 2 2" xfId="11128"/>
    <cellStyle name="汇总 2 2 4 2 3 5 3" xfId="11129"/>
    <cellStyle name="汇总 2 2 2 10 2 2" xfId="11130"/>
    <cellStyle name="注释 2 2 7 3 2 3" xfId="11131"/>
    <cellStyle name="强调文字颜色 2 2 2 7 3" xfId="11132"/>
    <cellStyle name="计算 2 5 11" xfId="11133"/>
    <cellStyle name="检查单元格 2 6 3" xfId="11134"/>
    <cellStyle name="常规 9 2 3 2" xfId="11135"/>
    <cellStyle name="40% - 强调文字颜色 1 3 3 2" xfId="11136"/>
    <cellStyle name="20% - 强调文字颜色 4 2 5 4" xfId="11137"/>
    <cellStyle name="常规 9 2 3" xfId="11138"/>
    <cellStyle name="注释 2 5 2 4 3" xfId="11139"/>
    <cellStyle name="汇总 4 3 6" xfId="11140"/>
    <cellStyle name="适中 2 2 2 3 3" xfId="11141"/>
    <cellStyle name="计算 2 2 4 7 2 2" xfId="11142"/>
    <cellStyle name="强调文字颜色 5 2 2 3 3 3" xfId="11143"/>
    <cellStyle name="60% - 强调文字颜色 3 2 2 3 4 2 2" xfId="11144"/>
    <cellStyle name="20% - 强调文字颜色 1 2 3 6 2" xfId="11145"/>
    <cellStyle name="计算 2 5 2 11" xfId="11146"/>
    <cellStyle name="常规 9 2 2 3 2" xfId="11147"/>
    <cellStyle name="40% - 强调文字颜色 6 2 2 6 3 2 2" xfId="11148"/>
    <cellStyle name="检查单元格 2 5 3" xfId="11149"/>
    <cellStyle name="常规 9 2 2 2" xfId="11150"/>
    <cellStyle name="40% - 强调文字颜色 1 3 2 2" xfId="11151"/>
    <cellStyle name="注释 2 2 3 2 2 4" xfId="11152"/>
    <cellStyle name="计算 2 2 9 5 3" xfId="11153"/>
    <cellStyle name="输出 2 4 2 2 2 4 3" xfId="11154"/>
    <cellStyle name="标题 5 3 2 7" xfId="11155"/>
    <cellStyle name="60% - 强调文字颜色 4 4 5 2" xfId="11156"/>
    <cellStyle name="标题 3 2 2 8 2" xfId="11157"/>
    <cellStyle name="汇总 2 2 3 4 8" xfId="11158"/>
    <cellStyle name="60% - 强调文字颜色 6 4 4 2 2 2" xfId="11159"/>
    <cellStyle name="汇总 2 2 5 2 3 5" xfId="11160"/>
    <cellStyle name="注释 2 4 3 4 2" xfId="11161"/>
    <cellStyle name="输入 2 2 4 2 2 2 3 2" xfId="11162"/>
    <cellStyle name="常规 5 4 3 2 5" xfId="11163"/>
    <cellStyle name="标题 1 2 6 3" xfId="11164"/>
    <cellStyle name="强调文字颜色 4 2 2 3 4 3" xfId="11165"/>
    <cellStyle name="20% - 强调文字颜色 1 2 2 4 2 3" xfId="11166"/>
    <cellStyle name="输入 2 2 6 4 2 5" xfId="11167"/>
    <cellStyle name="常规 3 3 7 2 3 2 2" xfId="11168"/>
    <cellStyle name="强调文字颜色 4 2 3 2 3 2 2 2" xfId="11169"/>
    <cellStyle name="注释 2 2 4 2 5" xfId="11170"/>
    <cellStyle name="常规 8 2 3 2 2 2" xfId="11171"/>
    <cellStyle name="输入 3 3 2 3" xfId="11172"/>
    <cellStyle name="40% - 强调文字颜色 3 2 2 3 3" xfId="11173"/>
    <cellStyle name="注释 2 2 2 4 4" xfId="11174"/>
    <cellStyle name="计算 2 5 5 3 2" xfId="11175"/>
    <cellStyle name="20% - 强调文字颜色 3 2 3 2 2" xfId="11176"/>
    <cellStyle name="60% - 强调文字颜色 1 2 2 3 4 2 2" xfId="11177"/>
    <cellStyle name="计算 2 2 4 3 4" xfId="11178"/>
    <cellStyle name="输出 2 2 2 13" xfId="11179"/>
    <cellStyle name="注释 2 4 2 4 2 3" xfId="11180"/>
    <cellStyle name="强调文字颜色 6 2 2 2 4 3" xfId="11181"/>
    <cellStyle name="20% - 强调文字颜色 6 4 5" xfId="11182"/>
    <cellStyle name="检查单元格 2 2 8" xfId="11183"/>
    <cellStyle name="40% - 强调文字颜色 3 3 4" xfId="11184"/>
    <cellStyle name="适中 2 2 2 2 3 3" xfId="11185"/>
    <cellStyle name="汇总 4 2 6 3" xfId="11186"/>
    <cellStyle name="常规 8 2 2 2 3" xfId="11187"/>
    <cellStyle name="警告文本 2 6 2 2 2" xfId="11188"/>
    <cellStyle name="强调文字颜色 5 2 2 2 4 3 3" xfId="11189"/>
    <cellStyle name="常规 8 2 2 2 2 2 2 2" xfId="11190"/>
    <cellStyle name="输入 2 3 2 3 2 2" xfId="11191"/>
    <cellStyle name="差 4 2" xfId="11192"/>
    <cellStyle name="计算 2 5 3 3 2 3" xfId="11193"/>
    <cellStyle name="60% - 强调文字颜色 4 2 2 4 5" xfId="11194"/>
    <cellStyle name="60% - 强调文字颜色 6 3 5 2 2" xfId="11195"/>
    <cellStyle name="输入 3 2 5" xfId="11196"/>
    <cellStyle name="40% - 强调文字颜色 1 2 2 2 2 2 4 2 2" xfId="11197"/>
    <cellStyle name="输入 2 5 2 2 2 2 4" xfId="11198"/>
    <cellStyle name="输入 2 7 3 7" xfId="11199"/>
    <cellStyle name="输入 2 6 2 3 2 2 2" xfId="11200"/>
    <cellStyle name="汇总 2 17 3" xfId="11201"/>
    <cellStyle name="强调文字颜色 1 2 3 2 6" xfId="11202"/>
    <cellStyle name="注释 4 3 2" xfId="11203"/>
    <cellStyle name="20% - 强调文字颜色 2 2 2 5 3" xfId="11204"/>
    <cellStyle name="计算 2 2 12" xfId="11205"/>
    <cellStyle name="60% - 强调文字颜色 3 3 2 2" xfId="11206"/>
    <cellStyle name="计算 2 2 5 3 5 2" xfId="11207"/>
    <cellStyle name="计算 2 2 2 3 3 2 2" xfId="11208"/>
    <cellStyle name="计算 2 2 4 2 2 2 2 4" xfId="11209"/>
    <cellStyle name="计算 2 2 5 2 3 2 2 2" xfId="11210"/>
    <cellStyle name="汇总 2 2 10 4 2 2" xfId="11211"/>
    <cellStyle name="20% - 强调文字颜色 5 2 2 2 2 2 5 2" xfId="11212"/>
    <cellStyle name="20% - 强调文字颜色 1 2 4 3 2 2" xfId="11213"/>
    <cellStyle name="强调文字颜色 1 3 3 2 2" xfId="11214"/>
    <cellStyle name="常规 11 2 4" xfId="11215"/>
    <cellStyle name="输入 2 3 2 2 2 2 3" xfId="11216"/>
    <cellStyle name="40% - 强调文字颜色 1 2 3 4 3 2 2" xfId="11217"/>
    <cellStyle name="强调文字颜色 4 2 3 5" xfId="11218"/>
    <cellStyle name="输入 2 2 2 9" xfId="11219"/>
    <cellStyle name="输入 2 2 14" xfId="11220"/>
    <cellStyle name="输出 2 2 2 2 2 5 2" xfId="11221"/>
    <cellStyle name="20% - 强调文字颜色 2 2 3 2 2 4 2 2 2" xfId="11222"/>
    <cellStyle name="差 2 2 2 3 3 2" xfId="11223"/>
    <cellStyle name="汇总 2 2 7 4 7" xfId="11224"/>
    <cellStyle name="好 2 2 3 10" xfId="11225"/>
    <cellStyle name="汇总 2 5 2 10 2" xfId="11226"/>
    <cellStyle name="强调文字颜色 4 2 2 2 5 2 2 2" xfId="11227"/>
    <cellStyle name="标题 2 3 2 3 2 3" xfId="11228"/>
    <cellStyle name="注释 2 5 4 2 3" xfId="11229"/>
    <cellStyle name="标题 3 2 4 2 2 2 3" xfId="11230"/>
    <cellStyle name="标题 1 2 2 2 2 6 3" xfId="11231"/>
    <cellStyle name="60% - 强调文字颜色 5 2 3 2 4" xfId="11232"/>
    <cellStyle name="汇总 2 5 2 4 2" xfId="11233"/>
    <cellStyle name="注释 2 2 7 2 6" xfId="11234"/>
    <cellStyle name="输出 2 6 2 2 2 3" xfId="11235"/>
    <cellStyle name="计算 2 2 7 3 2 4 2" xfId="11236"/>
    <cellStyle name="汇总 2 2 4 2 3 7" xfId="11237"/>
    <cellStyle name="汇总 2 2 5 2 2 2 2 2 2" xfId="11238"/>
    <cellStyle name="强调文字颜色 5 2 6 2 2 2" xfId="11239"/>
    <cellStyle name="20% - 强调文字颜色 3 2 2 2 2 2 4 2 2 2" xfId="11240"/>
    <cellStyle name="60% - 强调文字颜色 4 2 4 4 3 2" xfId="11241"/>
    <cellStyle name="汇总 2 5 6 3 3" xfId="11242"/>
    <cellStyle name="标题 2 2 3 5 3" xfId="11243"/>
    <cellStyle name="标题 5 6" xfId="11244"/>
    <cellStyle name="好 2 2 4 5 2 2" xfId="11245"/>
    <cellStyle name="输入 2 5 9 2" xfId="11246"/>
    <cellStyle name="20% - 强调文字颜色 2 3 3" xfId="11247"/>
    <cellStyle name="计算 2 2 3 2 2 2" xfId="11248"/>
    <cellStyle name="强调文字颜色 2 2 3 2 3" xfId="11249"/>
    <cellStyle name="超链接 2 3 4 2 2 2 2" xfId="11250"/>
    <cellStyle name="标题 5 4 10" xfId="11251"/>
    <cellStyle name="输出 3 3 6" xfId="11252"/>
    <cellStyle name="常规 3 2 4" xfId="11253"/>
    <cellStyle name="20% - 强调文字颜色 4 2 5 5" xfId="11254"/>
    <cellStyle name="警告文本 3 2 3 2" xfId="11255"/>
    <cellStyle name="常规 9 2 4" xfId="11256"/>
    <cellStyle name="输出 2 4 5 2 3 2" xfId="11257"/>
    <cellStyle name="40% - 强调文字颜色 1 3 4" xfId="11258"/>
    <cellStyle name="汇总 2 2 3 2 3 2" xfId="11259"/>
    <cellStyle name="标题 2 2 4 4 2 3" xfId="11260"/>
    <cellStyle name="计算 2 2 5 2 5 2 2" xfId="11261"/>
    <cellStyle name="60% - 强调文字颜色 3 2 2 2 2" xfId="11262"/>
    <cellStyle name="计算 2 2 3 5" xfId="11263"/>
    <cellStyle name="汇总 2 12 3 2 2" xfId="11264"/>
    <cellStyle name="20% - 强调文字颜色 3 2" xfId="11265"/>
    <cellStyle name="计算 2 4 2 3 6" xfId="11266"/>
    <cellStyle name="输入 2 2 4 14" xfId="11267"/>
    <cellStyle name="输出 2 2 3 5 2 2 2 2" xfId="11268"/>
    <cellStyle name="常规 11 3 5 3" xfId="11269"/>
    <cellStyle name="输入 2 2 4 2 7" xfId="11270"/>
    <cellStyle name="常规 5 3 4 2 3" xfId="11271"/>
    <cellStyle name="输出 2 2 3 3" xfId="11272"/>
    <cellStyle name="计算 2 5 2 2 2 5 3" xfId="11273"/>
    <cellStyle name="汇总 5 3 3" xfId="11274"/>
    <cellStyle name="60% - 强调文字颜色 4 2 2 4 3 3 2" xfId="11275"/>
    <cellStyle name="20% - 强调文字颜色 2 3 4" xfId="11276"/>
    <cellStyle name="强调文字颜色 2 2 3 2 4" xfId="11277"/>
    <cellStyle name="计算 2 2 3 2 2 3" xfId="11278"/>
    <cellStyle name="链接单元格 2 3 2 5 2 2" xfId="11279"/>
    <cellStyle name="20% - 强调文字颜色 6 4 2 2" xfId="11280"/>
    <cellStyle name="常规 5 2 2 2 6 2" xfId="11281"/>
    <cellStyle name="计算 2 5 4 3 2 3" xfId="11282"/>
    <cellStyle name="20% - 强调文字颜色 4 2 3 3 2 2 2 2 2" xfId="11283"/>
    <cellStyle name="输出 2 2 3 2 2 2 4 2 2" xfId="11284"/>
    <cellStyle name="常规 5 2 4 3 2 2" xfId="11285"/>
    <cellStyle name="常规 3 7 4 2" xfId="11286"/>
    <cellStyle name="标题 3 2 3 2 7" xfId="11287"/>
    <cellStyle name="汇总 2 6 5 3 2 2" xfId="11288"/>
    <cellStyle name="常规 7 6 3 2 2" xfId="11289"/>
    <cellStyle name="常规 4 2 3 4 3 2 2" xfId="11290"/>
    <cellStyle name="输入 2 2 3 5 2" xfId="11291"/>
    <cellStyle name="60% - 强调文字颜色 3 2 2 3 3" xfId="11292"/>
    <cellStyle name="计算 2 2 4 6" xfId="11293"/>
    <cellStyle name="警告文本 3 2 4 2" xfId="11294"/>
    <cellStyle name="差 2 4 4" xfId="11295"/>
    <cellStyle name="60% - 强调文字颜色 4 3 2 2" xfId="11296"/>
    <cellStyle name="计算 2 2 6 3 5 2" xfId="11297"/>
    <cellStyle name="计算 2 2 2 4 3 2 2" xfId="11298"/>
    <cellStyle name="注释 2 2 5 2 2 6" xfId="11299"/>
    <cellStyle name="注释 2 4 2 2 3 2 2 2" xfId="11300"/>
    <cellStyle name="输出 2 5 3 2 2 2" xfId="11301"/>
    <cellStyle name="输入 2 2 6 3" xfId="11302"/>
    <cellStyle name="汇总 2 6 5 3 2" xfId="11303"/>
    <cellStyle name="常规 7 6 3 2" xfId="11304"/>
    <cellStyle name="汇总 2 6 14" xfId="11305"/>
    <cellStyle name="计算 2 6 3 2 4 3" xfId="11306"/>
    <cellStyle name="强调文字颜色 6 2 3 4 4" xfId="11307"/>
    <cellStyle name="40% - 强调文字颜色 5 2 2 4 3 2 2" xfId="11308"/>
    <cellStyle name="汇总 2 8 2 4" xfId="11309"/>
    <cellStyle name="输入 2 5 3 9" xfId="11310"/>
    <cellStyle name="40% - 强调文字颜色 3 2 2 9 2" xfId="11311"/>
    <cellStyle name="汇总 2 2 2 3 2 2 2" xfId="11312"/>
    <cellStyle name="百分比 2 2 2 5 2" xfId="11313"/>
    <cellStyle name="汇总 3 3 2 3 2 2" xfId="11314"/>
    <cellStyle name="汇总 2 3 4 5 3" xfId="11315"/>
    <cellStyle name="好 3 2 5" xfId="11316"/>
    <cellStyle name="常规 7 5 3 2" xfId="11317"/>
    <cellStyle name="超链接 3 3 3 2 2 3" xfId="11318"/>
    <cellStyle name="输出 2 5 4 3 2" xfId="11319"/>
    <cellStyle name="汇总 2 2 10 3" xfId="11320"/>
    <cellStyle name="适中 2 3 3 3" xfId="11321"/>
    <cellStyle name="常规 12 3 2 3 2" xfId="11322"/>
    <cellStyle name="差 2 2 3" xfId="11323"/>
    <cellStyle name="20% - 强调文字颜色 3 2 10" xfId="11324"/>
    <cellStyle name="输入 5 2" xfId="11325"/>
    <cellStyle name="常规 7 4 3 2 2" xfId="11326"/>
    <cellStyle name="40% - 强调文字颜色 6 2 2 6 3" xfId="11327"/>
    <cellStyle name="常规 4 3 8 3" xfId="11328"/>
    <cellStyle name="链接单元格 2 2 4 3 3" xfId="11329"/>
    <cellStyle name="输出 5 5 2" xfId="11330"/>
    <cellStyle name="输入 2 2 18" xfId="11331"/>
    <cellStyle name="计算 2 2 4 3 2 3 3" xfId="11332"/>
    <cellStyle name="输入 2 2 3 3 9" xfId="11333"/>
    <cellStyle name="60% - 强调文字颜色 2 2 2 2 3 2" xfId="11334"/>
    <cellStyle name="计算 2 10 2 3 2" xfId="11335"/>
    <cellStyle name="计算 2 6 2 4 3 2" xfId="11336"/>
    <cellStyle name="标题 1 3 7" xfId="11337"/>
    <cellStyle name="强调文字颜色 4 2 2 4 5" xfId="11338"/>
    <cellStyle name="计算 2 9 2 5" xfId="11339"/>
    <cellStyle name="解释性文本 2 2 2 2 4 4" xfId="11340"/>
    <cellStyle name="汇总 2 2 4 6 3 2 2" xfId="11341"/>
    <cellStyle name="超链接 2 2 4 3" xfId="11342"/>
    <cellStyle name="强调文字颜色 6 4 2 3 2" xfId="11343"/>
    <cellStyle name="链接单元格 2 4 4" xfId="11344"/>
    <cellStyle name="常规 10 2 2 2 2" xfId="11345"/>
    <cellStyle name="汇总 2 5 2 2 3 5" xfId="11346"/>
    <cellStyle name="常规 5 2 3 3 2 4 2" xfId="11347"/>
    <cellStyle name="链接单元格 4 2 3 2" xfId="11348"/>
    <cellStyle name="40% - 强调文字颜色 3 2 2 2 5 2 2 2" xfId="11349"/>
    <cellStyle name="常规 5 4 3 2 3 2" xfId="11350"/>
    <cellStyle name="常规 7 3 4 2 2 2" xfId="11351"/>
    <cellStyle name="汇总 2 6 3" xfId="11352"/>
    <cellStyle name="40% - 强调文字颜色 1 2 2 2 4 3" xfId="11353"/>
    <cellStyle name="60% - 强调文字颜色 1 2 4 3 2" xfId="11354"/>
    <cellStyle name="汇总 2 2 2 2 7 2 2" xfId="11355"/>
    <cellStyle name="输出 2 5 3 3 3" xfId="11356"/>
    <cellStyle name="常规 11 2 8" xfId="11357"/>
    <cellStyle name="输出 2 4 2 2 8" xfId="11358"/>
    <cellStyle name="40% - 强调文字颜色 1 2 3 2 2 3 3" xfId="11359"/>
    <cellStyle name="超链接 3 2 3 3" xfId="11360"/>
    <cellStyle name="输入 2 6 4 3" xfId="11361"/>
    <cellStyle name="输出 2 2 3 5" xfId="11362"/>
    <cellStyle name="注释 2 2 5 4 3" xfId="11363"/>
    <cellStyle name="40% - 强调文字颜色 3 2 5 3 2" xfId="11364"/>
    <cellStyle name="常规 7 3 3 2 2 2" xfId="11365"/>
    <cellStyle name="60% - 强调文字颜色 6 2 2 4 3 2 3" xfId="11366"/>
    <cellStyle name="汇总 2 5 15" xfId="11367"/>
    <cellStyle name="汇总 2 7 2 2 2 4 2" xfId="11368"/>
    <cellStyle name="常规 7 3 3 2" xfId="11369"/>
    <cellStyle name="强调文字颜色 1 2 2 4 3" xfId="11370"/>
    <cellStyle name="标题 2 2 4 3 3 3" xfId="11371"/>
    <cellStyle name="汇总 2 6 4 2 4 2 2" xfId="11372"/>
    <cellStyle name="20% - 强调文字颜色 5 2 2 2 4 2 2" xfId="11373"/>
    <cellStyle name="注释 7 3" xfId="11374"/>
    <cellStyle name="计算 3 2 2 5" xfId="11375"/>
    <cellStyle name="检查单元格 2 3 2 2 2 2 2" xfId="11376"/>
    <cellStyle name="计算 3 3 3 3" xfId="11377"/>
    <cellStyle name="常规 7 3 2 2 2 2" xfId="11378"/>
    <cellStyle name="常规 7 3 2 2" xfId="11379"/>
    <cellStyle name="常规 7 3 2" xfId="11380"/>
    <cellStyle name="输入 2 9 2 2 3" xfId="11381"/>
    <cellStyle name="常规 4 2 3 4 5" xfId="11382"/>
    <cellStyle name="输入 2 2 4 2" xfId="11383"/>
    <cellStyle name="计算 2 2 4 2 2 3 3 2" xfId="11384"/>
    <cellStyle name="常规 7 2 2 2 3 3 2 2" xfId="11385"/>
    <cellStyle name="常规 5 3 4 4 3" xfId="11386"/>
    <cellStyle name="常规 7 2 2 2" xfId="11387"/>
    <cellStyle name="计算 2 5 6" xfId="11388"/>
    <cellStyle name="适中 4 3 3" xfId="11389"/>
    <cellStyle name="链接单元格 4 3" xfId="11390"/>
    <cellStyle name="20% - 强调文字颜色 5 2 3 5 2 2 2" xfId="11391"/>
    <cellStyle name="常规 7 2 2" xfId="11392"/>
    <cellStyle name="常规 7" xfId="11393"/>
    <cellStyle name="常规 6 9" xfId="11394"/>
    <cellStyle name="标题 4 3 2 4 3" xfId="11395"/>
    <cellStyle name="常规 4 2 2 7" xfId="11396"/>
    <cellStyle name="40% - 强调文字颜色 1 2 3 2 2 5 2" xfId="11397"/>
    <cellStyle name="超链接 3 2 5 2" xfId="11398"/>
    <cellStyle name="输入 2 6 6 2" xfId="11399"/>
    <cellStyle name="输出 2 2 5 4" xfId="11400"/>
    <cellStyle name="强调文字颜色 1 2 2 5 3 2 2" xfId="11401"/>
    <cellStyle name="检查单元格 2 2 4 4 2 2" xfId="11402"/>
    <cellStyle name="汇总 2 12 2 3" xfId="11403"/>
    <cellStyle name="汇总 2 2 4 2 3 2" xfId="11404"/>
    <cellStyle name="60% - 强调文字颜色 6 2 2 2 4" xfId="11405"/>
    <cellStyle name="好 2 2 3 9" xfId="11406"/>
    <cellStyle name="注释 2 2 3 5 7" xfId="11407"/>
    <cellStyle name="检查单元格 3 2 5" xfId="11408"/>
    <cellStyle name="强调文字颜色 3 3 2 3" xfId="11409"/>
    <cellStyle name="输出 2 2 2 2 2 2 3" xfId="11410"/>
    <cellStyle name="输入 2 2 3 3 5 2 2" xfId="11411"/>
    <cellStyle name="计算 2 2 2 9 2 2" xfId="11412"/>
    <cellStyle name="输入 2 2 5 3 6" xfId="11413"/>
    <cellStyle name="计算 2 6 2 2 6 2 2" xfId="11414"/>
    <cellStyle name="40% - 强调文字颜色 2 2 2 7 2" xfId="11415"/>
    <cellStyle name="常规 6 7 3 2" xfId="11416"/>
    <cellStyle name="注释 2 2 3 2 2 2 7" xfId="11417"/>
    <cellStyle name="输出 2 2 5 2 3 2" xfId="11418"/>
    <cellStyle name="常规 5 2 4 3 3 2 2" xfId="11419"/>
    <cellStyle name="常规 7 2 2 3 2 2 2 2" xfId="11420"/>
    <cellStyle name="常规 6 4 4 3" xfId="11421"/>
    <cellStyle name="40% - 强调文字颜色 3 2 3 4 3" xfId="11422"/>
    <cellStyle name="输入 2 15 2" xfId="11423"/>
    <cellStyle name="注释 2 2 3 5 4" xfId="11424"/>
    <cellStyle name="输入 2 7 2 2 3 2 2" xfId="11425"/>
    <cellStyle name="计算 3 2 4 3" xfId="11426"/>
    <cellStyle name="20% - 强调文字颜色 4 2 2 2 5" xfId="11427"/>
    <cellStyle name="汇总 2 2 3 8 3" xfId="11428"/>
    <cellStyle name="计算 2 2 6 2 2 3 2 2" xfId="11429"/>
    <cellStyle name="汇总 2 5 2 2 2 2 2 2" xfId="11430"/>
    <cellStyle name="40% - 强调文字颜色 1 2 2 2 3 4" xfId="11431"/>
    <cellStyle name="40% - 强调文字颜色 2 2 3 2 3 2" xfId="11432"/>
    <cellStyle name="汇总 2 5 4" xfId="11433"/>
    <cellStyle name="检查单元格 2 3 2 3 3 3" xfId="11434"/>
    <cellStyle name="汇总 4 2 5" xfId="11435"/>
    <cellStyle name="适中 2 2 2 2 2" xfId="11436"/>
    <cellStyle name="汇总 2 2 4 3 2 2 4 3" xfId="11437"/>
    <cellStyle name="标题 2 5 2 3" xfId="11438"/>
    <cellStyle name="汇总 2 6 9 3" xfId="11439"/>
    <cellStyle name="常规 24" xfId="11440"/>
    <cellStyle name="常规 19" xfId="11441"/>
    <cellStyle name="常规 11 3 2 3" xfId="11442"/>
    <cellStyle name="标题 5 3 2 3 3 3" xfId="11443"/>
    <cellStyle name="常规 5 6 3 2 2" xfId="11444"/>
    <cellStyle name="强调文字颜色 2 2 2 3 4 4" xfId="11445"/>
    <cellStyle name="汇总 2 2 4 2 4 2 2 3" xfId="11446"/>
    <cellStyle name="60% - 强调文字颜色 6 2 2 3 4 2 3" xfId="11447"/>
    <cellStyle name="常规 6 4 3" xfId="11448"/>
    <cellStyle name="常规 4 2 2 2 3" xfId="11449"/>
    <cellStyle name="注释 2 2 3 2 9" xfId="11450"/>
    <cellStyle name="40% - 强调文字颜色 5 2 7 3" xfId="11451"/>
    <cellStyle name="标题 5 3 2 2 2 3" xfId="11452"/>
    <cellStyle name="60% - 强调文字颜色 5 3 5 2 2 2" xfId="11453"/>
    <cellStyle name="40% - 强调文字颜色 1 2 5 3 2" xfId="11454"/>
    <cellStyle name="解释性文本 2 3 2 2 2 2" xfId="11455"/>
    <cellStyle name="输出 2 2 8 2 4" xfId="11456"/>
    <cellStyle name="输出 2 2 4 3 5 2" xfId="11457"/>
    <cellStyle name="汇总 2 2 5 3 3 3 3" xfId="11458"/>
    <cellStyle name="输出 2 2 4 3 5" xfId="11459"/>
    <cellStyle name="常规 6 3 3 3 2" xfId="11460"/>
    <cellStyle name="常规 6 3 3 3" xfId="11461"/>
    <cellStyle name="常规 11 2 2 4" xfId="11462"/>
    <cellStyle name="20% - 强调文字颜色 2 2 2 4 3" xfId="11463"/>
    <cellStyle name="计算 2 2 2 4 2 3 2 2" xfId="11464"/>
    <cellStyle name="常规 6 3 3 2 3 2" xfId="11465"/>
    <cellStyle name="输出 2 2 7 2 4" xfId="11466"/>
    <cellStyle name="输出 2 2 4 2 5 2" xfId="11467"/>
    <cellStyle name="20% - 强调文字颜色 5 2 4 3 3" xfId="11468"/>
    <cellStyle name="警告文本 2 3 4 2" xfId="11469"/>
    <cellStyle name="输出 2 2 2 2 3 6" xfId="11470"/>
    <cellStyle name="汇总 5 2 3 3" xfId="11471"/>
    <cellStyle name="输出 3 2 2 6 2 2" xfId="11472"/>
    <cellStyle name="强调文字颜色 2 2 5 2 2" xfId="11473"/>
    <cellStyle name="60% - 强调文字颜色 1 2 3 4 3" xfId="11474"/>
    <cellStyle name="计算 2 2 6 2 2 2 4 2" xfId="11475"/>
    <cellStyle name="20% - 强调文字颜色 4 3 2" xfId="11476"/>
    <cellStyle name="输出 2 2 3 5 5" xfId="11477"/>
    <cellStyle name="常规 3 3 2 2 3 2" xfId="11478"/>
    <cellStyle name="60% - 强调文字颜色 6 2 3 2 4 2 3" xfId="11479"/>
    <cellStyle name="注释 3 2 2 4 2" xfId="11480"/>
    <cellStyle name="汇总 2 2 6 6" xfId="11481"/>
    <cellStyle name="常规 6 3 2 4 2 2 2" xfId="11482"/>
    <cellStyle name="输出 2 2 3 4 5 2 2" xfId="11483"/>
    <cellStyle name="超链接 2 2 3 4 2 2" xfId="11484"/>
    <cellStyle name="60% - 强调文字颜色 4 3 3 2 2 2 2" xfId="11485"/>
    <cellStyle name="常规 2 7 2" xfId="11486"/>
    <cellStyle name="输出 2 8 4" xfId="11487"/>
    <cellStyle name="常规 6 3 2 4 2 2" xfId="11488"/>
    <cellStyle name="计算 2 4 2 2 2 7" xfId="11489"/>
    <cellStyle name="输入 2 2 3 8" xfId="11490"/>
    <cellStyle name="20% - 强调文字颜色 2 2 2 2 2 4 2 2" xfId="11491"/>
    <cellStyle name="强调文字颜色 4 2 4 4" xfId="11492"/>
    <cellStyle name="输入 2 2 5 2 2 3 2" xfId="11493"/>
    <cellStyle name="适中 2 3 3 7" xfId="11494"/>
    <cellStyle name="汇总 2 2 10 7" xfId="11495"/>
    <cellStyle name="20% - 强调文字颜色 1 2 4 6" xfId="11496"/>
    <cellStyle name="60% - 强调文字颜色 3 2 2 3 5 2" xfId="11497"/>
    <cellStyle name="计算 2 2 4 8 2" xfId="11498"/>
    <cellStyle name="输出 2 2 3 11" xfId="11499"/>
    <cellStyle name="40% - 强调文字颜色 2 2 3 3 4" xfId="11500"/>
    <cellStyle name="注释 2 4 5 5" xfId="11501"/>
    <cellStyle name="汇总 2 3 9 2 2" xfId="11502"/>
    <cellStyle name="常规 2 2 8" xfId="11503"/>
    <cellStyle name="计算 2 5 2 2 2 2 6" xfId="11504"/>
    <cellStyle name="汇总 2 2 3 3 5 2 2" xfId="11505"/>
    <cellStyle name="常规 6 3 2 4" xfId="11506"/>
    <cellStyle name="常规 6 3 2 3 2 2 2" xfId="11507"/>
    <cellStyle name="输出 2 2 3 3 5 2 2" xfId="11508"/>
    <cellStyle name="注释 2 2 3 2 4 4" xfId="11509"/>
    <cellStyle name="适中 2 2" xfId="11510"/>
    <cellStyle name="60% - 强调文字颜色 4 3 2 5" xfId="11511"/>
    <cellStyle name="汇总 2 2 4 4 2 5 2" xfId="11512"/>
    <cellStyle name="差 2 4 7" xfId="11513"/>
    <cellStyle name="常规 5 2 3 3 5" xfId="11514"/>
    <cellStyle name="计算 2 2 4 3 2 3 2 2" xfId="11515"/>
    <cellStyle name="60% - 强调文字颜色 1 4 2 4 2" xfId="11516"/>
    <cellStyle name="输出 2 2 3 5 2 3" xfId="11517"/>
    <cellStyle name="强调文字颜色 6 2 3 3 2 2" xfId="11518"/>
    <cellStyle name="适中 2 3 2 6 3" xfId="11519"/>
    <cellStyle name="计算 2 2 4 2 2 2 2 2 3" xfId="11520"/>
    <cellStyle name="常规 5 2 2 4 2 4 2" xfId="11521"/>
    <cellStyle name="20% - 强调文字颜色 3 2 7 2 2" xfId="11522"/>
    <cellStyle name="注释 2 3 4 6" xfId="11523"/>
    <cellStyle name="常规 6 2 3 4 2 2 2" xfId="11524"/>
    <cellStyle name="40% - 强调文字颜色 2 2 2 2 5" xfId="11525"/>
    <cellStyle name="标题 1 2 2 2 5 2 2 3" xfId="11526"/>
    <cellStyle name="40% - 强调文字颜色 2 3 3 2 2" xfId="11527"/>
    <cellStyle name="汇总 2 4 2 2 2 2 3" xfId="11528"/>
    <cellStyle name="输入 2 7 4 2 3" xfId="11529"/>
    <cellStyle name="超链接 3 3 3 2 3" xfId="11530"/>
    <cellStyle name="计算 2 9 2 3 2" xfId="11531"/>
    <cellStyle name="汇总 2 4 3 2 5" xfId="11532"/>
    <cellStyle name="适中 2 4 9" xfId="11533"/>
    <cellStyle name="强调文字颜色 1 2 2 2 2 2 3" xfId="11534"/>
    <cellStyle name="常规 5 2 8" xfId="11535"/>
    <cellStyle name="计算 2 5 2 2 2 2 4 2 2" xfId="11536"/>
    <cellStyle name="差 5 3" xfId="11537"/>
    <cellStyle name="输出 5 2 2 2 2" xfId="11538"/>
    <cellStyle name="常规 6 3 2 2 2 2" xfId="11539"/>
    <cellStyle name="输出 2 2 4 2 2 4 2" xfId="11540"/>
    <cellStyle name="60% - 强调文字颜色 6 2 2 3 4 3" xfId="11541"/>
    <cellStyle name="计算 2 2 4 5 2 6" xfId="11542"/>
    <cellStyle name="汇总 2 2 4 2 4 2 3" xfId="11543"/>
    <cellStyle name="适中 2 3 2 2 3 2" xfId="11544"/>
    <cellStyle name="汇总 2 2 2 4" xfId="11545"/>
    <cellStyle name="40% - 强调文字颜色 5 2 2 4 2 2" xfId="11546"/>
    <cellStyle name="注释 2 2 5 7 2" xfId="11547"/>
    <cellStyle name="好 2 3 2 4 2 2" xfId="11548"/>
    <cellStyle name="计算 2 2 3 6" xfId="11549"/>
    <cellStyle name="输入 2 2 3 4 2" xfId="11550"/>
    <cellStyle name="60% - 强调文字颜色 4 2 2 2 4 2 2 2" xfId="11551"/>
    <cellStyle name="60% - 强调文字颜色 3 2 2 2 3" xfId="11552"/>
    <cellStyle name="解释性文本 2 2 3 10" xfId="11553"/>
    <cellStyle name="常规 2 4 3 3" xfId="11554"/>
    <cellStyle name="输出 2 5 5 3" xfId="11555"/>
    <cellStyle name="计算 2 2 9 7" xfId="11556"/>
    <cellStyle name="汇总 2 2 12" xfId="11557"/>
    <cellStyle name="20% - 强调文字颜色 3 2 2 2 4 3" xfId="11558"/>
    <cellStyle name="适中 2 3 5" xfId="11559"/>
    <cellStyle name="警告文本 2 3 2 3 2 3" xfId="11560"/>
    <cellStyle name="输出 2 4 2 2 2 6" xfId="11561"/>
    <cellStyle name="解释性文本 2 2 3 6 3" xfId="11562"/>
    <cellStyle name="常规 4 3 2 2 2 2" xfId="11563"/>
    <cellStyle name="计算 2 3 3 2 7" xfId="11564"/>
    <cellStyle name="60% - 强调文字颜色 6 3 4 2 2" xfId="11565"/>
    <cellStyle name="输入 2 3 2 2 3 3" xfId="11566"/>
    <cellStyle name="强调文字颜色 1 2 3" xfId="11567"/>
    <cellStyle name="40% - 强调文字颜色 4 2 4 6" xfId="11568"/>
    <cellStyle name="输出 2 5 4" xfId="11569"/>
    <cellStyle name="60% - 强调文字颜色 5 2 3 3 2 2 2 2 2" xfId="11570"/>
    <cellStyle name="常规 2 4 2" xfId="11571"/>
    <cellStyle name="40% - 强调文字颜色 3 2 3 2 4 3" xfId="11572"/>
    <cellStyle name="标题 4 2 2 7 3" xfId="11573"/>
    <cellStyle name="标题 3 2 2 3 4 2 2" xfId="11574"/>
    <cellStyle name="注释 2 2 2 2 2 2 2 2 2" xfId="11575"/>
    <cellStyle name="输入 2 4 3 2 5" xfId="11576"/>
    <cellStyle name="常规 5 3 2 2 2 2" xfId="11577"/>
    <cellStyle name="60% - 强调文字颜色 1 2 3 8" xfId="11578"/>
    <cellStyle name="适中 2 5 3 2" xfId="11579"/>
    <cellStyle name="链接单元格 2 4 2 2 3" xfId="11580"/>
    <cellStyle name="20% - 强调文字颜色 1 2 2 4 2" xfId="11581"/>
    <cellStyle name="计算 2 3 2 3 5 2" xfId="11582"/>
    <cellStyle name="60% - 强调文字颜色 3 2 2 5 3" xfId="11583"/>
    <cellStyle name="输入 2 2 3 7 2" xfId="11584"/>
    <cellStyle name="强调文字颜色 4 2 4 3 2" xfId="11585"/>
    <cellStyle name="标题 3 2 4" xfId="11586"/>
    <cellStyle name="计算 2 2 6 6" xfId="11587"/>
    <cellStyle name="60% - 强调文字颜色 4 3 2 2 2 2 2" xfId="11588"/>
    <cellStyle name="差 2 4 4 2 2 2" xfId="11589"/>
    <cellStyle name="60% - 强调文字颜色 6 2 4 3 2" xfId="11590"/>
    <cellStyle name="汇总 2 8 3 2 2 3" xfId="11591"/>
    <cellStyle name="40% - 强调文字颜色 3 2 2 3 3 3" xfId="11592"/>
    <cellStyle name="汇总 2 2 5 3 7 2" xfId="11593"/>
    <cellStyle name="计算 2 5 2 2 2 2 2 3" xfId="11594"/>
    <cellStyle name="汇总 2 4 9 2" xfId="11595"/>
    <cellStyle name="常规 6 2 5 2 2 2" xfId="11596"/>
    <cellStyle name="标题 4 2 3 5 2 3" xfId="11597"/>
    <cellStyle name="输入 2 5 4 7" xfId="11598"/>
    <cellStyle name="解释性文本 2 5 2" xfId="11599"/>
    <cellStyle name="强调文字颜色 2 2 3 2 4 3 2" xfId="11600"/>
    <cellStyle name="计算 2 2 3 2 2 3 3 2" xfId="11601"/>
    <cellStyle name="强调文字颜色 1 2 2 3 3 3 2" xfId="11602"/>
    <cellStyle name="60% - 强调文字颜色 2 2 2 8 2" xfId="11603"/>
    <cellStyle name="60% - 强调文字颜色 3 2 2 3 3 3" xfId="11604"/>
    <cellStyle name="20% - 强调文字颜色 1 2 2 7" xfId="11605"/>
    <cellStyle name="计算 2 2 4 6 3" xfId="11606"/>
    <cellStyle name="好 2 2 7" xfId="11607"/>
    <cellStyle name="输入 2 2 9 3 2 2" xfId="11608"/>
    <cellStyle name="计算 2 8 2 6 2" xfId="11609"/>
    <cellStyle name="60% - 强调文字颜色 4 3 5 2 2 2" xfId="11610"/>
    <cellStyle name="常规 2 2 3 3 2 2" xfId="11611"/>
    <cellStyle name="常规 6 2 3 4" xfId="11612"/>
    <cellStyle name="注释 2 4 2 3 5" xfId="11613"/>
    <cellStyle name="常规 12 6 2 2" xfId="11614"/>
    <cellStyle name="标题 4 2 3 2 7" xfId="11615"/>
    <cellStyle name="输入 2 2 3 2 5 3" xfId="11616"/>
    <cellStyle name="好 2 3 2 5 2" xfId="11617"/>
    <cellStyle name="常规 5 2 2 4 2 4" xfId="11618"/>
    <cellStyle name="20% - 强调文字颜色 3 2 7 2" xfId="11619"/>
    <cellStyle name="计算 2 5 9 3" xfId="11620"/>
    <cellStyle name="常规 6 2 3 4 2 2" xfId="11621"/>
    <cellStyle name="输出 2 4 2 5 2 2" xfId="11622"/>
    <cellStyle name="适中 2 2 2 3 7" xfId="11623"/>
    <cellStyle name="计算 2 2 2 3 6 2 2" xfId="11624"/>
    <cellStyle name="输入 3 2 2 4" xfId="11625"/>
    <cellStyle name="常规 5 2 2 3 5 2" xfId="11626"/>
    <cellStyle name="计算 2 2 4 3 2 2 2 2 2" xfId="11627"/>
    <cellStyle name="强调文字颜色 4 2 2 4 5 2" xfId="11628"/>
    <cellStyle name="汇总 2 2 5 13" xfId="11629"/>
    <cellStyle name="输出 2 6 3 7" xfId="11630"/>
    <cellStyle name="常规 4 3 2 6" xfId="11631"/>
    <cellStyle name="标题 4 3 3 4 2" xfId="11632"/>
    <cellStyle name="常规 3 7 2 2 2" xfId="11633"/>
    <cellStyle name="链接单元格 5" xfId="11634"/>
    <cellStyle name="常规 4 6 3 3 2 2" xfId="11635"/>
    <cellStyle name="计算 2 2 8 5 3" xfId="11636"/>
    <cellStyle name="标题 3 4 3 3" xfId="11637"/>
    <cellStyle name="超链接 3 3 7 3" xfId="11638"/>
    <cellStyle name="输入 2 7 8 3" xfId="11639"/>
    <cellStyle name="60% - 强调文字颜色 6 4 2 2 2 3" xfId="11640"/>
    <cellStyle name="输出 2 3 3 3 2 2" xfId="11641"/>
    <cellStyle name="40% - 强调文字颜色 2 2 2 2 2 4 3 2 2" xfId="11642"/>
    <cellStyle name="计算 5 5 2" xfId="11643"/>
    <cellStyle name="计算 2 5 2 5 6" xfId="11644"/>
    <cellStyle name="常规 8 3 4 3 2" xfId="11645"/>
    <cellStyle name="20% - 强调文字颜色 1 2 2 2 6 2 2 2" xfId="11646"/>
    <cellStyle name="好 2 2 4 4 3" xfId="11647"/>
    <cellStyle name="计算 2 4 4 5 3" xfId="11648"/>
    <cellStyle name="汇总 2 5 2 2 2 2 3 3" xfId="11649"/>
    <cellStyle name="20% - 强调文字颜色 5 2 3" xfId="11650"/>
    <cellStyle name="60% - 强调文字颜色 5 2 3 2 2 2 2 2 2" xfId="11651"/>
    <cellStyle name="40% - 强调文字颜色 2 2 3 2 4 3" xfId="11652"/>
    <cellStyle name="汇总 2 6 5" xfId="11653"/>
    <cellStyle name="60% - 强调文字颜色 4 2 2 2 2 4 2 2 2" xfId="11654"/>
    <cellStyle name="计算 2 5 3 2 2 4 3" xfId="11655"/>
    <cellStyle name="强调文字颜色 5 2 3 2 5 3" xfId="11656"/>
    <cellStyle name="汇总 2 5 5 5 2" xfId="11657"/>
    <cellStyle name="解释性文本 2 2 3 3 4" xfId="11658"/>
    <cellStyle name="计算 2 5 2 6 3 2 2" xfId="11659"/>
    <cellStyle name="汇总 3 3 4 2 2" xfId="11660"/>
    <cellStyle name="常规 4 14" xfId="11661"/>
    <cellStyle name="常规 5 2 3 3 2 5" xfId="11662"/>
    <cellStyle name="输出 2 2 3 3 6 2" xfId="11663"/>
    <cellStyle name="计算 2 3 4 2 4" xfId="11664"/>
    <cellStyle name="强调文字颜色 6 2 3 2 3 3" xfId="11665"/>
    <cellStyle name="20% - 强调文字颜色 6 3 3 2 2 2" xfId="11666"/>
    <cellStyle name="60% - 强调文字颜色 3 2 2 2 3 2 2 2 2 2" xfId="11667"/>
    <cellStyle name="汇总 2 5 2 2 2 5 3" xfId="11668"/>
    <cellStyle name="链接单元格 2 3 4 3" xfId="11669"/>
    <cellStyle name="40% - 强调文字颜色 4 2 2 2 2 3" xfId="11670"/>
    <cellStyle name="20% - 强调文字颜色 1 2 2 2 2 2 4 2" xfId="11671"/>
    <cellStyle name="解释性文本 3 8" xfId="11672"/>
    <cellStyle name="超链接 3 2 3 3 2 2" xfId="11673"/>
    <cellStyle name="输入 2 6 4 3 2 2" xfId="11674"/>
    <cellStyle name="适中 2 2 2 4" xfId="11675"/>
    <cellStyle name="强调文字颜色 4 2 2 2 3 3 2" xfId="11676"/>
    <cellStyle name="注释 2 4 5 2 2" xfId="11677"/>
    <cellStyle name="链接单元格 2 2 2 5 2 3" xfId="11678"/>
    <cellStyle name="强调文字颜色 1 2 2 3 4 2 2 2" xfId="11679"/>
    <cellStyle name="计算 2 9 3 5" xfId="11680"/>
    <cellStyle name="汇总 2 2 9 3 4" xfId="11681"/>
    <cellStyle name="解释性文本 2 14" xfId="11682"/>
    <cellStyle name="常规 6 2 2 2 2 2 2 2 2" xfId="11683"/>
    <cellStyle name="40% - 强调文字颜色 2 3 2 3 2" xfId="11684"/>
    <cellStyle name="解释性文本 2 2" xfId="11685"/>
    <cellStyle name="计算 2 7 9 2 2" xfId="11686"/>
    <cellStyle name="输入 2 7 3 3 3" xfId="11687"/>
    <cellStyle name="超链接 3 3 2 3 3" xfId="11688"/>
    <cellStyle name="汇总 2 4 2 3 5" xfId="11689"/>
    <cellStyle name="注释 3 3 5 3" xfId="11690"/>
    <cellStyle name="汇总 2 4 4 2 4 2" xfId="11691"/>
    <cellStyle name="60% - 强调文字颜色 5 3 3 3 2 2" xfId="11692"/>
    <cellStyle name="常规 6 2 2 2 2 2" xfId="11693"/>
    <cellStyle name="注释 2 3 2 5 2" xfId="11694"/>
    <cellStyle name="差 2" xfId="11695"/>
    <cellStyle name="常规 6 3 2 2 5" xfId="11696"/>
    <cellStyle name="强调文字颜色 3 2 3 5 2 2 2" xfId="11697"/>
    <cellStyle name="计算 2 2 6 6 3" xfId="11698"/>
    <cellStyle name="强调文字颜色 4 2 4 3 2 3" xfId="11699"/>
    <cellStyle name="标题 3 2 4 3" xfId="11700"/>
    <cellStyle name="汇总 2 7 2 7 2" xfId="11701"/>
    <cellStyle name="常规 6" xfId="11702"/>
    <cellStyle name="20% - 强调文字颜色 3 2 2 5 3 2 2" xfId="11703"/>
    <cellStyle name="常规 13 2 2 2 2 3 3" xfId="11704"/>
    <cellStyle name="常规 5 7 2" xfId="11705"/>
    <cellStyle name="常规 5 6 3" xfId="11706"/>
    <cellStyle name="好 4 2 3 2 2" xfId="11707"/>
    <cellStyle name="20% - 强调文字颜色 6 2 7 2" xfId="11708"/>
    <cellStyle name="常规 12 3 2 2" xfId="11709"/>
    <cellStyle name="强调文字颜色 6 2 2 2 2 5 2" xfId="11710"/>
    <cellStyle name="汇总 2 6 2 2 2 6" xfId="11711"/>
    <cellStyle name="40% - 强调文字颜色 4 2 7 3 2 2" xfId="11712"/>
    <cellStyle name="输入 2 5 2 2 2" xfId="11713"/>
    <cellStyle name="强调文字颜色 3 2 3 2 5 2 2" xfId="11714"/>
    <cellStyle name="常规 5 6 2 3 2 2" xfId="11715"/>
    <cellStyle name="常规 5 6 2 3" xfId="11716"/>
    <cellStyle name="好 2 3 3 2 2 2 2" xfId="11717"/>
    <cellStyle name="40% - 强调文字颜色 4 2 2 2 2 4 2" xfId="11718"/>
    <cellStyle name="20% - 强调文字颜色 1 2 2 2 2 2 4 3 2" xfId="11719"/>
    <cellStyle name="40% - 强调文字颜色 2 2 2 3 3 2 2 2" xfId="11720"/>
    <cellStyle name="链接单元格 2 2 2 2 2 2 2" xfId="11721"/>
    <cellStyle name="输入 2 7 2 2 2 3" xfId="11722"/>
    <cellStyle name="20% - 强调文字颜色 6 2 2 2" xfId="11723"/>
    <cellStyle name="链接单元格 2 3 2 3 2 2" xfId="11724"/>
    <cellStyle name="常规 5 2 6 4" xfId="11725"/>
    <cellStyle name="强调文字颜色 6 2 3 4 2 2 2" xfId="11726"/>
    <cellStyle name="强调文字颜色 2 2 6 3" xfId="11727"/>
    <cellStyle name="20% - 强调文字颜色 5 4" xfId="11728"/>
    <cellStyle name="汇总 2 5 2 2 2 2 5" xfId="11729"/>
    <cellStyle name="输入 2 2 4 4 7" xfId="11730"/>
    <cellStyle name="汇总 2 8 2 2 2 2" xfId="11731"/>
    <cellStyle name="40% - 强调文字颜色 6 2 3 2 4 2 2" xfId="11732"/>
    <cellStyle name="20% - 强调文字颜色 3 2 2 2 2 4" xfId="11733"/>
    <cellStyle name="计算 2 5 2 2 10" xfId="11734"/>
    <cellStyle name="20% - 强调文字颜色 4 2 3 2 2 2" xfId="11735"/>
    <cellStyle name="好 5 2 2 3" xfId="11736"/>
    <cellStyle name="60% - 强调文字颜色 6 2 2 4 2 4" xfId="11737"/>
    <cellStyle name="输入 2 5 3 2 3 3" xfId="11738"/>
    <cellStyle name="20% - 强调文字颜色 4 2 2 2 2 2 5 2" xfId="11739"/>
    <cellStyle name="汇总 2 2 2 2 5 3" xfId="11740"/>
    <cellStyle name="输入 2 5 2 8" xfId="11741"/>
    <cellStyle name="输入 2 7 6 2" xfId="11742"/>
    <cellStyle name="超链接 3 3 5 2" xfId="11743"/>
    <cellStyle name="汇总 2 2 10 6" xfId="11744"/>
    <cellStyle name="适中 2 3 3 6" xfId="11745"/>
    <cellStyle name="检查单元格 2 3 3 2 2" xfId="11746"/>
    <cellStyle name="注释 2 8 2 3 2" xfId="11747"/>
    <cellStyle name="40% - 强调文字颜色 5 2 3 2 4" xfId="11748"/>
    <cellStyle name="强调文字颜色 1 2 3 3" xfId="11749"/>
    <cellStyle name="强调文字颜色 5 2 4 4 4" xfId="11750"/>
    <cellStyle name="60% - 强调文字颜色 6 2 2 3 6" xfId="11751"/>
    <cellStyle name="汇总 2 2 4 2 4 4" xfId="11752"/>
    <cellStyle name="20% - 强调文字颜色 1 2 2 2 2 2 2 2" xfId="11753"/>
    <cellStyle name="输入 2 2 4 4 2 6" xfId="11754"/>
    <cellStyle name="40% - 强调文字颜色 2 2 2 2 2 2 4 3 2" xfId="11755"/>
    <cellStyle name="20% - 强调文字颜色 3 2 3 5 2 2" xfId="11756"/>
    <cellStyle name="计算 2 2 11 4" xfId="11757"/>
    <cellStyle name="常规 6 2 3 4 2" xfId="11758"/>
    <cellStyle name="40% - 强调文字颜色 4 2 2 4 2" xfId="11759"/>
    <cellStyle name="注释 3 2 2 5 3" xfId="11760"/>
    <cellStyle name="40% - 强调文字颜色 5 2 2 2 2 3 2 2" xfId="11761"/>
    <cellStyle name="百分比 2 2 3 2 2 2 2" xfId="11762"/>
    <cellStyle name="40% - 强调文字颜色 3 2 3 6 2 2 2" xfId="11763"/>
    <cellStyle name="20% - 强调文字颜色 3 2 2 2 2 2 4 3 2" xfId="11764"/>
    <cellStyle name="强调文字颜色 5 2 6 3 2" xfId="11765"/>
    <cellStyle name="差 6" xfId="11766"/>
    <cellStyle name="适中 2 8" xfId="11767"/>
    <cellStyle name="60% - 强调文字颜色 4 2 4 2 2 2 2 2" xfId="11768"/>
    <cellStyle name="计算 2 6 3 4 2" xfId="11769"/>
    <cellStyle name="汇总 2 5 2 6" xfId="11770"/>
    <cellStyle name="60% - 强调文字颜色 1 2 2 4 2 3 2" xfId="11771"/>
    <cellStyle name="常规 7 2 2 2 4" xfId="11772"/>
    <cellStyle name="20% - 强调文字颜色 3 2 4 3" xfId="11773"/>
    <cellStyle name="60% - 强调文字颜色 4 2 4 6" xfId="11774"/>
    <cellStyle name="常规 10 2 2 6 2" xfId="11775"/>
    <cellStyle name="汇总 2 10 4 3" xfId="11776"/>
    <cellStyle name="注释 2 4 2 3 2" xfId="11777"/>
    <cellStyle name="输入 2 2 7 8" xfId="11778"/>
    <cellStyle name="计算 2 4 2 2 2 4 2 2" xfId="11779"/>
    <cellStyle name="强调文字颜色 2 2 4 5 3" xfId="11780"/>
    <cellStyle name="计算 2 2 3 3 5 2" xfId="11781"/>
    <cellStyle name="60% - 强调文字颜色 1 3 2 2" xfId="11782"/>
    <cellStyle name="常规 3 7 5" xfId="11783"/>
    <cellStyle name="计算 2 2 7 3 4 2 2" xfId="11784"/>
    <cellStyle name="超链接 2 2 4 2 4" xfId="11785"/>
    <cellStyle name="好 2 6 2" xfId="11786"/>
    <cellStyle name="强调文字颜色 3 2 3 3 2 3" xfId="11787"/>
    <cellStyle name="汇总 3 4 2" xfId="11788"/>
    <cellStyle name="常规 8 2 2 3" xfId="11789"/>
    <cellStyle name="计算 2 2 4 3 2 2 4 2 2" xfId="11790"/>
    <cellStyle name="好 2 2 3 5 2" xfId="11791"/>
    <cellStyle name="40% - 强调文字颜色 1 2 2 4" xfId="11792"/>
    <cellStyle name="60% - 强调文字颜色 5 2 2 3 3" xfId="11793"/>
    <cellStyle name="注释 2 2 6 3 5" xfId="11794"/>
    <cellStyle name="输出 2 3 2 7" xfId="11795"/>
    <cellStyle name="解释性文本 2 2 3 5" xfId="11796"/>
    <cellStyle name="60% - 强调文字颜色 5 3 2 2 4 2" xfId="11797"/>
    <cellStyle name="超链接 2 2 2 2 4 2" xfId="11798"/>
    <cellStyle name="20% - 强调文字颜色 3 2 5 2 2 2" xfId="11799"/>
    <cellStyle name="超链接 2 2 4 2 3" xfId="11800"/>
    <cellStyle name="20% - 强调文字颜色 5 2 3 6 2 2" xfId="11801"/>
    <cellStyle name="60% - 强调文字颜色 6 4 5 2" xfId="11802"/>
    <cellStyle name="标题 4 2 5 2 2 3" xfId="11803"/>
    <cellStyle name="40% - 强调文字颜色 5 2 2 3 2 2 2" xfId="11804"/>
    <cellStyle name="适中 2 2 4 3 3" xfId="11805"/>
    <cellStyle name="好 2 3 2 3 2 2 2" xfId="11806"/>
    <cellStyle name="强调文字颜色 6 2 5 3" xfId="11807"/>
    <cellStyle name="常规 9 3 2 3 2" xfId="11808"/>
    <cellStyle name="警告文本 2 2 2 2 4 2 2" xfId="11809"/>
    <cellStyle name="40% - 强调文字颜色 1 4 2 3 2" xfId="11810"/>
    <cellStyle name="常规 5 3 3 2 3" xfId="11811"/>
    <cellStyle name="40% - 强调文字颜色 3 2 3 2 5" xfId="11812"/>
    <cellStyle name="汇总 2 2 3 2 2 9" xfId="11813"/>
    <cellStyle name="汇总 2 6 3 3 2 2 2" xfId="11814"/>
    <cellStyle name="注释 2 2 3 3 6" xfId="11815"/>
    <cellStyle name="常规 5 5 2 2 3 2 2" xfId="11816"/>
    <cellStyle name="输出 3 10" xfId="11817"/>
    <cellStyle name="注释 2 3 3 2 5" xfId="11818"/>
    <cellStyle name="计算 2 2 7 3 2 2 3" xfId="11819"/>
    <cellStyle name="强调文字颜色 3 2 2 2 4 3 2 2" xfId="11820"/>
    <cellStyle name="汇总 2 3 3 4 2" xfId="11821"/>
    <cellStyle name="60% - 强调文字颜色 3 4 2 2 2 2" xfId="11822"/>
    <cellStyle name="40% - 强调文字颜色 4 3 2 4 2 2" xfId="11823"/>
    <cellStyle name="输入 3 5" xfId="11824"/>
    <cellStyle name="计算 3 2 6 2 2" xfId="11825"/>
    <cellStyle name="警告文本 2 2 3 5" xfId="11826"/>
    <cellStyle name="计算 2 2 4 2 4 2 4" xfId="11827"/>
    <cellStyle name="检查单元格 2 3 2 4 2 2" xfId="11828"/>
    <cellStyle name="汇总 3 4 3" xfId="11829"/>
    <cellStyle name="计算 2 9 2 4 2 2" xfId="11830"/>
    <cellStyle name="注释 2 4 6 3" xfId="11831"/>
    <cellStyle name="计算 2 7 4 8" xfId="11832"/>
    <cellStyle name="百分比 2 2 2 2 2 2 2 3" xfId="11833"/>
    <cellStyle name="标题 5 2 4 3" xfId="11834"/>
    <cellStyle name="计算 2 2 4 4 10" xfId="11835"/>
    <cellStyle name="常规 5 3 2 2 3 2" xfId="11836"/>
    <cellStyle name="60% - 强调文字颜色 6 4 3 2 2" xfId="11837"/>
    <cellStyle name="汇总 2 2 2 2 13" xfId="11838"/>
    <cellStyle name="输入 2 2 15 2 2" xfId="11839"/>
    <cellStyle name="汇总 2 2 5 3 3 3" xfId="11840"/>
    <cellStyle name="强调文字颜色 4 2 5 3 3" xfId="11841"/>
    <cellStyle name="标题 3 2 2 2 2 5 3" xfId="11842"/>
    <cellStyle name="标题 4 2 5" xfId="11843"/>
    <cellStyle name="输入 2 2 4 7 3" xfId="11844"/>
    <cellStyle name="60% - 强调文字颜色 1 3 2 2 3 2" xfId="11845"/>
    <cellStyle name="输出 2 2 3 3 7" xfId="11846"/>
    <cellStyle name="计算 2 3 3 4 2 2" xfId="11847"/>
    <cellStyle name="强调文字颜色 3 2 5 2 3" xfId="11848"/>
    <cellStyle name="标题 4 2 2 2 2 2 3" xfId="11849"/>
    <cellStyle name="常规 11 2 2 5 2" xfId="11850"/>
    <cellStyle name="40% - 强调文字颜色 6 2 2 4 2" xfId="11851"/>
    <cellStyle name="强调文字颜色 1 2 5 2 2 2" xfId="11852"/>
    <cellStyle name="常规 4 3 6 2" xfId="11853"/>
    <cellStyle name="常规 11 3 3 5" xfId="11854"/>
    <cellStyle name="注释 2 2 4 2 2 4" xfId="11855"/>
    <cellStyle name="20% - 强调文字颜色 2 2 3" xfId="11856"/>
    <cellStyle name="汇总 2 2 7 7" xfId="11857"/>
    <cellStyle name="计算 5 2 2 2 2" xfId="11858"/>
    <cellStyle name="汇总 2 2 4 2 2 3 4 3" xfId="11859"/>
    <cellStyle name="输出 2 2 9 3 2 2" xfId="11860"/>
    <cellStyle name="汇总 2 2 5 6" xfId="11861"/>
    <cellStyle name="常规 3 3 2 2 2 2" xfId="11862"/>
    <cellStyle name="计算 2 3 2 2 4 2" xfId="11863"/>
    <cellStyle name="注释 3 2 2 3 2" xfId="11864"/>
    <cellStyle name="适中 2 3 6 2" xfId="11865"/>
    <cellStyle name="汇总 2 2 13 2" xfId="11866"/>
    <cellStyle name="注释 2 2 3 3" xfId="11867"/>
    <cellStyle name="计算 2 9 4 2" xfId="11868"/>
    <cellStyle name="强调文字颜色 1 2 3 5 2 3" xfId="11869"/>
    <cellStyle name="计算 2 2 6 10 2" xfId="11870"/>
    <cellStyle name="输入 2 7 4 6" xfId="11871"/>
    <cellStyle name="汇总 2 18 2" xfId="11872"/>
    <cellStyle name="输入 2 5 2 2 2 3 3" xfId="11873"/>
    <cellStyle name="60% - 强调文字颜色 2 2 4 4 2 2 2" xfId="11874"/>
    <cellStyle name="计算 2 5 3 2 2 5" xfId="11875"/>
    <cellStyle name="强调文字颜色 5 2 3 2 6" xfId="11876"/>
    <cellStyle name="常规 5 2 2 2 2 2 2 2" xfId="11877"/>
    <cellStyle name="常规 10 2 3 3 3 2 2" xfId="11878"/>
    <cellStyle name="强调文字颜色 5 2 2 3 4 2" xfId="11879"/>
    <cellStyle name="警告文本 2 2 2 4 3 3" xfId="11880"/>
    <cellStyle name="常规 5 3 2 2 2 3 2" xfId="11881"/>
    <cellStyle name="计算 2 2 9 2 4" xfId="11882"/>
    <cellStyle name="检查单元格 2 2 2 3 2 2" xfId="11883"/>
    <cellStyle name="20% - 强调文字颜色 1 3 2 2 3 2" xfId="11884"/>
    <cellStyle name="强调文字颜色 2 2 2 2 2 2 3 2" xfId="11885"/>
    <cellStyle name="计算 2 2 4 3 2 9" xfId="11886"/>
    <cellStyle name="汇总 2 2 4 2 2 2 6" xfId="11887"/>
    <cellStyle name="常规 5 3 2 2 4 2" xfId="11888"/>
    <cellStyle name="强调文字颜色 3 2 2 3 2 2 2" xfId="11889"/>
    <cellStyle name="输入 4 5" xfId="11890"/>
    <cellStyle name="强调文字颜色 4 2 3 4 2 2 2" xfId="11891"/>
    <cellStyle name="输入 2 2 4 2 3 2 5" xfId="11892"/>
    <cellStyle name="注释 2 7 3 2" xfId="11893"/>
    <cellStyle name="计算 2 5 2 4 2 2 3" xfId="11894"/>
    <cellStyle name="标题 2 3 4 2 2" xfId="11895"/>
    <cellStyle name="常规 11 2 2 3 4 2" xfId="11896"/>
    <cellStyle name="计算 5 2 2 2" xfId="11897"/>
    <cellStyle name="计算 2 5 2 2 6 2" xfId="11898"/>
    <cellStyle name="常规 3 2 4 3 4" xfId="11899"/>
    <cellStyle name="汇总 2 2 2 2 2 3 4 2" xfId="11900"/>
    <cellStyle name="注释 4 3 4" xfId="11901"/>
    <cellStyle name="计算 3 2 7" xfId="11902"/>
    <cellStyle name="汇总 2 4 4 3 3" xfId="11903"/>
    <cellStyle name="常规 2 5 3 2 2 2 2" xfId="11904"/>
    <cellStyle name="40% - 强调文字颜色 3 4 3 2" xfId="11905"/>
    <cellStyle name="适中 2 2 2 2 4 2 2" xfId="11906"/>
    <cellStyle name="常规 5 4 2 2 3 3" xfId="11907"/>
    <cellStyle name="标题 4 2 2 3 3 3 3" xfId="11908"/>
    <cellStyle name="差 4 4 3" xfId="11909"/>
    <cellStyle name="链接单元格 2 2 4 6" xfId="11910"/>
    <cellStyle name="计算 4 2 3 5" xfId="11911"/>
    <cellStyle name="60% - 强调文字颜色 3 4 2 2 2" xfId="11912"/>
    <cellStyle name="计算 2 2 5 4 5 2 2" xfId="11913"/>
    <cellStyle name="汇总 2 3 3 4" xfId="11914"/>
    <cellStyle name="40% - 强调文字颜色 4 3 2 4 2" xfId="11915"/>
    <cellStyle name="强调文字颜色 4 2 2 2 2 3" xfId="11916"/>
    <cellStyle name="超链接 3 2 3 2 2" xfId="11917"/>
    <cellStyle name="输入 2 6 4 2 2" xfId="11918"/>
    <cellStyle name="注释 2 4 4 2" xfId="11919"/>
    <cellStyle name="计算 2 2 8 3 4 2 2" xfId="11920"/>
    <cellStyle name="强调文字颜色 1 2 3 3 5" xfId="11921"/>
    <cellStyle name="标题 4 5 2" xfId="11922"/>
    <cellStyle name="常规 5 2 2 2 2 5" xfId="11923"/>
    <cellStyle name="常规 10 2 2 2 3 4" xfId="11924"/>
    <cellStyle name="强调文字颜色 5 2 2 5 3" xfId="11925"/>
    <cellStyle name="常规 5 2 2 6" xfId="11926"/>
    <cellStyle name="标题 4 4 2 4 2" xfId="11927"/>
    <cellStyle name="输入 2 2 5 2 3 4" xfId="11928"/>
    <cellStyle name="计算 2 2 5 9" xfId="11929"/>
    <cellStyle name="60% - 强调文字颜色 1 2 3 2 3 2 2 2" xfId="11930"/>
    <cellStyle name="汇总 2 5 3 2 6" xfId="11931"/>
    <cellStyle name="常规 9 5 2 3 2" xfId="11932"/>
    <cellStyle name="计算 2 2 3 2 2 3 4" xfId="11933"/>
    <cellStyle name="强调文字颜色 2 2 3 2 4 4" xfId="11934"/>
    <cellStyle name="强调文字颜色 1 2 2 3 3 4" xfId="11935"/>
    <cellStyle name="60% - 强调文字颜色 2 2 2 9" xfId="11936"/>
    <cellStyle name="解释性文本 2 6" xfId="11937"/>
    <cellStyle name="超链接 3 2 2 2 3 2 2" xfId="11938"/>
    <cellStyle name="标题 1 4" xfId="11939"/>
    <cellStyle name="20% - 强调文字颜色 5 2 2 3 3" xfId="11940"/>
    <cellStyle name="40% - 强调文字颜色 1 2 4 6" xfId="11941"/>
    <cellStyle name="汇总 2 3 2 2 5 2 2" xfId="11942"/>
    <cellStyle name="汇总 2 6 4 3 3" xfId="11943"/>
    <cellStyle name="20% - 强调文字颜色 2 2 3 2 3 2 2 2" xfId="11944"/>
    <cellStyle name="汇总 2 2 5 3 6 3" xfId="11945"/>
    <cellStyle name="输出 2 2 4 2 3 2" xfId="11946"/>
    <cellStyle name="常规 5 2 4 2 3 2 2" xfId="11947"/>
    <cellStyle name="常规 5 7 3" xfId="11948"/>
    <cellStyle name="输出 2 2 4 2 3" xfId="11949"/>
    <cellStyle name="常规 5 2 4 2 3 2" xfId="11950"/>
    <cellStyle name="20% - 强调文字颜色 4 2 2 4 2 2 2" xfId="11951"/>
    <cellStyle name="链接单元格 2 3 4 2" xfId="11952"/>
    <cellStyle name="计算 2 2 6 2 2 6 2" xfId="11953"/>
    <cellStyle name="汇总 2 5 2 2 2 5 2" xfId="11954"/>
    <cellStyle name="常规 5 2 3 3 2 3 2 2" xfId="11955"/>
    <cellStyle name="汇总 2 7 4 2 2 3" xfId="11956"/>
    <cellStyle name="输入 4 2 7" xfId="11957"/>
    <cellStyle name="标题 2 2 3 2 5" xfId="11958"/>
    <cellStyle name="20% - 强调文字颜色 5 2 2 2 2 2 4 3 2" xfId="11959"/>
    <cellStyle name="汇总 2 2 3 4 4 2 2" xfId="11960"/>
    <cellStyle name="汇总 2 2 4 2 2 2 4" xfId="11961"/>
    <cellStyle name="计算 2 2 4 3 2 7" xfId="11962"/>
    <cellStyle name="输入 2 2 6 3 3 2 2" xfId="11963"/>
    <cellStyle name="计算 2 5 2 7 2 2" xfId="11964"/>
    <cellStyle name="差 4 3" xfId="11965"/>
    <cellStyle name="常规 6 4 2 2 2 2" xfId="11966"/>
    <cellStyle name="40% - 强调文字颜色 2 4 2 3" xfId="11967"/>
    <cellStyle name="注释 2 2 6 5" xfId="11968"/>
    <cellStyle name="标题 1 4 2 3 3" xfId="11969"/>
    <cellStyle name="输出 2 7 6" xfId="11970"/>
    <cellStyle name="常规 2 4 5" xfId="11971"/>
    <cellStyle name="输出 2 5 7" xfId="11972"/>
    <cellStyle name="计算 2 2 6 3 9" xfId="11973"/>
    <cellStyle name="60% - 强调文字颜色 4 3 6" xfId="11974"/>
    <cellStyle name="警告文本 2 2 3 3" xfId="11975"/>
    <cellStyle name="输入 2 2 6 8 3" xfId="11976"/>
    <cellStyle name="标题 6 3 5" xfId="11977"/>
    <cellStyle name="计算 2 2 4 2 4 2 2" xfId="11978"/>
    <cellStyle name="计算 2 2 6 2 5 3" xfId="11979"/>
    <cellStyle name="汇总 2 5 2 2 5 2" xfId="11980"/>
    <cellStyle name="60% - 强调文字颜色 4 2 2 3" xfId="11981"/>
    <cellStyle name="标题 1 2 11" xfId="11982"/>
    <cellStyle name="计算 2 6 2 2 2 3 2" xfId="11983"/>
    <cellStyle name="输出 2 4 3 2 2 3" xfId="11984"/>
    <cellStyle name="适中 3 12" xfId="11985"/>
    <cellStyle name="计算 2 2 5 4 2 4 2" xfId="11986"/>
    <cellStyle name="常规 9 3 3 3 3" xfId="11987"/>
    <cellStyle name="检查单元格 4 2 4" xfId="11988"/>
    <cellStyle name="计算 2 3 14" xfId="11989"/>
    <cellStyle name="标题 4 2 2 3" xfId="11990"/>
    <cellStyle name="输入 2 8 2 2 3" xfId="11991"/>
    <cellStyle name="标题 4 2 3 6" xfId="11992"/>
    <cellStyle name="解释性文本 2 2 2 5 2 2" xfId="11993"/>
    <cellStyle name="60% - 强调文字颜色 5 3 2 2 3 2 2 2" xfId="11994"/>
    <cellStyle name="链接单元格 2 2 2 3 2" xfId="11995"/>
    <cellStyle name="40% - 强调文字颜色 2 2 2 3 4 2" xfId="11996"/>
    <cellStyle name="常规 2 2 2 2 2 2 2 2 2" xfId="11997"/>
    <cellStyle name="输入 2 2 3 2 2 3" xfId="11998"/>
    <cellStyle name="强调文字颜色 6 2 2 2 5 2 2" xfId="11999"/>
    <cellStyle name="汇总 2 4 3 2 8" xfId="12000"/>
    <cellStyle name="输入 3 2 2 4 2" xfId="12001"/>
    <cellStyle name="输入 6 2 2" xfId="12002"/>
    <cellStyle name="计算 2 4 2 2 3 2 3" xfId="12003"/>
    <cellStyle name="计算 2 4 2 2 2 2 2 2" xfId="12004"/>
    <cellStyle name="注释 5 5 2" xfId="12005"/>
    <cellStyle name="60% - 强调文字颜色 6 3 2 3 3" xfId="12006"/>
    <cellStyle name="标题 2 2 3 2 6 2" xfId="12007"/>
    <cellStyle name="输出 2 2 3 2 2 3 2 3" xfId="12008"/>
    <cellStyle name="汇总 2 2 8 4 2 2 2" xfId="12009"/>
    <cellStyle name="标题 2 2 2 3 2 2 2" xfId="12010"/>
    <cellStyle name="汇总 2 7 2 2 5 2" xfId="12011"/>
    <cellStyle name="输入 3 3 4 2 2" xfId="12012"/>
    <cellStyle name="差 2 5 2 3" xfId="12013"/>
    <cellStyle name="好 2 2 2 2 3 4" xfId="12014"/>
    <cellStyle name="链接单元格 2 3 6 2" xfId="12015"/>
    <cellStyle name="标题 5 2 3 3 2 2 2" xfId="12016"/>
    <cellStyle name="汇总 2 6 2 2 2 5 2" xfId="12017"/>
    <cellStyle name="汇总 2 2 4 2 2 3" xfId="12018"/>
    <cellStyle name="20% - 强调文字颜色 4 2 2 2 4 2 2 2" xfId="12019"/>
    <cellStyle name="计算 2 2 2 3 5 2" xfId="12020"/>
    <cellStyle name="注释 2 6 4 6" xfId="12021"/>
    <cellStyle name="注释 2 4 2 2 2 4 2" xfId="12022"/>
    <cellStyle name="输出 2 2 3 2 2 2 2 2 3" xfId="12023"/>
    <cellStyle name="常规 10 3 6 3" xfId="12024"/>
    <cellStyle name="60% - 强调文字颜色 4 2 3 8" xfId="12025"/>
    <cellStyle name="汇总 2 10 3 5" xfId="12026"/>
    <cellStyle name="计算 2 2 3 4 2 4 3" xfId="12027"/>
    <cellStyle name="输出 2 2 3 2 2 4" xfId="12028"/>
    <cellStyle name="标题 4 2 3 3 3" xfId="12029"/>
    <cellStyle name="强调文字颜色 4 3 6" xfId="12030"/>
    <cellStyle name="汇总 2 2 4 2 4 2 5" xfId="12031"/>
    <cellStyle name="60% - 强调文字颜色 3 4 2 3 2 2" xfId="12032"/>
    <cellStyle name="汇总 2 3 4 4 2" xfId="12033"/>
    <cellStyle name="强调文字颜色 2 3 2 2" xfId="12034"/>
    <cellStyle name="注释 2 4 4 2 2" xfId="12035"/>
    <cellStyle name="强调文字颜色 4 2 2 2 2 3 2" xfId="12036"/>
    <cellStyle name="常规 5 5 2 5 2 2" xfId="12037"/>
    <cellStyle name="常规 5 2 2 3 2 3 2 2" xfId="12038"/>
    <cellStyle name="60% - 强调文字颜色 6 2 7" xfId="12039"/>
    <cellStyle name="20% - 强调文字颜色 1 2 3 2 3 2 2 2 2" xfId="12040"/>
    <cellStyle name="解释性文本 3 2 4" xfId="12041"/>
    <cellStyle name="输出 2 6 2 2 3 2 2" xfId="12042"/>
    <cellStyle name="汇总 5 2 2 2 2" xfId="12043"/>
    <cellStyle name="60% - 强调文字颜色 5 2 2 2 2 2 2 2" xfId="12044"/>
    <cellStyle name="好 2 2 2 6 2" xfId="12045"/>
    <cellStyle name="解释性文本 2 4 9" xfId="12046"/>
    <cellStyle name="20% - 强调文字颜色 3 4 2" xfId="12047"/>
    <cellStyle name="强调文字颜色 5 2 2 4 2 2 2 2" xfId="12048"/>
    <cellStyle name="60% - 强调文字颜色 1 2 2 5 3" xfId="12049"/>
    <cellStyle name="强调文字颜色 2 2 4 3 2" xfId="12050"/>
    <cellStyle name="注释 2 3 2 2 2 2 3" xfId="12051"/>
    <cellStyle name="计算 2 6 2 2 3 3 2 2" xfId="12052"/>
    <cellStyle name="输入 3 2 2 5 2" xfId="12053"/>
    <cellStyle name="计算 2 2 5 2 2 10" xfId="12054"/>
    <cellStyle name="40% - 强调文字颜色 4 3 3 3 2 2" xfId="12055"/>
    <cellStyle name="汇总 2 4 2 4 2" xfId="12056"/>
    <cellStyle name="40% - 强调文字颜色 1 2 2 2 2 2 4 2" xfId="12057"/>
    <cellStyle name="超链接 2 2 2 2 3 2 2 2" xfId="12058"/>
    <cellStyle name="常规 9 5 3 4" xfId="12059"/>
    <cellStyle name="输出 2 4 5 2 3" xfId="12060"/>
    <cellStyle name="40% - 强调文字颜色 5 2 3 2 3 2 2 2" xfId="12061"/>
    <cellStyle name="20% - 强调文字颜色 2 4 3 2 2" xfId="12062"/>
    <cellStyle name="计算 2 2 3 2 3 2 2 2" xfId="12063"/>
    <cellStyle name="计算 2 2 2 2 2 2 2 4" xfId="12064"/>
    <cellStyle name="60% - 强调文字颜色 2 2 2 9 2" xfId="12065"/>
    <cellStyle name="差 2 3 2 3 3 2 2" xfId="12066"/>
    <cellStyle name="常规 4 3 4" xfId="12067"/>
    <cellStyle name="40% - 强调文字颜色 6 2 2 2" xfId="12068"/>
    <cellStyle name="输出 2 13" xfId="12069"/>
    <cellStyle name="好 3 3 2 2" xfId="12070"/>
    <cellStyle name="40% - 强调文字颜色 2 2 5 2" xfId="12071"/>
    <cellStyle name="计算 2 6 2 3 4 3" xfId="12072"/>
    <cellStyle name="常规 4 7" xfId="12073"/>
    <cellStyle name="标题 4 2 2 6 2 2 2" xfId="12074"/>
    <cellStyle name="标题 2 2 2 5 3 2" xfId="12075"/>
    <cellStyle name="警告文本 2 4 2 2 2 2 2" xfId="12076"/>
    <cellStyle name="汇总 2 2 4 2 3 2 8" xfId="12077"/>
    <cellStyle name="强调文字颜色 3 2 3 2 7" xfId="12078"/>
    <cellStyle name="计算 2 5 9 2" xfId="12079"/>
    <cellStyle name="注释 4 2 3 3" xfId="12080"/>
    <cellStyle name="常规 5 6 2 5" xfId="12081"/>
    <cellStyle name="常规 7 2 2 5 2" xfId="12082"/>
    <cellStyle name="常规 5 2 2 4 2 3" xfId="12083"/>
    <cellStyle name="适中 2 2 2 3 6" xfId="12084"/>
    <cellStyle name="常规 5 2 2 2 5" xfId="12085"/>
    <cellStyle name="汇总 3 8 3" xfId="12086"/>
    <cellStyle name="60% - 强调文字颜色 6 2 3 4 3 2 2" xfId="12087"/>
    <cellStyle name="常规 8 2 5" xfId="12088"/>
    <cellStyle name="标题 4 3 4 2 2" xfId="12089"/>
    <cellStyle name="计算 2 8 3 2 4 2" xfId="12090"/>
    <cellStyle name="强调文字颜色 1 2 4 5 3" xfId="12091"/>
    <cellStyle name="强调文字颜色 5 2 2 4 3 2 3" xfId="12092"/>
    <cellStyle name="输出 2 6 2 6 2" xfId="12093"/>
    <cellStyle name="常规 6 2 4" xfId="12094"/>
    <cellStyle name="60% - 强调文字颜色 5 4 3 2 2" xfId="12095"/>
    <cellStyle name="常规 5 4 3 4" xfId="12096"/>
    <cellStyle name="常规 5 2 2 2 3 2" xfId="12097"/>
    <cellStyle name="40% - 强调文字颜色 6 3 2 2 4 2" xfId="12098"/>
    <cellStyle name="常规 5 3 4 4 2" xfId="12099"/>
    <cellStyle name="注释 2 5 2 2 6" xfId="12100"/>
    <cellStyle name="20% - 强调文字颜色 4 2 3 7" xfId="12101"/>
    <cellStyle name="20% - 强调文字颜色 3 2 2 6 3" xfId="12102"/>
    <cellStyle name="链接单元格 2 5 2" xfId="12103"/>
    <cellStyle name="汇总 2 5 2 2 4 3" xfId="12104"/>
    <cellStyle name="解释性文本 2 2 2 2 4 3" xfId="12105"/>
    <cellStyle name="输入 2 6 4 6" xfId="12106"/>
    <cellStyle name="标题 3 2 3 4 2 2 3" xfId="12107"/>
    <cellStyle name="60% - 强调文字颜色 2 2 4 2 2 2 2" xfId="12108"/>
    <cellStyle name="60% - 强调文字颜色 3 3 4 2 2 2" xfId="12109"/>
    <cellStyle name="标题 3 2 3 2 3 2 3" xfId="12110"/>
    <cellStyle name="强调文字颜色 4 2 2 4 4" xfId="12111"/>
    <cellStyle name="标题 1 3 6" xfId="12112"/>
    <cellStyle name="标题 3 4 2 3 3" xfId="12113"/>
    <cellStyle name="解释性文本 2 2 2 2 5 2" xfId="12114"/>
    <cellStyle name="计算 2 2 8 4 3 3" xfId="12115"/>
    <cellStyle name="注释 2 6 4 2 3" xfId="12116"/>
    <cellStyle name="标题 2 3 3 3 2 3" xfId="12117"/>
    <cellStyle name="计算 2 2 5 2 2 2 2 2" xfId="12118"/>
    <cellStyle name="超链接 2 3 2" xfId="12119"/>
    <cellStyle name="强调文字颜色 4 4 2" xfId="12120"/>
    <cellStyle name="链接单元格 2 2 2 2 5 3" xfId="12121"/>
    <cellStyle name="差 2 2 2 2 2 2 2 3" xfId="12122"/>
    <cellStyle name="常规 3 3 2 3" xfId="12123"/>
    <cellStyle name="警告文本 5 2" xfId="12124"/>
    <cellStyle name="百分比 2 2 2 5 3" xfId="12125"/>
    <cellStyle name="汇总 2 2 2 3 2 2 3" xfId="12126"/>
    <cellStyle name="汇总 2 2 10 4" xfId="12127"/>
    <cellStyle name="适中 2 3 3 4" xfId="12128"/>
    <cellStyle name="20% - 强调文字颜色 1 2 4 3" xfId="12129"/>
    <cellStyle name="60% - 强调文字颜色 2 2 2 8" xfId="12130"/>
    <cellStyle name="强调文字颜色 1 2 2 3 3 3" xfId="12131"/>
    <cellStyle name="强调文字颜色 2 2 3 2 4 3" xfId="12132"/>
    <cellStyle name="计算 2 2 3 2 2 3 3" xfId="12133"/>
    <cellStyle name="输出 2 2 4 3 3 2" xfId="12134"/>
    <cellStyle name="解释性文本 2 2 2 8" xfId="12135"/>
    <cellStyle name="链接单元格 2 3 2 4 2 2 2" xfId="12136"/>
    <cellStyle name="20% - 强调文字颜色 6 3 2 2 2" xfId="12137"/>
    <cellStyle name="好 2 3 4 2 2" xfId="12138"/>
    <cellStyle name="计算 2 7 6 3" xfId="12139"/>
    <cellStyle name="20% - 强调文字颜色 3 4 4 2" xfId="12140"/>
    <cellStyle name="计算 2 2 3 3 3 3 2" xfId="12141"/>
    <cellStyle name="汇总 2 12 4 2" xfId="12142"/>
    <cellStyle name="标题 1 2 8 2" xfId="12143"/>
    <cellStyle name="标题 1 3 2 2 2 3" xfId="12144"/>
    <cellStyle name="常规 5 2 2 2 2 3 4" xfId="12145"/>
    <cellStyle name="常规 5 2 11" xfId="12146"/>
    <cellStyle name="常规 6 2 4 3 2" xfId="12147"/>
    <cellStyle name="常规 10 2 2" xfId="12148"/>
    <cellStyle name="警告文本 2 7 2" xfId="12149"/>
    <cellStyle name="注释 2 2 5 2 5" xfId="12150"/>
    <cellStyle name="强调文字颜色 4 2 3 2 3 3 2 2" xfId="12151"/>
    <cellStyle name="计算 2 7 4" xfId="12152"/>
    <cellStyle name="60% - 强调文字颜色 6 2 2 2 2 3 3" xfId="12153"/>
    <cellStyle name="常规 11 2 7" xfId="12154"/>
    <cellStyle name="常规 4 8 3 3" xfId="12155"/>
    <cellStyle name="输出 2 2 3 3 3 3" xfId="12156"/>
    <cellStyle name="输出 2 5 2 2 2 4" xfId="12157"/>
    <cellStyle name="汇总 2 5 2 3 2 3 3" xfId="12158"/>
    <cellStyle name="20% - 强调文字颜色 6 2 3 3 2 2 2 2 2" xfId="12159"/>
    <cellStyle name="注释 2 4 2 7" xfId="12160"/>
    <cellStyle name="标题 1 3 4 2 2 2" xfId="12161"/>
    <cellStyle name="强调文字颜色 4 2 2 4 2 2 2 2" xfId="12162"/>
    <cellStyle name="40% - 强调文字颜色 5 2 6 3 2 2" xfId="12163"/>
    <cellStyle name="常规 4 7 2 2 2" xfId="12164"/>
    <cellStyle name="输出 2 2 3 2 2 2 2" xfId="12165"/>
    <cellStyle name="常规 3 3 7 4 3" xfId="12166"/>
    <cellStyle name="检查单元格 2 2 2 3 2 2 2" xfId="12167"/>
    <cellStyle name="20% - 强调文字颜色 1 3 2 2 3 2 2" xfId="12168"/>
    <cellStyle name="强调文字颜色 5 2 2 3 2" xfId="12169"/>
    <cellStyle name="汇总 2 5 2 2 3 4 3" xfId="12170"/>
    <cellStyle name="链接单元格 2 4 3 3" xfId="12171"/>
    <cellStyle name="常规 4 6 3 3 2" xfId="12172"/>
    <cellStyle name="汇总 2 8 3" xfId="12173"/>
    <cellStyle name="强调文字颜色 6 2 3 5" xfId="12174"/>
    <cellStyle name="汇总 2 2 8 5 4 2" xfId="12175"/>
    <cellStyle name="输出 2 4 2 3 2 3 2" xfId="12176"/>
    <cellStyle name="输入 2 8 3 2 2" xfId="12177"/>
    <cellStyle name="超链接 3 4 2 2 2" xfId="12178"/>
    <cellStyle name="常规 2 2 2 2 2 2 3 2" xfId="12179"/>
    <cellStyle name="60% - 强调文字颜色 5 2 3 2 4 3" xfId="12180"/>
    <cellStyle name="汇总 2 5 2 4 2 3" xfId="12181"/>
    <cellStyle name="计算 2 2 6 4 2 4" xfId="12182"/>
    <cellStyle name="链接单元格 4 3 2" xfId="12183"/>
    <cellStyle name="标题 3 2 2 2 4" xfId="12184"/>
    <cellStyle name="计算 2 2 7 12" xfId="12185"/>
    <cellStyle name="20% - 强调文字颜色 6 2 3 2 2 2" xfId="12186"/>
    <cellStyle name="计算 2 5 2 3 2 8" xfId="12187"/>
    <cellStyle name="20% - 强调文字颜色 5 2 2 2 2 4" xfId="12188"/>
    <cellStyle name="计算 2 2 5 2 2 6 3" xfId="12189"/>
    <cellStyle name="计算 2 2 2 2 2 2 5" xfId="12190"/>
    <cellStyle name="解释性文本 3 5 2" xfId="12191"/>
    <cellStyle name="常规 13 4 2 3 2" xfId="12192"/>
    <cellStyle name="常规 2 2 2 2 5 2 2 2" xfId="12193"/>
    <cellStyle name="适中 2 2 2 2 6 3" xfId="12194"/>
    <cellStyle name="常规 9 2 2 7" xfId="12195"/>
    <cellStyle name="输入 2 5 2 3 4" xfId="12196"/>
    <cellStyle name="汇总 3 2 2 7" xfId="12197"/>
    <cellStyle name="常规 4 5 2 4" xfId="12198"/>
    <cellStyle name="常规 4 4 2 4" xfId="12199"/>
    <cellStyle name="常规 4 4 2 3 2" xfId="12200"/>
    <cellStyle name="好 2 2 2 3 4" xfId="12201"/>
    <cellStyle name="40% - 强调文字颜色 2 2 3 2 2 5 2 2" xfId="12202"/>
    <cellStyle name="汇总 2 4 7 2 2" xfId="12203"/>
    <cellStyle name="输出 2 2 4 2 4" xfId="12204"/>
    <cellStyle name="常规 5 2 4 2 3 3" xfId="12205"/>
    <cellStyle name="好 2 2 2 3 3 2" xfId="12206"/>
    <cellStyle name="计算 2 5 3 2 7" xfId="12207"/>
    <cellStyle name="标题 5 2 2 3 2 2 2 2" xfId="12208"/>
    <cellStyle name="计算 2 2 2 3 2 8" xfId="12209"/>
    <cellStyle name="常规 5 3 3 3 3 2" xfId="12210"/>
    <cellStyle name="常规 4 3 3 6" xfId="12211"/>
    <cellStyle name="常规 4 3 3 5" xfId="12212"/>
    <cellStyle name="40% - 强调文字颜色 3 2 3 3 5" xfId="12213"/>
    <cellStyle name="注释 2 2 3 4 6" xfId="12214"/>
    <cellStyle name="标题 2 2 2 2 2 2 2 2 3" xfId="12215"/>
    <cellStyle name="注释 3 9" xfId="12216"/>
    <cellStyle name="输入 2 2 3 2 2 4 3" xfId="12217"/>
    <cellStyle name="汇总 5 2 2 3" xfId="12218"/>
    <cellStyle name="输出 2 3 2 2 7" xfId="12219"/>
    <cellStyle name="汇总 2 5 5 2 5" xfId="12220"/>
    <cellStyle name="超链接 2 2 3 2" xfId="12221"/>
    <cellStyle name="常规 5 5 2 5 3" xfId="12222"/>
    <cellStyle name="好 2 2 3 2 2" xfId="12223"/>
    <cellStyle name="常规 5 2 2 3 2 3 3" xfId="12224"/>
    <cellStyle name="好 2 4" xfId="12225"/>
    <cellStyle name="汇总 2 2 8 3 4 2 2" xfId="12226"/>
    <cellStyle name="标题 5 7 2 2 2" xfId="12227"/>
    <cellStyle name="常规 11 2 2 2 4 2" xfId="12228"/>
    <cellStyle name="常规 12 3 3 3 2" xfId="12229"/>
    <cellStyle name="40% - 强调文字颜色 4 2 3 2 4 3 2 2" xfId="12230"/>
    <cellStyle name="20% - 强调文字颜色 4 2 2 2 3 3" xfId="12231"/>
    <cellStyle name="常规 5 2 2 2 2 3 3 2" xfId="12232"/>
    <cellStyle name="强调文字颜色 6 3 2 2 2 2" xfId="12233"/>
    <cellStyle name="60% - 强调文字颜色 2 2 3 2 3 3" xfId="12234"/>
    <cellStyle name="计算 2 4 4 6" xfId="12235"/>
    <cellStyle name="输出 2 2 8 7" xfId="12236"/>
    <cellStyle name="输入 2 2 5 5 2" xfId="12237"/>
    <cellStyle name="60% - 强调文字颜色 3 2 4 3 3" xfId="12238"/>
    <cellStyle name="标题 3 2 2 2 3 3 2" xfId="12239"/>
    <cellStyle name="60% - 强调文字颜色 1 2 2 2 3 5" xfId="12240"/>
    <cellStyle name="汇总 2 2 4 5 7" xfId="12241"/>
    <cellStyle name="标题 5 2 2 6 2 2 2" xfId="12242"/>
    <cellStyle name="标题 5 3 6 2" xfId="12243"/>
    <cellStyle name="警告文本 2 5 2 3" xfId="12244"/>
    <cellStyle name="常规 4 3 3 4 2" xfId="12245"/>
    <cellStyle name="常规 4 3 3 4" xfId="12246"/>
    <cellStyle name="汇总 2 2 7 7 3" xfId="12247"/>
    <cellStyle name="常规 4 3 3 2 4 2" xfId="12248"/>
    <cellStyle name="差 4 3 2 3" xfId="12249"/>
    <cellStyle name="常规 4 3 2 5 3" xfId="12250"/>
    <cellStyle name="常规 4 3 2 5 2" xfId="12251"/>
    <cellStyle name="常规 4 3 2 4 2" xfId="12252"/>
    <cellStyle name="常规 4 3 2 3 4" xfId="12253"/>
    <cellStyle name="注释 2 5 3 2 2" xfId="12254"/>
    <cellStyle name="标题 2 3 2 2 2 2" xfId="12255"/>
    <cellStyle name="输入 2 4 3 5 2 2" xfId="12256"/>
    <cellStyle name="好 3 2 4" xfId="12257"/>
    <cellStyle name="汇总 2 3 4 5 2" xfId="12258"/>
    <cellStyle name="汇总 2 7 2 2 3 3" xfId="12259"/>
    <cellStyle name="常规 3 2 4 2 2" xfId="12260"/>
    <cellStyle name="输出 3 3 6 2 2" xfId="12261"/>
    <cellStyle name="常规 4 3 2 3 3 3" xfId="12262"/>
    <cellStyle name="计算 2 4 2 9" xfId="12263"/>
    <cellStyle name="输入 2 2 5 3 5" xfId="12264"/>
    <cellStyle name="汇总 2 2 8 2 4" xfId="12265"/>
    <cellStyle name="标题 5 6 2" xfId="12266"/>
    <cellStyle name="强调文字颜色 3 2 2 3 9" xfId="12267"/>
    <cellStyle name="常规 5 2 2 3 3 5" xfId="12268"/>
    <cellStyle name="输入 2 5 9 2 2" xfId="12269"/>
    <cellStyle name="标题 3 3 2 2 2 3" xfId="12270"/>
    <cellStyle name="常规 5 5 2 3 3 2 2" xfId="12271"/>
    <cellStyle name="注释 2 4 3 2 5" xfId="12272"/>
    <cellStyle name="注释 2 2 3 2 2 2 6" xfId="12273"/>
    <cellStyle name="解释性文本 2 8 4" xfId="12274"/>
    <cellStyle name="强调文字颜色 3 2 2 3 4 2 2 2" xfId="12275"/>
    <cellStyle name="常规 5 2 3 2 2 5" xfId="12276"/>
    <cellStyle name="强调文字颜色 5 2 3 2 4 2 2 2" xfId="12277"/>
    <cellStyle name="20% - 强调文字颜色 6 2 2 2 6" xfId="12278"/>
    <cellStyle name="差 2 3 6 2 2" xfId="12279"/>
    <cellStyle name="标题 1 2 2 2 2 3 4" xfId="12280"/>
    <cellStyle name="汇总 2 3 5 2 3" xfId="12281"/>
    <cellStyle name="60% - 强调文字颜色 2 4 2 2" xfId="12282"/>
    <cellStyle name="计算 2 2 4 4 5 2" xfId="12283"/>
    <cellStyle name="常规 4 2 2 2 5 2 2" xfId="12284"/>
    <cellStyle name="超链接 3 2 2 2 2" xfId="12285"/>
    <cellStyle name="注释 2 6 2 2 2 3" xfId="12286"/>
    <cellStyle name="输入 2 6 3 2 2" xfId="12287"/>
    <cellStyle name="注释 2 3 4 2" xfId="12288"/>
    <cellStyle name="40% - 强调文字颜色 4 2 2 4 3 3" xfId="12289"/>
    <cellStyle name="40% - 强调文字颜色 4 2 2 2" xfId="12290"/>
    <cellStyle name="注释 2 2 3 6 3" xfId="12291"/>
    <cellStyle name="20% - 强调文字颜色 1 2 3 2 2 2 3 2" xfId="12292"/>
    <cellStyle name="40% - 强调文字颜色 3 2 3 5 2" xfId="12293"/>
    <cellStyle name="汇总 2 8 4 2 2 2" xfId="12294"/>
    <cellStyle name="计算 2 5 2 3 5 3" xfId="12295"/>
    <cellStyle name="常规 3 3 7 2 5" xfId="12296"/>
    <cellStyle name="常规 4 3 2 2 3 3" xfId="12297"/>
    <cellStyle name="输入 3 2 2 2 2 2 2" xfId="12298"/>
    <cellStyle name="适中 3 7 2" xfId="12299"/>
    <cellStyle name="汇总 2 6 2 4" xfId="12300"/>
    <cellStyle name="常规 4 2 4 6" xfId="12301"/>
    <cellStyle name="强调文字颜色 5 2 2 2 5 2 2 2" xfId="12302"/>
    <cellStyle name="标题 2 2 4 7" xfId="12303"/>
    <cellStyle name="汇总 2 2 6 2 2 4 3" xfId="12304"/>
    <cellStyle name="输入 4 2" xfId="12305"/>
    <cellStyle name="输入 3 3" xfId="12306"/>
    <cellStyle name="输入 3 2 2" xfId="12307"/>
    <cellStyle name="警告文本 2 6 2" xfId="12308"/>
    <cellStyle name="检查单元格 2 5 2 3" xfId="12309"/>
    <cellStyle name="注释 2 2 9 4 2" xfId="12310"/>
    <cellStyle name="输入 4 2 3 2 2" xfId="12311"/>
    <cellStyle name="输入 2 7 7" xfId="12312"/>
    <cellStyle name="超链接 3 3 6" xfId="12313"/>
    <cellStyle name="注释 2 2 5 3 4 2" xfId="12314"/>
    <cellStyle name="40% - 强调文字颜色 3 2 5 2 3 2" xfId="12315"/>
    <cellStyle name="输出 2 4 2 2" xfId="12316"/>
    <cellStyle name="40% - 强调文字颜色 2 2 2 2 3 3 2" xfId="12317"/>
    <cellStyle name="链接单元格 2 2 4 2 2 3" xfId="12318"/>
    <cellStyle name="汇总 2 2 5 11" xfId="12319"/>
    <cellStyle name="输出 2 6 3 5" xfId="12320"/>
    <cellStyle name="解释性文本 2 3 2 2 2 2 2" xfId="12321"/>
    <cellStyle name="40% - 强调文字颜色 1 2 5 3 2 2" xfId="12322"/>
    <cellStyle name="汇总 2 2 6 4 2 3 2" xfId="12323"/>
    <cellStyle name="汇总 2 2 8 3 2 7" xfId="12324"/>
    <cellStyle name="20% - 强调文字颜色 5 2 3 2 2 2 3 2" xfId="12325"/>
    <cellStyle name="汇总 2 2 2 4 3 3" xfId="12326"/>
    <cellStyle name="20% - 强调文字颜色 4 2 2 2 2 4 3 2" xfId="12327"/>
    <cellStyle name="解释性文本 2 2 2 2 3 4" xfId="12328"/>
    <cellStyle name="常规 4 2 3 2 2 5" xfId="12329"/>
    <cellStyle name="20% - 强调文字颜色 4 2 3 6 2 2 2" xfId="12330"/>
    <cellStyle name="常规 4 3 2 3 5" xfId="12331"/>
    <cellStyle name="超链接 3 3 4 3 2" xfId="12332"/>
    <cellStyle name="强调文字颜色 6 2 3 2 4 2 2 2" xfId="12333"/>
    <cellStyle name="标题 3 5" xfId="12334"/>
    <cellStyle name="超链接 2 6 3 2" xfId="12335"/>
    <cellStyle name="常规 12 3 3 4" xfId="12336"/>
    <cellStyle name="常规 11 2 2 2 5" xfId="12337"/>
    <cellStyle name="常规 10 4 2 3 2 2" xfId="12338"/>
    <cellStyle name="注释 2 2 3 2 2 2 4 2" xfId="12339"/>
    <cellStyle name="输入 2 2 3 3 4" xfId="12340"/>
    <cellStyle name="计算 2 2 2 8" xfId="12341"/>
    <cellStyle name="输出 2 2 5 5 3" xfId="12342"/>
    <cellStyle name="汇总 2 7 5 3 2" xfId="12343"/>
    <cellStyle name="输出 2 5 2 3 4" xfId="12344"/>
    <cellStyle name="20% - 强调文字颜色 5 3 3 3 2" xfId="12345"/>
    <cellStyle name="计算 2 2 9 2 3" xfId="12346"/>
    <cellStyle name="标题 5 7 2 3" xfId="12347"/>
    <cellStyle name="汇总 2 2 8 3 4 3" xfId="12348"/>
    <cellStyle name="强调文字颜色 2 3 4 3" xfId="12349"/>
    <cellStyle name="强调文字颜色 5 2 2 4 3 2 2" xfId="12350"/>
    <cellStyle name="注释 4 2 3 2" xfId="12351"/>
    <cellStyle name="强调文字颜色 3 2 3 2 6" xfId="12352"/>
    <cellStyle name="常规 5 6 2 4" xfId="12353"/>
    <cellStyle name="常规 5 2 2 4 2 2" xfId="12354"/>
    <cellStyle name="强调文字颜色 1 2 4 5 2" xfId="12355"/>
    <cellStyle name="60% - 强调文字颜色 4 2 2 4 2" xfId="12356"/>
    <cellStyle name="链接单元格 2 6 2 2" xfId="12357"/>
    <cellStyle name="强调文字颜色 4 2 2 2 5 2" xfId="12358"/>
    <cellStyle name="常规 5 4 2 3 4" xfId="12359"/>
    <cellStyle name="输入 2 2 2 2 2 2 2 3" xfId="12360"/>
    <cellStyle name="计算 2 3 3 2 3 2 2" xfId="12361"/>
    <cellStyle name="强调文字颜色 3 2 3 3 3 2" xfId="12362"/>
    <cellStyle name="输出 2 6 5 4" xfId="12363"/>
    <cellStyle name="标题 2 4 3 2 2 2" xfId="12364"/>
    <cellStyle name="输入 4 8" xfId="12365"/>
    <cellStyle name="链接单元格 2 2 2 7" xfId="12366"/>
    <cellStyle name="20% - 强调文字颜色 4 2 2 2 2 4 3" xfId="12367"/>
    <cellStyle name="常规 4 2 2 3" xfId="12368"/>
    <cellStyle name="常规 6 5" xfId="12369"/>
    <cellStyle name="汇总 2 2 3 2 7 3" xfId="12370"/>
    <cellStyle name="汇总 2 2 6 2 2 5 2 2" xfId="12371"/>
    <cellStyle name="标题 2 3 2 2 3 2 2 2" xfId="12372"/>
    <cellStyle name="标题 1 2 7 3" xfId="12373"/>
    <cellStyle name="强调文字颜色 4 2 2 3 5 3" xfId="12374"/>
    <cellStyle name="计算 2 2 6 2 5" xfId="12375"/>
    <cellStyle name="60% - 强调文字颜色 4 2 2" xfId="12376"/>
    <cellStyle name="适中 2 6 2 2 2" xfId="12377"/>
    <cellStyle name="计算 2 2 2 4 2 2" xfId="12378"/>
    <cellStyle name="计算 2 5 2 5 4 2" xfId="12379"/>
    <cellStyle name="常规 5 2 2 3" xfId="12380"/>
    <cellStyle name="标题 5 2 3 4 2 3" xfId="12381"/>
    <cellStyle name="20% - 强调文字颜色 4 2 3 2 2 4 3" xfId="12382"/>
    <cellStyle name="差 2 6 3 2 2" xfId="12383"/>
    <cellStyle name="超链接 2 3 2 4 2" xfId="12384"/>
    <cellStyle name="汇总 2 6 2 2 3" xfId="12385"/>
    <cellStyle name="计算 2 5 5 3" xfId="12386"/>
    <cellStyle name="60% - 强调文字颜色 1 2 2 3 4 2" xfId="12387"/>
    <cellStyle name="20% - 强调文字颜色 3 2 3 2" xfId="12388"/>
    <cellStyle name="常规 8 2 2 5" xfId="12389"/>
    <cellStyle name="适中 4 2 3 2" xfId="12390"/>
    <cellStyle name="计算 2 4 6 2" xfId="12391"/>
    <cellStyle name="标题 1 2 3 6 3" xfId="12392"/>
    <cellStyle name="40% - 强调文字颜色 1 2 2 9" xfId="12393"/>
    <cellStyle name="输入 2 5 3 3" xfId="12394"/>
    <cellStyle name="40% - 强调文字颜色 5 2 2 2 2 2 3 3" xfId="12395"/>
    <cellStyle name="计算 2 5 5 2 3 2" xfId="12396"/>
    <cellStyle name="超链接 3 4 4" xfId="12397"/>
    <cellStyle name="输入 2 8 5" xfId="12398"/>
    <cellStyle name="40% - 强调文字颜色 1 2 6 2" xfId="12399"/>
    <cellStyle name="强调文字颜色 1 2 3 2 2 2" xfId="12400"/>
    <cellStyle name="常规 2 3 6 2" xfId="12401"/>
    <cellStyle name="输出 2 4 8 2" xfId="12402"/>
    <cellStyle name="超链接 3 3 2 2 2 2" xfId="12403"/>
    <cellStyle name="输入 2 7 3 2 2 2" xfId="12404"/>
    <cellStyle name="注释 3 3 4 2 2" xfId="12405"/>
    <cellStyle name="强调文字颜色 1 2 2 3 3" xfId="12406"/>
    <cellStyle name="60% - 强调文字颜色 3 2 3 3 6" xfId="12407"/>
    <cellStyle name="输入 2 2 4 5 5" xfId="12408"/>
    <cellStyle name="计算 2 3 4 9" xfId="12409"/>
    <cellStyle name="输入 2 2 5 3 2 4" xfId="12410"/>
    <cellStyle name="标题 2 2 2 2 4 3 2 2" xfId="12411"/>
    <cellStyle name="汇总 7 3" xfId="12412"/>
    <cellStyle name="标题 4 3 2 3 3" xfId="12413"/>
    <cellStyle name="常规 6 4 3 3 2" xfId="12414"/>
    <cellStyle name="警告文本 2 2 4 3 4" xfId="12415"/>
    <cellStyle name="计算 2 10 2 2 2 2" xfId="12416"/>
    <cellStyle name="超链接 3 2 4 3 2 2" xfId="12417"/>
    <cellStyle name="20% - 强调文字颜色 2 4 5" xfId="12418"/>
    <cellStyle name="强调文字颜色 2 2 3 3 5" xfId="12419"/>
    <cellStyle name="计算 2 2 3 2 3 4" xfId="12420"/>
    <cellStyle name="标题 2 2 3 2 2 3" xfId="12421"/>
    <cellStyle name="40% - 强调文字颜色 4 2 3 2 3 2 2 2 2" xfId="12422"/>
    <cellStyle name="输入 4 2 4 3" xfId="12423"/>
    <cellStyle name="汇总 6 3 2" xfId="12424"/>
    <cellStyle name="标题 1 2 2 2 2 5" xfId="12425"/>
    <cellStyle name="常规 6 3 2 2 2 3 2" xfId="12426"/>
    <cellStyle name="输入 2 2 13" xfId="12427"/>
    <cellStyle name="超链接 3 2 4 3 2" xfId="12428"/>
    <cellStyle name="汇总 2 5 2 2 2 4" xfId="12429"/>
    <cellStyle name="计算 2 2 6 2 2 5" xfId="12430"/>
    <cellStyle name="链接单元格 2 3 3" xfId="12431"/>
    <cellStyle name="汇总 2 2 4 2 11" xfId="12432"/>
    <cellStyle name="计算 3 2 2 2 5" xfId="12433"/>
    <cellStyle name="输入 3 9" xfId="12434"/>
    <cellStyle name="链接单元格 2 2 2 6 2" xfId="12435"/>
    <cellStyle name="计算 3 2 2 2 4" xfId="12436"/>
    <cellStyle name="标题 2 3 9" xfId="12437"/>
    <cellStyle name="输入 3 8" xfId="12438"/>
    <cellStyle name="常规 4 2 2" xfId="12439"/>
    <cellStyle name="输出 4 3 4" xfId="12440"/>
    <cellStyle name="60% - 强调文字颜色 6 2 2 2 2 5 2" xfId="12441"/>
    <cellStyle name="计算 2 9 3" xfId="12442"/>
    <cellStyle name="输入 2 4 2 3 2 3" xfId="12443"/>
    <cellStyle name="汇总 2 2 2 5 3" xfId="12444"/>
    <cellStyle name="好 2 2 3 4 3" xfId="12445"/>
    <cellStyle name="60% - 强调文字颜色 5 2 2 2 4" xfId="12446"/>
    <cellStyle name="强调文字颜色 6 2 3 3 7" xfId="12447"/>
    <cellStyle name="解释性文本 5 2" xfId="12448"/>
    <cellStyle name="汇总 2 3 3 6 2" xfId="12449"/>
    <cellStyle name="好 2 3 4" xfId="12450"/>
    <cellStyle name="输出 2 2 3 2 14" xfId="12451"/>
    <cellStyle name="计算 2 2 5 2 4 2" xfId="12452"/>
    <cellStyle name="差 2 4 5 2" xfId="12453"/>
    <cellStyle name="汇总 2 5 2 3 5 2 2" xfId="12454"/>
    <cellStyle name="60% - 强调文字颜色 4 3 2 3 2" xfId="12455"/>
    <cellStyle name="60% - 强调文字颜色 2 2 4" xfId="12456"/>
    <cellStyle name="计算 2 2 4 2 7" xfId="12457"/>
    <cellStyle name="常规 12 4 3" xfId="12458"/>
    <cellStyle name="强调文字颜色 6 2 2 2 3 6" xfId="12459"/>
    <cellStyle name="20% - 强调文字颜色 6 3 8" xfId="12460"/>
    <cellStyle name="输出 2 2 5 6" xfId="12461"/>
    <cellStyle name="常规 6 3 2 3 2" xfId="12462"/>
    <cellStyle name="计算 2 5 2 2 2 2 5 2" xfId="12463"/>
    <cellStyle name="标题 5 4 6 2 2" xfId="12464"/>
    <cellStyle name="常规 8 2 2 3 3" xfId="12465"/>
    <cellStyle name="强调文字颜色 4 2 2 3 8" xfId="12466"/>
    <cellStyle name="计算 2 2 2 4 2 4 2 2" xfId="12467"/>
    <cellStyle name="计算 3 2 3 5 2" xfId="12468"/>
    <cellStyle name="60% - 强调文字颜色 3 3 2 2 2 2" xfId="12469"/>
    <cellStyle name="常规 2 5" xfId="12470"/>
    <cellStyle name="常规 3 3 5 2 2" xfId="12471"/>
    <cellStyle name="好 3 2 2 3 2 2" xfId="12472"/>
    <cellStyle name="40% - 强调文字颜色 4 3 9" xfId="12473"/>
    <cellStyle name="汇总 2 14 2" xfId="12474"/>
    <cellStyle name="计算 2 4 2 11" xfId="12475"/>
    <cellStyle name="计算 2 2 4 2 2 2" xfId="12476"/>
    <cellStyle name="计算 2 4 4 2 5" xfId="12477"/>
    <cellStyle name="强调文字颜色 3 2 3 2 3 3 2 2" xfId="12478"/>
    <cellStyle name="标题 1 2 4 5 2" xfId="12479"/>
    <cellStyle name="计算 2 5 2 3 2 5 2" xfId="12480"/>
    <cellStyle name="标题 3 4 2 4" xfId="12481"/>
    <cellStyle name="计算 2 2 8 4 4" xfId="12482"/>
    <cellStyle name="输出 2 2 5 2 2 5" xfId="12483"/>
    <cellStyle name="汇总 2 2 6 8 3" xfId="12484"/>
    <cellStyle name="60% - 强调文字颜色 6 3 2 3 2 2" xfId="12485"/>
    <cellStyle name="40% - 强调文字颜色 3 2" xfId="12486"/>
    <cellStyle name="输入 3 15" xfId="12487"/>
    <cellStyle name="60% - 强调文字颜色 5 3 2 2 2 2" xfId="12488"/>
    <cellStyle name="输出 2 2 2 2 3 2 2" xfId="12489"/>
    <cellStyle name="计算 2 6 8 2 2" xfId="12490"/>
    <cellStyle name="计算 2 3 2 2 2 9" xfId="12491"/>
    <cellStyle name="注释 2 2 5 3" xfId="12492"/>
    <cellStyle name="汇总 2 2 15 2" xfId="12493"/>
    <cellStyle name="汇总 4 2 2 6" xfId="12494"/>
    <cellStyle name="输入 2 6 2 3 3" xfId="12495"/>
    <cellStyle name="20% - 强调文字颜色 1 2 2 2 4 3 2 2" xfId="12496"/>
    <cellStyle name="强调文字颜色 6 2 5 2 2" xfId="12497"/>
    <cellStyle name="60% - 强调文字颜色 5 2 3 4 3" xfId="12498"/>
    <cellStyle name="适中 2 2 4 3 2 2" xfId="12499"/>
    <cellStyle name="输出 2 2 3 2 2 2 2 3" xfId="12500"/>
    <cellStyle name="标题 3 4 2 3 2 2" xfId="12501"/>
    <cellStyle name="常规 10 3 7" xfId="12502"/>
    <cellStyle name="计算 2 2 8 4 3 2 2" xfId="12503"/>
    <cellStyle name="标题 1 2 6 2 2 3" xfId="12504"/>
    <cellStyle name="注释 2 2 9 3 2 2" xfId="12505"/>
    <cellStyle name="常规 4 2 2 3 2 2" xfId="12506"/>
    <cellStyle name="强调文字颜色 3 3 2 2 4" xfId="12507"/>
    <cellStyle name="40% - 强调文字颜色 6 2 3 2 2 4 3 2" xfId="12508"/>
    <cellStyle name="常规 6 5 2 2" xfId="12509"/>
    <cellStyle name="汇总 2 3 2 4 2 2 2" xfId="12510"/>
    <cellStyle name="标题 1 2 2 2 3 2" xfId="12511"/>
    <cellStyle name="计算 2 2 4 2 3 2 4 2 2" xfId="12512"/>
    <cellStyle name="汇总 2 2 3 9 3" xfId="12513"/>
    <cellStyle name="注释 2 3 2 2 7" xfId="12514"/>
    <cellStyle name="计算 2 3 2 2 2 5 3" xfId="12515"/>
    <cellStyle name="40% - 强调文字颜色 4 2 2 4 4 2 2" xfId="12516"/>
    <cellStyle name="注释 3 2 3 2 3" xfId="12517"/>
    <cellStyle name="20% - 强调文字颜色 5 2 4 4 2 2 2" xfId="12518"/>
    <cellStyle name="汇总 2 2 7 3 2" xfId="12519"/>
    <cellStyle name="常规 5 4 4 5" xfId="12520"/>
    <cellStyle name="计算 2 2 4 2 11 2" xfId="12521"/>
    <cellStyle name="计算 2 3 2 3 3 3" xfId="12522"/>
    <cellStyle name="注释 2 4 3 2 2 2 3" xfId="12523"/>
    <cellStyle name="常规 4 7 3 2" xfId="12524"/>
    <cellStyle name="计算 2 5 2 5 3 2 2" xfId="12525"/>
    <cellStyle name="输出 2 2 2 2 5" xfId="12526"/>
    <cellStyle name="汇总 2 4 5 2 3" xfId="12527"/>
    <cellStyle name="40% - 强调文字颜色 1 3 2 2 3 2" xfId="12528"/>
    <cellStyle name="常规 9 2 2 2 3 2" xfId="12529"/>
    <cellStyle name="标题 1 2 2 2 3 3" xfId="12530"/>
    <cellStyle name="注释 2 2 2 4 2 4" xfId="12531"/>
    <cellStyle name="汇总 2 2 5 3 5 3" xfId="12532"/>
    <cellStyle name="20% - 强调文字颜色 2 2 7 2 2 2" xfId="12533"/>
    <cellStyle name="40% - 强调文字颜色 2 2 7 3" xfId="12534"/>
    <cellStyle name="汇总 2 4 2 2 2 4 2 2" xfId="12535"/>
    <cellStyle name="汇总 2 9" xfId="12536"/>
    <cellStyle name="常规 5 2 4 5 2 2" xfId="12537"/>
    <cellStyle name="输出 2 4 3 2 2 2" xfId="12538"/>
    <cellStyle name="适中 3 11" xfId="12539"/>
    <cellStyle name="常规 9 3 3 3 2" xfId="12540"/>
    <cellStyle name="输出 2 2 2 2 2 2" xfId="12541"/>
    <cellStyle name="常规 7 2 3 3 2" xfId="12542"/>
    <cellStyle name="20% - 强调文字颜色 3 2 2 4 5 2 2" xfId="12543"/>
    <cellStyle name="强调文字颜色 1 2 3 2 5 3" xfId="12544"/>
    <cellStyle name="计算 2 6 7 2" xfId="12545"/>
    <cellStyle name="60% - 强调文字颜色 2 2 2 2 8" xfId="12546"/>
    <cellStyle name="汇总 2 2 3 3 5 3" xfId="12547"/>
    <cellStyle name="20% - 强调文字颜色 2 2 5 2 2 2" xfId="12548"/>
    <cellStyle name="汇总 4 2 3 4 2" xfId="12549"/>
    <cellStyle name="输出 2 7 4 2 2" xfId="12550"/>
    <cellStyle name="常规 2 6 2 2 2" xfId="12551"/>
    <cellStyle name="超链接 2 4 3" xfId="12552"/>
    <cellStyle name="计算 2 2 5 2 2 2 3 3" xfId="12553"/>
    <cellStyle name="解释性文本 2 2 5" xfId="12554"/>
    <cellStyle name="汇总 2 2 4 2 3 6 3" xfId="12555"/>
    <cellStyle name="60% - 强调文字颜色 5 2 8" xfId="12556"/>
    <cellStyle name="计算 2 2 10 2 2 3" xfId="12557"/>
    <cellStyle name="解释性文本 2 2 2 2 6 3" xfId="12558"/>
    <cellStyle name="常规 9 3 4 3 3" xfId="12559"/>
    <cellStyle name="输出 2 4 3 3 2 3" xfId="12560"/>
    <cellStyle name="标题 1 2 3 5 3" xfId="12561"/>
    <cellStyle name="20% - 强调文字颜色 5 2 3 3 5" xfId="12562"/>
    <cellStyle name="40% - 强调文字颜色 1 2 3 2 2 4 2" xfId="12563"/>
    <cellStyle name="输出 2 4 2 3 7" xfId="12564"/>
    <cellStyle name="40% - 强调文字颜色 2 2 4 2 2 2 2" xfId="12565"/>
    <cellStyle name="输入 2 6 5 2" xfId="12566"/>
    <cellStyle name="超链接 3 2 4 2" xfId="12567"/>
    <cellStyle name="20% - 强调文字颜色 3 2 2 4 5" xfId="12568"/>
    <cellStyle name="20% - 强调文字颜色 2 4 2 2 2 2 2" xfId="12569"/>
    <cellStyle name="警告文本 2 3 2 5 3" xfId="12570"/>
    <cellStyle name="输出 2 2 11 3" xfId="12571"/>
    <cellStyle name="常规 3 6 3 2" xfId="12572"/>
    <cellStyle name="60% - 强调文字颜色 4 2 2 2 6" xfId="12573"/>
    <cellStyle name="差 2 7 2 2 2" xfId="12574"/>
    <cellStyle name="标题 5 2 2 5 2 2" xfId="12575"/>
    <cellStyle name="汇总 2 2 2 10 2" xfId="12576"/>
    <cellStyle name="超链接 3 3 3" xfId="12577"/>
    <cellStyle name="计算 2 2 5 2 2 3 2 3" xfId="12578"/>
    <cellStyle name="输入 2 7 4" xfId="12579"/>
    <cellStyle name="汇总 2 2 2 2 2 2 5" xfId="12580"/>
    <cellStyle name="标题 2 3 2 4" xfId="12581"/>
    <cellStyle name="注释 2 5 5" xfId="12582"/>
    <cellStyle name="链接单元格 2 2 2 2 3 3 2 2" xfId="12583"/>
    <cellStyle name="计算 2 2 5 2 3 4 3" xfId="12584"/>
    <cellStyle name="强调文字颜色 4 2 2 2 2" xfId="12585"/>
    <cellStyle name="计算 2 2 4 2 2 2 8" xfId="12586"/>
    <cellStyle name="20% - 强调文字颜色 3 2 2 4 2 2 2" xfId="12587"/>
    <cellStyle name="计算 2 3 7 2" xfId="12588"/>
    <cellStyle name="常规 4 2 4 3" xfId="12589"/>
    <cellStyle name="输出 2 3 3 2 2 2 2" xfId="12590"/>
    <cellStyle name="计算 4 5 2 2" xfId="12591"/>
    <cellStyle name="常规 8 5" xfId="12592"/>
    <cellStyle name="输入 2 2 2 12" xfId="12593"/>
    <cellStyle name="40% - 强调文字颜色 3 2 3 2 2 2 2 2 2 2" xfId="12594"/>
    <cellStyle name="输出 2 2 13 2" xfId="12595"/>
    <cellStyle name="标题 3 2 2 3 6" xfId="12596"/>
    <cellStyle name="汇总 2 2 4 4 3 3 3" xfId="12597"/>
    <cellStyle name="常规 10 2 4 2 2" xfId="12598"/>
    <cellStyle name="强调文字颜色 5 2 2 5 2" xfId="12599"/>
    <cellStyle name="常规 10 2 2 2 3 3" xfId="12600"/>
    <cellStyle name="链接单元格 2 4 5 3" xfId="12601"/>
    <cellStyle name="汇总 2 5 2 7 2 2" xfId="12602"/>
    <cellStyle name="标题 3 2 5 2 3" xfId="12603"/>
    <cellStyle name="链接单元格 2 8" xfId="12604"/>
    <cellStyle name="常规 2 3 2 4 3 2" xfId="12605"/>
    <cellStyle name="汇总 3 2 6 3" xfId="12606"/>
    <cellStyle name="标题 3 2 4 4 2 3" xfId="12607"/>
    <cellStyle name="20% - 强调文字颜色 4 2 2 2 2 2 3 3" xfId="12608"/>
    <cellStyle name="汇总 2 2 2 2 3 4" xfId="12609"/>
    <cellStyle name="好 2 2 2 2 4 2 2" xfId="12610"/>
    <cellStyle name="输出 2 4 5 5" xfId="12611"/>
    <cellStyle name="常规 2 3 3 5" xfId="12612"/>
    <cellStyle name="计算 2 2 11 2 2 2" xfId="12613"/>
    <cellStyle name="标题 5 3 9" xfId="12614"/>
    <cellStyle name="超链接 3 8" xfId="12615"/>
    <cellStyle name="常规 3 5 2 2 2 2" xfId="12616"/>
    <cellStyle name="汇总 2 2 5 2 3 8" xfId="12617"/>
    <cellStyle name="计算 2 2 4 3 2 2 4 2" xfId="12618"/>
    <cellStyle name="注释 2 2 3 2 4 2 2" xfId="12619"/>
    <cellStyle name="输入 2 9 2 4" xfId="12620"/>
    <cellStyle name="计算 2 3 3 3 3 3" xfId="12621"/>
    <cellStyle name="强调文字颜色 3 2 4 3 4" xfId="12622"/>
    <cellStyle name="20% - 强调文字颜色 2 2 3 2 2 2" xfId="12623"/>
    <cellStyle name="输入 2 5 2 3 3 3" xfId="12624"/>
    <cellStyle name="汇总 3 2 2 6 3" xfId="12625"/>
    <cellStyle name="20% - 强调文字颜色 1 2 2 2 2 4" xfId="12626"/>
    <cellStyle name="标题 2 4 4 2 3" xfId="12627"/>
    <cellStyle name="汇总 2 2 5 3 3 5" xfId="12628"/>
    <cellStyle name="注释 2 4 4 4 2" xfId="12629"/>
    <cellStyle name="40% - 强调文字颜色 4 6 2 2 2" xfId="12630"/>
    <cellStyle name="计算 2 7 2 4" xfId="12631"/>
    <cellStyle name="计算 2 2 3 2 6" xfId="12632"/>
    <cellStyle name="20% - 强调文字颜色 1 2 2 4 3 2 2 2" xfId="12633"/>
    <cellStyle name="60% - 强调文字颜色 1 2 3" xfId="12634"/>
    <cellStyle name="适中 2 9 2 2" xfId="12635"/>
    <cellStyle name="标题 3 2 2 4 5" xfId="12636"/>
    <cellStyle name="汇总 2 2 4 4 3 4 2" xfId="12637"/>
    <cellStyle name="汇总 3 2 2 3 3 3" xfId="12638"/>
    <cellStyle name="20% - 强调文字颜色 4 2 3 2 2 3 3 2" xfId="12639"/>
    <cellStyle name="标题 4 2 4 5 2 2" xfId="12640"/>
    <cellStyle name="计算 2 5 2 2 4" xfId="12641"/>
    <cellStyle name="常规 11 2 2 3 2" xfId="12642"/>
    <cellStyle name="强调文字颜色 6 2 2 3 8" xfId="12643"/>
    <cellStyle name="常规 3 5 2 2 2" xfId="12644"/>
    <cellStyle name="输出 2 4 2 2 2 2" xfId="12645"/>
    <cellStyle name="常规 9 2 3 3 2" xfId="12646"/>
    <cellStyle name="60% - 强调文字颜色 4 2 2 2 8" xfId="12647"/>
    <cellStyle name="40% - 强调文字颜色 1 3 3 3 2" xfId="12648"/>
    <cellStyle name="计算 2 2 9 3" xfId="12649"/>
    <cellStyle name="常规 5 3 2 6" xfId="12650"/>
    <cellStyle name="注释 2 2 9 2 2 2" xfId="12651"/>
    <cellStyle name="常规 10 4 5 3" xfId="12652"/>
    <cellStyle name="60% - 强调文字颜色 1 4 2 3 2 2 2" xfId="12653"/>
    <cellStyle name="常规 3 3 9" xfId="12654"/>
    <cellStyle name="20% - 强调文字颜色 2 2 2 4 4 2" xfId="12655"/>
    <cellStyle name="常规 3 3 7 2 3 3" xfId="12656"/>
    <cellStyle name="常规 3 3 7 2 3" xfId="12657"/>
    <cellStyle name="计算 2 8 3 2 2 2" xfId="12658"/>
    <cellStyle name="适中 2 2 5 2 2 2" xfId="12659"/>
    <cellStyle name="20% - 强调文字颜色 6 2 2 2 2 2 5" xfId="12660"/>
    <cellStyle name="40% - 强调文字颜色 3 2 2 3 3 2 2 2" xfId="12661"/>
    <cellStyle name="输入 2 2 2 5" xfId="12662"/>
    <cellStyle name="输入 2 2 5 2 4 2" xfId="12663"/>
    <cellStyle name="60% - 强调文字颜色 1 2 2 2 2 2 3 2" xfId="12664"/>
    <cellStyle name="输出 2 2 5 9 2" xfId="12665"/>
    <cellStyle name="标题 3 2 5" xfId="12666"/>
    <cellStyle name="输入 2 2 3 7 3" xfId="12667"/>
    <cellStyle name="计算 2 2 6 7" xfId="12668"/>
    <cellStyle name="计算 2 4 3 3 3 2" xfId="12669"/>
    <cellStyle name="强调文字颜色 4 2 4 3 3" xfId="12670"/>
    <cellStyle name="40% - 强调文字颜色 5 4 2 2" xfId="12671"/>
    <cellStyle name="常规 3 3 7 2" xfId="12672"/>
    <cellStyle name="输出 2 3 8 3" xfId="12673"/>
    <cellStyle name="常规 2 2 6 3" xfId="12674"/>
    <cellStyle name="计算 2 5 4 2" xfId="12675"/>
    <cellStyle name="60% - 强调文字颜色 5 3 4 2" xfId="12676"/>
    <cellStyle name="60% - 强调文字颜色 2 4 4 2 2" xfId="12677"/>
    <cellStyle name="常规 10 3 2 3" xfId="12678"/>
    <cellStyle name="常规 5 2 3 4 2 5" xfId="12679"/>
    <cellStyle name="20% - 强调文字颜色 4 2 7 3" xfId="12680"/>
    <cellStyle name="强调文字颜色 2 2 2 2 3 2 2" xfId="12681"/>
    <cellStyle name="20% - 强调文字颜色 1 3 3 2 2" xfId="12682"/>
    <cellStyle name="常规 3 3 3 5" xfId="12683"/>
    <cellStyle name="输入 2 6" xfId="12684"/>
    <cellStyle name="常规 3 3 3 4 3 2" xfId="12685"/>
    <cellStyle name="标题 3 2 3 3 2 2 2" xfId="12686"/>
    <cellStyle name="超链接 2 2 3 5" xfId="12687"/>
    <cellStyle name="注释 3 3 6 2" xfId="12688"/>
    <cellStyle name="超链接 3 5 3 3" xfId="12689"/>
    <cellStyle name="输入 2 9 4 3" xfId="12690"/>
    <cellStyle name="常规 3 3 3 3 3 2" xfId="12691"/>
    <cellStyle name="强调文字颜色 1 2 2 4 2 3" xfId="12692"/>
    <cellStyle name="计算 2 16 3" xfId="12693"/>
    <cellStyle name="汇总 2 2 4 5 5 2 2" xfId="12694"/>
    <cellStyle name="超链接 3 4 4 3" xfId="12695"/>
    <cellStyle name="输入 2 8 5 3" xfId="12696"/>
    <cellStyle name="常规 3 3 3 3 2 2 2" xfId="12697"/>
    <cellStyle name="标题 2 3 2 2 4" xfId="12698"/>
    <cellStyle name="注释 2 5 3 4" xfId="12699"/>
    <cellStyle name="输入 2 2 2 2 3 2 3" xfId="12700"/>
    <cellStyle name="输入 2 8 2 2 4" xfId="12701"/>
    <cellStyle name="适中 2 3 4 2 3" xfId="12702"/>
    <cellStyle name="汇总 2 2 11 2 3" xfId="12703"/>
    <cellStyle name="输出 2 5 3 3 2 2" xfId="12704"/>
    <cellStyle name="输入 2 3 6 3" xfId="12705"/>
    <cellStyle name="20% - 强调文字颜色 4 2 4 4" xfId="12706"/>
    <cellStyle name="60% - 强调文字颜色 2 2 2 2 2 3 3 2" xfId="12707"/>
    <cellStyle name="强调文字颜色 6 2 3 2 5 3" xfId="12708"/>
    <cellStyle name="汇总 2 3 2 14" xfId="12709"/>
    <cellStyle name="计算 2 9 2 2 3" xfId="12710"/>
    <cellStyle name="汇总 2 2 22" xfId="12711"/>
    <cellStyle name="汇总 2 2 17" xfId="12712"/>
    <cellStyle name="常规 2 2 3 2 2 2" xfId="12713"/>
    <cellStyle name="40% - 强调文字颜色 3 2 3 2 2 4 2 2 2" xfId="12714"/>
    <cellStyle name="计算 2 2 6 4 5 2" xfId="12715"/>
    <cellStyle name="标题 3 2 2 5 2" xfId="12716"/>
    <cellStyle name="60% - 强调文字颜色 4 4 2 2" xfId="12717"/>
    <cellStyle name="输出 2 6 3 6" xfId="12718"/>
    <cellStyle name="汇总 2 2 5 12" xfId="12719"/>
    <cellStyle name="常规 14 4" xfId="12720"/>
    <cellStyle name="汇总 2 2 2 2 2 2 3 2 2" xfId="12721"/>
    <cellStyle name="强调文字颜色 6 2 2 3 2 2 3" xfId="12722"/>
    <cellStyle name="差 2 2 2 4 2 2 2" xfId="12723"/>
    <cellStyle name="20% - 强调文字颜色 1 2 2 4 4" xfId="12724"/>
    <cellStyle name="常规 6 2 2 3 2 2 2 2" xfId="12725"/>
    <cellStyle name="汇总 2 6 2 6 3" xfId="12726"/>
    <cellStyle name="20% - 强调文字颜色 3 2 2 3 5" xfId="12727"/>
    <cellStyle name="警告文本 2 3 2 4 3" xfId="12728"/>
    <cellStyle name="标题 2 2 2 7 2" xfId="12729"/>
    <cellStyle name="60% - 强调文字颜色 1 3 5 2 2" xfId="12730"/>
    <cellStyle name="常规 11 2 2 2 3 2 2" xfId="12731"/>
    <cellStyle name="常规 9 3 5 2" xfId="12732"/>
    <cellStyle name="40% - 强调文字颜色 3 2 2 2 2 2 4 3" xfId="12733"/>
    <cellStyle name="解释性文本 2 3 2 2 3" xfId="12734"/>
    <cellStyle name="40% - 强调文字颜色 1 2 5 4" xfId="12735"/>
    <cellStyle name="标题 2 6 3" xfId="12736"/>
    <cellStyle name="注释 2 2 7 10" xfId="12737"/>
    <cellStyle name="计算 2 7 4 3 2" xfId="12738"/>
    <cellStyle name="汇总 2 2 5 2 5" xfId="12739"/>
    <cellStyle name="强调文字颜色 2 2 4 3 2 2 2" xfId="12740"/>
    <cellStyle name="20% - 强调文字颜色 3 4 2 2 2" xfId="12741"/>
    <cellStyle name="60% - 强调文字颜色 1 2 2 5 3 2 2" xfId="12742"/>
    <cellStyle name="常规 5 2 3 8" xfId="12743"/>
    <cellStyle name="汇总 2 9 2 2" xfId="12744"/>
    <cellStyle name="汇总 2 2 2 4 2 3 3" xfId="12745"/>
    <cellStyle name="20% - 强调文字颜色 6 2 3 2 4" xfId="12746"/>
    <cellStyle name="20% - 强调文字颜色 1 2 2 6 2 2 2" xfId="12747"/>
    <cellStyle name="输出 2 2 4 2 2 8" xfId="12748"/>
    <cellStyle name="汇总 2 2 8 6 2" xfId="12749"/>
    <cellStyle name="60% - 强调文字颜色 2 2 2 2 4 3" xfId="12750"/>
    <cellStyle name="40% - 强调文字颜色 4 2 2 3 2" xfId="12751"/>
    <cellStyle name="注释 3 2 2 4 3" xfId="12752"/>
    <cellStyle name="40% - 强调文字颜色 5 2 3 4 3 2 2" xfId="12753"/>
    <cellStyle name="汇总 2 2 6 7" xfId="12754"/>
    <cellStyle name="常规 3 3 2 2 3 3" xfId="12755"/>
    <cellStyle name="输出 2 4 2 9 2" xfId="12756"/>
    <cellStyle name="计算 2 10 2 3 3" xfId="12757"/>
    <cellStyle name="60% - 强调文字颜色 2 2 2 2 3 3" xfId="12758"/>
    <cellStyle name="差 2 2 2 5 2 2" xfId="12759"/>
    <cellStyle name="警告文本 2 2 7 3" xfId="12760"/>
    <cellStyle name="计算 2 2 2 2 9" xfId="12761"/>
    <cellStyle name="40% - 强调文字颜色 2 2 2 2 4 2 2 2" xfId="12762"/>
    <cellStyle name="40% - 强调文字颜色 6 2 4 2 2 2 2 2" xfId="12763"/>
    <cellStyle name="计算 2 5 2 6 3 3" xfId="12764"/>
    <cellStyle name="40% - 强调文字颜色 5 2 3 2 2 4 2 2" xfId="12765"/>
    <cellStyle name="输入 3 7 2 2" xfId="12766"/>
    <cellStyle name="60% - 强调文字颜色 5 2 2 2 2 3 3 2 2" xfId="12767"/>
    <cellStyle name="标题 3 2 2 6 4" xfId="12768"/>
    <cellStyle name="20% - 强调文字颜色 2 2 2 3 2" xfId="12769"/>
    <cellStyle name="40% - 强调文字颜色 4 2 3 4 3 2 2" xfId="12770"/>
    <cellStyle name="注释 4 2 2 2 3" xfId="12771"/>
    <cellStyle name="注释 2 2 2 7" xfId="12772"/>
    <cellStyle name="计算 3 2 2 2 3 2 2" xfId="12773"/>
    <cellStyle name="汇总 2 2 6 4 2" xfId="12774"/>
    <cellStyle name="40% - 强调文字颜色 4 2 2 4 3 3 2" xfId="12775"/>
    <cellStyle name="注释 3 2 2 3 3" xfId="12776"/>
    <cellStyle name="40% - 强调文字颜色 4 2 2 2 2" xfId="12777"/>
    <cellStyle name="计算 2 3 2 2 4 3" xfId="12778"/>
    <cellStyle name="20% - 强调文字颜色 2 2 2 4 3 2" xfId="12779"/>
    <cellStyle name="常规 3 2 9" xfId="12780"/>
    <cellStyle name="注释 2 2 7 4 4" xfId="12781"/>
    <cellStyle name="检查单元格 2 3 2 5" xfId="12782"/>
    <cellStyle name="60% - 强调文字颜色 5 2 3 4 2" xfId="12783"/>
    <cellStyle name="汇总 2 7 2 3 4 2" xfId="12784"/>
    <cellStyle name="计算 2 2 6 2 5 2" xfId="12785"/>
    <cellStyle name="60% - 强调文字颜色 4 2 2 2" xfId="12786"/>
    <cellStyle name="计算 2 2 2 4 2 2 2" xfId="12787"/>
    <cellStyle name="汇总 2 2 3 2 9" xfId="12788"/>
    <cellStyle name="标题 5 2 2 2 2 2 2 2" xfId="12789"/>
    <cellStyle name="20% - 强调文字颜色 4 5 2 2" xfId="12790"/>
    <cellStyle name="强调文字颜色 6 2 3 2 3 3 3" xfId="12791"/>
    <cellStyle name="常规 3 2 4 2 2 2" xfId="12792"/>
    <cellStyle name="计算 2 3 4 2 4 3" xfId="12793"/>
    <cellStyle name="强调文字颜色 6 2 2 2 3 3 2" xfId="12794"/>
    <cellStyle name="计算 2 2 4 2 4 2" xfId="12795"/>
    <cellStyle name="汇总 2 3 11" xfId="12796"/>
    <cellStyle name="适中 2 8 4" xfId="12797"/>
    <cellStyle name="计算 2 2 3 2 2 2 2 2" xfId="12798"/>
    <cellStyle name="20% - 强调文字颜色 2 3 3 2 2" xfId="12799"/>
    <cellStyle name="汇总 2 2 4 12" xfId="12800"/>
    <cellStyle name="强调文字颜色 2 2 3 2 3 2 2" xfId="12801"/>
    <cellStyle name="40% - 强调文字颜色 4 2 3 4 2" xfId="12802"/>
    <cellStyle name="20% - 强调文字颜色 1 2 3 3 2 2 2 2" xfId="12803"/>
    <cellStyle name="20% - 强调文字颜色 4 2 2 4 2 2 2 2" xfId="12804"/>
    <cellStyle name="汇总 2 4 2 2 2 3" xfId="12805"/>
    <cellStyle name="汇总 2 2 4 4 3 4" xfId="12806"/>
    <cellStyle name="标题 5 2 2 2 6 2 2" xfId="12807"/>
    <cellStyle name="汇总 2 7 3" xfId="12808"/>
    <cellStyle name="强调文字颜色 6 2 2 5" xfId="12809"/>
    <cellStyle name="标题 5 3 2 3 2 2" xfId="12810"/>
    <cellStyle name="注释 2 2 4 2 8" xfId="12811"/>
    <cellStyle name="常规 2 4 3 2 2 2" xfId="12812"/>
    <cellStyle name="计算 2 2 2 4 5 2" xfId="12813"/>
    <cellStyle name="标题 3 2 3 5" xfId="12814"/>
    <cellStyle name="强调文字颜色 3 2 3 4 3 2 2" xfId="12815"/>
    <cellStyle name="60% - 强调文字颜色 4 5 2" xfId="12816"/>
    <cellStyle name="计算 2 2 6 5 5" xfId="12817"/>
    <cellStyle name="强调文字颜色 2 2 2 2 2 2 2 3" xfId="12818"/>
    <cellStyle name="输入 2 6 2 3 3 2" xfId="12819"/>
    <cellStyle name="40% - 强调文字颜色 3 2 2" xfId="12820"/>
    <cellStyle name="注释 2 2 5 3 2" xfId="12821"/>
    <cellStyle name="汇总 2 2 15 2 2" xfId="12822"/>
    <cellStyle name="汇总 2 2 3 4 2 5" xfId="12823"/>
    <cellStyle name="常规 3 2 2 4 3 2" xfId="12824"/>
    <cellStyle name="好 5 2" xfId="12825"/>
    <cellStyle name="差 2 3 2 5 2" xfId="12826"/>
    <cellStyle name="60% - 强调文字颜色 6 2 2 2 6 2 3" xfId="12827"/>
    <cellStyle name="计算 2 2 10 2 6" xfId="12828"/>
    <cellStyle name="20% - 强调文字颜色 3 2 2 2 2 3 2 2 2" xfId="12829"/>
    <cellStyle name="差 2 4 6 3" xfId="12830"/>
    <cellStyle name="强调文字颜色 2 2 2 4 5 2" xfId="12831"/>
    <cellStyle name="强调文字颜色 1 2 3 3 2 2" xfId="12832"/>
    <cellStyle name="输出 2 5 8 2" xfId="12833"/>
    <cellStyle name="常规 2 4 6 2" xfId="12834"/>
    <cellStyle name="40% - 强调文字颜色 6 2 2 2 2 4 3" xfId="12835"/>
    <cellStyle name="强调文字颜色 3 4 2 2" xfId="12836"/>
    <cellStyle name="常规 3 2 2 3 2" xfId="12837"/>
    <cellStyle name="40% - 强调文字颜色 4 2 3 2 2 3 3" xfId="12838"/>
    <cellStyle name="输出 2 2 9 2 5" xfId="12839"/>
    <cellStyle name="强调文字颜色 6 2 3 5 2 2 2" xfId="12840"/>
    <cellStyle name="标题 4 2 2 2 3 3" xfId="12841"/>
    <cellStyle name="注释 2 10 2" xfId="12842"/>
    <cellStyle name="强调文字颜色 3 2 6 3" xfId="12843"/>
    <cellStyle name="注释 2 2 4 2" xfId="12844"/>
    <cellStyle name="输入 2 6 2 2 2" xfId="12845"/>
    <cellStyle name="差 2 3 2 8" xfId="12846"/>
    <cellStyle name="20% - 强调文字颜色 4 2 2 2 2 3 2 2 2" xfId="12847"/>
    <cellStyle name="汇总 2 2 4 10 3" xfId="12848"/>
    <cellStyle name="汇总 2 2 2 3 2 3 2" xfId="12849"/>
    <cellStyle name="汇总 2 7 3 8" xfId="12850"/>
    <cellStyle name="汇总 2 2 4 2 2 3 5" xfId="12851"/>
    <cellStyle name="输出 4 2 3 2" xfId="12852"/>
    <cellStyle name="20% - 强调文字颜色 6 2 2 9" xfId="12853"/>
    <cellStyle name="20% - 强调文字颜色 3 2 2 2 3 2 2" xfId="12854"/>
    <cellStyle name="适中 2 2 4 2" xfId="12855"/>
    <cellStyle name="强调文字颜色 6 2 4" xfId="12856"/>
    <cellStyle name="计算 2 5 4 3 3 2 2" xfId="12857"/>
    <cellStyle name="40% - 强调文字颜色 5 2 3 2 2 4 3" xfId="12858"/>
    <cellStyle name="汇总 2 2 5 5 2 3" xfId="12859"/>
    <cellStyle name="20% - 强调文字颜色 6 2 2 3 3" xfId="12860"/>
    <cellStyle name="输入 2 5 2 13" xfId="12861"/>
    <cellStyle name="计算 2 2 2 4 6" xfId="12862"/>
    <cellStyle name="汇总 2 16 3" xfId="12863"/>
    <cellStyle name="输入 2 7 2 7" xfId="12864"/>
    <cellStyle name="适中 2 3 4 3" xfId="12865"/>
    <cellStyle name="汇总 2 2 11 3" xfId="12866"/>
    <cellStyle name="输入 2" xfId="12867"/>
    <cellStyle name="常规 2 8" xfId="12868"/>
    <cellStyle name="超链接 2 2 3 4 3" xfId="12869"/>
    <cellStyle name="注释 3 2 9" xfId="12870"/>
    <cellStyle name="40% - 强调文字颜色 5 2 4 4 2 2" xfId="12871"/>
    <cellStyle name="20% - 强调文字颜色 4 2 2 2 6" xfId="12872"/>
    <cellStyle name="计算 3 2 4 4" xfId="12873"/>
    <cellStyle name="警告文本 2 2 3 2 2 2 3" xfId="12874"/>
    <cellStyle name="警告文本 2 3 5 2 2 2" xfId="12875"/>
    <cellStyle name="强调文字颜色 4 2 4 3" xfId="12876"/>
    <cellStyle name="强调文字颜色 5 2 2 6 2 2 2" xfId="12877"/>
    <cellStyle name="输入 2 2 3 7" xfId="12878"/>
    <cellStyle name="注释 2 2 3 3 2 3 3" xfId="12879"/>
    <cellStyle name="常规 6 3 2 4 2" xfId="12880"/>
    <cellStyle name="输出 2 2 3 4 5" xfId="12881"/>
    <cellStyle name="好 3 2 2 2" xfId="12882"/>
    <cellStyle name="链接单元格 2 2 2 2 7" xfId="12883"/>
    <cellStyle name="常规 3 3 4" xfId="12884"/>
    <cellStyle name="差 2 3 2 3 2 2 2" xfId="12885"/>
    <cellStyle name="常规 9 5 3 2 2" xfId="12886"/>
    <cellStyle name="强调文字颜色 2 2 2 5 3" xfId="12887"/>
    <cellStyle name="标题 3 2 2 3 4 2" xfId="12888"/>
    <cellStyle name="差 2 2 5 2 2 2" xfId="12889"/>
    <cellStyle name="超链接 2 3 4 4" xfId="12890"/>
    <cellStyle name="计算 2 2 5" xfId="12891"/>
    <cellStyle name="输出 8 2 2" xfId="12892"/>
    <cellStyle name="20% - 强调文字颜色 3 2 2 2 2 4 3 2" xfId="12893"/>
    <cellStyle name="警告文本 2 2 2 4 3 2 2" xfId="12894"/>
    <cellStyle name="注释 2 4 3 4" xfId="12895"/>
    <cellStyle name="汇总 2 4 3 3 2 3" xfId="12896"/>
    <cellStyle name="计算 2 2 6 3" xfId="12897"/>
    <cellStyle name="60% - 强调文字颜色 2 2 5 3 2" xfId="12898"/>
    <cellStyle name="60% - 强调文字颜色 3 4 5 2" xfId="12899"/>
    <cellStyle name="标题 2 2 3 7" xfId="12900"/>
    <cellStyle name="60% - 强调文字颜色 1 3 6 2" xfId="12901"/>
    <cellStyle name="超链接 3 7 2" xfId="12902"/>
    <cellStyle name="强调文字颜色 6 2 2 3 3 2 3" xfId="12903"/>
    <cellStyle name="汇总 2 2 2 2 2 2 4 2 2" xfId="12904"/>
    <cellStyle name="警告文本 2 5 3 2" xfId="12905"/>
    <cellStyle name="计算 2 2 4 2 2 3" xfId="12906"/>
    <cellStyle name="计算 2 4 2 12" xfId="12907"/>
    <cellStyle name="计算 2 4 4 2 6" xfId="12908"/>
    <cellStyle name="差 2 2 5" xfId="12909"/>
    <cellStyle name="汇总 2 5 2 3 3 2" xfId="12910"/>
    <cellStyle name="计算 2 2 6 3 3 3" xfId="12911"/>
    <cellStyle name="常规 3 6 3" xfId="12912"/>
    <cellStyle name="标题 5 2 2 5 2" xfId="12913"/>
    <cellStyle name="差 2 7 2 2" xfId="12914"/>
    <cellStyle name="汇总 2 2 2 4 2 3 2" xfId="12915"/>
    <cellStyle name="20% - 强调文字颜色 4 2 2 2 2 4 2 2 2" xfId="12916"/>
    <cellStyle name="60% - 强调文字颜色 1 2 2 2 5 2 2" xfId="12917"/>
    <cellStyle name="输入 2 2 8 2 3" xfId="12918"/>
    <cellStyle name="计算 2 2 5 2 2 7" xfId="12919"/>
    <cellStyle name="输出 2 5 6 2" xfId="12920"/>
    <cellStyle name="常规 2 4 4 2" xfId="12921"/>
    <cellStyle name="常规 5 2 3 2 2 3 3" xfId="12922"/>
    <cellStyle name="标题 1 4 2 3 2 2" xfId="12923"/>
    <cellStyle name="60% - 强调文字颜色 5 2 2 2 3 6" xfId="12924"/>
    <cellStyle name="输出 2 7 5 2" xfId="12925"/>
    <cellStyle name="60% - 强调文字颜色 6 2 3 2 3 4" xfId="12926"/>
    <cellStyle name="常规 2 6 3 2" xfId="12927"/>
    <cellStyle name="常规 2 4 3 3 2" xfId="12928"/>
    <cellStyle name="汇总 2 5 2 3 3 2 2" xfId="12929"/>
    <cellStyle name="汇总 2 5 2 3 7" xfId="12930"/>
    <cellStyle name="差 2 2 5 2" xfId="12931"/>
    <cellStyle name="汇总 2 8 3 4 2 2" xfId="12932"/>
    <cellStyle name="标题 6 3 2 2 3" xfId="12933"/>
    <cellStyle name="输出 2 8 6" xfId="12934"/>
    <cellStyle name="输出 2 2 2 3 3 3" xfId="12935"/>
    <cellStyle name="计算 2 7 8 3" xfId="12936"/>
    <cellStyle name="强调文字颜色 4 4 3" xfId="12937"/>
    <cellStyle name="常规 3 3 2 4" xfId="12938"/>
    <cellStyle name="常规 2 4 3" xfId="12939"/>
    <cellStyle name="输出 2 5 5" xfId="12940"/>
    <cellStyle name="输入 2 5 5 8" xfId="12941"/>
    <cellStyle name="输出 2 2 5 5 5" xfId="12942"/>
    <cellStyle name="输入 2 2 3 3 6" xfId="12943"/>
    <cellStyle name="常规 11 2 6 2" xfId="12944"/>
    <cellStyle name="汇总 2 5 4 3 4 2" xfId="12945"/>
    <cellStyle name="计算 2 2 8 3 4 3" xfId="12946"/>
    <cellStyle name="汇总 3 3 5 2 2" xfId="12947"/>
    <cellStyle name="计算 2 6 2 2 2" xfId="12948"/>
    <cellStyle name="常规 2 3 4 3 2" xfId="12949"/>
    <cellStyle name="汇总 2 6 3 2 4 3" xfId="12950"/>
    <cellStyle name="标题 1 2 3 2 2 3 3" xfId="12951"/>
    <cellStyle name="输出 2 4 5 6" xfId="12952"/>
    <cellStyle name="常规 2 3 3 6" xfId="12953"/>
    <cellStyle name="解释性文本 4 4" xfId="12954"/>
    <cellStyle name="警告文本 2 6 3 2" xfId="12955"/>
    <cellStyle name="计算 2 2 4 3 2 3" xfId="12956"/>
    <cellStyle name="输出 2 8 2 2 2 2" xfId="12957"/>
    <cellStyle name="好 2 4 3 3 2" xfId="12958"/>
    <cellStyle name="注释 2 2 5 10 2" xfId="12959"/>
    <cellStyle name="60% - 强调文字颜色 5 2 2 8" xfId="12960"/>
    <cellStyle name="汇总 2 2 6 10 2" xfId="12961"/>
    <cellStyle name="计算 2 8 4 3 2" xfId="12962"/>
    <cellStyle name="差 2 4 3 3 2" xfId="12963"/>
    <cellStyle name="汇总 2 4 2 3 3" xfId="12964"/>
    <cellStyle name="40% - 强调文字颜色 1 2 2 2 2 2 3 3" xfId="12965"/>
    <cellStyle name="60% - 强调文字颜色 5 3 8" xfId="12966"/>
    <cellStyle name="差 2 2 3 2 2 2 2" xfId="12967"/>
    <cellStyle name="60% - 强调文字颜色 2 3 2 2 3 2 2" xfId="12968"/>
    <cellStyle name="标题 5 2 2 3 4" xfId="12969"/>
    <cellStyle name="输出 2 4 5 3 2" xfId="12970"/>
    <cellStyle name="常规 2 3 3 3 2" xfId="12971"/>
    <cellStyle name="常规 9 5 4 3" xfId="12972"/>
    <cellStyle name="输入 2 2 3 2 2 2" xfId="12973"/>
    <cellStyle name="适中 2 2 5 3 2 2" xfId="12974"/>
    <cellStyle name="强调文字颜色 1 2 5 3 3" xfId="12975"/>
    <cellStyle name="40% - 强调文字颜色 6 2 3 5" xfId="12976"/>
    <cellStyle name="60% - 强调文字颜色 2 2 4 4" xfId="12977"/>
    <cellStyle name="计算 2 2 5 3 9" xfId="12978"/>
    <cellStyle name="60% - 强调文字颜色 3 3 6" xfId="12979"/>
    <cellStyle name="警告文本 3 2 2 4" xfId="12980"/>
    <cellStyle name="20% - 强调文字颜色 4 2 4 7" xfId="12981"/>
    <cellStyle name="输出 2 4 5" xfId="12982"/>
    <cellStyle name="常规 2 3 3" xfId="12983"/>
    <cellStyle name="标题 5 3 3 7" xfId="12984"/>
    <cellStyle name="标题 3 2 2 9 2" xfId="12985"/>
    <cellStyle name="输入 2 2 2 8" xfId="12986"/>
    <cellStyle name="强调文字颜色 4 2 3 4" xfId="12987"/>
    <cellStyle name="计算 2 2 4 2 2 2 2 3" xfId="12988"/>
    <cellStyle name="20% - 强调文字颜色 2 2 3 2 5" xfId="12989"/>
    <cellStyle name="40% - 强调文字颜色 3 2 2 2 2 2 4 2" xfId="12990"/>
    <cellStyle name="常规 12 2 2 2 5" xfId="12991"/>
    <cellStyle name="解释性文本 2 3 2 7" xfId="12992"/>
    <cellStyle name="常规 5 3 2 2 3 5" xfId="12993"/>
    <cellStyle name="解释性文本 2 3 2 4 2" xfId="12994"/>
    <cellStyle name="40% - 强调文字颜色 1 2 7 3" xfId="12995"/>
    <cellStyle name="60% - 强调文字颜色 5 2 2 8 2" xfId="12996"/>
    <cellStyle name="40% - 强调文字颜色 3 3 2 5" xfId="12997"/>
    <cellStyle name="适中 3 7" xfId="12998"/>
    <cellStyle name="输入 3 2 2 2 2 2" xfId="12999"/>
    <cellStyle name="常规 2 3 3 2 2 2" xfId="13000"/>
    <cellStyle name="40% - 强调文字颜色 1 2 4" xfId="13001"/>
    <cellStyle name="常规 9 5 3 3 2" xfId="13002"/>
    <cellStyle name="输出 2 4 5 2 2 2" xfId="13003"/>
    <cellStyle name="40% - 强调文字颜色 3 2 2 2 4 2 2" xfId="13004"/>
    <cellStyle name="常规 5 4 2 2 3" xfId="13005"/>
    <cellStyle name="汇总 2 5 2 2 3 4 2" xfId="13006"/>
    <cellStyle name="链接单元格 2 4 3 2" xfId="13007"/>
    <cellStyle name="40% - 强调文字颜色 2 2 4 4 3" xfId="13008"/>
    <cellStyle name="常规 10 4 2 3" xfId="13009"/>
    <cellStyle name="汇总 2 2 5 2 2 2 5" xfId="13010"/>
    <cellStyle name="60% - 强调文字颜色 1 2 3 2 3 3 2 2" xfId="13011"/>
    <cellStyle name="汇总 2 5 4 2 6" xfId="13012"/>
    <cellStyle name="强调文字颜色 2 2 2 6 3" xfId="13013"/>
    <cellStyle name="60% - 强调文字颜色 6 3 4 2 3" xfId="13014"/>
    <cellStyle name="强调文字颜色 2 2 2 4 2" xfId="13015"/>
    <cellStyle name="20% - 强调文字颜色 1 5 2" xfId="13016"/>
    <cellStyle name="计算 2 6 2 2 10" xfId="13017"/>
    <cellStyle name="计算 2 7 7 3" xfId="13018"/>
    <cellStyle name="计算 2 2 3 3 3 4 2" xfId="13019"/>
    <cellStyle name="输出 2 2 2 3 2 3" xfId="13020"/>
    <cellStyle name="20% - 强调文字颜色 3 4 5 2" xfId="13021"/>
    <cellStyle name="强调文字颜色 4 3 3" xfId="13022"/>
    <cellStyle name="链接单元格 2 2 2 2 4 4" xfId="13023"/>
    <cellStyle name="40% - 强调文字颜色 1 2 5 4 2 2" xfId="13024"/>
    <cellStyle name="60% - 强调文字颜色 4 2 2 2 3" xfId="13025"/>
    <cellStyle name="60% - 强调文字颜色 4 2 2 3 4 2 2 2" xfId="13026"/>
    <cellStyle name="强调文字颜色 3 2 4 4 4" xfId="13027"/>
    <cellStyle name="常规 10 2 4 2 2 2" xfId="13028"/>
    <cellStyle name="40% - 强调文字颜色 4 4 2 3" xfId="13029"/>
    <cellStyle name="计算 2 2 3 2 12" xfId="13030"/>
    <cellStyle name="常规 6 4 4 2 2 2" xfId="13031"/>
    <cellStyle name="20% - 强调文字颜色 2 2 10 2" xfId="13032"/>
    <cellStyle name="输出 2 2 5 2 2 4 2" xfId="13033"/>
    <cellStyle name="汇总 2 2 6 8 2 2" xfId="13034"/>
    <cellStyle name="40% - 强调文字颜色 6 2 3 3 3 2 2" xfId="13035"/>
    <cellStyle name="标题 5" xfId="13036"/>
    <cellStyle name="汇总 2 7 2 2 5" xfId="13037"/>
    <cellStyle name="输入 3 3 4 2" xfId="13038"/>
    <cellStyle name="差 2 6 2 2" xfId="13039"/>
    <cellStyle name="计算 2 2 4 11" xfId="13040"/>
    <cellStyle name="60% - 强调文字颜色 3 2 2 2 3 2" xfId="13041"/>
    <cellStyle name="输入 2 2 3 4 2 2" xfId="13042"/>
    <cellStyle name="计算 2 2 3 6 2" xfId="13043"/>
    <cellStyle name="标题 2 3 3 3 2" xfId="13044"/>
    <cellStyle name="注释 2 6 4 2" xfId="13045"/>
    <cellStyle name="标题 1 3 4 3" xfId="13046"/>
    <cellStyle name="强调文字颜色 4 2 2 4 2 3" xfId="13047"/>
    <cellStyle name="20% - 强调文字颜色 2 2 5 3 2 2" xfId="13048"/>
    <cellStyle name="汇总 2 2 3 4 5 3" xfId="13049"/>
    <cellStyle name="汇总 2 5 4 2 5" xfId="13050"/>
    <cellStyle name="强调文字颜色 2 2 2 6 2" xfId="13051"/>
    <cellStyle name="常规 7 2 4 3 2" xfId="13052"/>
    <cellStyle name="输出 2 2 2 3 2 2" xfId="13053"/>
    <cellStyle name="常规 5 2 3 3 3 2" xfId="13054"/>
    <cellStyle name="注释 2 2 3 2 3 3 3" xfId="13055"/>
    <cellStyle name="计算 3" xfId="13056"/>
    <cellStyle name="标题 3 2 2 2 4 2 2" xfId="13057"/>
    <cellStyle name="输入 2 2 6 4 2" xfId="13058"/>
    <cellStyle name="汇总 2 5 2 4 2 3 2 2" xfId="13059"/>
    <cellStyle name="计算 2 5 3 6" xfId="13060"/>
    <cellStyle name="汇总 2 2 4 5 2 4 3" xfId="13061"/>
    <cellStyle name="注释 2 4 2 5 4" xfId="13062"/>
    <cellStyle name="40% - 强调文字颜色 5 2 2 3 4 3 2" xfId="13063"/>
    <cellStyle name="输出 2 2 4 2 2 2 5" xfId="13064"/>
    <cellStyle name="常规 13 4 2" xfId="13065"/>
    <cellStyle name="输出 2 2 4 3 2 2 3" xfId="13066"/>
    <cellStyle name="强调文字颜色 6 2 4 5 2" xfId="13067"/>
    <cellStyle name="汇总 2 9 3 2" xfId="13068"/>
    <cellStyle name="适中 4 9" xfId="13069"/>
    <cellStyle name="输出 2 2 3 4 2 6" xfId="13070"/>
    <cellStyle name="计算 2 2 5 2 2 3" xfId="13071"/>
    <cellStyle name="标题 4 3 3 3 2 2" xfId="13072"/>
    <cellStyle name="注释 2 4 4 2 6" xfId="13073"/>
    <cellStyle name="标题 4 2 5 4" xfId="13074"/>
    <cellStyle name="计算 7 2 2" xfId="13075"/>
    <cellStyle name="计算 2 5 4 2 6" xfId="13076"/>
    <cellStyle name="常规 2 3 2 2 2 2 2 2 2" xfId="13077"/>
    <cellStyle name="输入 2 2 4 2 3 2 2 2 2" xfId="13078"/>
    <cellStyle name="20% - 强调文字颜色 6 2 3 2 4 2 2 2" xfId="13079"/>
    <cellStyle name="链接单元格 2 2 2 2 3 3 3" xfId="13080"/>
    <cellStyle name="强调文字颜色 4 2 2 3" xfId="13081"/>
    <cellStyle name="检查单元格 2 4 4 2" xfId="13082"/>
    <cellStyle name="注释 2 7 4" xfId="13083"/>
    <cellStyle name="强调文字颜色 4 2 3 4 2 3" xfId="13084"/>
    <cellStyle name="标题 2 3 4 3" xfId="13085"/>
    <cellStyle name="输入 2 7 6 2 2" xfId="13086"/>
    <cellStyle name="输出 2 2 2 2 6" xfId="13087"/>
    <cellStyle name="超链接 3 3 5 2 2" xfId="13088"/>
    <cellStyle name="常规 3 7 6" xfId="13089"/>
    <cellStyle name="60% - 强调文字颜色 3 3 2 2 2" xfId="13090"/>
    <cellStyle name="计算 3 2 3 5" xfId="13091"/>
    <cellStyle name="计算 2 2 5 3 5 2 2" xfId="13092"/>
    <cellStyle name="解释性文本 2 4 4" xfId="13093"/>
    <cellStyle name="计算 2 2 5 2 2 2 5 2" xfId="13094"/>
    <cellStyle name="超链接 2 6 2" xfId="13095"/>
    <cellStyle name="注释 2 2 2 2 3 2 3" xfId="13096"/>
    <cellStyle name="计算 2 2 4 4 3 3 2" xfId="13097"/>
    <cellStyle name="计算 2 5 2 4 7" xfId="13098"/>
    <cellStyle name="计算 5 4 3" xfId="13099"/>
    <cellStyle name="汇总 2 3 2 6 2" xfId="13100"/>
    <cellStyle name="适中 2 2 2 3 2 3" xfId="13101"/>
    <cellStyle name="40% - 强调文字颜色 4 2 4" xfId="13102"/>
    <cellStyle name="40% - 强调文字颜色 2 2 2 3 4 3" xfId="13103"/>
    <cellStyle name="输出 3 5 2" xfId="13104"/>
    <cellStyle name="60% - 强调文字颜色 4 2 2 2 2 3 3 2 2" xfId="13105"/>
    <cellStyle name="链接单元格 2 2 2 3 3" xfId="13106"/>
    <cellStyle name="计算 2 8 2 2 4 2" xfId="13107"/>
    <cellStyle name="汇总 2 5 2 12" xfId="13108"/>
    <cellStyle name="输出 2 6 4 3 2" xfId="13109"/>
    <cellStyle name="差 2 3 3 2" xfId="13110"/>
    <cellStyle name="常规 6 4 2 3" xfId="13111"/>
    <cellStyle name="输出 2 3 2 2 2 7" xfId="13112"/>
    <cellStyle name="常规 4 2 2 2 2 3" xfId="13113"/>
    <cellStyle name="汇总 2 2 8 3 2 5" xfId="13114"/>
    <cellStyle name="标题 2 2 2 2 9" xfId="13115"/>
    <cellStyle name="计算 3 2 2 2 4 3" xfId="13116"/>
    <cellStyle name="输入 3 8 3" xfId="13117"/>
    <cellStyle name="常规 3 3 3 2 2 2" xfId="13118"/>
    <cellStyle name="输出 2 2 3 2 6 2 2" xfId="13119"/>
    <cellStyle name="计算 2 3 3 2 4 2" xfId="13120"/>
    <cellStyle name="强调文字颜色 3 2 3 4 3" xfId="13121"/>
    <cellStyle name="汇总 2 2 5 2 4 4" xfId="13122"/>
    <cellStyle name="计算 2 8 7 3" xfId="13123"/>
    <cellStyle name="输出 2 2 2 4 2 3" xfId="13124"/>
    <cellStyle name="超链接 2 2 4 2 2 2 2" xfId="13125"/>
    <cellStyle name="强调文字颜色 5 3 3" xfId="13126"/>
    <cellStyle name="注释 2 5 4 3 2 2" xfId="13127"/>
    <cellStyle name="40% - 强调文字颜色 3 4 2 3 2" xfId="13128"/>
    <cellStyle name="注释 2 4 2 4 3" xfId="13129"/>
    <cellStyle name="计算 2 5 2 2 3" xfId="13130"/>
    <cellStyle name="常规 2 2 4 3 3" xfId="13131"/>
    <cellStyle name="标题 4 2 2 2 3 4" xfId="13132"/>
    <cellStyle name="强调文字颜色 3 2 6 4" xfId="13133"/>
    <cellStyle name="注释 2 10 3" xfId="13134"/>
    <cellStyle name="60% - 强调文字颜色 4 2 2 2 2 2 2 2" xfId="13135"/>
    <cellStyle name="常规 3 4 3 2" xfId="13136"/>
    <cellStyle name="链接单元格 2 2 5" xfId="13137"/>
    <cellStyle name="常规 2 2 4 3 2 2" xfId="13138"/>
    <cellStyle name="计算 2 5 2 2 2 2" xfId="13139"/>
    <cellStyle name="20% - 强调文字颜色 5 2 2 7 2 2" xfId="13140"/>
    <cellStyle name="标题 5 3 2" xfId="13141"/>
    <cellStyle name="60% - 强调文字颜色 3 2 3 2 4" xfId="13142"/>
    <cellStyle name="标题 3 2 2 2 2 2 3" xfId="13143"/>
    <cellStyle name="输入 2 2 4 4 3" xfId="13144"/>
    <cellStyle name="计算 2 3 3 7" xfId="13145"/>
    <cellStyle name="标题 1 2 3 2 2 2 3" xfId="13146"/>
    <cellStyle name="注释 2 2 2 5" xfId="13147"/>
    <cellStyle name="汇总 2 2 12 4" xfId="13148"/>
    <cellStyle name="常规 6 2 2 2 3 3 2" xfId="13149"/>
    <cellStyle name="汇总 2 2 2 3 2 4 3" xfId="13150"/>
    <cellStyle name="常规 3 3 3 4 2 2" xfId="13151"/>
    <cellStyle name="计算 2 2 3 2 2 2 5 2" xfId="13152"/>
    <cellStyle name="差 2 2 2 3 3" xfId="13153"/>
    <cellStyle name="标题 4 2 10" xfId="13154"/>
    <cellStyle name="60% - 强调文字颜色 6 2 5 3 2 2" xfId="13155"/>
    <cellStyle name="60% - 强调文字颜色 4 3 2 2 3 2 2 2" xfId="13156"/>
    <cellStyle name="汇总 2 2 3 13" xfId="13157"/>
    <cellStyle name="计算 2 2 4 5 8" xfId="13158"/>
    <cellStyle name="汇总 2 6 2 2 6" xfId="13159"/>
    <cellStyle name="输入 2 3 4 3" xfId="13160"/>
    <cellStyle name="解释性文本 2 2 2 2 4" xfId="13161"/>
    <cellStyle name="汇总 2 5 4 4 2" xfId="13162"/>
    <cellStyle name="汇总 2 2 16 2" xfId="13163"/>
    <cellStyle name="注释 2 2 6 3" xfId="13164"/>
    <cellStyle name="计算 2 9 2 2 2 2" xfId="13165"/>
    <cellStyle name="标题 1 2 2 2 4 2 2" xfId="13166"/>
    <cellStyle name="40% - 强调文字颜色 5 2 3 2 5 2 2 2" xfId="13167"/>
    <cellStyle name="输入 2 6 2 4 3" xfId="13168"/>
    <cellStyle name="60% - 强调文字颜色 5 3 2 2 3 2" xfId="13169"/>
    <cellStyle name="解释性文本 2 2 2 5" xfId="13170"/>
    <cellStyle name="输出 2 3 6 3" xfId="13171"/>
    <cellStyle name="计算 2 5 2 2" xfId="13172"/>
    <cellStyle name="常规 2 2 4 3" xfId="13173"/>
    <cellStyle name="警告文本 2 3 2 2 2" xfId="13174"/>
    <cellStyle name="汇总 2 8 4 6" xfId="13175"/>
    <cellStyle name="60% - 强调文字颜色 6 2 2 4 3" xfId="13176"/>
    <cellStyle name="汇总 2 2 11 2 2 2" xfId="13177"/>
    <cellStyle name="适中 2 3 4 2 2 2" xfId="13178"/>
    <cellStyle name="强调文字颜色 1 3 8" xfId="13179"/>
    <cellStyle name="常规 2 2 4 2 3" xfId="13180"/>
    <cellStyle name="计算 2 2 4 4 2 4" xfId="13181"/>
    <cellStyle name="差 2 3 8" xfId="13182"/>
    <cellStyle name="汇总 2 2 4 4 2 4 3" xfId="13183"/>
    <cellStyle name="常规 10 2 3 3 2" xfId="13184"/>
    <cellStyle name="输入 2 10 3" xfId="13185"/>
    <cellStyle name="常规 2 2 3 4 2 2 2" xfId="13186"/>
    <cellStyle name="标题 1 2 3 2 2 2 2" xfId="13187"/>
    <cellStyle name="注释 3 3 9" xfId="13188"/>
    <cellStyle name="注释 2 2 2 4" xfId="13189"/>
    <cellStyle name="适中 2 3 5 3" xfId="13190"/>
    <cellStyle name="汇总 2 2 12 3" xfId="13191"/>
    <cellStyle name="汇总 2 2 4 11 3" xfId="13192"/>
    <cellStyle name="汇总 2 2 2 3 2 4 2" xfId="13193"/>
    <cellStyle name="输入 2 5 3 7" xfId="13194"/>
    <cellStyle name="汇总 4 2 2 3 2 2" xfId="13195"/>
    <cellStyle name="差 2 2 8 2" xfId="13196"/>
    <cellStyle name="常规 10 2 3 2 2 2" xfId="13197"/>
    <cellStyle name="常规 2 2 3 3 3 2" xfId="13198"/>
    <cellStyle name="常规 2 2 3 3 2 2 2" xfId="13199"/>
    <cellStyle name="常规 2 2 3 2 2 2 2" xfId="13200"/>
    <cellStyle name="汇总 2 2 3 9" xfId="13201"/>
    <cellStyle name="常规 4 6 2 4" xfId="13202"/>
    <cellStyle name="注释 3 2 3 2" xfId="13203"/>
    <cellStyle name="计算 2 3 2 2 2 5" xfId="13204"/>
    <cellStyle name="输出 2 6 7 2 2" xfId="13205"/>
    <cellStyle name="输出 2 4 2 3 5 3" xfId="13206"/>
    <cellStyle name="警告文本 2 2 4 3 2" xfId="13207"/>
    <cellStyle name="注释 2 2 8 6" xfId="13208"/>
    <cellStyle name="计算 2 2 4 2 4 3 2 2" xfId="13209"/>
    <cellStyle name="常规 6 2" xfId="13210"/>
    <cellStyle name="标题 5 2 5 2 3" xfId="13211"/>
    <cellStyle name="注释 2 2 3 3 2 2 3 2" xfId="13212"/>
    <cellStyle name="计算 2 4 2 2 5 2 2" xfId="13213"/>
    <cellStyle name="常规 2 2 2 3 5" xfId="13214"/>
    <cellStyle name="40% - 强调文字颜色 3 2 2 3 4 2" xfId="13215"/>
    <cellStyle name="常规 2 2 2 3 2 2 2 2 2" xfId="13216"/>
    <cellStyle name="注释 2 2 2 4 5" xfId="13217"/>
    <cellStyle name="40% - 强调文字颜色 3 2 2 3 4" xfId="13218"/>
    <cellStyle name="强调文字颜色 5 2 2 4 4 2 2" xfId="13219"/>
    <cellStyle name="常规 2 2 2 3 2 2 2 2" xfId="13220"/>
    <cellStyle name="标题 5 2 2 2 7" xfId="13221"/>
    <cellStyle name="强调文字颜色 3 2 3 2 2 4" xfId="13222"/>
    <cellStyle name="计算 2 2 5 6 2" xfId="13223"/>
    <cellStyle name="强调文字颜色 4 2 4 2 2 2" xfId="13224"/>
    <cellStyle name="强调文字颜色 2 2 2 2 2 6" xfId="13225"/>
    <cellStyle name="输入 2 2 3 6 2 2" xfId="13226"/>
    <cellStyle name="60% - 强调文字颜色 3 2 2 4 3 2" xfId="13227"/>
    <cellStyle name="计算 2 2 3 3" xfId="13228"/>
    <cellStyle name="超链接 2 3 4 2 3" xfId="13229"/>
    <cellStyle name="输出 4" xfId="13230"/>
    <cellStyle name="强调文字颜色 3 2 4 3 2 2" xfId="13231"/>
    <cellStyle name="60% - 强调文字颜色 2 2 2 5 3 2" xfId="13232"/>
    <cellStyle name="常规 3 2 2 4 5" xfId="13233"/>
    <cellStyle name="差 2 3 2 7" xfId="13234"/>
    <cellStyle name="汇总 2 2 4 3 3 4 3" xfId="13235"/>
    <cellStyle name="计算 2 2 5 4" xfId="13236"/>
    <cellStyle name="链接单元格 2 2 3 4 2" xfId="13237"/>
    <cellStyle name="汇总 2 4 3 2 2 3" xfId="13238"/>
    <cellStyle name="20% - 强调文字颜色 4 2 2 4 3 2 2 2" xfId="13239"/>
    <cellStyle name="适中 2 4 6 3" xfId="13240"/>
    <cellStyle name="注释 2 3 3 4" xfId="13241"/>
    <cellStyle name="常规 5 2 5 2 3 2" xfId="13242"/>
    <cellStyle name="输出 2 3 4 2 3" xfId="13243"/>
    <cellStyle name="常规 2 2 2 2 3" xfId="13244"/>
    <cellStyle name="汇总 2 2 2 3 2 3 2 2" xfId="13245"/>
    <cellStyle name="20% - 强调文字颜色 4 2 2 2 2 3 2 2 2 2" xfId="13246"/>
    <cellStyle name="解释性文本 2 13" xfId="13247"/>
    <cellStyle name="标题 3 3 3 3 2" xfId="13248"/>
    <cellStyle name="计算 2 2 7 5 3 2" xfId="13249"/>
    <cellStyle name="注释 2 8 5 2" xfId="13250"/>
    <cellStyle name="标题 2 2 4 4 4" xfId="13251"/>
    <cellStyle name="适中 2 3 3 2 2" xfId="13252"/>
    <cellStyle name="汇总 2 2 10 2 2" xfId="13253"/>
    <cellStyle name="60% - 强调文字颜色 2 4 2" xfId="13254"/>
    <cellStyle name="计算 2 2 4 4 5" xfId="13255"/>
    <cellStyle name="20% - 强调文字颜色 5 4 2 3 2 2 2" xfId="13256"/>
    <cellStyle name="适中 2 2 3 4 3" xfId="13257"/>
    <cellStyle name="常规 4 5" xfId="13258"/>
    <cellStyle name="60% - 强调文字颜色 3 3 2 2 4 2" xfId="13259"/>
    <cellStyle name="差 2 2 2 2 3 4" xfId="13260"/>
    <cellStyle name="输出 4 3 2 3" xfId="13261"/>
    <cellStyle name="计算 2 5 2 4 4 3" xfId="13262"/>
    <cellStyle name="40% - 强调文字颜色 5 2 3 2 2 2 3 2" xfId="13263"/>
    <cellStyle name="汇总 2 9 6 2" xfId="13264"/>
    <cellStyle name="输入 2 2 2 2 2 3" xfId="13265"/>
    <cellStyle name="标题 4 2 2 2 3 5" xfId="13266"/>
    <cellStyle name="注释 2 10 4" xfId="13267"/>
    <cellStyle name="40% - 强调文字颜色 4 2 2 6 2 2" xfId="13268"/>
    <cellStyle name="差 2 3 2 4" xfId="13269"/>
    <cellStyle name="解释性文本 3 2 5 2 2" xfId="13270"/>
    <cellStyle name="输入 3 3 2 2 3" xfId="13271"/>
    <cellStyle name="强调文字颜色 3 4 3 2" xfId="13272"/>
    <cellStyle name="输出 2 2 2 2 3 3 2" xfId="13273"/>
    <cellStyle name="差 2 2 3 9" xfId="13274"/>
    <cellStyle name="60% - 强调文字颜色 5 2 2 2 2 2 2" xfId="13275"/>
    <cellStyle name="计算 2 8" xfId="13276"/>
    <cellStyle name="计算 2 2 4 2 11 3" xfId="13277"/>
    <cellStyle name="汇总 2 2 7 3 3" xfId="13278"/>
    <cellStyle name="标题 1 2 2 3 5 2 2" xfId="13279"/>
    <cellStyle name="检查单元格 2 4 5" xfId="13280"/>
    <cellStyle name="计算 2 2 4 2 4 7" xfId="13281"/>
    <cellStyle name="强调文字颜色 1 2 2 3 2 2" xfId="13282"/>
    <cellStyle name="计算 3 11" xfId="13283"/>
    <cellStyle name="输入 2 2 5 2 2 2 6" xfId="13284"/>
    <cellStyle name="计算 2 2 7 5 2 3" xfId="13285"/>
    <cellStyle name="汇总 2 5 3 5 2 2" xfId="13286"/>
    <cellStyle name="标题 3 3 3 2 3" xfId="13287"/>
    <cellStyle name="强调文字颜色 4 2 3 8" xfId="13288"/>
    <cellStyle name="注释 2 2 6 4 5" xfId="13289"/>
    <cellStyle name="检查单元格 2 2 2 6" xfId="13290"/>
    <cellStyle name="适中 2 2 4 2 2 2" xfId="13291"/>
    <cellStyle name="60% - 强调文字颜色 5 2 2 4 3" xfId="13292"/>
    <cellStyle name="20% - 强调文字颜色 3 2 2 2 3 2 2 2 2" xfId="13293"/>
    <cellStyle name="强调文字颜色 6 2 4 2 2" xfId="13294"/>
    <cellStyle name="汇总 2 3 3" xfId="13295"/>
    <cellStyle name="强调文字颜色 2 2 2 3 2 2 2 2" xfId="13296"/>
    <cellStyle name="20% - 强调文字颜色 1 4 2 2 2 2" xfId="13297"/>
    <cellStyle name="计算 2 7 2 4 2 2" xfId="13298"/>
    <cellStyle name="汇总 2 2 3 3 5 2" xfId="13299"/>
    <cellStyle name="汇总 2 2 17 2" xfId="13300"/>
    <cellStyle name="注释 2 2 7 3" xfId="13301"/>
    <cellStyle name="输入 2 6 2 5 3" xfId="13302"/>
    <cellStyle name="常规 3 2 4 3 3 3" xfId="13303"/>
    <cellStyle name="40% - 强调文字颜色 3 2 2 2 2 4 2 2" xfId="13304"/>
    <cellStyle name="强调文字颜色 4 3 2 2 3" xfId="13305"/>
    <cellStyle name="输出 2 4 2 3 2 5" xfId="13306"/>
    <cellStyle name="输出 2 2 8 2 2 2" xfId="13307"/>
    <cellStyle name="20% - 强调文字颜色 3 2 3 2 2 3 3" xfId="13308"/>
    <cellStyle name="20% - 强调文字颜色 6 2 4 6" xfId="13309"/>
    <cellStyle name="标题 5 2 4 3 2" xfId="13310"/>
    <cellStyle name="警告文本 2 3 2 4 2 2" xfId="13311"/>
    <cellStyle name="适中 3 3 4" xfId="13312"/>
    <cellStyle name="汇总 2 7 11" xfId="13313"/>
    <cellStyle name="20% - 强调文字颜色 3 2 2 3 4 2" xfId="13314"/>
    <cellStyle name="计算 2 2 3 2 2 3 4 2" xfId="13315"/>
    <cellStyle name="计算 2 2 3 2 4 5" xfId="13316"/>
    <cellStyle name="汇总 2 2 2 2 2 4 3" xfId="13317"/>
    <cellStyle name="解释性文本 3 3 3" xfId="13318"/>
    <cellStyle name="超链接 2 7 2" xfId="13319"/>
    <cellStyle name="常规 13 9" xfId="13320"/>
    <cellStyle name="常规 13 6 2" xfId="13321"/>
    <cellStyle name="差 3 2 4 2 2" xfId="13322"/>
    <cellStyle name="汇总 2 6 2 2 7 2" xfId="13323"/>
    <cellStyle name="输入 2 3 4 4 2" xfId="13324"/>
    <cellStyle name="标题 3 2 2 3 2 2 2" xfId="13325"/>
    <cellStyle name="20% - 强调文字颜色 2 2 2 2 2 2 4" xfId="13326"/>
    <cellStyle name="标题 4 2 2 2 2 3 2 2 3" xfId="13327"/>
    <cellStyle name="计算 2 6 2 2 2 8" xfId="13328"/>
    <cellStyle name="链接单元格 2 2 4 3" xfId="13329"/>
    <cellStyle name="常规 13 5 2" xfId="13330"/>
    <cellStyle name="汇总 2 2 10 2 3" xfId="13331"/>
    <cellStyle name="适中 2 3 3 2 3" xfId="13332"/>
    <cellStyle name="常规 13 5" xfId="13333"/>
    <cellStyle name="好 2 2 4 3" xfId="13334"/>
    <cellStyle name="常规 13 4 4" xfId="13335"/>
    <cellStyle name="常规 13 4 2 5" xfId="13336"/>
    <cellStyle name="40% - 强调文字颜色 2 2 2 4 3 2 2" xfId="13337"/>
    <cellStyle name="汇总 2 2 7 3 8" xfId="13338"/>
    <cellStyle name="差 2 2 2 3 2 3" xfId="13339"/>
    <cellStyle name="常规 13 4 2 3 2 2" xfId="13340"/>
    <cellStyle name="常规 2 2 2 2 5 2 2" xfId="13341"/>
    <cellStyle name="常规 13 4 2 3" xfId="13342"/>
    <cellStyle name="常规 13 4 2 2" xfId="13343"/>
    <cellStyle name="60% - 强调文字颜色 6 2 4 2 2 2 3" xfId="13344"/>
    <cellStyle name="超链接 2 2 2 2 3 3" xfId="13345"/>
    <cellStyle name="适中 2 4 3 2 2 2" xfId="13346"/>
    <cellStyle name="汇总 2 2 5 2 2 2 4" xfId="13347"/>
    <cellStyle name="常规 10 4 2 2" xfId="13348"/>
    <cellStyle name="输出 2 2 3 2 4 3" xfId="13349"/>
    <cellStyle name="40% - 强调文字颜色 4 2 5 4 2 2" xfId="13350"/>
    <cellStyle name="计算 2 2 2 2 2 4 2" xfId="13351"/>
    <cellStyle name="输入 2 4 6 2" xfId="13352"/>
    <cellStyle name="20% - 强调文字颜色 4 2 4 3 2 2" xfId="13353"/>
    <cellStyle name="注释 2 5 2 3 2 2 2" xfId="13354"/>
    <cellStyle name="计算 2 2 2 3 3 4" xfId="13355"/>
    <cellStyle name="注释 2 6 2 8" xfId="13356"/>
    <cellStyle name="注释 2 4 2 2 2 2 4" xfId="13357"/>
    <cellStyle name="汇总 2 3 2 2 2 2 2 2 2" xfId="13358"/>
    <cellStyle name="输出 2 2 3 7 2" xfId="13359"/>
    <cellStyle name="汇总 4 2 3 2 2" xfId="13360"/>
    <cellStyle name="好 2 2 2 3" xfId="13361"/>
    <cellStyle name="40% - 强调文字颜色 5 2 4 3 3 2" xfId="13362"/>
    <cellStyle name="差 2 3 2 2 2 2 3" xfId="13363"/>
    <cellStyle name="超链接 3 2 3 4 2 2" xfId="13364"/>
    <cellStyle name="输入 2 6 4 4 2 2" xfId="13365"/>
    <cellStyle name="常规 13 4" xfId="13366"/>
    <cellStyle name="输入 2 2 7 2 3 2 2" xfId="13367"/>
    <cellStyle name="汇总 2 9 4 3" xfId="13368"/>
    <cellStyle name="标题 5 2 2 2 3 2 2 3" xfId="13369"/>
    <cellStyle name="汇总 3 4 2 2" xfId="13370"/>
    <cellStyle name="计算 2 5 2 3 6 3" xfId="13371"/>
    <cellStyle name="40% - 强调文字颜色 1 2 2 3 2 2 2" xfId="13372"/>
    <cellStyle name="常规 8 4 2 2" xfId="13373"/>
    <cellStyle name="常规 2 2 2 2 2 6" xfId="13374"/>
    <cellStyle name="常规 4 2 4 2 2 2" xfId="13375"/>
    <cellStyle name="链接单元格 4 2 3" xfId="13376"/>
    <cellStyle name="60% - 强调文字颜色 4 2 2 2 3 6" xfId="13377"/>
    <cellStyle name="20% - 强调文字颜色 6 2 2 2 5" xfId="13378"/>
    <cellStyle name="注释 2 4 6 2 2" xfId="13379"/>
    <cellStyle name="输出 2 6 4 3" xfId="13380"/>
    <cellStyle name="解释性文本 2 3 2 5 3" xfId="13381"/>
    <cellStyle name="标题 5 2" xfId="13382"/>
    <cellStyle name="输入 2 5 2 2 3 2 3" xfId="13383"/>
    <cellStyle name="常规 3 3 2 2 3 2 2 2" xfId="13384"/>
    <cellStyle name="60% - 强调文字颜色 2 3 2 3 2" xfId="13385"/>
    <cellStyle name="计算 2 7 12" xfId="13386"/>
    <cellStyle name="常规 13 3 3 2 2" xfId="13387"/>
    <cellStyle name="好 2 2 3 2 2 2" xfId="13388"/>
    <cellStyle name="20% - 强调文字颜色 1 3 5 2 2 2" xfId="13389"/>
    <cellStyle name="强调文字颜色 2 2 2 2 5 2 2 2" xfId="13390"/>
    <cellStyle name="强调文字颜色 6 2 2 2 2 4 3 2" xfId="13391"/>
    <cellStyle name="20% - 强调文字颜色 6 2 6 3 2" xfId="13392"/>
    <cellStyle name="汇总 2 2 5 9 2 2" xfId="13393"/>
    <cellStyle name="解释性文本 6 2" xfId="13394"/>
    <cellStyle name="标题 6 11" xfId="13395"/>
    <cellStyle name="常规 13 3 2 4" xfId="13396"/>
    <cellStyle name="超链接 3 6 2 2" xfId="13397"/>
    <cellStyle name="计算 2 2 4 2 2 2 2" xfId="13398"/>
    <cellStyle name="计算 2 4 4 2 5 2" xfId="13399"/>
    <cellStyle name="强调文字颜色 4 2 3 2 4 2 2" xfId="13400"/>
    <cellStyle name="常规 5 5 2 2 4 2" xfId="13401"/>
    <cellStyle name="汇总 2 2 5 3 3 3 2 2" xfId="13402"/>
    <cellStyle name="适中 3 10" xfId="13403"/>
    <cellStyle name="汇总 2 5 2 4 2 3 3" xfId="13404"/>
    <cellStyle name="输入 2 2 6 5" xfId="13405"/>
    <cellStyle name="标题 3 2 2 2 4 3" xfId="13406"/>
    <cellStyle name="60% - 强调文字颜色 2 2 2 5 3 2 2" xfId="13407"/>
    <cellStyle name="输出 4 2" xfId="13408"/>
    <cellStyle name="强调文字颜色 3 2 4 3 2 2 2" xfId="13409"/>
    <cellStyle name="强调文字颜色 5 2 3 2 5 2" xfId="13410"/>
    <cellStyle name="计算 2 5 3 2 2 4 2" xfId="13411"/>
    <cellStyle name="计算 2 6 3 3" xfId="13412"/>
    <cellStyle name="60% - 强调文字颜色 2 2 4 5 2 2" xfId="13413"/>
    <cellStyle name="链接单元格 2 4 9" xfId="13414"/>
    <cellStyle name="标题 2 4 5" xfId="13415"/>
    <cellStyle name="强调文字颜色 4 2 3 5 3" xfId="13416"/>
    <cellStyle name="输入 2 2 2 9 3" xfId="13417"/>
    <cellStyle name="计算 2 4 3 2 5 2" xfId="13418"/>
    <cellStyle name="强调文字颜色 5 2 2 2 4 2 2" xfId="13419"/>
    <cellStyle name="计算 2 7 2 2 7" xfId="13420"/>
    <cellStyle name="标题 3 2 4 2 2 2 2" xfId="13421"/>
    <cellStyle name="标题 1 2 2 2 2 6 2" xfId="13422"/>
    <cellStyle name="60% - 强调文字颜色 5 2 3 2 3" xfId="13423"/>
    <cellStyle name="强调文字颜色 5 2 2 2 2 3 2 2" xfId="13424"/>
    <cellStyle name="20% - 强调文字颜色 1 2 2 5 2 2 2" xfId="13425"/>
    <cellStyle name="输入 2 4 9" xfId="13426"/>
    <cellStyle name="好 2 2 4 4 2" xfId="13427"/>
    <cellStyle name="汇总 2 2 8 2 4 3" xfId="13428"/>
    <cellStyle name="标题 5 6 2 3" xfId="13429"/>
    <cellStyle name="常规 9 3 2 3 3" xfId="13430"/>
    <cellStyle name="警告文本 2 2 2 2 4 2 3" xfId="13431"/>
    <cellStyle name="60% - 强调文字颜色 5 2 2 2 3 3 2" xfId="13432"/>
    <cellStyle name="强调文字颜色 1 3 2 5" xfId="13433"/>
    <cellStyle name="20% - 强调文字颜色 5 2 3 2 2 5 2 2" xfId="13434"/>
    <cellStyle name="常规 2 2 2 3 3 2" xfId="13435"/>
    <cellStyle name="常规 13 2 2 2 2 4 2" xfId="13436"/>
    <cellStyle name="常规 13 2 2 2 2 4" xfId="13437"/>
    <cellStyle name="常规 2 2 2 3 3" xfId="13438"/>
    <cellStyle name="输出 2 3 4 3 3" xfId="13439"/>
    <cellStyle name="常规 5 2 5 2 4 2" xfId="13440"/>
    <cellStyle name="计算 2 2 5 2 3 2 3" xfId="13441"/>
    <cellStyle name="强调文字颜色 5 2 3 4 2 2 2" xfId="13442"/>
    <cellStyle name="输入 2 11 5" xfId="13443"/>
    <cellStyle name="常规 12 7" xfId="13444"/>
    <cellStyle name="60% - 强调文字颜色 6 2 2 2 3 6" xfId="13445"/>
    <cellStyle name="标题 2 4 2 3 2 2" xfId="13446"/>
    <cellStyle name="常规 12 5 2" xfId="13447"/>
    <cellStyle name="常规 12 5" xfId="13448"/>
    <cellStyle name="20% - 强调文字颜色 6 2 3 2 4 2 2" xfId="13449"/>
    <cellStyle name="检查单元格 2 4 4" xfId="13450"/>
    <cellStyle name="40% - 强调文字颜色 6 2 2 2 2 2 2 2" xfId="13451"/>
    <cellStyle name="计算 3 4 4" xfId="13452"/>
    <cellStyle name="强调文字颜色 1 2 6 3 3" xfId="13453"/>
    <cellStyle name="常规 5 4 7" xfId="13454"/>
    <cellStyle name="强调文字颜色 6 2 2 2 3 5" xfId="13455"/>
    <cellStyle name="常规 12 4 2" xfId="13456"/>
    <cellStyle name="40% - 强调文字颜色 5 2 2 3 3 3 2" xfId="13457"/>
    <cellStyle name="百分比 2 2 4 3 2 2" xfId="13458"/>
    <cellStyle name="60% - 强调文字颜色 6 2 2 2 2 6" xfId="13459"/>
    <cellStyle name="输出 2 2 3 5 5 2" xfId="13460"/>
    <cellStyle name="差 2 2 2 3 5" xfId="13461"/>
    <cellStyle name="输入 2 2 13 2 2" xfId="13462"/>
    <cellStyle name="输出 2 4 7 3" xfId="13463"/>
    <cellStyle name="60% - 强调文字颜色 6 2 2 2 2 2 2 2" xfId="13464"/>
    <cellStyle name="常规 2 3 5 3" xfId="13465"/>
    <cellStyle name="计算 2 6 3 2" xfId="13466"/>
    <cellStyle name="标题 2 2 4 5 3" xfId="13467"/>
    <cellStyle name="常规 10 2 2 2 4 2" xfId="13468"/>
    <cellStyle name="链接单元格 2 4 6 2" xfId="13469"/>
    <cellStyle name="计算 2 9 2 7" xfId="13470"/>
    <cellStyle name="标题 1 3 9" xfId="13471"/>
    <cellStyle name="汇总 4 4 3 2" xfId="13472"/>
    <cellStyle name="输出 2 4 3 7" xfId="13473"/>
    <cellStyle name="汇总 2 3 2 2 2 4 2 2" xfId="13474"/>
    <cellStyle name="常规 6 2 2 2 3 2 2" xfId="13475"/>
    <cellStyle name="汇总 2 2 2 3 2 3 3" xfId="13476"/>
    <cellStyle name="警告文本 6 2" xfId="13477"/>
    <cellStyle name="计算 2 3 11" xfId="13478"/>
    <cellStyle name="常规 6 2 2 2 2" xfId="13479"/>
    <cellStyle name="解释性文本 2 8 2 3" xfId="13480"/>
    <cellStyle name="60% - 强调文字颜色 3 2 2 6 3 2 2" xfId="13481"/>
    <cellStyle name="标题 3 3 4 2 2" xfId="13482"/>
    <cellStyle name="强调文字颜色 4 2 4 4 2 2 2" xfId="13483"/>
    <cellStyle name="计算 2 2 7 6 2 2" xfId="13484"/>
    <cellStyle name="40% - 强调文字颜色 4 2 2 2 3 3 2" xfId="13485"/>
    <cellStyle name="20% - 强调文字颜色 1 2 2 2 2 2 5 2 2" xfId="13486"/>
    <cellStyle name="常规 5 3 3 3 3 3" xfId="13487"/>
    <cellStyle name="计算 2 8 2" xfId="13488"/>
    <cellStyle name="20% - 强调文字颜色 1 2 7 3 2 2" xfId="13489"/>
    <cellStyle name="输出 4 2 3" xfId="13490"/>
    <cellStyle name="输入 2 4 3 9" xfId="13491"/>
    <cellStyle name="汇总 3 3 2 2 2 2" xfId="13492"/>
    <cellStyle name="输入 3" xfId="13493"/>
    <cellStyle name="常规 2 9" xfId="13494"/>
    <cellStyle name="60% - 强调文字颜色 5 3 4 2 2 2" xfId="13495"/>
    <cellStyle name="40% - 强调文字颜色 2 2 6 3 2 2" xfId="13496"/>
    <cellStyle name="输入 2 7 2 8" xfId="13497"/>
    <cellStyle name="常规 12 3 3 4 2" xfId="13498"/>
    <cellStyle name="链接单元格 2 2 2 2 6 3" xfId="13499"/>
    <cellStyle name="强调文字颜色 4 5 2" xfId="13500"/>
    <cellStyle name="常规 5 2 2 2 4" xfId="13501"/>
    <cellStyle name="汇总 3 8 2" xfId="13502"/>
    <cellStyle name="汇总 2 5 3 7" xfId="13503"/>
    <cellStyle name="标题 3 2 2 6 3 2" xfId="13504"/>
    <cellStyle name="超链接 3 2 4 4" xfId="13505"/>
    <cellStyle name="计算 2 10 2 3" xfId="13506"/>
    <cellStyle name="60% - 强调文字颜色 2 2 2 2 3" xfId="13507"/>
    <cellStyle name="计算 2 2 4 2 5 2 3" xfId="13508"/>
    <cellStyle name="输出 5 5" xfId="13509"/>
    <cellStyle name="差 2 2 2 2 3 2 3" xfId="13510"/>
    <cellStyle name="输出 2 12" xfId="13511"/>
    <cellStyle name="常规 4 3 3" xfId="13512"/>
    <cellStyle name="40% - 强调文字颜色 4 2 4 4 3 2" xfId="13513"/>
    <cellStyle name="注释 2 2 5 2 2 2 2 2" xfId="13514"/>
    <cellStyle name="计算 2 2 2 2 2 2 2 3" xfId="13515"/>
    <cellStyle name="计算 2 2 2 8 2 2" xfId="13516"/>
    <cellStyle name="链接单元格 2 2 4 4 3" xfId="13517"/>
    <cellStyle name="输入 2 2 3 3 4 2 2" xfId="13518"/>
    <cellStyle name="常规 12 3 3 3 2 2" xfId="13519"/>
    <cellStyle name="标题 1 2 2 3 3 3" xfId="13520"/>
    <cellStyle name="强调文字颜色 3 2 2 6" xfId="13521"/>
    <cellStyle name="强调文字颜色 5 2 2 2 2 3 3 2" xfId="13522"/>
    <cellStyle name="好 2 2 4 5 2" xfId="13523"/>
    <cellStyle name="输入 2 5 9" xfId="13524"/>
    <cellStyle name="标题 5 6 3 3" xfId="13525"/>
    <cellStyle name="汇总 2 2 8 2 5 3" xfId="13526"/>
    <cellStyle name="注释 2 2 5 3 2 4" xfId="13527"/>
    <cellStyle name="百分比 2 2 2 2" xfId="13528"/>
    <cellStyle name="强调文字颜色 6 2 3 6 2" xfId="13529"/>
    <cellStyle name="40% - 强调文字颜色 3 2 2 6" xfId="13530"/>
    <cellStyle name="汇总 2 8 4 2" xfId="13531"/>
    <cellStyle name="常规 10 3 2 3 5" xfId="13532"/>
    <cellStyle name="解释性文本 3 13" xfId="13533"/>
    <cellStyle name="强调文字颜色 2 2 6 3 2 2" xfId="13534"/>
    <cellStyle name="20% - 强调文字颜色 5 4 2 2" xfId="13535"/>
    <cellStyle name="汇总 2 2 6 14" xfId="13536"/>
    <cellStyle name="计算 2 8 4 7" xfId="13537"/>
    <cellStyle name="注释 3 3 2 3 2" xfId="13538"/>
    <cellStyle name="计算 2 2 2 2 2 9" xfId="13539"/>
    <cellStyle name="常规 5 3 3 2 3 3" xfId="13540"/>
    <cellStyle name="标题 3 2 8 2" xfId="13541"/>
    <cellStyle name="计算 2 2 9 2 3 2 2" xfId="13542"/>
    <cellStyle name="汇总 2 2 7 2 2 6" xfId="13543"/>
    <cellStyle name="注释 2 6 3 3 3" xfId="13544"/>
    <cellStyle name="输入 2 6 2 8" xfId="13545"/>
    <cellStyle name="常规 12 3 2 4 2" xfId="13546"/>
    <cellStyle name="超链接 2 6 2 2 2" xfId="13547"/>
    <cellStyle name="40% - 强调文字颜色 2 2 6 2 2 2" xfId="13548"/>
    <cellStyle name="60% - 强调文字颜色 6 2 2 5 2 2 2" xfId="13549"/>
    <cellStyle name="标题 5 3 5 2 3" xfId="13550"/>
    <cellStyle name="汇总 2 4 4 6 2" xfId="13551"/>
    <cellStyle name="输入 2 7 2 2 2 2 2" xfId="13552"/>
    <cellStyle name="常规 12 2 5" xfId="13553"/>
    <cellStyle name="强调文字颜色 4 2 2 5 2 2" xfId="13554"/>
    <cellStyle name="标题 1 4 4 2" xfId="13555"/>
    <cellStyle name="汇总 2 2 12 2 2" xfId="13556"/>
    <cellStyle name="注释 5 6" xfId="13557"/>
    <cellStyle name="20% - 强调文字颜色 3 2 2 2 4 3 2 2" xfId="13558"/>
    <cellStyle name="适中 2 3 5 2 2" xfId="13559"/>
    <cellStyle name="注释 2 2 2 3 2" xfId="13560"/>
    <cellStyle name="输入 2 2 2 2 4 2 2" xfId="13561"/>
    <cellStyle name="输出 2 2 4 4 3 2 2" xfId="13562"/>
    <cellStyle name="输入 2 8 3 2 3" xfId="13563"/>
    <cellStyle name="超链接 3 4 2 2 3" xfId="13564"/>
    <cellStyle name="汇总 2 5 2 2 5" xfId="13565"/>
    <cellStyle name="40% - 强调文字颜色 2 4 2 2 2" xfId="13566"/>
    <cellStyle name="标题 2 2 2 2 4 4" xfId="13567"/>
    <cellStyle name="标题 3 2 3 2 4 2" xfId="13568"/>
    <cellStyle name="输出 2 5 4 2 2 3" xfId="13569"/>
    <cellStyle name="常规 6 5 3 2" xfId="13570"/>
    <cellStyle name="标题 4 2 2 10" xfId="13571"/>
    <cellStyle name="输入 2 14 2 2" xfId="13572"/>
    <cellStyle name="40% - 强调文字颜色 3 2 3 3 3 2" xfId="13573"/>
    <cellStyle name="链接单元格 2 2 2 2 4" xfId="13574"/>
    <cellStyle name="注释 2 2 3 4 4 2" xfId="13575"/>
    <cellStyle name="输出 3 4 3" xfId="13576"/>
    <cellStyle name="汇总 2 5 3 2 2 3 2 2" xfId="13577"/>
    <cellStyle name="输出 2 2 3 3 5" xfId="13578"/>
    <cellStyle name="汇总 2 2 5 2 2 9" xfId="13579"/>
    <cellStyle name="链接单元格 2 2 2 3 2 2" xfId="13580"/>
    <cellStyle name="注释 2 4 2 4 6" xfId="13581"/>
    <cellStyle name="强调文字颜色 3 2 2 4 5" xfId="13582"/>
    <cellStyle name="常规 6 2 3 2 3 2 2" xfId="13583"/>
    <cellStyle name="汇总 2 2 7 2 3 2" xfId="13584"/>
    <cellStyle name="汇总 2 2 3 3 2 3 3" xfId="13585"/>
    <cellStyle name="解释性文本 2 2 2 2 4 3 2" xfId="13586"/>
    <cellStyle name="超链接 2 2 4 2 2" xfId="13587"/>
    <cellStyle name="汇总 2 4 3 3 5" xfId="13588"/>
    <cellStyle name="计算 2 9 2 4 2" xfId="13589"/>
    <cellStyle name="标题 1 3 6 2" xfId="13590"/>
    <cellStyle name="强调文字颜色 4 2 2 4 4 2" xfId="13591"/>
    <cellStyle name="40% - 强调文字颜色 2 3 2 4 2" xfId="13592"/>
    <cellStyle name="解释性文本 3 2" xfId="13593"/>
    <cellStyle name="常规 6 4 3 2 2 2" xfId="13594"/>
    <cellStyle name="40% - 强调文字颜色 3 4 2 3" xfId="13595"/>
    <cellStyle name="40% - 强调文字颜色 5 2 2 6 3 2" xfId="13596"/>
    <cellStyle name="输入 2 2 3 2 4 3" xfId="13597"/>
    <cellStyle name="40% - 强调文字颜色 3 2 2 3 6" xfId="13598"/>
    <cellStyle name="注释 2 2 2 4 7" xfId="13599"/>
    <cellStyle name="常规 12 2 2 2 4 2" xfId="13600"/>
    <cellStyle name="汇总 2 2 2 3" xfId="13601"/>
    <cellStyle name="汇总 2 2 2 3 3 2 3" xfId="13602"/>
    <cellStyle name="40% - 强调文字颜色 6 2 3 2 5 2" xfId="13603"/>
    <cellStyle name="汇总 2 8 2 3 2" xfId="13604"/>
    <cellStyle name="注释 2 7 6 2 2" xfId="13605"/>
    <cellStyle name="常规 2 3 5 3 2" xfId="13606"/>
    <cellStyle name="60% - 强调文字颜色 6 2 2 2 2 2 2 2 2" xfId="13607"/>
    <cellStyle name="计算 2 6 3 2 2" xfId="13608"/>
    <cellStyle name="计算 2 2 2 3 2 5" xfId="13609"/>
    <cellStyle name="标题 5 4 3 2" xfId="13610"/>
    <cellStyle name="标题 5 2 2 3 3 2" xfId="13611"/>
    <cellStyle name="警告文本 2 6" xfId="13612"/>
    <cellStyle name="计算 2 5 2 2 3 3 2" xfId="13613"/>
    <cellStyle name="汇总 2 4 2 2 2 8" xfId="13614"/>
    <cellStyle name="注释 2 7 2 3 2" xfId="13615"/>
    <cellStyle name="警告文本 2 2 6 2 3" xfId="13616"/>
    <cellStyle name="40% - 强调文字颜色 4 2 7 2 2 2" xfId="13617"/>
    <cellStyle name="常规 5 2 3 3 2 3 3" xfId="13618"/>
    <cellStyle name="好 3 2 3 2 2" xfId="13619"/>
    <cellStyle name="汇总 2 5 2 2 2 6" xfId="13620"/>
    <cellStyle name="链接单元格 2 3 5" xfId="13621"/>
    <cellStyle name="常规 3 4 4 2" xfId="13622"/>
    <cellStyle name="计算 2 2 6 2 2 7" xfId="13623"/>
    <cellStyle name="计算 2 5 2 2 3 2" xfId="13624"/>
    <cellStyle name="常规 2 2 4 3 3 2" xfId="13625"/>
    <cellStyle name="汇总 2 8 9" xfId="13626"/>
    <cellStyle name="常规 11 5 2" xfId="13627"/>
    <cellStyle name="常规 11 5" xfId="13628"/>
    <cellStyle name="汇总 2 5 2 3 2 8" xfId="13629"/>
    <cellStyle name="标题 5 3 2 4 3 2" xfId="13630"/>
    <cellStyle name="60% - 强调文字颜色 6 3 2 2 3 2 2" xfId="13631"/>
    <cellStyle name="标题 3 2 2 2 2 2 2" xfId="13632"/>
    <cellStyle name="60% - 强调文字颜色 3 2 3 2 3" xfId="13633"/>
    <cellStyle name="计算 2 3 3 6" xfId="13634"/>
    <cellStyle name="输入 2 2 4 4 2" xfId="13635"/>
    <cellStyle name="60% - 强调文字颜色 4 2 2 2 4 3 2 2" xfId="13636"/>
    <cellStyle name="计算 2 2 6 4 2 2 2 2" xfId="13637"/>
    <cellStyle name="标题 3 2 2 4 3 2 2" xfId="13638"/>
    <cellStyle name="汇总 2 5 3 5" xfId="13639"/>
    <cellStyle name="40% - 强调文字颜色 5 2 2 3 4 2" xfId="13640"/>
    <cellStyle name="40% - 强调文字颜色 4 4 5" xfId="13641"/>
    <cellStyle name="20% - 强调文字颜色 2 2 2 2" xfId="13642"/>
    <cellStyle name="计算 2 4 2 2 6 2 2" xfId="13643"/>
    <cellStyle name="计算 2 6 4 2 4 2" xfId="13644"/>
    <cellStyle name="60% - 强调文字颜色 2 2 2 2 5 2 2 2" xfId="13645"/>
    <cellStyle name="计算 2 2 3 2 4 3 3" xfId="13646"/>
    <cellStyle name="20% - 强调文字颜色 2 2 2" xfId="13647"/>
    <cellStyle name="计算 2 4 2 2 6 2" xfId="13648"/>
    <cellStyle name="计算 2 6 4 2 4" xfId="13649"/>
    <cellStyle name="计算 2 3 2 2 6 2" xfId="13650"/>
    <cellStyle name="强调文字颜色 1 2 2 2 2 3 4" xfId="13651"/>
    <cellStyle name="强调文字颜色 2 5 2 2" xfId="13652"/>
    <cellStyle name="强调文字颜色 4 2 2 2 4 3 2" xfId="13653"/>
    <cellStyle name="适中 2 3 2 4" xfId="13654"/>
    <cellStyle name="输入 2 6 8 2 2" xfId="13655"/>
    <cellStyle name="常规 5 2 3 2 3 5" xfId="13656"/>
    <cellStyle name="注释 2 8 4 2" xfId="13657"/>
    <cellStyle name="40% - 强调文字颜色 3 2 5 2 2 2 2" xfId="13658"/>
    <cellStyle name="注释 2 2 5 3 3 2 2" xfId="13659"/>
    <cellStyle name="输出 2 2 2 5 2 2" xfId="13660"/>
    <cellStyle name="计算 2 9 7 2" xfId="13661"/>
    <cellStyle name="强调文字颜色 6 3 2" xfId="13662"/>
    <cellStyle name="汇总 2 4 4" xfId="13663"/>
    <cellStyle name="检查单元格 2 3 2 3 2 3" xfId="13664"/>
    <cellStyle name="40% - 强调文字颜色 2 2 3 2 2 2" xfId="13665"/>
    <cellStyle name="汇总 2 6 4 2 2 3" xfId="13666"/>
    <cellStyle name="计算 2 2 7 11" xfId="13667"/>
    <cellStyle name="常规 5 2 3 2 2 3 2 2" xfId="13668"/>
    <cellStyle name="计算 2 5 2 3 2 7" xfId="13669"/>
    <cellStyle name="20% - 强调文字颜色 5 2 2 2 2 3" xfId="13670"/>
    <cellStyle name="计算 2 2 5 2 2 6 2" xfId="13671"/>
    <cellStyle name="汇总 3 2 3 2" xfId="13672"/>
    <cellStyle name="60% - 强调文字颜色 5 2 2 2 2 2 3 2" xfId="13673"/>
    <cellStyle name="解释性文本 2 2 6 2 2" xfId="13674"/>
    <cellStyle name="输入 2 3 3 2 3" xfId="13675"/>
    <cellStyle name="常规 2 2 3 4 2" xfId="13676"/>
    <cellStyle name="40% - 强调文字颜色 4 2 6 3 2 2" xfId="13677"/>
    <cellStyle name="20% - 强调文字颜色 1 2 2 3 5" xfId="13678"/>
    <cellStyle name="标题 5 3 2 3 3 2" xfId="13679"/>
    <cellStyle name="注释 2 2 4 3 8" xfId="13680"/>
    <cellStyle name="输出 2 2 12" xfId="13681"/>
    <cellStyle name="常规 5 2 3 3 4 3" xfId="13682"/>
    <cellStyle name="汇总 2 6 9" xfId="13683"/>
    <cellStyle name="常规 11 3 2" xfId="13684"/>
    <cellStyle name="40% - 强调文字颜色 4 2 6 3 2" xfId="13685"/>
    <cellStyle name="汇总 2 2 4 4 6 2" xfId="13686"/>
    <cellStyle name="差 2 2 2 5 2" xfId="13687"/>
    <cellStyle name="强调文字颜色 3 3 3 3 2" xfId="13688"/>
    <cellStyle name="20% - 强调文字颜色 3 2 3 2 2 3 3 2" xfId="13689"/>
    <cellStyle name="警告文本 2 3 2 4 2 2 2" xfId="13690"/>
    <cellStyle name="汇总 2 2 6 2 3 3" xfId="13691"/>
    <cellStyle name="汇总 2 2 3 2 2 3 4" xfId="13692"/>
    <cellStyle name="计算 2 2 5 3 3" xfId="13693"/>
    <cellStyle name="强调文字颜色 6 2 2 3 4 2" xfId="13694"/>
    <cellStyle name="输出 2 7 2 2 4" xfId="13695"/>
    <cellStyle name="60% - 强调文字颜色 3 2 2 2 2 4 2 2 2" xfId="13696"/>
    <cellStyle name="注释 2 5 2 3 2" xfId="13697"/>
    <cellStyle name="常规 5 3 2 2 2 3 3" xfId="13698"/>
    <cellStyle name="计算 2 2 9 2 5" xfId="13699"/>
    <cellStyle name="计算 2 5 2 4 3 3" xfId="13700"/>
    <cellStyle name="40% - 强调文字颜色 5 2 3 2 2 2 2 2" xfId="13701"/>
    <cellStyle name="计算 2 8 6 2" xfId="13702"/>
    <cellStyle name="60% - 强调文字颜色 5 2 2 2 6 2 2 2" xfId="13703"/>
    <cellStyle name="汇总 3 5 3 3" xfId="13704"/>
    <cellStyle name="注释 4 2 5" xfId="13705"/>
    <cellStyle name="常规 5 2 2 4 4" xfId="13706"/>
    <cellStyle name="计算 2 5 5 5 2 2" xfId="13707"/>
    <cellStyle name="20% - 强调文字颜色 3 2 3 4 2 2" xfId="13708"/>
    <cellStyle name="输入 2 8 2 3" xfId="13709"/>
    <cellStyle name="强调文字颜色 1 2 4 7" xfId="13710"/>
    <cellStyle name="强调文字颜色 6 2 2 2 4 3 2" xfId="13711"/>
    <cellStyle name="60% - 强调文字颜色 6 2 4 9" xfId="13712"/>
    <cellStyle name="20% - 强调文字颜色 6 4 5 2" xfId="13713"/>
    <cellStyle name="输出 2 2 5 3 2 3" xfId="13714"/>
    <cellStyle name="计算 2 2 4 3 4 2" xfId="13715"/>
    <cellStyle name="20% - 强调文字颜色 6 2 2 4 3 2 2 2" xfId="13716"/>
    <cellStyle name="40% - 强调文字颜色 3 4 4" xfId="13717"/>
    <cellStyle name="适中 2 2 2 2 4 3" xfId="13718"/>
    <cellStyle name="检查单元格 2 3 8" xfId="13719"/>
    <cellStyle name="注释 2 2 9 5" xfId="13720"/>
    <cellStyle name="标题 3 2 3 3 2 2 3" xfId="13721"/>
    <cellStyle name="标题 4 2 2 6 2 2" xfId="13722"/>
    <cellStyle name="汇总 2 2 4 5 2" xfId="13723"/>
    <cellStyle name="输入 2 4 2 5 2 2" xfId="13724"/>
    <cellStyle name="常规 5 13" xfId="13725"/>
    <cellStyle name="链接单元格 2 3 2 2 2 3" xfId="13726"/>
    <cellStyle name="常规 11 2 5" xfId="13727"/>
    <cellStyle name="强调文字颜色 6 2 2 4 5 2" xfId="13728"/>
    <cellStyle name="计算 2 2 6 4 3" xfId="13729"/>
    <cellStyle name="标题 3 2 2 3" xfId="13730"/>
    <cellStyle name="60% - 强调文字颜色 5 2 3 3 5" xfId="13731"/>
    <cellStyle name="好 2 2 2 2 2 5" xfId="13732"/>
    <cellStyle name="链接单元格 2 3 5 3" xfId="13733"/>
    <cellStyle name="计算 2 5 2 2 3 2 3" xfId="13734"/>
    <cellStyle name="强调文字颜色 4 2 3 2 3 2 2" xfId="13735"/>
    <cellStyle name="40% - 强调文字颜色 2 2 3 2 2 2 2 2 2 2" xfId="13736"/>
    <cellStyle name="汇总 2 4 4 2 2 2 2" xfId="13737"/>
    <cellStyle name="强调文字颜色 1 2 2 7" xfId="13738"/>
    <cellStyle name="输入 2 5 7 3" xfId="13739"/>
    <cellStyle name="计算 2 2 5 3 2 4" xfId="13740"/>
    <cellStyle name="注释 2 2 4 2 2 2 2 2 2" xfId="13741"/>
    <cellStyle name="计算 2 2 2 2 14" xfId="13742"/>
    <cellStyle name="常规 4 5 3 3 2" xfId="13743"/>
    <cellStyle name="注释 2 10 5" xfId="13744"/>
    <cellStyle name="警告文本 2 2 2 2 2 3 2" xfId="13745"/>
    <cellStyle name="标题 4 2 2 2 3 6" xfId="13746"/>
    <cellStyle name="注释 2 4 3 2 3" xfId="13747"/>
    <cellStyle name="常规 5 2 3 4 6" xfId="13748"/>
    <cellStyle name="常规 5 4 2 2 3 2 2" xfId="13749"/>
    <cellStyle name="20% - 强调文字颜色 3 3 3 4" xfId="13750"/>
    <cellStyle name="标题 4 2 2 2 2 2 3 2" xfId="13751"/>
    <cellStyle name="超链接 3 3 2 2 3" xfId="13752"/>
    <cellStyle name="输入 2 7 3 2 3" xfId="13753"/>
    <cellStyle name="汇总 2 4 2 2 5" xfId="13754"/>
    <cellStyle name="注释 3 3 4 3" xfId="13755"/>
    <cellStyle name="汇总 2 4 4 2 3 2" xfId="13756"/>
    <cellStyle name="计算 2 6 12" xfId="13757"/>
    <cellStyle name="标题 3 2 3 3 5" xfId="13758"/>
    <cellStyle name="输入 3 6" xfId="13759"/>
    <cellStyle name="常规 11 2 2 5 2 2" xfId="13760"/>
    <cellStyle name="标题 1 2 3 2 3 3 3" xfId="13761"/>
    <cellStyle name="20% - 强调文字颜色 1 2 2 2 4" xfId="13762"/>
    <cellStyle name="注释 2 2 5 4 2 3" xfId="13763"/>
    <cellStyle name="汇总 2 2 8 3 5 2" xfId="13764"/>
    <cellStyle name="输出 2 2 3 4 3" xfId="13765"/>
    <cellStyle name="好 2 3 2 5 2 2" xfId="13766"/>
    <cellStyle name="注释 4 2 2" xfId="13767"/>
    <cellStyle name="输入 2 5 2 3 2 2 3" xfId="13768"/>
    <cellStyle name="20% - 强调文字颜色 4 2 3 2 2 5 2 2" xfId="13769"/>
    <cellStyle name="输出 2 2 3 2 2 7" xfId="13770"/>
    <cellStyle name="强调文字颜色 5 2 3 3 2" xfId="13771"/>
    <cellStyle name="链接单元格 2 5 3 3" xfId="13772"/>
    <cellStyle name="计算 2 2 5 3 4 2 2" xfId="13773"/>
    <cellStyle name="强调文字颜色 1 2 2 2 3 3" xfId="13774"/>
    <cellStyle name="输入 2 7 5 3" xfId="13775"/>
    <cellStyle name="超链接 3 3 4 3" xfId="13776"/>
    <cellStyle name="链接单元格 3 10" xfId="13777"/>
    <cellStyle name="常规 5 2 8 2 2" xfId="13778"/>
    <cellStyle name="解释性文本 2 3 5 2 2" xfId="13779"/>
    <cellStyle name="输入 2 4 2 2 3" xfId="13780"/>
    <cellStyle name="常规 2 3 2 4 2" xfId="13781"/>
    <cellStyle name="输出 2 4 4 4 2" xfId="13782"/>
    <cellStyle name="注释 4 5 2" xfId="13783"/>
    <cellStyle name="注释 2 2 7 5 2 2" xfId="13784"/>
    <cellStyle name="强调文字颜色 2 2 2 3 3 2 3" xfId="13785"/>
    <cellStyle name="检查单元格 2 3 3 3 2" xfId="13786"/>
    <cellStyle name="计算 2 2 4 2 2 5 2 2" xfId="13787"/>
    <cellStyle name="40% - 强调文字颜色 4 2 2 3 3" xfId="13788"/>
    <cellStyle name="60% - 强调文字颜色 4 2 3 2 6" xfId="13789"/>
    <cellStyle name="标题 5 2 2 6 2 2" xfId="13790"/>
    <cellStyle name="链接单元格 2 3 2 2 2 2 2" xfId="13791"/>
    <cellStyle name="标题 2 2 2 4 6" xfId="13792"/>
    <cellStyle name="标题 5 7 2 2" xfId="13793"/>
    <cellStyle name="汇总 2 2 8 3 4 2" xfId="13794"/>
    <cellStyle name="常规 11 2 2 2 4" xfId="13795"/>
    <cellStyle name="常规 12 3 3 3" xfId="13796"/>
    <cellStyle name="注释 2 2 5 2 2 2" xfId="13797"/>
    <cellStyle name="40% - 强调文字颜色 3 3 6 2" xfId="13798"/>
    <cellStyle name="强调文字颜色 5 2 3 2 3 2 3" xfId="13799"/>
    <cellStyle name="好 2 2 4 6" xfId="13800"/>
    <cellStyle name="40% - 强调文字颜色 4 2 6 2 2" xfId="13801"/>
    <cellStyle name="常规 11 2 2" xfId="13802"/>
    <cellStyle name="汇总 2 5 9" xfId="13803"/>
    <cellStyle name="常规 6 2 5 3 2" xfId="13804"/>
    <cellStyle name="计算 2 8 4 2 3" xfId="13805"/>
    <cellStyle name="适中 2 2 6 2 3" xfId="13806"/>
    <cellStyle name="汇总 2 2 2 2 2 6" xfId="13807"/>
    <cellStyle name="60% - 强调文字颜色 2 2 3 8" xfId="13808"/>
    <cellStyle name="强调文字颜色 1 2 2 3 4 3" xfId="13809"/>
    <cellStyle name="解释性文本 3 5" xfId="13810"/>
    <cellStyle name="标题 5 2 6 2 2" xfId="13811"/>
    <cellStyle name="60% - 强调文字颜色 3 2 3 6 2 2" xfId="13812"/>
    <cellStyle name="标题 4 3 3 2" xfId="13813"/>
    <cellStyle name="常规 6 3 3 2 3 2 2" xfId="13814"/>
    <cellStyle name="60% - 强调文字颜色 6 2 2 5 2 2" xfId="13815"/>
    <cellStyle name="20% - 强调文字颜色 2 2 2 2 2 2 2 3 2" xfId="13816"/>
    <cellStyle name="强调文字颜色 4 3 8" xfId="13817"/>
    <cellStyle name="标题 4 2 3 3 5" xfId="13818"/>
    <cellStyle name="汇总 2 4 2 8 2" xfId="13819"/>
    <cellStyle name="计算 2 2 3 2 2" xfId="13820"/>
    <cellStyle name="超链接 2 3 4 2 2 2" xfId="13821"/>
    <cellStyle name="计算 2 7 2 2 2 3 2" xfId="13822"/>
    <cellStyle name="60% - 强调文字颜色 6 3 5 2 3" xfId="13823"/>
    <cellStyle name="20% - 强调文字颜色 2 5 2" xfId="13824"/>
    <cellStyle name="强调文字颜色 2 2 3 4 2" xfId="13825"/>
    <cellStyle name="强调文字颜色 4 2 2 2 2 4 3" xfId="13826"/>
    <cellStyle name="强调文字颜色 5 2 3 2 2 2 3" xfId="13827"/>
    <cellStyle name="40% - 强调文字颜色 3 2 6 2" xfId="13828"/>
    <cellStyle name="汇总 2 4 5" xfId="13829"/>
    <cellStyle name="40% - 强调文字颜色 2 2 3 2 2 3" xfId="13830"/>
    <cellStyle name="20% - 强调文字颜色 4 3 4 2 2 2" xfId="13831"/>
    <cellStyle name="汇总 2 2 5 3 2 6" xfId="13832"/>
    <cellStyle name="注释 2 4 4 3 3" xfId="13833"/>
    <cellStyle name="40% - 强调文字颜色 3 4 4 2 2" xfId="13834"/>
    <cellStyle name="汇总 3 2 3 3" xfId="13835"/>
    <cellStyle name="汇总 2 2 2 2 2 6 2" xfId="13836"/>
    <cellStyle name="汇总 2 2 4 2 6 2 3" xfId="13837"/>
    <cellStyle name="计算 2 5 2 15" xfId="13838"/>
    <cellStyle name="40% - 强调文字颜色 2 2 4 4 2 2 2" xfId="13839"/>
    <cellStyle name="百分比 2 3 4 4" xfId="13840"/>
    <cellStyle name="差 2 4 2 2 2 3" xfId="13841"/>
    <cellStyle name="20% - 强调文字颜色 3 2 2 3 3 2 2 2" xfId="13842"/>
    <cellStyle name="输入 2 7" xfId="13843"/>
    <cellStyle name="差 2 4 2 2 2 2 2" xfId="13844"/>
    <cellStyle name="百分比 2 3 4 3 2" xfId="13845"/>
    <cellStyle name="常规 10 6 2" xfId="13846"/>
    <cellStyle name="常规 10 2 3 2 2" xfId="13847"/>
    <cellStyle name="汇总 2 2 4 4 2 3 3" xfId="13848"/>
    <cellStyle name="汇总 2 5 2 3 3 5" xfId="13849"/>
    <cellStyle name="差 2 2 8" xfId="13850"/>
    <cellStyle name="输入 2 5 2 2 2 5" xfId="13851"/>
    <cellStyle name="标题 4 2 4 4 3 2" xfId="13852"/>
    <cellStyle name="汇总 3 2 2 2 4 3" xfId="13853"/>
    <cellStyle name="常规 2 2 3 3 3" xfId="13854"/>
    <cellStyle name="常规 5 2 5 3 4 2" xfId="13855"/>
    <cellStyle name="计算 2 2 5 2 4 2 3" xfId="13856"/>
    <cellStyle name="输入 2 2 2 4 2" xfId="13857"/>
    <cellStyle name="输入 2 2 6 2 4 3" xfId="13858"/>
    <cellStyle name="常规 6 3 5" xfId="13859"/>
    <cellStyle name="40% - 强调文字颜色 6 4 2 3" xfId="13860"/>
    <cellStyle name="链接单元格 2 2 4 5 2" xfId="13861"/>
    <cellStyle name="输入 2 2 6 13" xfId="13862"/>
    <cellStyle name="强调文字颜色 2 2 2 2 4 4" xfId="13863"/>
    <cellStyle name="常规 5 6 2 2 2" xfId="13864"/>
    <cellStyle name="强调文字颜色 3 2 3 2 4 2" xfId="13865"/>
    <cellStyle name="适中 2 4 3 5" xfId="13866"/>
    <cellStyle name="计算 2 3 2 4 3 3" xfId="13867"/>
    <cellStyle name="超链接 2 3 3 3" xfId="13868"/>
    <cellStyle name="60% - 强调文字颜色 5 2 2 3 4 2 2 2" xfId="13869"/>
    <cellStyle name="注释 2 6 3 2 5" xfId="13870"/>
    <cellStyle name="好 2 2 3 2 2 2 2" xfId="13871"/>
    <cellStyle name="超链接 3 2 3 3 3 2" xfId="13872"/>
    <cellStyle name="常规 10 5 2 3 3" xfId="13873"/>
    <cellStyle name="标题 3 5 2 2 2 2" xfId="13874"/>
    <cellStyle name="警告文本 2 3 4 3" xfId="13875"/>
    <cellStyle name="计算 2 2 2 2 2 2 3 2" xfId="13876"/>
    <cellStyle name="常规 3 2 4 2 3 3 2" xfId="13877"/>
    <cellStyle name="40% - 强调文字颜色 3 2 2 2 2 3 2 2 2" xfId="13878"/>
    <cellStyle name="常规 10 5 2 3 2 2" xfId="13879"/>
    <cellStyle name="常规 7 2" xfId="13880"/>
    <cellStyle name="标题 5 2 5 3 3" xfId="13881"/>
    <cellStyle name="40% - 强调文字颜色 5 2 2 2 5 2 2" xfId="13882"/>
    <cellStyle name="强调文字颜色 5 2 2 4 2 2" xfId="13883"/>
    <cellStyle name="常规 10 2 2 2 2 3 2" xfId="13884"/>
    <cellStyle name="链接单元格 2 4 4 3 2" xfId="13885"/>
    <cellStyle name="20% - 强调文字颜色 2 2 4 4 3" xfId="13886"/>
    <cellStyle name="汇总 2 2 2 2 3 2 2 2" xfId="13887"/>
    <cellStyle name="输入 2 2 8 2 2 3" xfId="13888"/>
    <cellStyle name="强调文字颜色 2 2 2 4 3 3 2" xfId="13889"/>
    <cellStyle name="好 3 10" xfId="13890"/>
    <cellStyle name="常规 10 5 2 3 2" xfId="13891"/>
    <cellStyle name="常规 10 2 4 3" xfId="13892"/>
    <cellStyle name="输出 2 2 14" xfId="13893"/>
    <cellStyle name="汇总 3 9 3" xfId="13894"/>
    <cellStyle name="常规 5 2 2 3 5" xfId="13895"/>
    <cellStyle name="40% - 强调文字颜色 4 2 5 5 2 2" xfId="13896"/>
    <cellStyle name="20% - 强调文字颜色 1 2 2 2 2 4 3 2 2" xfId="13897"/>
    <cellStyle name="汇总 2 6 2 2 5 2" xfId="13898"/>
    <cellStyle name="输入 2 3 4 2 2" xfId="13899"/>
    <cellStyle name="注释 2 6 2 2" xfId="13900"/>
    <cellStyle name="常规 11 3 2 4" xfId="13901"/>
    <cellStyle name="常规 25" xfId="13902"/>
    <cellStyle name="注释 2 2 2 2 2 2 3 2" xfId="13903"/>
    <cellStyle name="输出 2 2 7" xfId="13904"/>
    <cellStyle name="计算 2 2 2 2 4 2 2" xfId="13905"/>
    <cellStyle name="强调文字颜色 3 3 3 3" xfId="13906"/>
    <cellStyle name="差 2 2 2 5" xfId="13907"/>
    <cellStyle name="汇总 2 2 2 14" xfId="13908"/>
    <cellStyle name="警告文本 2 4 5 3" xfId="13909"/>
    <cellStyle name="标题 5 2 9 2" xfId="13910"/>
    <cellStyle name="20% - 强调文字颜色 3 2 2 2 6 2 2 2" xfId="13911"/>
    <cellStyle name="注释 3 3 6" xfId="13912"/>
    <cellStyle name="超链接 3 3 2 4" xfId="13913"/>
    <cellStyle name="输入 2 7 3 4" xfId="13914"/>
    <cellStyle name="常规 10 5 2 2 2" xfId="13915"/>
    <cellStyle name="超链接 2 2 3 3 3 2" xfId="13916"/>
    <cellStyle name="常规 2 2 2 2 2 4" xfId="13917"/>
    <cellStyle name="计算 2 2 4 5 2 4 3" xfId="13918"/>
    <cellStyle name="40% - 强调文字颜色 4 2 5 5 2" xfId="13919"/>
    <cellStyle name="常规 10 5 2" xfId="13920"/>
    <cellStyle name="标题 9 2 2" xfId="13921"/>
    <cellStyle name="输入 2 3 4" xfId="13922"/>
    <cellStyle name="常规 10 5" xfId="13923"/>
    <cellStyle name="40% - 强调文字颜色 4 2 5 5" xfId="13924"/>
    <cellStyle name="常规 5 2 4 2 2 2" xfId="13925"/>
    <cellStyle name="注释 2 8 8" xfId="13926"/>
    <cellStyle name="汇总 2 2 3 2 2 5 2 2" xfId="13927"/>
    <cellStyle name="注释 2 2 3 3 2 2 2" xfId="13928"/>
    <cellStyle name="注释 2 2 3 2 3 2 4" xfId="13929"/>
    <cellStyle name="汇总 2 2 4 2 2 6 2 2" xfId="13930"/>
    <cellStyle name="40% - 强调文字颜色 3 3 3 2 2 2 2" xfId="13931"/>
    <cellStyle name="60% - 强调文字颜色 4 2 7 2" xfId="13932"/>
    <cellStyle name="常规 10 4" xfId="13933"/>
    <cellStyle name="汇总 2 3 5 3 2" xfId="13934"/>
    <cellStyle name="输入 2 5 2 8 3" xfId="13935"/>
    <cellStyle name="常规 8 2 2 2 2 2 2" xfId="13936"/>
    <cellStyle name="输入 2 3 2 3 2" xfId="13937"/>
    <cellStyle name="常规 10 3 3 2" xfId="13938"/>
    <cellStyle name="40% - 强调文字颜色 4 2 5 3 3 2" xfId="13939"/>
    <cellStyle name="输入 2 3 2 3" xfId="13940"/>
    <cellStyle name="常规 8 2 2 2 2 2" xfId="13941"/>
    <cellStyle name="警告文本 2 2 2 2 3 4" xfId="13942"/>
    <cellStyle name="40% - 强调文字颜色 4 5 2" xfId="13943"/>
    <cellStyle name="汇总 2 7 6 3 2" xfId="13944"/>
    <cellStyle name="强调文字颜色 4 2 2 2 2 3 3 2" xfId="13945"/>
    <cellStyle name="汇总 2 2 6 4 2 5" xfId="13946"/>
    <cellStyle name="常规 4 3 2 2 3 2" xfId="13947"/>
    <cellStyle name="20% - 强调文字颜色 1 2 2 2 4 2" xfId="13948"/>
    <cellStyle name="链接单元格 2 2 4 5 3" xfId="13949"/>
    <cellStyle name="40% - 强调文字颜色 4 2 2 2 5 2" xfId="13950"/>
    <cellStyle name="40% - 强调文字颜色 1 2 4 4 2 2 2" xfId="13951"/>
    <cellStyle name="汇总 2 2 4 2 9 3" xfId="13952"/>
    <cellStyle name="标题 1 2 2 2 2" xfId="13953"/>
    <cellStyle name="强调文字颜色 1 2 2 2 2 3 3 2" xfId="13954"/>
    <cellStyle name="汇总 2 7 8 2 2" xfId="13955"/>
    <cellStyle name="常规 5 2 3 4 2 2" xfId="13956"/>
    <cellStyle name="常规 10 3 2 3 3 3" xfId="13957"/>
    <cellStyle name="强调文字颜色 6 2 3 5 2" xfId="13958"/>
    <cellStyle name="60% - 强调文字颜色 5 2 2 2 2 6" xfId="13959"/>
    <cellStyle name="常规 2 6 2 2" xfId="13960"/>
    <cellStyle name="60% - 强调文字颜色 6 2 3 2 2 4" xfId="13961"/>
    <cellStyle name="输出 2 7 4 2" xfId="13962"/>
    <cellStyle name="常规 10 3 2 2 5" xfId="13963"/>
    <cellStyle name="汇总 2 8 3 2" xfId="13964"/>
    <cellStyle name="40% - 强调文字颜色 6 2 3 3 4" xfId="13965"/>
    <cellStyle name="标题 4 3 3 2 2 2" xfId="13966"/>
    <cellStyle name="注释 2 4 3 2 6" xfId="13967"/>
    <cellStyle name="输出 2 2 3 3 2 6" xfId="13968"/>
    <cellStyle name="好 2 2 5 2" xfId="13969"/>
    <cellStyle name="标题 1 3 3 3 3" xfId="13970"/>
    <cellStyle name="常规 5 2 5 5 2" xfId="13971"/>
    <cellStyle name="链接单元格 2 2 6 3" xfId="13972"/>
    <cellStyle name="60% - 强调文字颜色 6 2 2 3 3 2 2" xfId="13973"/>
    <cellStyle name="注释 2 2 3 2 10" xfId="13974"/>
    <cellStyle name="常规 9 4 3" xfId="13975"/>
    <cellStyle name="标题 5 2 2 5 2 2 3" xfId="13976"/>
    <cellStyle name="计算 2 2 6 4 4 2" xfId="13977"/>
    <cellStyle name="标题 3 2 2 4 2" xfId="13978"/>
    <cellStyle name="差 3 3 4" xfId="13979"/>
    <cellStyle name="40% - 强调文字颜色 4 2 5 3 2" xfId="13980"/>
    <cellStyle name="常规 10 3 2" xfId="13981"/>
    <cellStyle name="常规 10 2 6 2" xfId="13982"/>
    <cellStyle name="强调文字颜色 3 2 2 2 2 4 2" xfId="13983"/>
    <cellStyle name="输入 2 3 6 2 2" xfId="13984"/>
    <cellStyle name="标题 4 2 2 5 3" xfId="13985"/>
    <cellStyle name="20% - 强调文字颜色 6 2 2 2 5 2 2 2" xfId="13986"/>
    <cellStyle name="强调文字颜色 4 2 3 2 3 2 3" xfId="13987"/>
    <cellStyle name="计算 2 6 2 3 3 2 2" xfId="13988"/>
    <cellStyle name="常规 5 2 5 3 2" xfId="13989"/>
    <cellStyle name="60% - 强调文字颜色 1 2 2 8 2" xfId="13990"/>
    <cellStyle name="适中 2 5 2 2 2" xfId="13991"/>
    <cellStyle name="注释 3 2 2 5 2 2" xfId="13992"/>
    <cellStyle name="20% - 强调文字颜色 2 2 6 3 2 2" xfId="13993"/>
    <cellStyle name="汇总 2 2 4 4 5 3" xfId="13994"/>
    <cellStyle name="汇总 2 2 7 6 2" xfId="13995"/>
    <cellStyle name="注释 2 4 5" xfId="13996"/>
    <cellStyle name="标题 5 4 3 2 2 2" xfId="13997"/>
    <cellStyle name="计算 2 6 3 2 3 2 2" xfId="13998"/>
    <cellStyle name="输入 2 2 5 2 2 2 2 3" xfId="13999"/>
    <cellStyle name="强调文字颜色 6 2 3 3 3 2" xfId="14000"/>
    <cellStyle name="计算 2 5 2 12" xfId="14001"/>
    <cellStyle name="20% - 强调文字颜色 6 2 2 3 4 2 2 2" xfId="14002"/>
    <cellStyle name="强调文字颜色 5 2 2 3 3 4" xfId="14003"/>
    <cellStyle name="计算 2 3 5 2 3" xfId="14004"/>
    <cellStyle name="20% - 强调文字颜色 1 2 2 2 3 2 2 2 2" xfId="14005"/>
    <cellStyle name="计算 2 2 7 4 2 2" xfId="14006"/>
    <cellStyle name="60% - 强调文字颜色 4 2 3 2 4 3" xfId="14007"/>
    <cellStyle name="标题 3 3 2 2 2" xfId="14008"/>
    <cellStyle name="输入 2 6 7 2 2" xfId="14009"/>
    <cellStyle name="常规 10 2 4 2 3 3" xfId="14010"/>
    <cellStyle name="汇总 2 3 2 3 2 3" xfId="14011"/>
    <cellStyle name="60% - 强调文字颜色 4 2 2 4 4 2" xfId="14012"/>
    <cellStyle name="强调文字颜色 3 2 2 2 3 6" xfId="14013"/>
    <cellStyle name="计算 2 5 3 3 2 2 2" xfId="14014"/>
    <cellStyle name="强调文字颜色 4 2 3 2 3 4" xfId="14015"/>
    <cellStyle name="60% - 强调文字颜色 1 2 2 3 2 2 2 2 2" xfId="14016"/>
    <cellStyle name="计算 2 7 2 2 2 2 2 2" xfId="14017"/>
    <cellStyle name="常规 10 2 4 2 3 2" xfId="14018"/>
    <cellStyle name="差 2 4 2 3" xfId="14019"/>
    <cellStyle name="输入 3 3 3 2 2" xfId="14020"/>
    <cellStyle name="常规 10 2 3 3 2 2" xfId="14021"/>
    <cellStyle name="20% - 强调文字颜色 3 2 5 3 3" xfId="14022"/>
    <cellStyle name="常规 10 2 3 2 3 2 2" xfId="14023"/>
    <cellStyle name="40% - 强调文字颜色 4 2 5 2 3" xfId="14024"/>
    <cellStyle name="标题 1 2 4 3 3 3" xfId="14025"/>
    <cellStyle name="汇总 2 5 4 2 4 2 2" xfId="14026"/>
    <cellStyle name="超链接 3 3 4 2 4" xfId="14027"/>
    <cellStyle name="计算 2 9 3 3 3" xfId="14028"/>
    <cellStyle name="汇总 2 4 4 2 6" xfId="14029"/>
    <cellStyle name="常规 10 2 2 7" xfId="14030"/>
    <cellStyle name="输入 2 2 15 2" xfId="14031"/>
    <cellStyle name="输出 2 6 10" xfId="14032"/>
    <cellStyle name="常规 10 2 2 3 2 2" xfId="14033"/>
    <cellStyle name="输入 3 4 2 2 2" xfId="14034"/>
    <cellStyle name="输入 2 4 2 5" xfId="14035"/>
    <cellStyle name="差 3 3 2 3" xfId="14036"/>
    <cellStyle name="输入 2 5 2 3 2 4" xfId="14037"/>
    <cellStyle name="汇总 3 2 2 3 2 2 2" xfId="14038"/>
    <cellStyle name="汇总 3 2 2 3 4 2" xfId="14039"/>
    <cellStyle name="20% - 强调文字颜色 2 2 2 3 5" xfId="14040"/>
    <cellStyle name="60% - 强调文字颜色 6 2 2 2 3 7" xfId="14041"/>
    <cellStyle name="标题 2 4 2 3 2 3" xfId="14042"/>
    <cellStyle name="标题 1 2 7 2 2 2" xfId="14043"/>
    <cellStyle name="常规 5 3 3 3 5" xfId="14044"/>
    <cellStyle name="输出 2 4 2 2 5 3" xfId="14045"/>
    <cellStyle name="20% - 强调文字颜色 5 2 3 2 3 3" xfId="14046"/>
    <cellStyle name="输出 2 6 6 2 2" xfId="14047"/>
    <cellStyle name="汇总 2 2 4 3 2 2 4 2" xfId="14048"/>
    <cellStyle name="汇总 4 2 4" xfId="14049"/>
    <cellStyle name="差 2 2 2 2 4" xfId="14050"/>
    <cellStyle name="汇总 2 2 4 2 3 2 4 2" xfId="14051"/>
    <cellStyle name="输入 2 2 4 2 2 5 2" xfId="14052"/>
    <cellStyle name="注释 3 2 2 2 4" xfId="14053"/>
    <cellStyle name="输入 2 5 5 6" xfId="14054"/>
    <cellStyle name="警告文本 2 3 2 3 3 2" xfId="14055"/>
    <cellStyle name="标题 3 2 2 3 4 2 2 2" xfId="14056"/>
    <cellStyle name="计算 2 2 7" xfId="14057"/>
    <cellStyle name="汇总 2 2 4 8" xfId="14058"/>
    <cellStyle name="输出 2 4 2 3 6 2" xfId="14059"/>
    <cellStyle name="常规 9 3 5" xfId="14060"/>
    <cellStyle name="计算 2 2 2 2 2 2 2 2 2" xfId="14061"/>
    <cellStyle name="差 2 2 2 2 3 2 2 2" xfId="14062"/>
    <cellStyle name="输出 2 11 2" xfId="14063"/>
    <cellStyle name="20% - 强调文字颜色 3 2 3 2 4" xfId="14064"/>
    <cellStyle name="计算 2 2 4 3 2 2 2 2" xfId="14065"/>
    <cellStyle name="警告文本 2 3 3 3 2" xfId="14066"/>
    <cellStyle name="适中 2 2 2 3 4" xfId="14067"/>
    <cellStyle name="百分比 2 2 2 4 2 2" xfId="14068"/>
    <cellStyle name="标题 4 2 3 4 3 3" xfId="14069"/>
    <cellStyle name="汇总 2 4 8" xfId="14070"/>
    <cellStyle name="40% - 强调文字颜色 4 2 5 2 2 2" xfId="14071"/>
    <cellStyle name="注释 2 2 4 2 6" xfId="14072"/>
    <cellStyle name="40% - 强调文字颜色 4 2 3 2 2 4 2 2 2" xfId="14073"/>
    <cellStyle name="注释 3 12" xfId="14074"/>
    <cellStyle name="输入 2 6 2 2 2 6" xfId="14075"/>
    <cellStyle name="40% - 强调文字颜色 5 2 3 2 4 3 2" xfId="14076"/>
    <cellStyle name="常规 5 2 3 3 2 4" xfId="14077"/>
    <cellStyle name="常规 10 2 2 2" xfId="14078"/>
    <cellStyle name="常规 6 2 4 3 2 2" xfId="14079"/>
    <cellStyle name="输入 2 2 4 2 3 2 4" xfId="14080"/>
    <cellStyle name="差 6 3" xfId="14081"/>
    <cellStyle name="计算 2 5 2 4 2 2 2" xfId="14082"/>
    <cellStyle name="常规 6 3 2 2 3 2" xfId="14083"/>
    <cellStyle name="计算 3 2 9" xfId="14084"/>
    <cellStyle name="计算 4 2 6 2" xfId="14085"/>
    <cellStyle name="输出 2 2 2 4 2 2 2 2" xfId="14086"/>
    <cellStyle name="链接单元格 2 6 4" xfId="14087"/>
    <cellStyle name="60% - 强调文字颜色 4 2 2 6" xfId="14088"/>
    <cellStyle name="常规 10 2 2 4 2" xfId="14089"/>
    <cellStyle name="计算 2 2 4 2 3 3 2 2 2" xfId="14090"/>
    <cellStyle name="汇总 2 10 2 3" xfId="14091"/>
    <cellStyle name="输出 2 2 4 2 2 5" xfId="14092"/>
    <cellStyle name="计算 2 2 5 2 12" xfId="14093"/>
    <cellStyle name="差 5 2 2 2 2" xfId="14094"/>
    <cellStyle name="40% - 强调文字颜色 5 2 3 2 2 5 2 2" xfId="14095"/>
    <cellStyle name="汇总 2 2 3 3 2 2" xfId="14096"/>
    <cellStyle name="40% - 强调文字颜色 4 2 2 9" xfId="14097"/>
    <cellStyle name="差 4 3 3" xfId="14098"/>
    <cellStyle name="差 4 3 2 2" xfId="14099"/>
    <cellStyle name="40% - 强调文字颜色 4 2 2 8 2" xfId="14100"/>
    <cellStyle name="40% - 强调文字颜色 4 2 2 8" xfId="14101"/>
    <cellStyle name="差 4 3 2" xfId="14102"/>
    <cellStyle name="差 4 2 2 3" xfId="14103"/>
    <cellStyle name="差 4" xfId="14104"/>
    <cellStyle name="差 3 8" xfId="14105"/>
    <cellStyle name="差 3 7" xfId="14106"/>
    <cellStyle name="标题 1 2 3 2 5 2 2" xfId="14107"/>
    <cellStyle name="强调文字颜色 1 3 2 2 2 2" xfId="14108"/>
    <cellStyle name="常规 10 2 4 2" xfId="14109"/>
    <cellStyle name="输出 2 2 13" xfId="14110"/>
    <cellStyle name="20% - 强调文字颜色 5 2 4 2" xfId="14111"/>
    <cellStyle name="汇总 2 6 6 2" xfId="14112"/>
    <cellStyle name="差 2 4 3 2" xfId="14113"/>
    <cellStyle name="20% - 强调文字颜色 6 2 2 2 3 2 2 2" xfId="14114"/>
    <cellStyle name="超链接 3 5 3 2 2 2" xfId="14115"/>
    <cellStyle name="汇总 3 2 3 5" xfId="14116"/>
    <cellStyle name="差 3 4 2 2 2" xfId="14117"/>
    <cellStyle name="输入 2 5 2 4 2" xfId="14118"/>
    <cellStyle name="输入 2 2 4 2 3 4 3" xfId="14119"/>
    <cellStyle name="输出 2 8 3 2 2" xfId="14120"/>
    <cellStyle name="警告文本 2 3 6" xfId="14121"/>
    <cellStyle name="好 2 5 3 3" xfId="14122"/>
    <cellStyle name="差 3 3 3 3" xfId="14123"/>
    <cellStyle name="输入 2 4 3 5" xfId="14124"/>
    <cellStyle name="强调文字颜色 4 2 2 2" xfId="14125"/>
    <cellStyle name="链接单元格 2 2 2 2 3 3 2" xfId="14126"/>
    <cellStyle name="输出 3 3 4" xfId="14127"/>
    <cellStyle name="常规 3 2 2" xfId="14128"/>
    <cellStyle name="输出 2 2 5 2 2 2 3" xfId="14129"/>
    <cellStyle name="常规 2 2 3 2 2 2 2 2" xfId="14130"/>
    <cellStyle name="汇总 2 2 4 2 3 3 5" xfId="14131"/>
    <cellStyle name="标题 4 2 2 4 3" xfId="14132"/>
    <cellStyle name="汇总 2 6 2 4 4 2" xfId="14133"/>
    <cellStyle name="汇总 2 6 4 4 3" xfId="14134"/>
    <cellStyle name="解释性文本 2 3 2 2 5" xfId="14135"/>
    <cellStyle name="超链接 3 2 2 2 3 3 2" xfId="14136"/>
    <cellStyle name="20% - 强调文字颜色 5 2 2 4 3" xfId="14137"/>
    <cellStyle name="标题 2 4" xfId="14138"/>
    <cellStyle name="输入 2 5 5 3" xfId="14139"/>
    <cellStyle name="计算 2 2 5 3 2 2 2" xfId="14140"/>
    <cellStyle name="检查单元格 2 6 2 3" xfId="14141"/>
    <cellStyle name="计算 2 5 5 2 5 2" xfId="14142"/>
    <cellStyle name="汇总 2 2 8 2 2 4" xfId="14143"/>
    <cellStyle name="好 2 2 4 2 3" xfId="14144"/>
    <cellStyle name="标题 2 2 9 2" xfId="14145"/>
    <cellStyle name="常规 5 2 4 3 3 2" xfId="14146"/>
    <cellStyle name="输出 2 2 5 2 3" xfId="14147"/>
    <cellStyle name="计算 2 2 5 8" xfId="14148"/>
    <cellStyle name="60% - 强调文字颜色 3 2 2 4 5" xfId="14149"/>
    <cellStyle name="计算 2 4 3 3 2 3" xfId="14150"/>
    <cellStyle name="输入 2 2 5 2 3 3" xfId="14151"/>
    <cellStyle name="输出 2 2 5 8 3" xfId="14152"/>
    <cellStyle name="常规 6 7 3" xfId="14153"/>
    <cellStyle name="60% - 强调文字颜色 1 2 7 2 2 2" xfId="14154"/>
    <cellStyle name="Porcentaje 2 2" xfId="14155"/>
    <cellStyle name="计算 3 2 2 3 2 2" xfId="14156"/>
    <cellStyle name="输入 4 6 2" xfId="14157"/>
    <cellStyle name="计算 2 6 2 2 3 4" xfId="14158"/>
    <cellStyle name="常规 10 3 2 2" xfId="14159"/>
    <cellStyle name="20% - 强调文字颜色 4 2 7 2" xfId="14160"/>
    <cellStyle name="常规 5 2 3 4 2 4" xfId="14161"/>
    <cellStyle name="40% - 强调文字颜色 4 2 5 3 2 2" xfId="14162"/>
    <cellStyle name="40% - 强调文字颜色 2 2 2 2 2 4 2 2 2" xfId="14163"/>
    <cellStyle name="输出 2 3 3 2 2 2" xfId="14164"/>
    <cellStyle name="计算 4 5 2" xfId="14165"/>
    <cellStyle name="常规 8 3 3 3 2" xfId="14166"/>
    <cellStyle name="差 3 2 2 3" xfId="14167"/>
    <cellStyle name="输入 2 3 2 5" xfId="14168"/>
    <cellStyle name="注释 2 2 5 4 2 4" xfId="14169"/>
    <cellStyle name="20% - 强调文字颜色 1 2 2 2 5" xfId="14170"/>
    <cellStyle name="输出 2 2 3 4 4" xfId="14171"/>
    <cellStyle name="计算 2 2 3 12" xfId="14172"/>
    <cellStyle name="汇总 2 2 2 4 6" xfId="14173"/>
    <cellStyle name="标题 5 2 2 6 2 3" xfId="14174"/>
    <cellStyle name="链接单元格 2 3 2 2 2 2 3" xfId="14175"/>
    <cellStyle name="常规 2 2 2 6 2" xfId="14176"/>
    <cellStyle name="差 3 2 2 2 3" xfId="14177"/>
    <cellStyle name="强调文字颜色 3 2" xfId="14178"/>
    <cellStyle name="输入 2 3 2 4 3" xfId="14179"/>
    <cellStyle name="输出 2 2 5 4 2 3" xfId="14180"/>
    <cellStyle name="输入 2 3 2 2 2 3 2 2" xfId="14181"/>
    <cellStyle name="60% - 强调文字颜色 1 2 3 6 2 2" xfId="14182"/>
    <cellStyle name="60% - 强调文字颜色 3 3 2" xfId="14183"/>
    <cellStyle name="计算 2 2 5 3 5" xfId="14184"/>
    <cellStyle name="20% - 强调文字颜色 1 5 2 2 2" xfId="14185"/>
    <cellStyle name="强调文字颜色 2 2 2 4 2 2 2" xfId="14186"/>
    <cellStyle name="标题 9 2 3" xfId="14187"/>
    <cellStyle name="链接单元格 2 3 2 2 3 2" xfId="14188"/>
    <cellStyle name="计算 2 2 3 2 2 7" xfId="14189"/>
    <cellStyle name="20% - 强调文字颜色 2 3 8" xfId="14190"/>
    <cellStyle name="差 3 2 2 2 2 2 2" xfId="14191"/>
    <cellStyle name="计算 2 2 2 3 3 2" xfId="14192"/>
    <cellStyle name="注释 2 4 2 2 2 2 2" xfId="14193"/>
    <cellStyle name="注释 2 6 2 6" xfId="14194"/>
    <cellStyle name="注释 4 2 6 2 2" xfId="14195"/>
    <cellStyle name="强调文字颜色 6 2 2 3 4 4" xfId="14196"/>
    <cellStyle name="60% - 强调文字颜色 3 2 3 7" xfId="14197"/>
    <cellStyle name="标题 7 2 3" xfId="14198"/>
    <cellStyle name="20% - 强调文字颜色 1 2 2 2 2 3" xfId="14199"/>
    <cellStyle name="输入 2 5 2 3 3 2" xfId="14200"/>
    <cellStyle name="汇总 3 2 2 6 2" xfId="14201"/>
    <cellStyle name="标题 2 2 2 2 5 2 2 3" xfId="14202"/>
    <cellStyle name="输入 2 2 6 2 2 5" xfId="14203"/>
    <cellStyle name="汇总 2 2 3 2 2 2 2 2" xfId="14204"/>
    <cellStyle name="链接单元格 2 2 4 3 4" xfId="14205"/>
    <cellStyle name="输入 2 2 19" xfId="14206"/>
    <cellStyle name="输出 5 5 3" xfId="14207"/>
    <cellStyle name="差 3 2 2 2 2" xfId="14208"/>
    <cellStyle name="输入 2 3 2 4 2" xfId="14209"/>
    <cellStyle name="注释 2 2 5 4 6" xfId="14210"/>
    <cellStyle name="60% - 强调文字颜色 6 2 2 2 2 2 2 2 2 2" xfId="14211"/>
    <cellStyle name="常规 2 3 5 3 2 2" xfId="14212"/>
    <cellStyle name="强调文字颜色 6 2 3 2 3" xfId="14213"/>
    <cellStyle name="计算 2 6 3 2 2 2" xfId="14214"/>
    <cellStyle name="注释 3 5 2 2" xfId="14215"/>
    <cellStyle name="40% - 强调文字颜色 4 2 3 2 2 2 2 2 2" xfId="14216"/>
    <cellStyle name="汇总 2 2 2 2" xfId="14217"/>
    <cellStyle name="汇总 8" xfId="14218"/>
    <cellStyle name="差 2 6 2 2 3" xfId="14219"/>
    <cellStyle name="计算 2 2 4 11 2" xfId="14220"/>
    <cellStyle name="差 2 6 2 2 2" xfId="14221"/>
    <cellStyle name="常规 11 2 2 3 4" xfId="14222"/>
    <cellStyle name="计算 2 5 2 2 6" xfId="14223"/>
    <cellStyle name="计算 5 2 2" xfId="14224"/>
    <cellStyle name="计算 2 2 4 3 4 2 2" xfId="14225"/>
    <cellStyle name="强调文字颜色 6 2 2 2 4 3 2 2" xfId="14226"/>
    <cellStyle name="检查单元格 2 2 2 7" xfId="14227"/>
    <cellStyle name="60% - 强调文字颜色 1 2 2 4 2 2 2 2" xfId="14228"/>
    <cellStyle name="计算 2 6 3 3 2 2" xfId="14229"/>
    <cellStyle name="适中 2 2 4 2 2 3" xfId="14230"/>
    <cellStyle name="60% - 强调文字颜色 5 2 2 4 4" xfId="14231"/>
    <cellStyle name="强调文字颜色 6 2 4 2 3" xfId="14232"/>
    <cellStyle name="标题 2 2 3 2 3" xfId="14233"/>
    <cellStyle name="汇总 2 4 2 5 2 2" xfId="14234"/>
    <cellStyle name="强调文字颜色 3 2 2 4 5 3" xfId="14235"/>
    <cellStyle name="汇总 4 2 2" xfId="14236"/>
    <cellStyle name="常规 12 4 2 3 2" xfId="14237"/>
    <cellStyle name="汇总 2 4 3 3 3" xfId="14238"/>
    <cellStyle name="汇总 2 5 2 2 3" xfId="14239"/>
    <cellStyle name="解释性文本 3 2 2 3" xfId="14240"/>
    <cellStyle name="60% - 强调文字颜色 4 3 2 2 3 2" xfId="14241"/>
    <cellStyle name="60% - 强调文字颜色 6 2 5 3" xfId="14242"/>
    <cellStyle name="差 2 4 4 3 2" xfId="14243"/>
    <cellStyle name="差 4 2 3 2 2 2" xfId="14244"/>
    <cellStyle name="40% - 强调文字颜色 4 4 2 3 2" xfId="14245"/>
    <cellStyle name="常规 5 2 3 3 4 2 2" xfId="14246"/>
    <cellStyle name="输入 2 2 4 2 4 3 2" xfId="14247"/>
    <cellStyle name="常规 6 2 2 2 5" xfId="14248"/>
    <cellStyle name="强调文字颜色 6 3 2 2 4" xfId="14249"/>
    <cellStyle name="强调文字颜色 1 2 3 2 2 2 2 3" xfId="14250"/>
    <cellStyle name="常规 4 5 2 3 2 2" xfId="14251"/>
    <cellStyle name="标题 2 2 3 5 2" xfId="14252"/>
    <cellStyle name="40% - 强调文字颜色 2 2 2 2 7 2" xfId="14253"/>
    <cellStyle name="常规 9 4 2 2 2 2" xfId="14254"/>
    <cellStyle name="40% - 强调文字颜色 1 5 2 2 2 2" xfId="14255"/>
    <cellStyle name="标题 3 2 2 3 3 3 2" xfId="14256"/>
    <cellStyle name="Normal 6 2 2" xfId="14257"/>
    <cellStyle name="计算 2 2 7 3 2 3" xfId="14258"/>
    <cellStyle name="汇总 2 5 3 3 2 2" xfId="14259"/>
    <cellStyle name="注释 2 2 6 3 2 2" xfId="14260"/>
    <cellStyle name="汇总 2 4 2 2 3 2" xfId="14261"/>
    <cellStyle name="40% - 强调文字颜色 1 2 2 2 2 2 2 3 2" xfId="14262"/>
    <cellStyle name="Normal 5 3 2" xfId="14263"/>
    <cellStyle name="计算 2 2 7 2 3 3" xfId="14264"/>
    <cellStyle name="汇总 2 5 3 2 3 2" xfId="14265"/>
    <cellStyle name="常规 5 4 3 2 3 3" xfId="14266"/>
    <cellStyle name="汇总 2 4 10 2 2" xfId="14267"/>
    <cellStyle name="强调文字颜色 4 2 2 6 3" xfId="14268"/>
    <cellStyle name="计算 2 7 3 2 4" xfId="14269"/>
    <cellStyle name="注释 2 3 2 2 2 3 2" xfId="14270"/>
    <cellStyle name="60% - 强调文字颜色 1 2 2 6 2" xfId="14271"/>
    <cellStyle name="强调文字颜色 3 2 4 2 3" xfId="14272"/>
    <cellStyle name="计算 2 3 3 3 2 2" xfId="14273"/>
    <cellStyle name="60% - 强调文字颜色 2 2 2 4 4" xfId="14274"/>
    <cellStyle name="强调文字颜色 6 2 2 3 4" xfId="14275"/>
    <cellStyle name="警告文本 2 2 2 2 6 3" xfId="14276"/>
    <cellStyle name="输出 2 4 3 3 3" xfId="14277"/>
    <cellStyle name="常规 9 3 4 4" xfId="14278"/>
    <cellStyle name="计算 2 2 10 2 4 2" xfId="14279"/>
    <cellStyle name="60% - 强调文字颜色 6 4 3 3" xfId="14280"/>
    <cellStyle name="标题 3 2 2 2 6 2 2" xfId="14281"/>
    <cellStyle name="计算 2 7 3 6" xfId="14282"/>
    <cellStyle name="输入 2 2 8 4 2" xfId="14283"/>
    <cellStyle name="常规 5 3 2 2 4" xfId="14284"/>
    <cellStyle name="常规 4 4 2 2 4" xfId="14285"/>
    <cellStyle name="注释 2 13" xfId="14286"/>
    <cellStyle name="差 2 4 3" xfId="14287"/>
    <cellStyle name="20% - 强调文字颜色 6 2 2 2 3 2 2" xfId="14288"/>
    <cellStyle name="输出 5" xfId="14289"/>
    <cellStyle name="强调文字颜色 3 2 4 3 2 3" xfId="14290"/>
    <cellStyle name="计算 3 3 3 2" xfId="14291"/>
    <cellStyle name="强调文字颜色 1 2 2 2 2 4 2" xfId="14292"/>
    <cellStyle name="强调文字颜色 2 2 3 2 2 2 2" xfId="14293"/>
    <cellStyle name="20% - 强调文字颜色 2 3 2 2 2" xfId="14294"/>
    <cellStyle name="60% - 强调文字颜色 5 4 2 4" xfId="14295"/>
    <cellStyle name="超链接 2 3 4 2 4" xfId="14296"/>
    <cellStyle name="计算 2 2 3 4" xfId="14297"/>
    <cellStyle name="强调文字颜色 3 2 3 2 2 5" xfId="14298"/>
    <cellStyle name="计算 2 2 5 6 3" xfId="14299"/>
    <cellStyle name="强调文字颜色 4 2 4 2 2 3" xfId="14300"/>
    <cellStyle name="60% - 强调文字颜色 3 2 2 4 3 3" xfId="14301"/>
    <cellStyle name="强调文字颜色 2 2 2 2 2 7" xfId="14302"/>
    <cellStyle name="注释 2 3 2 10" xfId="14303"/>
    <cellStyle name="汇总 2 2 9 2 5" xfId="14304"/>
    <cellStyle name="计算 2 2 4 4 3 2" xfId="14305"/>
    <cellStyle name="强调文字颜色 1 2 2 3 2 2 2" xfId="14306"/>
    <cellStyle name="解释性文本 2 2 2 2 5 3" xfId="14307"/>
    <cellStyle name="常规 2 2 2 2 2 3 3 2" xfId="14308"/>
    <cellStyle name="输入 2 8 4 2 2" xfId="14309"/>
    <cellStyle name="超链接 3 4 3 2 2" xfId="14310"/>
    <cellStyle name="强调文字颜色 1 2 2 3 4 3 2" xfId="14311"/>
    <cellStyle name="60% - 强调文字颜色 6 4 2 2" xfId="14312"/>
    <cellStyle name="常规 5 4 4 3 2" xfId="14313"/>
    <cellStyle name="强调文字颜色 3 3 2 4 2" xfId="14314"/>
    <cellStyle name="汇总 2 2 4 2 2 3 3 3" xfId="14315"/>
    <cellStyle name="60% - 强调文字颜色 4 2 10" xfId="14316"/>
    <cellStyle name="解释性文本 4 2 3 2" xfId="14317"/>
    <cellStyle name="常规 4 6" xfId="14318"/>
    <cellStyle name="常规 2 2 3 3 2" xfId="14319"/>
    <cellStyle name="注释 2 2 12 3" xfId="14320"/>
    <cellStyle name="40% - 强调文字颜色 3 2 3 2 2 4 3 2" xfId="14321"/>
    <cellStyle name="差 2 4 10" xfId="14322"/>
    <cellStyle name="60% - 强调文字颜色 6 2 2 4 2 2 2" xfId="14323"/>
    <cellStyle name="20% - 强调文字颜色 1 2 2 4 5 2" xfId="14324"/>
    <cellStyle name="汇总 2 2 3 11 2" xfId="14325"/>
    <cellStyle name="常规 12 2 6" xfId="14326"/>
    <cellStyle name="解释性文本 3 2 3" xfId="14327"/>
    <cellStyle name="60% - 强调文字颜色 6 2 6" xfId="14328"/>
    <cellStyle name="计算 2 2 8 2 9" xfId="14329"/>
    <cellStyle name="解释性文本 2 4 2 2 2 2 2" xfId="14330"/>
    <cellStyle name="40% - 强调文字颜色 2 2 5 3 2 2" xfId="14331"/>
    <cellStyle name="汇总 2 2 2 2 2 3 3" xfId="14332"/>
    <cellStyle name="汇总 2 8 2 3" xfId="14333"/>
    <cellStyle name="常规 4 4 4 5" xfId="14334"/>
    <cellStyle name="40% - 强调文字颜色 6 2 3 2 5" xfId="14335"/>
    <cellStyle name="强调文字颜色 1 2 4 4 2 2" xfId="14336"/>
    <cellStyle name="常规 10 2 3 3 3" xfId="14337"/>
    <cellStyle name="差 2 3 9" xfId="14338"/>
    <cellStyle name="注释 4 2 2 2 2" xfId="14339"/>
    <cellStyle name="注释 2 2 2 6" xfId="14340"/>
    <cellStyle name="汇总 2 2 12 5" xfId="14341"/>
    <cellStyle name="20% - 强调文字颜色 6 2 3 2 3 2" xfId="14342"/>
    <cellStyle name="20% - 强调文字颜色 6 4 3 2" xfId="14343"/>
    <cellStyle name="注释 2 3 3 2 3 2" xfId="14344"/>
    <cellStyle name="计算 2 2 4 2 6 5" xfId="14345"/>
    <cellStyle name="60% - 强调文字颜色 3 2 7" xfId="14346"/>
    <cellStyle name="60% - 强调文字颜色 2 2 3 5" xfId="14347"/>
    <cellStyle name="常规 5 4 2 4" xfId="14348"/>
    <cellStyle name="常规 5 2 2 2 2 2" xfId="14349"/>
    <cellStyle name="汇总 4 7" xfId="14350"/>
    <cellStyle name="强调文字颜色 1 2 5 4" xfId="14351"/>
    <cellStyle name="强调文字颜色 3 2 4 9" xfId="14352"/>
    <cellStyle name="汇总 2 2 4 2 4 2 7" xfId="14353"/>
    <cellStyle name="输入 2 7 2 2 2 2" xfId="14354"/>
    <cellStyle name="注释 3 2 4 2 2" xfId="14355"/>
    <cellStyle name="汇总 2 4 4 6" xfId="14356"/>
    <cellStyle name="标题 3 2 2 4 2 3 3" xfId="14357"/>
    <cellStyle name="计算 2 6 2 6 2" xfId="14358"/>
    <cellStyle name="输入 2 2 7 3 2 2" xfId="14359"/>
    <cellStyle name="60% - 强调文字颜色 5 2 2 3 3 2 2 2" xfId="14360"/>
    <cellStyle name="输出 2 2 3 2 8" xfId="14361"/>
    <cellStyle name="输出 2 7 2 6" xfId="14362"/>
    <cellStyle name="汇总 2 2 4 2 4 2 6" xfId="14363"/>
    <cellStyle name="强调文字颜色 3 2 2 3 4 2 2" xfId="14364"/>
    <cellStyle name="差 2 3 6 2" xfId="14365"/>
    <cellStyle name="差 2 3 5 3" xfId="14366"/>
    <cellStyle name="汇总 2 5 3 3 3" xfId="14367"/>
    <cellStyle name="输入 2 2 6 2 2 4" xfId="14368"/>
    <cellStyle name="标题 2 2 2 2 5 2 2 2" xfId="14369"/>
    <cellStyle name="20% - 强调文字颜色 1 2 2 2 2 2" xfId="14370"/>
    <cellStyle name="强调文字颜色 6 2 2 2 2 5" xfId="14371"/>
    <cellStyle name="常规 12 3 2" xfId="14372"/>
    <cellStyle name="40% - 强调文字颜色 4 2 7 3 2" xfId="14373"/>
    <cellStyle name="标题 5 3 3 3 3" xfId="14374"/>
    <cellStyle name="40% - 强调文字颜色 6 3 8" xfId="14375"/>
    <cellStyle name="标题 3 4 5" xfId="14376"/>
    <cellStyle name="计算 2 2 8 7" xfId="14377"/>
    <cellStyle name="强调文字颜色 4 2 4 5 3" xfId="14378"/>
    <cellStyle name="汇总 2 3 4 2 3" xfId="14379"/>
    <cellStyle name="注释 2 6 2 4 2 2" xfId="14380"/>
    <cellStyle name="汇总 2 5 2 3 4 2 2" xfId="14381"/>
    <cellStyle name="差 2 3 5 2" xfId="14382"/>
    <cellStyle name="强调文字颜色 5 3 3 2" xfId="14383"/>
    <cellStyle name="常规 6 2 3 3 3" xfId="14384"/>
    <cellStyle name="计算 2 2 2 3 2 4 2" xfId="14385"/>
    <cellStyle name="40% - 强调文字颜色 1 2 5 2 3" xfId="14386"/>
    <cellStyle name="解释性文本 4 2 2 2" xfId="14387"/>
    <cellStyle name="常规 3 6" xfId="14388"/>
    <cellStyle name="汇总 2 2 5 3 3 2 3" xfId="14389"/>
    <cellStyle name="计算 2 2 6 3 4 2" xfId="14390"/>
    <cellStyle name="差 2 3 4" xfId="14391"/>
    <cellStyle name="20% - 强调文字颜色 6 4 4 2 2" xfId="14392"/>
    <cellStyle name="差 2 3 3 5" xfId="14393"/>
    <cellStyle name="汇总 2 6 3 3 2 3" xfId="14394"/>
    <cellStyle name="40% - 强调文字颜色 2 2 2 7 2 2" xfId="14395"/>
    <cellStyle name="标题 3 2 3 3 3 3" xfId="14396"/>
    <cellStyle name="注释 2 5 2 10" xfId="14397"/>
    <cellStyle name="输入 2 2 2 9 2" xfId="14398"/>
    <cellStyle name="标题 2 4 4" xfId="14399"/>
    <cellStyle name="强调文字颜色 4 2 3 5 2" xfId="14400"/>
    <cellStyle name="常规 10 2 3 3 4" xfId="14401"/>
    <cellStyle name="强调文字颜色 1 2 4 4 2 3" xfId="14402"/>
    <cellStyle name="输入 2 6 2 10" xfId="14403"/>
    <cellStyle name="汇总 2 5 6 4 2" xfId="14404"/>
    <cellStyle name="解释性文本 2 2 4 2 4" xfId="14405"/>
    <cellStyle name="常规 2 4 4 3" xfId="14406"/>
    <cellStyle name="计算 2 2 5 2 2 8" xfId="14407"/>
    <cellStyle name="计算 2 7 2 2" xfId="14408"/>
    <cellStyle name="输出 2 5 6 3" xfId="14409"/>
    <cellStyle name="计算 2 5 2 3 3 5" xfId="14410"/>
    <cellStyle name="60% - 强调文字颜色 3 2 2 2 4 3 2" xfId="14411"/>
    <cellStyle name="好 2 4 2 2 3" xfId="14412"/>
    <cellStyle name="汇总 2 7 2 3 2 2 2" xfId="14413"/>
    <cellStyle name="强调文字颜色 1 2 6 4" xfId="14414"/>
    <cellStyle name="40% - 强调文字颜色 6 2 2 2 5 2 2 2" xfId="14415"/>
    <cellStyle name="常规 5 2 2 2 2 6" xfId="14416"/>
    <cellStyle name="常规 7 2 4 2 2 2" xfId="14417"/>
    <cellStyle name="标题 4 5 3" xfId="14418"/>
    <cellStyle name="计算 2 7 6 2 2" xfId="14419"/>
    <cellStyle name="强调文字颜色 2 2 2 5 4" xfId="14420"/>
    <cellStyle name="好 2 4 4 3 2" xfId="14421"/>
    <cellStyle name="40% - 强调文字颜色 4 2 8 2" xfId="14422"/>
    <cellStyle name="输出 2 6 7" xfId="14423"/>
    <cellStyle name="标题 4 2 2 5 3 2 2" xfId="14424"/>
    <cellStyle name="强调文字颜色 4 2 4" xfId="14425"/>
    <cellStyle name="40% - 强调文字颜色 4 2 7 3" xfId="14426"/>
    <cellStyle name="输入 2 5 2" xfId="14427"/>
    <cellStyle name="40% - 强调文字颜色 4 2 7 2" xfId="14428"/>
    <cellStyle name="常规 6 2 3 3 2" xfId="14429"/>
    <cellStyle name="汇总 4 9" xfId="14430"/>
    <cellStyle name="输入 2 2 5 4 4 3" xfId="14431"/>
    <cellStyle name="输出 2 4 3 10" xfId="14432"/>
    <cellStyle name="40% - 强调文字颜色 5 2 2 2 2 5 2" xfId="14433"/>
    <cellStyle name="警告文本 2 2 4 4 2" xfId="14434"/>
    <cellStyle name="适中 2 2 2 2 4 4" xfId="14435"/>
    <cellStyle name="40% - 强调文字颜色 3 4 5" xfId="14436"/>
    <cellStyle name="Millares 2" xfId="14437"/>
    <cellStyle name="常规 3 3 5" xfId="14438"/>
    <cellStyle name="差 2 3 2 3 2 2 3" xfId="14439"/>
    <cellStyle name="好 3 2 2 3" xfId="14440"/>
    <cellStyle name="链接单元格 2 2 2 2 8" xfId="14441"/>
    <cellStyle name="40% - 强调文字颜色 5 2 5 3 3 2" xfId="14442"/>
    <cellStyle name="计算 2 11 2 3" xfId="14443"/>
    <cellStyle name="计算 2 2 6 3 2 2 2 2" xfId="14444"/>
    <cellStyle name="60% - 强调文字颜色 3 2 4 3" xfId="14445"/>
    <cellStyle name="计算 2 2 4 2 6 2 3" xfId="14446"/>
    <cellStyle name="60% - 强调文字颜色 2 2 3 2 3" xfId="14447"/>
    <cellStyle name="计算 2 2 5 2 7 3" xfId="14448"/>
    <cellStyle name="差 2 2 6 2 2 2" xfId="14449"/>
    <cellStyle name="超链接 3 3 4 4" xfId="14450"/>
    <cellStyle name="输入 2 7 5 4" xfId="14451"/>
    <cellStyle name="汇总 3 4 3 2" xfId="14452"/>
    <cellStyle name="检查单元格 2 3 2 4 2 2 2" xfId="14453"/>
    <cellStyle name="计算 2 2 6 2 2 5 3" xfId="14454"/>
    <cellStyle name="汇总 2 5 2 2 2 4 3" xfId="14455"/>
    <cellStyle name="链接单元格 2 3 3 3" xfId="14456"/>
    <cellStyle name="输出 2 6 4 2 2 2" xfId="14457"/>
    <cellStyle name="常规 2 5 2 2 2 2" xfId="14458"/>
    <cellStyle name="注释 2 5 3 4 3" xfId="14459"/>
    <cellStyle name="计算 2 5 3 10" xfId="14460"/>
    <cellStyle name="常规 3 3 7 3 2" xfId="14461"/>
    <cellStyle name="计算 2 6 2 3 3" xfId="14462"/>
    <cellStyle name="输入 2 4 4 2 4" xfId="14463"/>
    <cellStyle name="20% - 强调文字颜色 6 2 2 2 5 2" xfId="14464"/>
    <cellStyle name="标题 5 2 3 3 2 2" xfId="14465"/>
    <cellStyle name="差 2 2 4 6" xfId="14466"/>
    <cellStyle name="强调文字颜色 1 2 3 5 2 2 2" xfId="14467"/>
    <cellStyle name="汇总 2 2 8 4" xfId="14468"/>
    <cellStyle name="40% - 强调文字颜色 6 4 5" xfId="14469"/>
    <cellStyle name="汇总 2 2 2 2 2 2 2 3 3" xfId="14470"/>
    <cellStyle name="输入 2 2 6 2 7" xfId="14471"/>
    <cellStyle name="20% - 强调文字颜色 2 2 2 2 2 2" xfId="14472"/>
    <cellStyle name="60% - 强调文字颜色 4 4 2 4 2" xfId="14473"/>
    <cellStyle name="差 2 3" xfId="14474"/>
    <cellStyle name="差 2 2 9 2" xfId="14475"/>
    <cellStyle name="常规 10 2 3 2 3 2" xfId="14476"/>
    <cellStyle name="计算 2 2 11 2 3" xfId="14477"/>
    <cellStyle name="超链接 2 2 5 2" xfId="14478"/>
    <cellStyle name="60% - 强调文字颜色 4 2 3 2 2 2 2" xfId="14479"/>
    <cellStyle name="汇总 2 9 5" xfId="14480"/>
    <cellStyle name="标题 5 2 2 2 3 2 3" xfId="14481"/>
    <cellStyle name="60% - 强调文字颜色 3 2 2 2 2 4 2" xfId="14482"/>
    <cellStyle name="超链接 2 3 3" xfId="14483"/>
    <cellStyle name="计算 2 2 5 2 2 2 2 3" xfId="14484"/>
    <cellStyle name="注释 2 6 4 2 4" xfId="14485"/>
    <cellStyle name="适中 2 3 3 5" xfId="14486"/>
    <cellStyle name="汇总 2 2 10 5" xfId="14487"/>
    <cellStyle name="计算 2 2 5 2 3 3 2 2" xfId="14488"/>
    <cellStyle name="标题 1 4 6" xfId="14489"/>
    <cellStyle name="强调文字颜色 4 2 2 5 4" xfId="14490"/>
    <cellStyle name="计算 2 9 3 4" xfId="14491"/>
    <cellStyle name="强调文字颜色 3 2 2 3 4 3" xfId="14492"/>
    <cellStyle name="输入 2 2 3 2 2 2 3 2" xfId="14493"/>
    <cellStyle name="40% - 强调文字颜色 3 2 2 3 5 2 2" xfId="14494"/>
    <cellStyle name="差 2 3 7" xfId="14495"/>
    <cellStyle name="汇总 2 2 4 4 2 4 2" xfId="14496"/>
    <cellStyle name="计算 2 2 4 4 2 3" xfId="14497"/>
    <cellStyle name="汇总 2 5 2 4 3 2" xfId="14498"/>
    <cellStyle name="标题 3 2 2 3 3" xfId="14499"/>
    <cellStyle name="计算 2 2 6 4 3 3" xfId="14500"/>
    <cellStyle name="差 3 2 5" xfId="14501"/>
    <cellStyle name="注释 2 13 2" xfId="14502"/>
    <cellStyle name="常规 4 4 2 2 4 2" xfId="14503"/>
    <cellStyle name="标题 4 2 2 2 6 3" xfId="14504"/>
    <cellStyle name="常规 2 3 2 4" xfId="14505"/>
    <cellStyle name="差 2 2 3 2 2 2 2 2" xfId="14506"/>
    <cellStyle name="60% - 强调文字颜色 2 3 2 2 3 2 2 2" xfId="14507"/>
    <cellStyle name="输出 2 4 4 4" xfId="14508"/>
    <cellStyle name="汇总 2 5 2 3 3 3 3" xfId="14509"/>
    <cellStyle name="强调文字颜色 5 3 2 2 2" xfId="14510"/>
    <cellStyle name="汇总 2 5 2 4 8" xfId="14511"/>
    <cellStyle name="差 2 2 6 3" xfId="14512"/>
    <cellStyle name="注释 2 5 2 7" xfId="14513"/>
    <cellStyle name="计算 2 2 2 2 3 3" xfId="14514"/>
    <cellStyle name="输出 2 2 3 2 3 2 2" xfId="14515"/>
    <cellStyle name="强调文字颜色 1 2 2 4 2 4" xfId="14516"/>
    <cellStyle name="20% - 强调文字颜色 2 5 2 2" xfId="14517"/>
    <cellStyle name="强调文字颜色 2 2 3 4 2 2" xfId="14518"/>
    <cellStyle name="输出 3 2 2 2 3 2" xfId="14519"/>
    <cellStyle name="计算 2 2 3 2 2 5 3" xfId="14520"/>
    <cellStyle name="计算 2 2" xfId="14521"/>
    <cellStyle name="输入 2 8 7 3" xfId="14522"/>
    <cellStyle name="计算 2 2 9 4 3" xfId="14523"/>
    <cellStyle name="标题 3 5 2 3" xfId="14524"/>
    <cellStyle name="强调文字颜色 1 2 2 3 5 3" xfId="14525"/>
    <cellStyle name="60% - 强调文字颜色 2 2 4 8" xfId="14526"/>
    <cellStyle name="汇总 2 4 2 3 7" xfId="14527"/>
    <cellStyle name="汇总 2 5 2 2 3 2 2" xfId="14528"/>
    <cellStyle name="常规 9 2 3 3 3 2" xfId="14529"/>
    <cellStyle name="计算 2 2 5 3 2 4 2 2" xfId="14530"/>
    <cellStyle name="输出 2 4 2 2 2 3 2" xfId="14531"/>
    <cellStyle name="标题 3 2 2 3 2" xfId="14532"/>
    <cellStyle name="差 3 2 4" xfId="14533"/>
    <cellStyle name="计算 2 2 6 4 3 2" xfId="14534"/>
    <cellStyle name="标题 5 2 3 2 3" xfId="14535"/>
    <cellStyle name="汇总 2 7 2 5 2 2" xfId="14536"/>
    <cellStyle name="输出 2 2 2 8 3" xfId="14537"/>
    <cellStyle name="输出 2 10 2 2 2" xfId="14538"/>
    <cellStyle name="强调文字颜色 6 2 2 4 2 3 2" xfId="14539"/>
    <cellStyle name="40% - 强调文字颜色 6 2 2 2 4 3 2" xfId="14540"/>
    <cellStyle name="汇总 2 7 2 2 3 2" xfId="14541"/>
    <cellStyle name="60% - 强调文字颜色 2 2 4 7" xfId="14542"/>
    <cellStyle name="强调文字颜色 1 2 2 3 5 2" xfId="14543"/>
    <cellStyle name="60% - 强调文字颜色 3 3 9" xfId="14544"/>
    <cellStyle name="计算 2 2 3 2 2 2 4 2 2" xfId="14545"/>
    <cellStyle name="标题 3 5 2 2" xfId="14546"/>
    <cellStyle name="计算 2 2 9 4 2" xfId="14547"/>
    <cellStyle name="输入 2 8 7 2" xfId="14548"/>
    <cellStyle name="汇总 2 3 2 4 3" xfId="14549"/>
    <cellStyle name="60% - 强调文字颜色 3 6 2 2 2" xfId="14550"/>
    <cellStyle name="注释 2 6 2 2 4 2" xfId="14551"/>
    <cellStyle name="差 2 2 4 5 2" xfId="14552"/>
    <cellStyle name="注释 2 2 3 2 3 2 5" xfId="14553"/>
    <cellStyle name="计算 2 2 4 2 3 2 5" xfId="14554"/>
    <cellStyle name="强调文字颜色 6 2 4 4 3" xfId="14555"/>
    <cellStyle name="计算 2 6 3 3 4 2" xfId="14556"/>
    <cellStyle name="汇总 2 9 2 3" xfId="14557"/>
    <cellStyle name="差 2 2 2 5 2 2 3" xfId="14558"/>
    <cellStyle name="60% - 强调文字颜色 6 2 3 4 2 2" xfId="14559"/>
    <cellStyle name="输出 2 2 3 2 2 8" xfId="14560"/>
    <cellStyle name="输出 2 4 5 4 3" xfId="14561"/>
    <cellStyle name="解释性文本 4 2 3" xfId="14562"/>
    <cellStyle name="汇总 2 3 3 2 7" xfId="14563"/>
    <cellStyle name="警告文本 2 3 4 3 2" xfId="14564"/>
    <cellStyle name="计算 2 2 2 2 2 2 3 2 2" xfId="14565"/>
    <cellStyle name="汇总 2 3 8 2 2" xfId="14566"/>
    <cellStyle name="20% - 强调文字颜色 1 2 2 3 2 2 2 2" xfId="14567"/>
    <cellStyle name="60% - 强调文字颜色 4 2 3 2 2" xfId="14568"/>
    <cellStyle name="输出 2 2 2 2 9" xfId="14569"/>
    <cellStyle name="输入 2 2 3 3 2 3" xfId="14570"/>
    <cellStyle name="计算 2 2 2 6 3" xfId="14571"/>
    <cellStyle name="注释 2 4 2 2 5 2" xfId="14572"/>
    <cellStyle name="输出 3 7" xfId="14573"/>
    <cellStyle name="输出 2 5 2 7 2" xfId="14574"/>
    <cellStyle name="20% - 强调文字颜色 3 3 2 2 2 2 2 2" xfId="14575"/>
    <cellStyle name="60% - 强调文字颜色 5 2 2 3 2 2 2 2 2" xfId="14576"/>
    <cellStyle name="汇总 2 2 4 2 2 6 3" xfId="14577"/>
    <cellStyle name="60% - 强调文字颜色 4 2 8" xfId="14578"/>
    <cellStyle name="超链接 3 3 2 4 3" xfId="14579"/>
    <cellStyle name="汇总 2 5 2 2 11" xfId="14580"/>
    <cellStyle name="40% - 强调文字颜色 6 2 2 4 5 2 2" xfId="14581"/>
    <cellStyle name="40% - 强调文字颜色 2 2 4 5 2" xfId="14582"/>
    <cellStyle name="汇总 2 7 4 3 2 2" xfId="14583"/>
    <cellStyle name="输入 2 2 2 3 4 2" xfId="14584"/>
    <cellStyle name="注释 2 2 2 4 2 2 3" xfId="14585"/>
    <cellStyle name="40% - 强调文字颜色 2 5 2 2" xfId="14586"/>
    <cellStyle name="强调文字颜色 6 2 2 6 3 2 2" xfId="14587"/>
    <cellStyle name="输出 2 2 3 4 6 2" xfId="14588"/>
    <cellStyle name="20% - 强调文字颜色 2 2 2 4 3 2 2 2" xfId="14589"/>
    <cellStyle name="超链接 3 6 4" xfId="14590"/>
    <cellStyle name="40% - 强调文字颜色 1 2 8 2" xfId="14591"/>
    <cellStyle name="40% - 强调文字颜色 6 2 2 3 2 2 2 2" xfId="14592"/>
    <cellStyle name="常规 9 3 2 2 4" xfId="14593"/>
    <cellStyle name="标题 5 3 6 2 3" xfId="14594"/>
    <cellStyle name="常规 15 2 2" xfId="14595"/>
    <cellStyle name="百分比 2 6 2" xfId="14596"/>
    <cellStyle name="40% - 强调文字颜色 6 3 5" xfId="14597"/>
    <cellStyle name="汇总 2 2 2 2 2 2 2 2 3" xfId="14598"/>
    <cellStyle name="常规 2 3 3 3" xfId="14599"/>
    <cellStyle name="输出 2 4 5 3" xfId="14600"/>
    <cellStyle name="计算 2 2 5 3 2 3 3" xfId="14601"/>
    <cellStyle name="常规 9 2 3 2 4" xfId="14602"/>
    <cellStyle name="60% - 强调文字颜色 2 3 2 2 3 2" xfId="14603"/>
    <cellStyle name="差 2 2 3 2 2 2" xfId="14604"/>
    <cellStyle name="常规 8 3 5 2 2" xfId="14605"/>
    <cellStyle name="差 2 2 3 6 2" xfId="14606"/>
    <cellStyle name="汇总 2 2 2 6 3" xfId="14607"/>
    <cellStyle name="计算 2 6" xfId="14608"/>
    <cellStyle name="标题 1 2 2 2 6 2 2" xfId="14609"/>
    <cellStyle name="20% - 强调文字颜色 3 2 2 3 5 2 2" xfId="14610"/>
    <cellStyle name="强调文字颜色 1 2 2 2 5 3" xfId="14611"/>
    <cellStyle name="计算 2 5 2 12 2" xfId="14612"/>
    <cellStyle name="汇总 2 10 5" xfId="14613"/>
    <cellStyle name="汇总 2 6 2 2 3 2 3" xfId="14614"/>
    <cellStyle name="输入 2 4 2" xfId="14615"/>
    <cellStyle name="常规 11 3" xfId="14616"/>
    <cellStyle name="差 2 2 3 5 2" xfId="14617"/>
    <cellStyle name="20% - 强调文字颜色 6 4 3 2 2 2" xfId="14618"/>
    <cellStyle name="常规 4 3 2 3" xfId="14619"/>
    <cellStyle name="输入 2 2 6 2 2 4 2" xfId="14620"/>
    <cellStyle name="输出 2 11 3" xfId="14621"/>
    <cellStyle name="差 2 2 2 2 3 2 2 3" xfId="14622"/>
    <cellStyle name="检查单元格 2 3 2 4 3" xfId="14623"/>
    <cellStyle name="计算 2 2 3 2 8 2" xfId="14624"/>
    <cellStyle name="60% - 强调文字颜色 1 2 5 2" xfId="14625"/>
    <cellStyle name="常规 28" xfId="14626"/>
    <cellStyle name="计算 2 2 8 3 3 2 2" xfId="14627"/>
    <cellStyle name="标题 1 2 5 2 2 3" xfId="14628"/>
    <cellStyle name="强调文字颜色 1 2 2 3 5" xfId="14629"/>
    <cellStyle name="注释 2 6 2 5" xfId="14630"/>
    <cellStyle name="差 2 2 3 4 2 2" xfId="14631"/>
    <cellStyle name="输出 2 2 17" xfId="14632"/>
    <cellStyle name="汇总 2 2 2 4 3" xfId="14633"/>
    <cellStyle name="汇总 3 3 3 4" xfId="14634"/>
    <cellStyle name="60% - 强调文字颜色 3 5 2 2 2" xfId="14635"/>
    <cellStyle name="40% - 强调文字颜色 4 4 2 4 2" xfId="14636"/>
    <cellStyle name="20% - 强调文字颜色 1 4 2 3" xfId="14637"/>
    <cellStyle name="强调文字颜色 2 2 2 3 2 3" xfId="14638"/>
    <cellStyle name="汇总 2 2 7 5 2 2 2" xfId="14639"/>
    <cellStyle name="20% - 强调文字颜色 6 4 2 3 2 2" xfId="14640"/>
    <cellStyle name="20% - 强调文字颜色 6 2 2 3 7" xfId="14641"/>
    <cellStyle name="常规 3 3 2 2 4 3 2" xfId="14642"/>
    <cellStyle name="汇总 2 2 7 7 2" xfId="14643"/>
    <cellStyle name="强调文字颜色 6 2 2 2 4 2 3" xfId="14644"/>
    <cellStyle name="输入 2 4 4 6" xfId="14645"/>
    <cellStyle name="标题 3 2 2 4 2 4" xfId="14646"/>
    <cellStyle name="标题 1 3 2 3 3" xfId="14647"/>
    <cellStyle name="20% - 强调文字颜色 3 4 4 2 2" xfId="14648"/>
    <cellStyle name="计算 2 2 3 3 3 3 2 2" xfId="14649"/>
    <cellStyle name="汇总 2 2 2 3 4 2" xfId="14650"/>
    <cellStyle name="输出 2 10 2 2" xfId="14651"/>
    <cellStyle name="强调文字颜色 6 2 2 4 2 3" xfId="14652"/>
    <cellStyle name="警告文本 2 3 3 2 2 2" xfId="14653"/>
    <cellStyle name="常规 10 3 2 3 2 2" xfId="14654"/>
    <cellStyle name="20% - 强调文字颜色 4 2 7 3 2 2" xfId="14655"/>
    <cellStyle name="标题 3 2 5 3 3" xfId="14656"/>
    <cellStyle name="60% - 强调文字颜色 5 6 2 2 2" xfId="14657"/>
    <cellStyle name="汇总 2 3 2 3 3 3" xfId="14658"/>
    <cellStyle name="输出 2 3 3 2 2 3" xfId="14659"/>
    <cellStyle name="计算 2 2 4 4 2 4 2" xfId="14660"/>
    <cellStyle name="计算 4 5 3" xfId="14661"/>
    <cellStyle name="40% - 强调文字颜色 1 2 2 2 2 2 2" xfId="14662"/>
    <cellStyle name="适中 2 2 2 2 6 2 2" xfId="14663"/>
    <cellStyle name="强调文字颜色 5 2 3 3 7" xfId="14664"/>
    <cellStyle name="常规 9 4 3 3" xfId="14665"/>
    <cellStyle name="常规 2 3 2 2 2" xfId="14666"/>
    <cellStyle name="输出 2 4 4 2 2" xfId="14667"/>
    <cellStyle name="常规 3 2 4 2 3 5" xfId="14668"/>
    <cellStyle name="适中 2 4 3 4 2" xfId="14669"/>
    <cellStyle name="标题 1 3 2 5" xfId="14670"/>
    <cellStyle name="强调文字颜色 2 2 2 2 4 3 2" xfId="14671"/>
    <cellStyle name="常规 5 2 4 5 2" xfId="14672"/>
    <cellStyle name="60% - 强调文字颜色 6 2 2 3 2 2 2" xfId="14673"/>
    <cellStyle name="常规 2 2 2 7 2" xfId="14674"/>
    <cellStyle name="输出 2 4 2 2 2 2 4" xfId="14675"/>
    <cellStyle name="汇总 2 7 5 2 2 2" xfId="14676"/>
    <cellStyle name="20% - 强调文字颜色 5 3 3 2 2 2" xfId="14677"/>
    <cellStyle name="输出 2 5 2 2 4 2" xfId="14678"/>
    <cellStyle name="60% - 强调文字颜色 3 2 2 2 2 2 2 2 2 2" xfId="14679"/>
    <cellStyle name="注释 2 9 2 5" xfId="14680"/>
    <cellStyle name="20% - 强调文字颜色 1 2 4 4 3" xfId="14681"/>
    <cellStyle name="差 2 2 2 6" xfId="14682"/>
    <cellStyle name="强调文字颜色 3 3 3 4" xfId="14683"/>
    <cellStyle name="注释 2 2 4 2 2 2 3 2" xfId="14684"/>
    <cellStyle name="警告文本 2 3 2 4 2 3" xfId="14685"/>
    <cellStyle name="输出 2 4 2 3 2 6" xfId="14686"/>
    <cellStyle name="常规 4 3 2 3 2 2" xfId="14687"/>
    <cellStyle name="强调文字颜色 4 3 2 2 4" xfId="14688"/>
    <cellStyle name="输入 2 6 5 3" xfId="14689"/>
    <cellStyle name="超链接 3 2 4 3" xfId="14690"/>
    <cellStyle name="输出 2 4 2 3 8" xfId="14691"/>
    <cellStyle name="40% - 强调文字颜色 1 2 3 2 2 4 3" xfId="14692"/>
    <cellStyle name="计算 2 2 5 3 3 2 2" xfId="14693"/>
    <cellStyle name="检查单元格 2 7 2 3" xfId="14694"/>
    <cellStyle name="强调文字颜色 6 2 2 3 4 2 2 2" xfId="14695"/>
    <cellStyle name="输入 2 8 6 3" xfId="14696"/>
    <cellStyle name="输入 2 4 2 2 9" xfId="14697"/>
    <cellStyle name="计算 3 2 2 6" xfId="14698"/>
    <cellStyle name="输入 2 3 3 3 2" xfId="14699"/>
    <cellStyle name="输出 2 3 2 8" xfId="14700"/>
    <cellStyle name="警告文本 2 3 2 3 3" xfId="14701"/>
    <cellStyle name="60% - 强调文字颜色 4 2 4 4 2 2" xfId="14702"/>
    <cellStyle name="计算 2 3 4 2 2 2" xfId="14703"/>
    <cellStyle name="差 2 2 2 4 3" xfId="14704"/>
    <cellStyle name="20% - 强调文字颜色 3 2 2 2 4" xfId="14705"/>
    <cellStyle name="计算 2 5 4 3 4" xfId="14706"/>
    <cellStyle name="警告文本 2 3 2 3 2" xfId="14707"/>
    <cellStyle name="汇总 2 2 8 3 7" xfId="14708"/>
    <cellStyle name="差 2 2 2 4 2 2" xfId="14709"/>
    <cellStyle name="汇总 5 2 4 3" xfId="14710"/>
    <cellStyle name="警告文本 2 4 5 2" xfId="14711"/>
    <cellStyle name="40% - 强调文字颜色 5 4 4 2 2" xfId="14712"/>
    <cellStyle name="汇总 2 2 2 13" xfId="14713"/>
    <cellStyle name="常规 5 3 2 2 2 2 2" xfId="14714"/>
    <cellStyle name="计算 2 5 2 10" xfId="14715"/>
    <cellStyle name="强调文字颜色 5 2 2 3 3 2" xfId="14716"/>
    <cellStyle name="标题 4 4 2 2 2 2" xfId="14717"/>
    <cellStyle name="60% - 强调文字颜色 5 2 2 10" xfId="14718"/>
    <cellStyle name="警告文本 2 2 2 4 2 3" xfId="14719"/>
    <cellStyle name="注释 2 3 7 3" xfId="14720"/>
    <cellStyle name="计算 2 6 2 2 2 6" xfId="14721"/>
    <cellStyle name="40% - 强调文字颜色 2 2 2 5 2" xfId="14722"/>
    <cellStyle name="40% - 强调文字颜色 6 2 2 4 3 2 2" xfId="14723"/>
    <cellStyle name="40% - 强调文字颜色 6 2 9 2" xfId="14724"/>
    <cellStyle name="检查单元格 2 3 2 3 4" xfId="14725"/>
    <cellStyle name="60% - 强调文字颜色 1 2 4 3" xfId="14726"/>
    <cellStyle name="计算 2 2 3 2 7 3" xfId="14727"/>
    <cellStyle name="60% - 强调文字颜色 4 2 3 3 4" xfId="14728"/>
    <cellStyle name="标题 3 2 3 2 2 3 3" xfId="14729"/>
    <cellStyle name="差 2 2 2 3 2 2 2 2" xfId="14730"/>
    <cellStyle name="注释 2 2 4 2 2" xfId="14731"/>
    <cellStyle name="输入 2 6 2 2 2 2" xfId="14732"/>
    <cellStyle name="汇总 2 2 6 4 2 6" xfId="14733"/>
    <cellStyle name="强调文字颜色 4 2 2 2 2 3 3 3" xfId="14734"/>
    <cellStyle name="汇总 2 5 3 2 4 2 2" xfId="14735"/>
    <cellStyle name="超链接 2 2 2" xfId="14736"/>
    <cellStyle name="汇总 2 2 3 2 2 3 3" xfId="14737"/>
    <cellStyle name="汇总 2 2 6 2 3 2" xfId="14738"/>
    <cellStyle name="常规 5 3 2 2 3 2 2" xfId="14739"/>
    <cellStyle name="汇总 2 4 3 9" xfId="14740"/>
    <cellStyle name="60% - 强调文字颜色 6 4 3 2 2 2" xfId="14741"/>
    <cellStyle name="40% - 强调文字颜色 2 2 2 4 2" xfId="14742"/>
    <cellStyle name="40% - 强调文字颜色 5 4 3 2 2" xfId="14743"/>
    <cellStyle name="差 3 3 3 2 3" xfId="14744"/>
    <cellStyle name="汇总 2 3 3 6" xfId="14745"/>
    <cellStyle name="输入 2 4 3 4 3" xfId="14746"/>
    <cellStyle name="输出 2 4 2 4 2 2 2" xfId="14747"/>
    <cellStyle name="输出 2 2 2 2 2 2 6" xfId="14748"/>
    <cellStyle name="计算 2 2 4 5 4 2" xfId="14749"/>
    <cellStyle name="40% - 强调文字颜色 3 2 2 2 6 2" xfId="14750"/>
    <cellStyle name="标题 1 3 5 2 2" xfId="14751"/>
    <cellStyle name="强调文字颜色 4 2 2 4 3 2 2" xfId="14752"/>
    <cellStyle name="计算 2 2 2 2 2 2 3" xfId="14753"/>
    <cellStyle name="输出 2 3 2 2 2 2 2 2" xfId="14754"/>
    <cellStyle name="计算 2 2 8 3" xfId="14755"/>
    <cellStyle name="汇总 2 2 3 5 3 3" xfId="14756"/>
    <cellStyle name="汇总 4 3" xfId="14757"/>
    <cellStyle name="常规 12 4 2 4" xfId="14758"/>
    <cellStyle name="超链接 2 7 2 2" xfId="14759"/>
    <cellStyle name="注释 2 7 2 3 3" xfId="14760"/>
    <cellStyle name="20% - 强调文字颜色 4 2 2 2 2 4 2" xfId="14761"/>
    <cellStyle name="60% - 强调文字颜色 4 2 4 5 2 2" xfId="14762"/>
    <cellStyle name="计算 2 2 4 3 2 2 2 3" xfId="14763"/>
    <cellStyle name="20% - 强调文字颜色 3 2 3 2 5" xfId="14764"/>
    <cellStyle name="输入 3 10" xfId="14765"/>
    <cellStyle name="计算 2 5 10 2 2" xfId="14766"/>
    <cellStyle name="常规 5 2 2 3 6" xfId="14767"/>
    <cellStyle name="20% - 强调文字颜色 6 5 2" xfId="14768"/>
    <cellStyle name="链接单元格 2 3 2 6 2" xfId="14769"/>
    <cellStyle name="标题 5 2 2 2 4 2 2" xfId="14770"/>
    <cellStyle name="差 2 2 2 2 6" xfId="14771"/>
    <cellStyle name="汇总 2 2 6 3 3 2" xfId="14772"/>
    <cellStyle name="汇总 2 2 3 2 3 3 3" xfId="14773"/>
    <cellStyle name="40% - 强调文字颜色 2 2 4 5" xfId="14774"/>
    <cellStyle name="40% - 强调文字颜色 6 2 2 4 5 2" xfId="14775"/>
    <cellStyle name="汇总 2 7 4 3 2" xfId="14776"/>
    <cellStyle name="计算 2 2 8 2 3" xfId="14777"/>
    <cellStyle name="强调文字颜色 6 2 2 6 3 2" xfId="14778"/>
    <cellStyle name="常规 13 4 3 3 2 2" xfId="14779"/>
    <cellStyle name="40% - 强调文字颜色 2 2 2 5 3 2 2" xfId="14780"/>
    <cellStyle name="差 2 2 3 3 2 3" xfId="14781"/>
    <cellStyle name="链接单元格 2 2 4 2 2 2" xfId="14782"/>
    <cellStyle name="20% - 强调文字颜色 1 2 3 2" xfId="14783"/>
    <cellStyle name="汇总 2 2 7 4 2 3" xfId="14784"/>
    <cellStyle name="标题 3 2 5 2" xfId="14785"/>
    <cellStyle name="计算 2 4 3 3 3 2 2" xfId="14786"/>
    <cellStyle name="计算 2 2 6 7 2" xfId="14787"/>
    <cellStyle name="强调文字颜色 4 2 4 3 3 2" xfId="14788"/>
    <cellStyle name="标题 3 4 4 2 2 2" xfId="14789"/>
    <cellStyle name="60% - 强调文字颜色 6 2 3 8" xfId="14790"/>
    <cellStyle name="标题 2 2 3 2 4 4" xfId="14791"/>
    <cellStyle name="注释 2 2 3 2 2 9" xfId="14792"/>
    <cellStyle name="计算 2 2 8 8 2 2" xfId="14793"/>
    <cellStyle name="常规 6 2 2 3 3" xfId="14794"/>
    <cellStyle name="汇总 3 3 3 2" xfId="14795"/>
    <cellStyle name="20% - 强调文字颜色 1 4 2 3 2 2 2" xfId="14796"/>
    <cellStyle name="常规 6 2 2 2 2 2 2 2" xfId="14797"/>
    <cellStyle name="差 2 2 2" xfId="14798"/>
    <cellStyle name="输入 2 2 2 3 4 3" xfId="14799"/>
    <cellStyle name="输入 2 2 8 6 2 2" xfId="14800"/>
    <cellStyle name="汇总 2 2 6 5 5" xfId="14801"/>
    <cellStyle name="输出 2 17" xfId="14802"/>
    <cellStyle name="好 2 4 3 2 2 2" xfId="14803"/>
    <cellStyle name="适中 2 5 2 2" xfId="14804"/>
    <cellStyle name="注释 2 3 2 2 2 5" xfId="14805"/>
    <cellStyle name="60% - 强调文字颜色 1 2 2 8" xfId="14806"/>
    <cellStyle name="20% - 强调文字颜色 2 2 6 3 2" xfId="14807"/>
    <cellStyle name="注释 3 2 2 5 2" xfId="14808"/>
    <cellStyle name="输出 2 2 3 4 8" xfId="14809"/>
    <cellStyle name="常规 2 2 2 2 4 3 2" xfId="14810"/>
    <cellStyle name="汇总 2 2 4 2 4 2 3 2 2" xfId="14811"/>
    <cellStyle name="常规 13 3 3 3" xfId="14812"/>
    <cellStyle name="20% - 强调文字颜色 6 2 2 2 3 5" xfId="14813"/>
    <cellStyle name="注释 2 3 2 5 2 2" xfId="14814"/>
    <cellStyle name="差 2 2" xfId="14815"/>
    <cellStyle name="常规 6 2 2 2 2 2 2" xfId="14816"/>
    <cellStyle name="解释性文本 2 7 2 3" xfId="14817"/>
    <cellStyle name="标题 9 2" xfId="14818"/>
    <cellStyle name="常规 9 4 3 4" xfId="14819"/>
    <cellStyle name="常规 2 3 2 2 3" xfId="14820"/>
    <cellStyle name="输出 2 4 4 2 3" xfId="14821"/>
    <cellStyle name="汇总 2 5 2 4 2 4" xfId="14822"/>
    <cellStyle name="计算 2 2 6 4 2 5" xfId="14823"/>
    <cellStyle name="标题 3 2 2 2 5" xfId="14824"/>
    <cellStyle name="汇总 2 2 4 4 3 2 2" xfId="14825"/>
    <cellStyle name="输出 2 2 10 2 2" xfId="14826"/>
    <cellStyle name="常规 16 2 2" xfId="14827"/>
    <cellStyle name="标题 8" xfId="14828"/>
    <cellStyle name="40% - 强调文字颜色 1 2 3 3 3 2 2" xfId="14829"/>
    <cellStyle name="40% - 强调文字颜色 2 2 2 4 2 2" xfId="14830"/>
    <cellStyle name="20% - 强调文字颜色 5 2 3 4 3 2" xfId="14831"/>
    <cellStyle name="警告文本 2 2 5 2 2" xfId="14832"/>
    <cellStyle name="60% - 强调文字颜色 6 2 2 2 2 4 2 3" xfId="14833"/>
    <cellStyle name="计算 2 8 3 3" xfId="14834"/>
    <cellStyle name="60% - 强调文字颜色 1 2 2 6 2 2" xfId="14835"/>
    <cellStyle name="注释 2 3 2 2 2 3 2 2" xfId="14836"/>
    <cellStyle name="输出 4 2 4 3" xfId="14837"/>
    <cellStyle name="常规 7 3" xfId="14838"/>
    <cellStyle name="差 2 2 2 2 6 2" xfId="14839"/>
    <cellStyle name="20% - 强调文字颜色 2 2 2 3 4 2 2" xfId="14840"/>
    <cellStyle name="20% - 强调文字颜色 6 2 2 2 3 4" xfId="14841"/>
    <cellStyle name="常规 18 3" xfId="14842"/>
    <cellStyle name="常规 13 3 3 2" xfId="14843"/>
    <cellStyle name="计算 2 2 6 4 2 7" xfId="14844"/>
    <cellStyle name="输出 2 2 12 3" xfId="14845"/>
    <cellStyle name="汇总 2 5 2 4 2 6" xfId="14846"/>
    <cellStyle name="标题 3 2 2 2 7" xfId="14847"/>
    <cellStyle name="标题 3 3 6 2" xfId="14848"/>
    <cellStyle name="计算 2 2 7 8 2" xfId="14849"/>
    <cellStyle name="输入 2 10 3 3" xfId="14850"/>
    <cellStyle name="超链接 2 4 4 2 2" xfId="14851"/>
    <cellStyle name="汇总 2 2 2 10 3" xfId="14852"/>
    <cellStyle name="强调文字颜色 2 2 4 6" xfId="14853"/>
    <cellStyle name="输入 3 8 2 2" xfId="14854"/>
    <cellStyle name="计算 3 2 2 2 4 2 2" xfId="14855"/>
    <cellStyle name="汇总 2 2 8 3 2 4 2" xfId="14856"/>
    <cellStyle name="常规 10 2 2 2 3 2 2" xfId="14857"/>
    <cellStyle name="链接单元格 2 4 5 2 2" xfId="14858"/>
    <cellStyle name="标题 2 2 4 4 3 2" xfId="14859"/>
    <cellStyle name="20% - 强调文字颜色 2 2 5 3 3" xfId="14860"/>
    <cellStyle name="标题 5 5 2 2 2" xfId="14861"/>
    <cellStyle name="标题 5 2 2 4 2 2 2" xfId="14862"/>
    <cellStyle name="60% - 强调文字颜色 1 3 2 3" xfId="14863"/>
    <cellStyle name="计算 2 2 3 3 5 3" xfId="14864"/>
    <cellStyle name="输入 2 4 7" xfId="14865"/>
    <cellStyle name="常规 12 4 4" xfId="14866"/>
    <cellStyle name="强调文字颜色 6 2 2 2 3 7" xfId="14867"/>
    <cellStyle name="40% - 强调文字颜色 2 3 2 4" xfId="14868"/>
    <cellStyle name="解释性文本 3" xfId="14869"/>
    <cellStyle name="输出 2 4 2 7 2 2" xfId="14870"/>
    <cellStyle name="60% - 强调文字颜色 1 2 3 2 4 3" xfId="14871"/>
    <cellStyle name="标题 4 2 2 2 2 2 5" xfId="14872"/>
    <cellStyle name="计算 3 6" xfId="14873"/>
    <cellStyle name="输出 2 2 3 2 2 3 2 2 2" xfId="14874"/>
    <cellStyle name="汇总 2 8 5 2" xfId="14875"/>
    <cellStyle name="60% - 强调文字颜色 5 2 2 9" xfId="14876"/>
    <cellStyle name="汇总 2 5 8" xfId="14877"/>
    <cellStyle name="40% - 强调文字颜色 4 2 5 2 3 2" xfId="14878"/>
    <cellStyle name="常规 10 2 3 2" xfId="14879"/>
    <cellStyle name="汇总 2 5 2 3 2 3 2 2" xfId="14880"/>
    <cellStyle name="输出 2 5 2 2 2 3 2" xfId="14881"/>
    <cellStyle name="注释 2 4 2 6 2" xfId="14882"/>
    <cellStyle name="注释 2 2 2 2 2 6" xfId="14883"/>
    <cellStyle name="计算 2 5 4 4" xfId="14884"/>
    <cellStyle name="60% - 强调文字颜色 1 2 2 3 3 3" xfId="14885"/>
    <cellStyle name="20% - 强调文字颜色 3 2 2 3" xfId="14886"/>
    <cellStyle name="标题 4 2 3 4 2 2 3" xfId="14887"/>
    <cellStyle name="60% - 强调文字颜色 1 2 2 2 4 3 2 2" xfId="14888"/>
    <cellStyle name="计算 2 6 2 7 2" xfId="14889"/>
    <cellStyle name="输入 2 2 7 3 3 2" xfId="14890"/>
    <cellStyle name="计算 2 2 2 2 3 7" xfId="14891"/>
    <cellStyle name="强调文字颜色 5 5" xfId="14892"/>
    <cellStyle name="输出 2 2 2 4 4" xfId="14893"/>
    <cellStyle name="汇总 2 8 2 2 4 2" xfId="14894"/>
    <cellStyle name="标题 6 2 4 2 3" xfId="14895"/>
    <cellStyle name="40% - 强调文字颜色 6 2 5 2 3 2" xfId="14896"/>
    <cellStyle name="汇总 2 2 4 2 2 3 3 2" xfId="14897"/>
    <cellStyle name="常规 10 4 3 2" xfId="14898"/>
    <cellStyle name="汇总 2 2 5 2 2 3 4" xfId="14899"/>
    <cellStyle name="输出 2 2 3 2 5 3" xfId="14900"/>
    <cellStyle name="差 2 3 2 2 2 2 2" xfId="14901"/>
    <cellStyle name="汇总 2 4 2 9" xfId="14902"/>
    <cellStyle name="计算 2 6 2 4 5" xfId="14903"/>
    <cellStyle name="解释性文本 2 3 2 2 2 2 2 2" xfId="14904"/>
    <cellStyle name="40% - 强调文字颜色 1 2 5 3 2 2 2" xfId="14905"/>
    <cellStyle name="40% - 强调文字颜色 2 4 2 3 2 2" xfId="14906"/>
    <cellStyle name="链接单元格 2 9" xfId="14907"/>
    <cellStyle name="计算 2 2 7 5 3" xfId="14908"/>
    <cellStyle name="标题 3 3 3 3" xfId="14909"/>
    <cellStyle name="汇总 2 7 3 6 2" xfId="14910"/>
    <cellStyle name="汇总 2 2 8 2 6" xfId="14911"/>
    <cellStyle name="标题 5 6 4" xfId="14912"/>
    <cellStyle name="输入 2 4 2 2 5 3" xfId="14913"/>
    <cellStyle name="计算 2 2 4 2 2" xfId="14914"/>
    <cellStyle name="超链接 2 3 4 3 2 2" xfId="14915"/>
    <cellStyle name="强调文字颜色 3 2 3 2 3 3 2" xfId="14916"/>
    <cellStyle name="标题 1 2 4 5" xfId="14917"/>
    <cellStyle name="强调文字颜色 5 2 3 3 2 3" xfId="14918"/>
    <cellStyle name="标题 5 4 5 2 2" xfId="14919"/>
    <cellStyle name="标题 5 4 5 2" xfId="14920"/>
    <cellStyle name="强调文字颜色 4 2 2 6 2 2" xfId="14921"/>
    <cellStyle name="计算 2 7 3 2 3 2" xfId="14922"/>
    <cellStyle name="汇总 2 2 2 3 2 3" xfId="14923"/>
    <cellStyle name="百分比 2 2 2 6" xfId="14924"/>
    <cellStyle name="20% - 强调文字颜色 4 2 2 2 2 3 2 2" xfId="14925"/>
    <cellStyle name="检查单元格 4 2 3 2" xfId="14926"/>
    <cellStyle name="适中 2 4 2 2 3" xfId="14927"/>
    <cellStyle name="检查单元格 2 2 3 2 2" xfId="14928"/>
    <cellStyle name="注释 2 6 5 5" xfId="14929"/>
    <cellStyle name="20% - 强调文字颜色 4 3 3" xfId="14930"/>
    <cellStyle name="计算 2 2 3 4 2 2" xfId="14931"/>
    <cellStyle name="强调文字颜色 2 2 5 2 3" xfId="14932"/>
    <cellStyle name="标题 5 3 4 2 3" xfId="14933"/>
    <cellStyle name="常规 13 8" xfId="14934"/>
    <cellStyle name="40% - 强调文字颜色 4 2 8 2 2" xfId="14935"/>
    <cellStyle name="注释 2 4 2 3 4" xfId="14936"/>
    <cellStyle name="60% - 强调文字颜色 2 3 2 4" xfId="14937"/>
    <cellStyle name="20% - 强调文字颜色 2 5 2 2 2 2" xfId="14938"/>
    <cellStyle name="标题 5 3 2 4 2 2 2" xfId="14939"/>
    <cellStyle name="强调文字颜色 1 4 4" xfId="14940"/>
    <cellStyle name="标题 5 2 8 2" xfId="14941"/>
    <cellStyle name="警告文本 2 4 4 3" xfId="14942"/>
    <cellStyle name="计算 2 2 2 4 2" xfId="14943"/>
    <cellStyle name="标题 3 2 2 6 3 2 2" xfId="14944"/>
    <cellStyle name="计算 2 2 2 3 3" xfId="14945"/>
    <cellStyle name="注释 4 2 6 2" xfId="14946"/>
    <cellStyle name="注释 2 4 2 2 2 2" xfId="14947"/>
    <cellStyle name="常规 7 2 2 2 4 3 2" xfId="14948"/>
    <cellStyle name="20% - 强调文字颜色 3 2 4 3 3 2" xfId="14949"/>
    <cellStyle name="注释 2 4 2 3 2 3 2" xfId="14950"/>
    <cellStyle name="计算 2 2 3 3 4 2" xfId="14951"/>
    <cellStyle name="强调文字颜色 2 2 4 4 3" xfId="14952"/>
    <cellStyle name="20% - 强调文字颜色 1 2 2 2 2 4 2 2" xfId="14953"/>
    <cellStyle name="标题 5 2 6 3 3" xfId="14954"/>
    <cellStyle name="40% - 强调文字颜色 5 2 2 2 6 2 2" xfId="14955"/>
    <cellStyle name="标题 4 3 3 2 2" xfId="14956"/>
    <cellStyle name="60% - 强调文字颜色 3 2 3 6 2 2 2" xfId="14957"/>
    <cellStyle name="输出 2 2 3 4 6" xfId="14958"/>
    <cellStyle name="20% - 强调文字颜色 2 2 2 4 3 2 2" xfId="14959"/>
    <cellStyle name="常规 2 2 2 2 2 4 3" xfId="14960"/>
    <cellStyle name="超链接 3 4 4 2" xfId="14961"/>
    <cellStyle name="输入 2 8 5 2" xfId="14962"/>
    <cellStyle name="注释 2 5 3 3" xfId="14963"/>
    <cellStyle name="汇总 2 4 3 4 2 2" xfId="14964"/>
    <cellStyle name="标题 2 3 2 2 3" xfId="14965"/>
    <cellStyle name="40% - 强调文字颜色 1 2 6 2 2" xfId="14966"/>
    <cellStyle name="60% - 强调文字颜色 2 2 2 7" xfId="14967"/>
    <cellStyle name="强调文字颜色 1 2 2 3 3 2" xfId="14968"/>
    <cellStyle name="计算 2 2 4 2 5 7" xfId="14969"/>
    <cellStyle name="常规 6 3 2 4 3" xfId="14970"/>
    <cellStyle name="标题 5 2 6 2 2 2" xfId="14971"/>
    <cellStyle name="强调文字颜色 6 2 5 4" xfId="14972"/>
    <cellStyle name="适中 2 2 4 3 4" xfId="14973"/>
    <cellStyle name="20% - 强调文字颜色 1 2 2 3 5 2" xfId="14974"/>
    <cellStyle name="汇总 2 5 4 6 3" xfId="14975"/>
    <cellStyle name="40% - 强调文字颜色 3 2 6 3 2 2" xfId="14976"/>
    <cellStyle name="强调文字颜色 2 2 2 2 2 3 3" xfId="14977"/>
    <cellStyle name="检查单元格 2 2 2 4 2" xfId="14978"/>
    <cellStyle name="标题 5 2 5 3 2 2" xfId="14979"/>
    <cellStyle name="计算 2 11 3 2" xfId="14980"/>
    <cellStyle name="计算 2 2 5 2 8 2" xfId="14981"/>
    <cellStyle name="60% - 强调文字颜色 3 2 5 2" xfId="14982"/>
    <cellStyle name="60% - 强调文字颜色 2 2 3 3 2" xfId="14983"/>
    <cellStyle name="计算 2 2 4 2 6 3 2" xfId="14984"/>
    <cellStyle name="汇总 3 4 4 2" xfId="14985"/>
    <cellStyle name="40% - 强调文字颜色 2 2 3 3 2 2 2" xfId="14986"/>
    <cellStyle name="20% - 强调文字颜色 6 2 8 2 2" xfId="14987"/>
    <cellStyle name="常规 12 3 3 2 2" xfId="14988"/>
    <cellStyle name="常规 11 2 2 2 3 2" xfId="14989"/>
    <cellStyle name="注释 2 2 3 2 4 2 2 2" xfId="14990"/>
    <cellStyle name="链接单元格 2 6 3" xfId="14991"/>
    <cellStyle name="60% - 强调文字颜色 4 2 2 5" xfId="14992"/>
    <cellStyle name="汇总 2 10 2 2" xfId="14993"/>
    <cellStyle name="60% - 强调文字颜色 4 2 2 2 2 5" xfId="14994"/>
    <cellStyle name="60% - 强调文字颜色 5 2 3 2 2 3" xfId="14995"/>
    <cellStyle name="汇总 2 12 2 2 2" xfId="14996"/>
    <cellStyle name="输入 2 2 2 2 2 4 3" xfId="14997"/>
    <cellStyle name="计算 2 13 2" xfId="14998"/>
    <cellStyle name="计算 2 2 5 4 7" xfId="14999"/>
    <cellStyle name="60% - 强调文字颜色 2 2 5 2" xfId="15000"/>
    <cellStyle name="计算 2 2 4 2 8 2" xfId="15001"/>
    <cellStyle name="60% - 强调文字颜色 3 4 4" xfId="15002"/>
    <cellStyle name="强调文字颜色 6 2 2 2 2 4" xfId="15003"/>
    <cellStyle name="链接单元格 2 2 3 2 2 2 3" xfId="15004"/>
    <cellStyle name="计算 2 2 2 2 2 5 2" xfId="15005"/>
    <cellStyle name="强调文字颜色 5 2 2 2 2 3 3 2 2" xfId="15006"/>
    <cellStyle name="强调文字颜色 3 2 2 6 2" xfId="15007"/>
    <cellStyle name="20% - 强调文字颜色 1 6 2 2 2" xfId="15008"/>
    <cellStyle name="强调文字颜色 2 2 2 5 2 2 2" xfId="15009"/>
    <cellStyle name="标题 1 3 2 2 3" xfId="15010"/>
    <cellStyle name="60% - 强调文字颜色 3 4 2 2 2 2 2" xfId="15011"/>
    <cellStyle name="汇总 2 3 3 4 2 2" xfId="15012"/>
    <cellStyle name="标题 3 2 2 4 4 2" xfId="15013"/>
    <cellStyle name="超链接 3 2 3 3 2 2 2" xfId="15014"/>
    <cellStyle name="汇总 2 2 6 4 2 3" xfId="15015"/>
    <cellStyle name="40% - 强调文字颜色 5 2 2 2 4 3 2" xfId="15016"/>
    <cellStyle name="输入 2 5 2 2 2 6" xfId="15017"/>
    <cellStyle name="计算 2 2 4 2 4 2 4 2" xfId="15018"/>
    <cellStyle name="适中 2 2 2 5" xfId="15019"/>
    <cellStyle name="输入 2 2 4 2 4 6" xfId="15020"/>
    <cellStyle name="计算 2 2 8 2 3 3" xfId="15021"/>
    <cellStyle name="汇总 2 5 4 2 3 2" xfId="15022"/>
    <cellStyle name="强调文字颜色 5 2 3 2 5" xfId="15023"/>
    <cellStyle name="计算 2 5 3 2 2 4" xfId="15024"/>
    <cellStyle name="60% - 强调文字颜色 3 4 3" xfId="15025"/>
    <cellStyle name="计算 2 2 5 4 6" xfId="15026"/>
    <cellStyle name="输出 2 2 5 2 2 3 2 2" xfId="15027"/>
    <cellStyle name="20% - 强调文字颜色 6 3 5 2 2 2" xfId="15028"/>
    <cellStyle name="标题 3 2 2 2 6 3" xfId="15029"/>
    <cellStyle name="输入 2 2 8 5" xfId="15030"/>
    <cellStyle name="汇总 2 2 10 2 5" xfId="15031"/>
    <cellStyle name="20% - 强调文字颜色 5 2 2 2 2 3 2 2" xfId="15032"/>
    <cellStyle name="输入 2 2 2 2 2 2 5" xfId="15033"/>
    <cellStyle name="输出 2 4 3 4 2" xfId="15034"/>
    <cellStyle name="常规 9 3 5 3" xfId="15035"/>
    <cellStyle name="解释性文本 2 3 4 2 2" xfId="15036"/>
    <cellStyle name="输出 2 4 3 4" xfId="15037"/>
    <cellStyle name="解释性文本 2 3 4 2" xfId="15038"/>
    <cellStyle name="警告文本 2 2 2 2 7" xfId="15039"/>
    <cellStyle name="20% - 强调文字颜色 5 4 2 3 2" xfId="15040"/>
    <cellStyle name="注释 2 2 7 4 2 2" xfId="15041"/>
    <cellStyle name="检查单元格 2 3 2 3 2" xfId="15042"/>
    <cellStyle name="强调文字颜色 2 2 2 3 2 2 3" xfId="15043"/>
    <cellStyle name="常规 10 2 2 2 6" xfId="15044"/>
    <cellStyle name="链接单元格 2 4 8" xfId="15045"/>
    <cellStyle name="20% - 强调文字颜色 4 2 3 2 2 5 2" xfId="15046"/>
    <cellStyle name="标题 5 2 3 4 3 2" xfId="15047"/>
    <cellStyle name="40% - 强调文字颜色 6 4 2 3 2 2 2" xfId="15048"/>
    <cellStyle name="常规 6 3 5 2 2 2" xfId="15049"/>
    <cellStyle name="计算 2 5 2 4 2 7" xfId="15050"/>
    <cellStyle name="标题 1 3 3" xfId="15051"/>
    <cellStyle name="40% - 强调文字颜色 1 2 3 4 2 2 2" xfId="15052"/>
    <cellStyle name="百分比 2 3 2 4" xfId="15053"/>
    <cellStyle name="40% - 强调文字颜色 2 2 3 3 2 2" xfId="15054"/>
    <cellStyle name="汇总 3 4 4" xfId="15055"/>
    <cellStyle name="检查单元格 2 3 2 4 2 3" xfId="15056"/>
    <cellStyle name="输出 4 2 2 4" xfId="15057"/>
    <cellStyle name="适中 2 2 3 4" xfId="15058"/>
    <cellStyle name="20% - 强调文字颜色 4 2 3 2 2 4 2 2" xfId="15059"/>
    <cellStyle name="20% - 强调文字颜色 5 2 4 2 2 2 2 2" xfId="15060"/>
    <cellStyle name="标题 6 4 2" xfId="15061"/>
    <cellStyle name="汇总 2 5 3 11" xfId="15062"/>
    <cellStyle name="检查单元格 2 2 2 2 2 3" xfId="15063"/>
    <cellStyle name="输入 2 6 2 2 4 2" xfId="15064"/>
    <cellStyle name="汇总 2 2 4 3 3" xfId="15065"/>
    <cellStyle name="计算 4 2 3 3 3" xfId="15066"/>
    <cellStyle name="汇总 2 3 3 2 3" xfId="15067"/>
    <cellStyle name="差 2 2 5 3 2" xfId="15068"/>
    <cellStyle name="标题 5 2 2 8" xfId="15069"/>
    <cellStyle name="40% - 强调文字颜色 3 2 4 3 3 2" xfId="15070"/>
    <cellStyle name="链接单元格 2 3 2 2 4" xfId="15071"/>
    <cellStyle name="注释 2 2 4 4 4 2" xfId="15072"/>
    <cellStyle name="标题 5 9" xfId="15073"/>
    <cellStyle name="常规 9 2 2 3 3" xfId="15074"/>
    <cellStyle name="计算 3 3" xfId="15075"/>
    <cellStyle name="链接单元格 2 2 6 3 2" xfId="15076"/>
    <cellStyle name="40% - 强调文字颜色 2 2 3 2 4" xfId="15077"/>
    <cellStyle name="注释 2 4 4 5" xfId="15078"/>
    <cellStyle name="计算 2 2 5 4 4 2" xfId="15079"/>
    <cellStyle name="标题 5 2 2 4 2 2 3" xfId="15080"/>
    <cellStyle name="超链接 2 3 2 2 2 2" xfId="15081"/>
    <cellStyle name="常规 3 7 4 3" xfId="15082"/>
    <cellStyle name="输入 2 3 9 2" xfId="15083"/>
    <cellStyle name="好 2 2 4 3 2 2" xfId="15084"/>
    <cellStyle name="标题 3 3 2 2 3" xfId="15085"/>
    <cellStyle name="汇总 2 5 3 4 2 2" xfId="15086"/>
    <cellStyle name="计算 2 2 7 4 2 3" xfId="15087"/>
    <cellStyle name="40% - 强调文字颜色 2 2 6 2 2" xfId="15088"/>
    <cellStyle name="注释 2 7 4 3" xfId="15089"/>
    <cellStyle name="标题 5 2 2 4 2 3" xfId="15090"/>
    <cellStyle name="60% - 强调文字颜色 1 2 2 4 2" xfId="15091"/>
    <cellStyle name="解释性文本 2 3 8" xfId="15092"/>
    <cellStyle name="好 2 2 4 4 2 2" xfId="15093"/>
    <cellStyle name="输入 2 4 9 2" xfId="15094"/>
    <cellStyle name="解释性文本 2 2 4 2 2" xfId="15095"/>
    <cellStyle name="60% - 强调文字颜色 5 2 7 2 2" xfId="15096"/>
    <cellStyle name="输出 2 3 3 4 2" xfId="15097"/>
    <cellStyle name="计算 2 2 4 9 2 2" xfId="15098"/>
    <cellStyle name="强调文字颜色 5 2 2 5 3 3" xfId="15099"/>
    <cellStyle name="常规 10 2 2 2 3 2" xfId="15100"/>
    <cellStyle name="链接单元格 2 4 5 2" xfId="15101"/>
    <cellStyle name="标题 2 2 4 4 3" xfId="15102"/>
    <cellStyle name="解释性文本 2 3 7" xfId="15103"/>
    <cellStyle name="标题 5 5 2 2" xfId="15104"/>
    <cellStyle name="标题 5 2 2 4 2 2" xfId="15105"/>
    <cellStyle name="计算 2 5 2 2 4 2 2" xfId="15106"/>
    <cellStyle name="输入 2 2 5 5" xfId="15107"/>
    <cellStyle name="汇总 2 5 2 4 2 2 3" xfId="15108"/>
    <cellStyle name="标题 3 2 2 2 3 3" xfId="15109"/>
    <cellStyle name="计算 2 2 6 4 2 3 3" xfId="15110"/>
    <cellStyle name="20% - 强调文字颜色 4 2 7 2 2 2" xfId="15111"/>
    <cellStyle name="超链接 3 3 5 3" xfId="15112"/>
    <cellStyle name="输入 2 7 6 3" xfId="15113"/>
    <cellStyle name="标题 6 6" xfId="15114"/>
    <cellStyle name="汇总 6 2 2 2" xfId="15115"/>
    <cellStyle name="强调文字颜色 1 2 2 2 4 3" xfId="15116"/>
    <cellStyle name="20% - 强调文字颜色 5 2 2 3 4 3 2" xfId="15117"/>
    <cellStyle name="计算 2 7 3 2 2 2" xfId="15118"/>
    <cellStyle name="20% - 强调文字颜色 2 2 5 2 3 2" xfId="15119"/>
    <cellStyle name="汇总 2 2 3 3 6 3" xfId="15120"/>
    <cellStyle name="输出 2 2 2 2 3 2" xfId="15121"/>
    <cellStyle name="60% - 强调文字颜色 2 2 2 3 8" xfId="15122"/>
    <cellStyle name="计算 2 6 8 2" xfId="15123"/>
    <cellStyle name="注释 4 3 2 3" xfId="15124"/>
    <cellStyle name="输入 3 2 3 3" xfId="15125"/>
    <cellStyle name="输入 2 5 2 2 2 2 2 3" xfId="15126"/>
    <cellStyle name="计算 2 2 3 2 3" xfId="15127"/>
    <cellStyle name="标题 5 10" xfId="15128"/>
    <cellStyle name="40% - 强调文字颜色 2 2 2 7" xfId="15129"/>
    <cellStyle name="计算 2 6 2 2 6 2" xfId="15130"/>
    <cellStyle name="计算 2 2 7 2 4 2 2" xfId="15131"/>
    <cellStyle name="强调文字颜色 4 2 2 2 2 3 2 3" xfId="15132"/>
    <cellStyle name="标题 4 4 4 3" xfId="15133"/>
    <cellStyle name="输出 2 2 2 2 6 3" xfId="15134"/>
    <cellStyle name="计算 2 2 3 2 5" xfId="15135"/>
    <cellStyle name="60% - 强调文字颜色 1 2 2" xfId="15136"/>
    <cellStyle name="输出 2 5 2 8" xfId="15137"/>
    <cellStyle name="输入 2 2 5 2 2 3 2 2" xfId="15138"/>
    <cellStyle name="强调文字颜色 5 2 2 4 3 3" xfId="15139"/>
    <cellStyle name="60% - 强调文字颜色 3 2 2 3 5 2 2" xfId="15140"/>
    <cellStyle name="计算 2 2 4 8 2 2" xfId="15141"/>
    <cellStyle name="标题 4 4 2 3 2 3" xfId="15142"/>
    <cellStyle name="强调文字颜色 1 2 2 3 8" xfId="15143"/>
    <cellStyle name="标题 3 2 7 2 2 2" xfId="15144"/>
    <cellStyle name="注释 3 4 4" xfId="15145"/>
    <cellStyle name="汇总 2 2 5 2 2 7 2" xfId="15146"/>
    <cellStyle name="60% - 强调文字颜色 2 2 2 2 2 5" xfId="15147"/>
    <cellStyle name="计算 2 2 4 3 2 2 6" xfId="15148"/>
    <cellStyle name="标题 4 4 2 3" xfId="15149"/>
    <cellStyle name="计算 2 2 3 2 2 2 4 3" xfId="15150"/>
    <cellStyle name="标题 4 3 3 3 2 3" xfId="15151"/>
    <cellStyle name="强调文字颜色 6 2 4 5 3" xfId="15152"/>
    <cellStyle name="常规 13 4 5 2 2" xfId="15153"/>
    <cellStyle name="汇总 2 9 3 3" xfId="15154"/>
    <cellStyle name="标题 2 2 2 4 5" xfId="15155"/>
    <cellStyle name="标题 4 2 2 3 4 3" xfId="15156"/>
    <cellStyle name="强调文字颜色 5 3 2 2 4" xfId="15157"/>
    <cellStyle name="40% - 强调文字颜色 4 2 3 2 2 2 2 2 2 2" xfId="15158"/>
    <cellStyle name="标题 4 3 3 5" xfId="15159"/>
    <cellStyle name="40% - 强调文字颜色 3 2 2 2 2 2 3 2" xfId="15160"/>
    <cellStyle name="强调文字颜色 1 2 2 3 3 2 2" xfId="15161"/>
    <cellStyle name="60% - 强调文字颜色 2 2 2 7 2" xfId="15162"/>
    <cellStyle name="强调文字颜色 3 2 3 5 3" xfId="15163"/>
    <cellStyle name="计算 2 3 3 2 5 2" xfId="15164"/>
    <cellStyle name="40% - 强调文字颜色 3 2 4 3 2 2 2" xfId="15165"/>
    <cellStyle name="注释 2 2 4 4 3 2 2" xfId="15166"/>
    <cellStyle name="适中 2 2 6 3 3" xfId="15167"/>
    <cellStyle name="汇总 2 2 2 2 3 6" xfId="15168"/>
    <cellStyle name="40% - 强调文字颜色 5 2 2 3 4 2 2" xfId="15169"/>
    <cellStyle name="强调文字颜色 1 2 2 3 2 3" xfId="15170"/>
    <cellStyle name="计算 2 2 4 2 4 8" xfId="15171"/>
    <cellStyle name="输入 2 8 4 3" xfId="15172"/>
    <cellStyle name="超链接 3 4 3 3" xfId="15173"/>
    <cellStyle name="注释 2 2 6 2" xfId="15174"/>
    <cellStyle name="汇总 4 2 3 5" xfId="15175"/>
    <cellStyle name="输入 2 6 2 4 2" xfId="15176"/>
    <cellStyle name="差 3 5 2 2 2" xfId="15177"/>
    <cellStyle name="标题 4 3 2 5" xfId="15178"/>
    <cellStyle name="强调文字颜色 1 2 3 5 3" xfId="15179"/>
    <cellStyle name="输出 2 7 9" xfId="15180"/>
    <cellStyle name="注释 2 3 3 2 6" xfId="15181"/>
    <cellStyle name="标题 4 3 2 2 2 2" xfId="15182"/>
    <cellStyle name="输出 3 11" xfId="15183"/>
    <cellStyle name="强调文字颜色 2 3 2 2 4" xfId="15184"/>
    <cellStyle name="警告文本 2 4 3 2" xfId="15185"/>
    <cellStyle name="输出 2 2 2 3 2 6" xfId="15186"/>
    <cellStyle name="输入 2 2 8 8 2" xfId="15187"/>
    <cellStyle name="20% - 强调文字颜色 6 4 2 4 2" xfId="15188"/>
    <cellStyle name="汇总 2 2 7 5 3 2" xfId="15189"/>
    <cellStyle name="差 3 5 3" xfId="15190"/>
    <cellStyle name="40% - 强调文字颜色 1 3 3 3 2 2" xfId="15191"/>
    <cellStyle name="输出 2 4 2 2 2 2 2" xfId="15192"/>
    <cellStyle name="常规 9 2 3 3 2 2" xfId="15193"/>
    <cellStyle name="输出 2 9 3 3" xfId="15194"/>
    <cellStyle name="计算 2 2 3 4 3 3" xfId="15195"/>
    <cellStyle name="20% - 强调文字颜色 4 4 4" xfId="15196"/>
    <cellStyle name="注释 2 2 4 2 7 2" xfId="15197"/>
    <cellStyle name="40% - 强调文字颜色 5 2 2 2 3 2 2" xfId="15198"/>
    <cellStyle name="标题 4 2 4 3 2 3" xfId="15199"/>
    <cellStyle name="汇总 2 7 3 3 3" xfId="15200"/>
    <cellStyle name="汇总 2 3 2 3 4 2 2" xfId="15201"/>
    <cellStyle name="计算 2 2 7 2 4" xfId="15202"/>
    <cellStyle name="标题 1 2 5 2" xfId="15203"/>
    <cellStyle name="强调文字颜色 4 2 2 3 3 2" xfId="15204"/>
    <cellStyle name="输出 2 2 7 2 3 2 2" xfId="15205"/>
    <cellStyle name="标题 3 4 2 2 2 2" xfId="15206"/>
    <cellStyle name="计算 2 2 8 4 2 2 2" xfId="15207"/>
    <cellStyle name="强调文字颜色 1 2 2 2 5 2 2 2" xfId="15208"/>
    <cellStyle name="计算 2 8 2 2 2 3" xfId="15209"/>
    <cellStyle name="警告文本 2 3 2 3 2 2 2" xfId="15210"/>
    <cellStyle name="注释 2 2 3 2 3 3" xfId="15211"/>
    <cellStyle name="计算 2 2 9 6 2" xfId="15212"/>
    <cellStyle name="注释 3 2 2 7" xfId="15213"/>
    <cellStyle name="强调文字颜色 3 2 4 4 2 3" xfId="15214"/>
    <cellStyle name="计算 3 4 3 2" xfId="15215"/>
    <cellStyle name="输出 3 2 7 3" xfId="15216"/>
    <cellStyle name="输入 3 2 9" xfId="15217"/>
    <cellStyle name="好 2 2 5 2 2" xfId="15218"/>
    <cellStyle name="标题 2 2 2 2 7" xfId="15219"/>
    <cellStyle name="汇总 2 2 8 3 2 3" xfId="15220"/>
    <cellStyle name="40% - 强调文字颜色 6 2 2 2 2 4 3 2" xfId="15221"/>
    <cellStyle name="强调文字颜色 3 4 2 2 2" xfId="15222"/>
    <cellStyle name="标题 4 2 5 3" xfId="15223"/>
    <cellStyle name="计算 2 5 6 2 2" xfId="15224"/>
    <cellStyle name="常规 7 2 2 2 2 2" xfId="15225"/>
    <cellStyle name="标题 4 2 4 4 4" xfId="15226"/>
    <cellStyle name="输出 2 6 2 4 3" xfId="15227"/>
    <cellStyle name="输入 2 7 2 2 3" xfId="15228"/>
    <cellStyle name="标题 4 2 3 5 2 2" xfId="15229"/>
    <cellStyle name="标题 4 2 3 5" xfId="15230"/>
    <cellStyle name="超链接 3 5 3" xfId="15231"/>
    <cellStyle name="输入 2 9 4" xfId="15232"/>
    <cellStyle name="注释 2 2 6 5 2" xfId="15233"/>
    <cellStyle name="检查单元格 2 2 3 3" xfId="15234"/>
    <cellStyle name="汇总 2 3 3 3 2 3" xfId="15235"/>
    <cellStyle name="差 2 2 3 10" xfId="15236"/>
    <cellStyle name="常规 5 2 3 3 2 3 2" xfId="15237"/>
    <cellStyle name="链接单元格 2 3 4" xfId="15238"/>
    <cellStyle name="汇总 2 5 2 2 2 5" xfId="15239"/>
    <cellStyle name="计算 2 2 6 2 2 6" xfId="15240"/>
    <cellStyle name="输入 2 2 4 2 2 4 2" xfId="15241"/>
    <cellStyle name="标题 2 2 2 2 3 2 2 2 2" xfId="15242"/>
    <cellStyle name="适中 2 2 2 4 4" xfId="15243"/>
    <cellStyle name="标题 3 2 2 5 3 2" xfId="15244"/>
    <cellStyle name="60% - 强调文字颜色 4 4 2 3 2" xfId="15245"/>
    <cellStyle name="输入 2 5 5 4" xfId="15246"/>
    <cellStyle name="适中 2 4 3 3 3" xfId="15247"/>
    <cellStyle name="汇总 2 2 4 2 4 8" xfId="15248"/>
    <cellStyle name="差 2 3 2 2 3" xfId="15249"/>
    <cellStyle name="40% - 强调文字颜色 5 2" xfId="15250"/>
    <cellStyle name="汇总 2 2 3 2 2 2 2 3" xfId="15251"/>
    <cellStyle name="输入 2 2 6 2 2 6" xfId="15252"/>
    <cellStyle name="输出 2 3 3 2 3 2" xfId="15253"/>
    <cellStyle name="计算 4 6 2" xfId="15254"/>
    <cellStyle name="百分比 2 3 3 3" xfId="15255"/>
    <cellStyle name="标题 1 2 2 6 2 3" xfId="15256"/>
    <cellStyle name="差 3 2 3 3" xfId="15257"/>
    <cellStyle name="输入 2 3 3 5" xfId="15258"/>
    <cellStyle name="注释 2 2 16" xfId="15259"/>
    <cellStyle name="注释 2 7 2 2 4" xfId="15260"/>
    <cellStyle name="20% - 强调文字颜色 4 2 2 2 2 3 3" xfId="15261"/>
    <cellStyle name="标题 3 2 4 5 2" xfId="15262"/>
    <cellStyle name="60% - 强调文字颜色 4 6 2 2" xfId="15263"/>
    <cellStyle name="强调文字颜色 2 3 3 4" xfId="15264"/>
    <cellStyle name="标题 4 2 3 3 2" xfId="15265"/>
    <cellStyle name="汇总 2 2 4 2 4 2 4" xfId="15266"/>
    <cellStyle name="60% - 强调文字颜色 6 2 2 3 4 4" xfId="15267"/>
    <cellStyle name="输出 2 2 4 2 2 4 3" xfId="15268"/>
    <cellStyle name="汇总 2 10 3 2 2" xfId="15269"/>
    <cellStyle name="汇总 2 7 2 2" xfId="15270"/>
    <cellStyle name="常规 4 3 4 4" xfId="15271"/>
    <cellStyle name="40% - 强调文字颜色 6 2 2 2 4" xfId="15272"/>
    <cellStyle name="40% - 强调文字颜色 1 2 2 2 5 2 2" xfId="15273"/>
    <cellStyle name="强调文字颜色 6 2 2 4 2" xfId="15274"/>
    <cellStyle name="输入 2 2 2 11" xfId="15275"/>
    <cellStyle name="常规 8 4" xfId="15276"/>
    <cellStyle name="常规 4 2 4 2" xfId="15277"/>
    <cellStyle name="标题 3 2 2 3 5" xfId="15278"/>
    <cellStyle name="汇总 2 2 4 4 3 3 2" xfId="15279"/>
    <cellStyle name="输出 2 2 7 2 3 3" xfId="15280"/>
    <cellStyle name="标题 1 2 6" xfId="15281"/>
    <cellStyle name="强调文字颜色 4 2 2 3 4" xfId="15282"/>
    <cellStyle name="40% - 强调文字颜色 2 2 3 4 2 2" xfId="15283"/>
    <cellStyle name="汇总 4 4 4" xfId="15284"/>
    <cellStyle name="60% - 强调文字颜色 6 3 3 4" xfId="15285"/>
    <cellStyle name="强调文字颜色 3 2 2 2 2 3" xfId="15286"/>
    <cellStyle name="计算 2 2 4 5 2 4" xfId="15287"/>
    <cellStyle name="输入 2 9 8" xfId="15288"/>
    <cellStyle name="60% - 强调文字颜色 3 3 2 4 2 2 2" xfId="15289"/>
    <cellStyle name="超链接 2" xfId="15290"/>
    <cellStyle name="标题 6 2 5" xfId="15291"/>
    <cellStyle name="输入 2 2 6 7 3" xfId="15292"/>
    <cellStyle name="输入 2 2 5 4 2 3 2" xfId="15293"/>
    <cellStyle name="20% - 强调文字颜色 5 2 2 2 2 2 2 2 2" xfId="15294"/>
    <cellStyle name="差 6 2" xfId="15295"/>
    <cellStyle name="计算 2 3 2 2 2 2 5" xfId="15296"/>
    <cellStyle name="输入 2 2 4 2 3 2 3" xfId="15297"/>
    <cellStyle name="常规 10 2 4 2 4 2" xfId="15298"/>
    <cellStyle name="输入 4 2 2" xfId="15299"/>
    <cellStyle name="常规 4 2 4 3 4 2" xfId="15300"/>
    <cellStyle name="常规 2 2 2 2 3 2 2 2 2" xfId="15301"/>
    <cellStyle name="注释 2 2 12 2" xfId="15302"/>
    <cellStyle name="输出 3 6 2 2" xfId="15303"/>
    <cellStyle name="常规 6 3 2 2 2 3" xfId="15304"/>
    <cellStyle name="60% - 强调文字颜色 3 2 2 2 2 5 2 2" xfId="15305"/>
    <cellStyle name="注释 3 2 8 2" xfId="15306"/>
    <cellStyle name="60% - 强调文字颜色 1 5 2 2 2" xfId="15307"/>
    <cellStyle name="20% - 强调文字颜色 3 2 3 2 2 2" xfId="15308"/>
    <cellStyle name="60% - 强调文字颜色 1 2 2 3 4 2 2 2" xfId="15309"/>
    <cellStyle name="计算 2 5 5 3 2 2" xfId="15310"/>
    <cellStyle name="20% - 强调文字颜色 2 2 2 2 2 4" xfId="15311"/>
    <cellStyle name="汇总 2 4 2 2 2 7" xfId="15312"/>
    <cellStyle name="常规 8 2 2 5 2 2" xfId="15313"/>
    <cellStyle name="注释 2 2 5" xfId="15314"/>
    <cellStyle name="输入 2 6 2 3" xfId="15315"/>
    <cellStyle name="20% - 强调文字颜色 5 2 2 4 3 3" xfId="15316"/>
    <cellStyle name="强调文字颜色 1 2 3 3 2 2 2" xfId="15317"/>
    <cellStyle name="标题 2 4 3" xfId="15318"/>
    <cellStyle name="强调文字颜色 5 2 2 3 5 2 2" xfId="15319"/>
    <cellStyle name="计算 2 8 3 2 7" xfId="15320"/>
    <cellStyle name="输入 2 2 2 2 3 4" xfId="15321"/>
    <cellStyle name="计算 2 9 2 4" xfId="15322"/>
    <cellStyle name="标题 5 2 4 4 2" xfId="15323"/>
    <cellStyle name="40% - 强调文字颜色 6 2 3 2 2 2 2 2 2 2" xfId="15324"/>
    <cellStyle name="Normal 2 2 3" xfId="15325"/>
    <cellStyle name="20% - 强调文字颜色 3 2 3 2 2 4 3" xfId="15326"/>
    <cellStyle name="标题 7 5 2" xfId="15327"/>
    <cellStyle name="汇总 2 2 5 2 12" xfId="15328"/>
    <cellStyle name="差 2 2 7 3" xfId="15329"/>
    <cellStyle name="强调文字颜色 5 3 2 3 2" xfId="15330"/>
    <cellStyle name="检查单元格 3" xfId="15331"/>
    <cellStyle name="计算 2 7 2" xfId="15332"/>
    <cellStyle name="标题 4 3 4 2 3" xfId="15333"/>
    <cellStyle name="20% - 强调文字颜色 3 3 2 4 2 2 2" xfId="15334"/>
    <cellStyle name="汇总 2 6 3 6 2 2" xfId="15335"/>
    <cellStyle name="输出 2 2 6 10" xfId="15336"/>
    <cellStyle name="60% - 强调文字颜色 2 2 2 2 2 2 3" xfId="15337"/>
    <cellStyle name="注释 2 6 2" xfId="15338"/>
    <cellStyle name="汇总 2 2 7 8 3" xfId="15339"/>
    <cellStyle name="输出 2 2 5 3 2 5" xfId="15340"/>
    <cellStyle name="解释性文本 2 3 4" xfId="15341"/>
    <cellStyle name="汇总 2 2 4 2 3 7 2" xfId="15342"/>
    <cellStyle name="60% - 强调文字颜色 5 3 7" xfId="15343"/>
    <cellStyle name="差 2 3 2 2 2 2 2 3" xfId="15344"/>
    <cellStyle name="常规 8 2 2 4 2 2" xfId="15345"/>
    <cellStyle name="计算 2 5 5 2 2 2" xfId="15346"/>
    <cellStyle name="输入 2 5 2 3" xfId="15347"/>
    <cellStyle name="40% - 强调文字颜色 5 2 2 2 2 2 2 3" xfId="15348"/>
    <cellStyle name="强调文字颜色 5 2 5 3 3" xfId="15349"/>
    <cellStyle name="标题 4 2 2 4 2 4" xfId="15350"/>
    <cellStyle name="标题 5 2 3 4 2 2" xfId="15351"/>
    <cellStyle name="标题 4 2 2 3 4" xfId="15352"/>
    <cellStyle name="汇总 2 6 2 4 3 3" xfId="15353"/>
    <cellStyle name="输出 2 3 8 2 2" xfId="15354"/>
    <cellStyle name="常规 2 2 6 2 2" xfId="15355"/>
    <cellStyle name="强调文字颜色 3 3 7" xfId="15356"/>
    <cellStyle name="汇总 2 2 4 2 3 2 6" xfId="15357"/>
    <cellStyle name="计算 3 2 2 3 5" xfId="15358"/>
    <cellStyle name="标题 2 4 2 2 2 2 2" xfId="15359"/>
    <cellStyle name="超链接 2 2 2 2 3" xfId="15360"/>
    <cellStyle name="注释 2 5 2 2 2 4" xfId="15361"/>
    <cellStyle name="强调文字颜色 3 2 2 3 3 2 2" xfId="15362"/>
    <cellStyle name="差 2 2 6 2" xfId="15363"/>
    <cellStyle name="输出 2 5 2 3 2 3" xfId="15364"/>
    <cellStyle name="汇总 2 5 2 3 3 3 2" xfId="15365"/>
    <cellStyle name="汇总 2 5 2 4 7" xfId="15366"/>
    <cellStyle name="注释 4 2 5 2 2" xfId="15367"/>
    <cellStyle name="注释 2 5 2 6" xfId="15368"/>
    <cellStyle name="计算 2 2 2 2 3 2" xfId="15369"/>
    <cellStyle name="常规 5 2 2 4 4 2 2" xfId="15370"/>
    <cellStyle name="常规 3 2 7" xfId="15371"/>
    <cellStyle name="输出 3 3 9" xfId="15372"/>
    <cellStyle name="40% - 强调文字颜色 6 2 6 3 2 2" xfId="15373"/>
    <cellStyle name="60% - 强调文字颜色 6 2 3 2 5" xfId="15374"/>
    <cellStyle name="汇总 2 2 4 3 3 3" xfId="15375"/>
    <cellStyle name="计算 2 6 2 2 2 3 2 2" xfId="15376"/>
    <cellStyle name="输出 2 4 3 2 2 3 2" xfId="15377"/>
    <cellStyle name="计算 2 2 5 4 2 4 2 2" xfId="15378"/>
    <cellStyle name="汇总 2 2 4 2 3 2 4" xfId="15379"/>
    <cellStyle name="计算 2 2 4 4 2 7" xfId="15380"/>
    <cellStyle name="60% - 强调文字颜色 6 2 2 2 4 4" xfId="15381"/>
    <cellStyle name="标题 4 2 2 3 2" xfId="15382"/>
    <cellStyle name="强调文字颜色 3 3 5" xfId="15383"/>
    <cellStyle name="20% - 强调文字颜色 5 2 2 2 2 2 3" xfId="15384"/>
    <cellStyle name="标题 2 2 4 6 2" xfId="15385"/>
    <cellStyle name="输出 2 2 3 2 3 6 2" xfId="15386"/>
    <cellStyle name="输出 2 2 2 2 2 5" xfId="15387"/>
    <cellStyle name="标题 4 2 2 2 8" xfId="15388"/>
    <cellStyle name="标题 4 2 2 2 6 2 3" xfId="15389"/>
    <cellStyle name="标题 3 4 2 3 2" xfId="15390"/>
    <cellStyle name="计算 2 2 8 4 3 2" xfId="15391"/>
    <cellStyle name="标题 4 2 2 2 5 2 2" xfId="15392"/>
    <cellStyle name="解释性文本 2 10" xfId="15393"/>
    <cellStyle name="常规 6 6 2 2 2" xfId="15394"/>
    <cellStyle name="强调文字颜色 1 2 2 5 3" xfId="15395"/>
    <cellStyle name="40% - 强调文字颜色 4 2 8" xfId="15396"/>
    <cellStyle name="40% - 强调文字颜色 6 2 2 3 5 2 2" xfId="15397"/>
    <cellStyle name="汇总 2 7 3 3 2 2" xfId="15398"/>
    <cellStyle name="标题 4 2 2 5 3 2" xfId="15399"/>
    <cellStyle name="输入 2 2 9 5" xfId="15400"/>
    <cellStyle name="强调文字颜色 6 2 2 5 3 2 2" xfId="15401"/>
    <cellStyle name="计算 2 2 7 2 3 2" xfId="15402"/>
    <cellStyle name="输入 2 7 12" xfId="15403"/>
    <cellStyle name="汇总 2 2 2 4 2 2 2 2" xfId="15404"/>
    <cellStyle name="输出 2 4 4 2 6" xfId="15405"/>
    <cellStyle name="常规 2 2 2 2 2 3 2" xfId="15406"/>
    <cellStyle name="计算 2 2 4 5 2 4 2 2" xfId="15407"/>
    <cellStyle name="汇总 2 2 6 3 4 3" xfId="15408"/>
    <cellStyle name="输出 2 4 8" xfId="15409"/>
    <cellStyle name="强调文字颜色 1 2 3 2 2" xfId="15410"/>
    <cellStyle name="常规 2 3 6" xfId="15411"/>
    <cellStyle name="输入 2 2 3 2 4 2" xfId="15412"/>
    <cellStyle name="输出 2 2 5 4 3 2" xfId="15413"/>
    <cellStyle name="标题 4 2 2 3 3 2 3" xfId="15414"/>
    <cellStyle name="汇总 2 2 3 3 3 5" xfId="15415"/>
    <cellStyle name="注释 2 2 4 4 2" xfId="15416"/>
    <cellStyle name="40% - 强调文字颜色 5 2 2 2 2 4 3 2 2" xfId="15417"/>
    <cellStyle name="标题 5 3 4 4" xfId="15418"/>
    <cellStyle name="汇总 2 2 6 16" xfId="15419"/>
    <cellStyle name="常规 6 3 2 2 2" xfId="15420"/>
    <cellStyle name="常规 6 2 3 2 2" xfId="15421"/>
    <cellStyle name="输入 2 2 5 4 3 3" xfId="15422"/>
    <cellStyle name="汇总 2 2 3 5" xfId="15423"/>
    <cellStyle name="输入 2 4 2 4 2" xfId="15424"/>
    <cellStyle name="差 3 3 2 2 2" xfId="15425"/>
    <cellStyle name="计算 3 3 2 4 2 2" xfId="15426"/>
    <cellStyle name="强调文字颜色 4 4 3 2" xfId="15427"/>
    <cellStyle name="输入 2 4 2 6" xfId="15428"/>
    <cellStyle name="40% - 强调文字颜色 2 2 2 4" xfId="15429"/>
    <cellStyle name="计算 2 6 9 3" xfId="15430"/>
    <cellStyle name="常规 6 2 3 5 2 2" xfId="15431"/>
    <cellStyle name="输出 2 2 2 2 4 3" xfId="15432"/>
    <cellStyle name="输出 2 4 2 6 2 2" xfId="15433"/>
    <cellStyle name="强调文字颜色 6 2 3" xfId="15434"/>
    <cellStyle name="计算 2 2 2 2 2 2 6 2" xfId="15435"/>
    <cellStyle name="汇总 2 2 7 5 2 2" xfId="15436"/>
    <cellStyle name="20% - 强调文字颜色 6 4 2 3 2" xfId="15437"/>
    <cellStyle name="注释 2 2 9 4" xfId="15438"/>
    <cellStyle name="20% - 强调文字颜色 5 2 2 2 2 5 2" xfId="15439"/>
    <cellStyle name="常规 8 2 5 2 2" xfId="15440"/>
    <cellStyle name="输入 2 2 5 3 7" xfId="15441"/>
    <cellStyle name="标题 1 2 2 2 3 2 3" xfId="15442"/>
    <cellStyle name="检查单元格 2 2 2 2 3 2 2 2" xfId="15443"/>
    <cellStyle name="强调文字颜色 3 2 2 6 2 2 2" xfId="15444"/>
    <cellStyle name="计算 2 2 4 2 3 8" xfId="15445"/>
    <cellStyle name="计算 2 5 2 3 3 4 2" xfId="15446"/>
    <cellStyle name="20% - 强调文字颜色 5 2 7 2 2 2" xfId="15447"/>
    <cellStyle name="常规 9 2 2 5 3" xfId="15448"/>
    <cellStyle name="汇总 2 2 3 4 7" xfId="15449"/>
    <cellStyle name="强调文字颜色 5 2 2 3 2 2 2 2 2" xfId="15450"/>
    <cellStyle name="强调文字颜色 1 2 4 3 2 2" xfId="15451"/>
    <cellStyle name="常规 10 2 2 3 3" xfId="15452"/>
    <cellStyle name="强调文字颜色 6 2 2 2 2 4 2 3" xfId="15453"/>
    <cellStyle name="注释 2 3 3 3 3" xfId="15454"/>
    <cellStyle name="40% - 强调文字颜色 3 3 3 2 2" xfId="15455"/>
    <cellStyle name="适中 2 2 2 2 3 2 2 2" xfId="15456"/>
    <cellStyle name="汇总 2 2 4 2 2 6" xfId="15457"/>
    <cellStyle name="汇总 2 5 2 8" xfId="15458"/>
    <cellStyle name="差 3 2 4 2 2 2" xfId="15459"/>
    <cellStyle name="输入 2 3 4 4 2 2" xfId="15460"/>
    <cellStyle name="标题 3 2 2 3 2 2 2 2" xfId="15461"/>
    <cellStyle name="标题 4 2 2 3 3 2 2 2" xfId="15462"/>
    <cellStyle name="计算 4 2 5" xfId="15463"/>
    <cellStyle name="注释 2 2 4 10" xfId="15464"/>
    <cellStyle name="输出 2 6 7 2" xfId="15465"/>
    <cellStyle name="汇总 3 8" xfId="15466"/>
    <cellStyle name="输入 2 2 4 2 9 2 2" xfId="15467"/>
    <cellStyle name="40% - 强调文字颜色 2 2 8 2" xfId="15468"/>
    <cellStyle name="40% - 强调文字颜色 6 2 2 3 3 2 2 2" xfId="15469"/>
    <cellStyle name="标题 4 2 2 3 3 2 2" xfId="15470"/>
    <cellStyle name="标题 5 2 3 8" xfId="15471"/>
    <cellStyle name="输入 2 2 15 3" xfId="15472"/>
    <cellStyle name="常规 10 2 2 8" xfId="15473"/>
    <cellStyle name="百分比 2 5" xfId="15474"/>
    <cellStyle name="警告文本 2 2 2 5 2 3" xfId="15475"/>
    <cellStyle name="链接单元格 2 2 2 2 2 2 2 2" xfId="15476"/>
    <cellStyle name="常规 10 2 2 2 2 4 2" xfId="15477"/>
    <cellStyle name="强调文字颜色 5 2 2 4 3 2" xfId="15478"/>
    <cellStyle name="注释 4 2 3" xfId="15479"/>
    <cellStyle name="40% - 强调文字颜色 5 2 3 2 2 3 3 2 2" xfId="15480"/>
    <cellStyle name="常规 5 2 2 4 2" xfId="15481"/>
    <cellStyle name="强调文字颜色 1 2 4 5" xfId="15482"/>
    <cellStyle name="60% - 强调文字颜色 4 2 3 3 5" xfId="15483"/>
    <cellStyle name="60% - 强调文字颜色 1 2 4 4" xfId="15484"/>
    <cellStyle name="标题 4 2 2 2 2 5 3" xfId="15485"/>
    <cellStyle name="40% - 强调文字颜色 2 3 5 2" xfId="15486"/>
    <cellStyle name="好 2 3 4 2" xfId="15487"/>
    <cellStyle name="标题 1 3 4 2 3" xfId="15488"/>
    <cellStyle name="汇总 2 3 3 6 2 2" xfId="15489"/>
    <cellStyle name="强调文字颜色 4 2 2 4 2 2 3" xfId="15490"/>
    <cellStyle name="计算 2 4 13" xfId="15491"/>
    <cellStyle name="20% - 强调文字颜色 1 3 5" xfId="15492"/>
    <cellStyle name="标题 4 2 7 2" xfId="15493"/>
    <cellStyle name="强调文字颜色 2 2 2 2 5" xfId="15494"/>
    <cellStyle name="40% - 强调文字颜色 2 3 4 2" xfId="15495"/>
    <cellStyle name="标题 4 2 2 2 2 4 3" xfId="15496"/>
    <cellStyle name="标题 5 2 3 2 2 2 3" xfId="15497"/>
    <cellStyle name="输出 2 2 3 2 8 2 2" xfId="15498"/>
    <cellStyle name="常规 6 3 2 2 5 2 2" xfId="15499"/>
    <cellStyle name="强调文字颜色 1 2 2 2 2 2 3 2" xfId="15500"/>
    <cellStyle name="标题 1 2 10" xfId="15501"/>
    <cellStyle name="20% - 强调文字颜色 2 2 3 2 3 3 2" xfId="15502"/>
    <cellStyle name="检查单元格 4 2 3" xfId="15503"/>
    <cellStyle name="计算 2 3 13" xfId="15504"/>
    <cellStyle name="标题 4 2 2 2" xfId="15505"/>
    <cellStyle name="20% - 强调文字颜色 4 2 2 2 5 2" xfId="15506"/>
    <cellStyle name="计算 3 2 4 3 2" xfId="15507"/>
    <cellStyle name="常规 5 2 2 3 2" xfId="15508"/>
    <cellStyle name="强调文字颜色 6 2 2 3 2 2 2 2" xfId="15509"/>
    <cellStyle name="常规 14 3 2" xfId="15510"/>
    <cellStyle name="40% - 强调文字颜色 5 2 2 3 5 2 2" xfId="15511"/>
    <cellStyle name="计算 2 2 4 5 2" xfId="15512"/>
    <cellStyle name="60% - 强调文字颜色 3 2 2 3 2 2" xfId="15513"/>
    <cellStyle name="计算 2 2 2 2 3 5 2" xfId="15514"/>
    <cellStyle name="计算 2 2 6 4 2" xfId="15515"/>
    <cellStyle name="标题 3 2 2 2" xfId="15516"/>
    <cellStyle name="汇总 2 6 4 6 2" xfId="15517"/>
    <cellStyle name="解释性文本 2 3 2 4 4" xfId="15518"/>
    <cellStyle name="20% - 强调文字颜色 5 2 2 6 2" xfId="15519"/>
    <cellStyle name="标题 4 3" xfId="15520"/>
    <cellStyle name="标题 2 2 3 3 3" xfId="15521"/>
    <cellStyle name="标题 3 4 4 3" xfId="15522"/>
    <cellStyle name="计算 2 2 8 6 3" xfId="15523"/>
    <cellStyle name="20% - 强调文字颜色 2 2 4 3 3" xfId="15524"/>
    <cellStyle name="常规 10 2 2 2 2 2 2" xfId="15525"/>
    <cellStyle name="链接单元格 2 4 4 2 2" xfId="15526"/>
    <cellStyle name="强调文字颜色 1 2 2 6" xfId="15527"/>
    <cellStyle name="40% - 强调文字颜色 2 4 2 3 2" xfId="15528"/>
    <cellStyle name="常规 2 2 2 4 3" xfId="15529"/>
    <cellStyle name="输出 2 3 4 4 3" xfId="15530"/>
    <cellStyle name="输入 2 3 2 2 4" xfId="15531"/>
    <cellStyle name="解释性文本 2 2 5 2 3" xfId="15532"/>
    <cellStyle name="强调文字颜色 1 3" xfId="15533"/>
    <cellStyle name="注释 2 3 4" xfId="15534"/>
    <cellStyle name="计算 2 2 2 3 3 3 2" xfId="15535"/>
    <cellStyle name="注释 2 4 2 2 2 2 3 2" xfId="15536"/>
    <cellStyle name="注释 2 2 4 2 3 6" xfId="15537"/>
    <cellStyle name="常规 2 3 2 2 2 2" xfId="15538"/>
    <cellStyle name="输出 2 4 4 2 2 2" xfId="15539"/>
    <cellStyle name="常规 9 4 3 3 2" xfId="15540"/>
    <cellStyle name="标题 1 3 2 5 2" xfId="15541"/>
    <cellStyle name="强调文字颜色 2 2 2 2 4 3 2 2" xfId="15542"/>
    <cellStyle name="标题 3 2 2 4 4 3" xfId="15543"/>
    <cellStyle name="强调文字颜色 1 2 4 3 2 2 2" xfId="15544"/>
    <cellStyle name="输出 2 2 2 2 2 7" xfId="15545"/>
    <cellStyle name="警告文本 2 3 3 3" xfId="15546"/>
    <cellStyle name="计算 2 4 2 2 2 4 3" xfId="15547"/>
    <cellStyle name="输入 5 4 2" xfId="15548"/>
    <cellStyle name="60% - 强调文字颜色 4 2 4 3 3" xfId="15549"/>
    <cellStyle name="标题 3 2 3 2 3 3 2" xfId="15550"/>
    <cellStyle name="40% - 强调文字颜色 2 2 2 6 2 2 2" xfId="15551"/>
    <cellStyle name="差 2 2 4 2 2 3" xfId="15552"/>
    <cellStyle name="60% - 强调文字颜色 4 2 2 2 5 2" xfId="15553"/>
    <cellStyle name="差 3 2 3" xfId="15554"/>
    <cellStyle name="60% - 强调文字颜色 2 2 2 2 2" xfId="15555"/>
    <cellStyle name="计算 2 2 4 2 5 2 2" xfId="15556"/>
    <cellStyle name="计算 2 10 2 2" xfId="15557"/>
    <cellStyle name="计算 2 2 2 2 2 2 2 2" xfId="15558"/>
    <cellStyle name="常规 2 2 2 2 2 5" xfId="15559"/>
    <cellStyle name="汇总 2 6 3 2 5 2" xfId="15560"/>
    <cellStyle name="输入 2 4 4 2 2" xfId="15561"/>
    <cellStyle name="20% - 强调文字颜色 2 5 2 2 2" xfId="15562"/>
    <cellStyle name="强调文字颜色 2 2 3 4 2 2 2" xfId="15563"/>
    <cellStyle name="计算 2 2 6 4 2 2" xfId="15564"/>
    <cellStyle name="标题 3 2 2 2 2" xfId="15565"/>
    <cellStyle name="60% - 强调文字颜色 4 2 2 2 4 3" xfId="15566"/>
    <cellStyle name="计算 2 2 7 7 3" xfId="15567"/>
    <cellStyle name="标题 3 3 5 3" xfId="15568"/>
    <cellStyle name="输入 2 10 2 4" xfId="15569"/>
    <cellStyle name="Normal 2 2 2 2 2" xfId="15570"/>
    <cellStyle name="20% - 强调文字颜色 6 2 5 5 2 2" xfId="15571"/>
    <cellStyle name="20% - 强调文字颜色 3 2 3 2 2 4 2 2 2" xfId="15572"/>
    <cellStyle name="注释 2 2 5 12" xfId="15573"/>
    <cellStyle name="常规 4 2 3 2 4 3" xfId="15574"/>
    <cellStyle name="警告文本 2 2 3 3 2" xfId="15575"/>
    <cellStyle name="计算 2 2 4 2 4 2 2 2" xfId="15576"/>
    <cellStyle name="计算 2 2 7 5 4 2" xfId="15577"/>
    <cellStyle name="标题 3 3 3 4 2" xfId="15578"/>
    <cellStyle name="强调文字颜色 3 2 2 4" xfId="15579"/>
    <cellStyle name="汇总 2 2 4 6 2 2" xfId="15580"/>
    <cellStyle name="注释 3 2 2 2 2 2 2" xfId="15581"/>
    <cellStyle name="强调文字颜色 6 2 2 2 4 4" xfId="15582"/>
    <cellStyle name="20% - 强调文字颜色 1 2 5 5 2" xfId="15583"/>
    <cellStyle name="强调文字颜色 5 2 2 5 2 3" xfId="15584"/>
    <cellStyle name="常规 10 2 2 2 3 3 3" xfId="15585"/>
    <cellStyle name="强调文字颜色 6 4" xfId="15586"/>
    <cellStyle name="注释 2 8 5" xfId="15587"/>
    <cellStyle name="输入 2 6 8 3" xfId="15588"/>
    <cellStyle name="输入 3 6 2 2" xfId="15589"/>
    <cellStyle name="20% - 强调文字颜色 2 2 2 2 2 2 4 3 2" xfId="15590"/>
    <cellStyle name="强调文字颜色 6 3 8" xfId="15591"/>
    <cellStyle name="40% - 强调文字颜色 4 2 3 4 2 2 2" xfId="15592"/>
    <cellStyle name="计算 3 2 2 2 2 2 2" xfId="15593"/>
    <cellStyle name="汇总 4 2 6 2 2" xfId="15594"/>
    <cellStyle name="链接单元格 2 2 3 8" xfId="15595"/>
    <cellStyle name="40% - 强调文字颜色 3 3 3 2" xfId="15596"/>
    <cellStyle name="适中 2 2 2 2 3 2 2" xfId="15597"/>
    <cellStyle name="检查单元格 2 2 7 2" xfId="15598"/>
    <cellStyle name="注释 2 2 8 4 2" xfId="15599"/>
    <cellStyle name="检查单元格 2 4 2 3" xfId="15600"/>
    <cellStyle name="40% - 强调文字颜色 4 2 2 2 2 3 2 2 2" xfId="15601"/>
    <cellStyle name="输入 5 2 2 3" xfId="15602"/>
    <cellStyle name="20% - 强调文字颜色 1 4" xfId="15603"/>
    <cellStyle name="20% - 强调文字颜色 6 2 3 2 2 2 2 2" xfId="15604"/>
    <cellStyle name="强调文字颜色 2 2 2 3" xfId="15605"/>
    <cellStyle name="20% - 强调文字颜色 5 2 2 2 2 4 2 2" xfId="15606"/>
    <cellStyle name="输出 3 2 2 3 3" xfId="15607"/>
    <cellStyle name="计算 2 3 2 4 3 2 2" xfId="15608"/>
    <cellStyle name="注释 2 2 4 2 2 8" xfId="15609"/>
    <cellStyle name="输入 2 5 2 3 2 2 2 2" xfId="15610"/>
    <cellStyle name="40% - 强调文字颜色 2 2 4 2 2 2 2 2" xfId="15611"/>
    <cellStyle name="超链接 3 2 4 2 2" xfId="15612"/>
    <cellStyle name="输入 2 6 5 2 2" xfId="15613"/>
    <cellStyle name="注释 2 5 4 2" xfId="15614"/>
    <cellStyle name="标题 2 3 2 3 2" xfId="15615"/>
    <cellStyle name="标题 3 3 2 4 2 3" xfId="15616"/>
    <cellStyle name="标题 3 3 2 2 5" xfId="15617"/>
    <cellStyle name="汇总 2 2 4 5 3 2 2" xfId="15618"/>
    <cellStyle name="注释 2 7 4 5" xfId="15619"/>
    <cellStyle name="强调文字颜色 6 3 2 3 2" xfId="15620"/>
    <cellStyle name="20% - 强调文字颜色 1 3 2 2 3" xfId="15621"/>
    <cellStyle name="强调文字颜色 2 2 2 2 2 2 3" xfId="15622"/>
    <cellStyle name="检查单元格 2 2 2 3 2" xfId="15623"/>
    <cellStyle name="注释 2 2 6 4 2 2" xfId="15624"/>
    <cellStyle name="汇总 2 9 2" xfId="15625"/>
    <cellStyle name="常规 7 3 4 3 2" xfId="15626"/>
    <cellStyle name="输出 2 2 3 3 2 2" xfId="15627"/>
    <cellStyle name="计算 2 2 6 9 3" xfId="15628"/>
    <cellStyle name="标题 3 2 7 3" xfId="15629"/>
    <cellStyle name="计算 2 2 8 6 2 2" xfId="15630"/>
    <cellStyle name="标题 3 4 4 2 2" xfId="15631"/>
    <cellStyle name="汇总 2 4 2 2 2 3 2" xfId="15632"/>
    <cellStyle name="60% - 强调文字颜色 5 2 2 2 7" xfId="15633"/>
    <cellStyle name="汇总 2 2 3 4 2 5 2" xfId="15634"/>
    <cellStyle name="注释 2 2 5 3 2 2" xfId="15635"/>
    <cellStyle name="输入 2 5 7" xfId="15636"/>
    <cellStyle name="强调文字颜色 5 3" xfId="15637"/>
    <cellStyle name="计算 2 4 4 2 2 3" xfId="15638"/>
    <cellStyle name="输出 2 2 2 4 2" xfId="15639"/>
    <cellStyle name="计算 2 8 7" xfId="15640"/>
    <cellStyle name="输入 2 2 4 2 7 3" xfId="15641"/>
    <cellStyle name="20% - 强调文字颜色 2 2 9 2" xfId="15642"/>
    <cellStyle name="60% - 强调文字颜色 6 2 3 2 4 4" xfId="15643"/>
    <cellStyle name="输出 2 7 6 2" xfId="15644"/>
    <cellStyle name="60% - 强调文字颜色 5 3 5 2 2" xfId="15645"/>
    <cellStyle name="解释性文本 2 3 2 2 2" xfId="15646"/>
    <cellStyle name="40% - 强调文字颜色 1 2 5 3" xfId="15647"/>
    <cellStyle name="输入 2 2 2 3 3 3" xfId="15648"/>
    <cellStyle name="强调文字颜色 4 3 3 2" xfId="15649"/>
    <cellStyle name="输入 2 3 2 6" xfId="15650"/>
    <cellStyle name="差 3 2 2 4" xfId="15651"/>
    <cellStyle name="常规 12 3 2 3 3" xfId="15652"/>
    <cellStyle name="计算 2 4 3 2 8" xfId="15653"/>
    <cellStyle name="差 2 2 4 2 2" xfId="15654"/>
    <cellStyle name="汇总 2 5 2 2 7 2" xfId="15655"/>
    <cellStyle name="60% - 强调文字颜色 4 2 4 3" xfId="15656"/>
    <cellStyle name="20% - 强调文字颜色 6 2 2 2 2 2" xfId="15657"/>
    <cellStyle name="汇总 2 3 2 2 9" xfId="15658"/>
    <cellStyle name="强调文字颜色 1 3 5 2" xfId="15659"/>
    <cellStyle name="输出 2 2 2 2 12" xfId="15660"/>
    <cellStyle name="20% - 强调文字颜色 2 2 3 2 2 2 2 2 2" xfId="15661"/>
    <cellStyle name="60% - 强调文字颜色 6 2 3 4 3 3" xfId="15662"/>
    <cellStyle name="输出 2 2 3 2 3 9" xfId="15663"/>
    <cellStyle name="适中 2 4 2 2" xfId="15664"/>
    <cellStyle name="输入 3 5 2 2" xfId="15665"/>
    <cellStyle name="计算 2 6 2 2 5 3" xfId="15666"/>
    <cellStyle name="汇总 2 2 4 2 3 5 2 2" xfId="15667"/>
    <cellStyle name="输出 2 2 3 4" xfId="15668"/>
    <cellStyle name="注释 2 2 3 3 2 2 4" xfId="15669"/>
    <cellStyle name="注释 2 2 5 4 2" xfId="15670"/>
    <cellStyle name="输出 2 7 3" xfId="15671"/>
    <cellStyle name="汇总 2 2 4 4 5 2" xfId="15672"/>
    <cellStyle name="计算 2 7 3 5 2 2" xfId="15673"/>
    <cellStyle name="60% - 强调文字颜色 6 2 4 4 4" xfId="15674"/>
    <cellStyle name="20% - 强调文字颜色 2 2 2 3 3" xfId="15675"/>
    <cellStyle name="计算 2 6 2 13" xfId="15676"/>
    <cellStyle name="40% - 强调文字颜色 6 2 3 3 3 2" xfId="15677"/>
    <cellStyle name="常规 10 3 2 2 4 2" xfId="15678"/>
    <cellStyle name="百分比 2 2 4 3 3" xfId="15679"/>
    <cellStyle name="标题 6 2 2 2 2 2 2" xfId="15680"/>
    <cellStyle name="解释性文本 2 3" xfId="15681"/>
    <cellStyle name="标题 3 2 4 5 3" xfId="15682"/>
    <cellStyle name="注释 2 7 2 2 5" xfId="15683"/>
    <cellStyle name="输出 2 2 3 5 6" xfId="15684"/>
    <cellStyle name="20% - 强调文字颜色 2 2 2 4 3 3 2" xfId="15685"/>
    <cellStyle name="40% - 强调文字颜色 4 2 3" xfId="15686"/>
    <cellStyle name="适中 2 2 2 3 2 2" xfId="15687"/>
    <cellStyle name="汇总 4 3 5 2" xfId="15688"/>
    <cellStyle name="计算 2 6 2 2 2 3" xfId="15689"/>
    <cellStyle name="60% - 强调文字颜色 4 2 5 2 2 2" xfId="15690"/>
    <cellStyle name="计算 2 4 3 9" xfId="15691"/>
    <cellStyle name="60% - 强调文字颜色 2 3 3 3 2 2 2" xfId="15692"/>
    <cellStyle name="输入 2 2 5 4 5" xfId="15693"/>
    <cellStyle name="20% - 强调文字颜色 5 4 3" xfId="15694"/>
    <cellStyle name="强调文字颜色 2 2 6 3 3" xfId="15695"/>
    <cellStyle name="60% - 强调文字颜色 3 2 2 2 2 3 2" xfId="15696"/>
    <cellStyle name="40% - 强调文字颜色 5 3 3 2 2 2 2" xfId="15697"/>
    <cellStyle name="标题 5 3 4 2 2 3" xfId="15698"/>
    <cellStyle name="常规 13 7 3" xfId="15699"/>
    <cellStyle name="20% - 强调文字颜色 5 2 4 5 2" xfId="15700"/>
    <cellStyle name="注释 2 2 2 2 8" xfId="15701"/>
    <cellStyle name="好 2 2 7 2" xfId="15702"/>
    <cellStyle name="注释 2 7 3 2 5" xfId="15703"/>
    <cellStyle name="好 2 2 3 3 2 2 2" xfId="15704"/>
    <cellStyle name="标题 5 6 2 2 2" xfId="15705"/>
    <cellStyle name="汇总 2 2 8 2 4 2 2" xfId="15706"/>
    <cellStyle name="强调文字颜色 4 2 2 2 2 2 4" xfId="15707"/>
    <cellStyle name="40% - 强调文字颜色 5 2 2 4 5 2" xfId="15708"/>
    <cellStyle name="计算 2 2 4 2 4 2 5" xfId="15709"/>
    <cellStyle name="汇总 2 3 3 4 3" xfId="15710"/>
    <cellStyle name="标题 5 2 7 3" xfId="15711"/>
    <cellStyle name="警告文本 2 4 3 4" xfId="15712"/>
    <cellStyle name="40% - 强调文字颜色 5 3 9" xfId="15713"/>
    <cellStyle name="标题 5 3 2 3 4" xfId="15714"/>
    <cellStyle name="好 2 4 9" xfId="15715"/>
    <cellStyle name="强调文字颜色 1 2 4 2 2 2 2" xfId="15716"/>
    <cellStyle name="常规 3 3 6 2 2" xfId="15717"/>
    <cellStyle name="计算 2 6 4 2 2 3" xfId="15718"/>
    <cellStyle name="常规 11 3 3" xfId="15719"/>
    <cellStyle name="计算 2 2 2 3 4" xfId="15720"/>
    <cellStyle name="汇总 2 2 9 4 2" xfId="15721"/>
    <cellStyle name="注释 2 4 2 2 2 3" xfId="15722"/>
    <cellStyle name="注释 4 2 6 3" xfId="15723"/>
    <cellStyle name="20% - 强调文字颜色 2 2 2 4 5 2" xfId="15724"/>
    <cellStyle name="60% - 强调文字颜色 6 3 2 4 2 2 2" xfId="15725"/>
    <cellStyle name="标题 5 2 4 2 3 3" xfId="15726"/>
    <cellStyle name="40% - 强调文字颜色 4 2 3 6 2 2" xfId="15727"/>
    <cellStyle name="标题 3 2 2 2 3 7" xfId="15728"/>
    <cellStyle name="输入 2 2 5 9" xfId="15729"/>
    <cellStyle name="差 2 2 9" xfId="15730"/>
    <cellStyle name="常规 10 2 3 2 3" xfId="15731"/>
    <cellStyle name="标题 3 2 2 2 2 2 3 3" xfId="15732"/>
    <cellStyle name="60% - 强调文字颜色 3 2 3 2 4 3" xfId="15733"/>
    <cellStyle name="输入 2 2 4 4 3 3" xfId="15734"/>
    <cellStyle name="60% - 强调文字颜色 2 6" xfId="15735"/>
    <cellStyle name="计算 6" xfId="15736"/>
    <cellStyle name="60% - 强调文字颜色 6 2 2 4 2 3 2" xfId="15737"/>
    <cellStyle name="好 5 2 2 2 2" xfId="15738"/>
    <cellStyle name="适中 2 10" xfId="15739"/>
    <cellStyle name="计算 2 2 4 4 2 6" xfId="15740"/>
    <cellStyle name="60% - 强调文字颜色 6 2 2 2 4 3" xfId="15741"/>
    <cellStyle name="汇总 2 3 6 3 2 2" xfId="15742"/>
    <cellStyle name="汇总 2 2 4 2 3 2 3" xfId="15743"/>
    <cellStyle name="汇总 3 3 2 4 2" xfId="15744"/>
    <cellStyle name="标题 2 2 3 5 2 3" xfId="15745"/>
    <cellStyle name="百分比 2 2 3 5" xfId="15746"/>
    <cellStyle name="汇总 2 2 2 3 3 2" xfId="15747"/>
    <cellStyle name="标题 4 2 2 3 2 3" xfId="15748"/>
    <cellStyle name="汇总 2 7 2 2 2 3 2 2" xfId="15749"/>
    <cellStyle name="汇总 2 2 4 2 3 2 4 3" xfId="15750"/>
    <cellStyle name="超链接 3 4 2" xfId="15751"/>
    <cellStyle name="计算 2 2 5 2 2 3 3 2" xfId="15752"/>
    <cellStyle name="输入 2 8 3" xfId="15753"/>
    <cellStyle name="汇总 2 2 2 2 2 3 4" xfId="15754"/>
    <cellStyle name="警告文本 2 3 2 4 2" xfId="15755"/>
    <cellStyle name="标题 1 2 2 2 2 3 2 3" xfId="15756"/>
    <cellStyle name="20% - 强调文字颜色 3 2 2 3 4" xfId="15757"/>
    <cellStyle name="60% - 强调文字颜色 3 2 10" xfId="15758"/>
    <cellStyle name="计算 2 2 2 2 2 2 2 4 2" xfId="15759"/>
    <cellStyle name="汇总 2 3 5" xfId="15760"/>
    <cellStyle name="好 3 3 2 2 2" xfId="15761"/>
    <cellStyle name="输入 2 2 7 11" xfId="15762"/>
    <cellStyle name="输出 2 13 2" xfId="15763"/>
    <cellStyle name="汇总 2 3 4 4 2 2" xfId="15764"/>
    <cellStyle name="标题 1 4 2 2 3" xfId="15765"/>
    <cellStyle name="60% - 强调文字颜色 3 4 2 3 2 2 2" xfId="15766"/>
    <cellStyle name="常规 2 5 4" xfId="15767"/>
    <cellStyle name="输出 2 6 6" xfId="15768"/>
    <cellStyle name="标题 1 3 5 2 2 2" xfId="15769"/>
    <cellStyle name="强调文字颜色 2 2 2 3 4" xfId="15770"/>
    <cellStyle name="20% - 强调文字颜色 1 4 4" xfId="15771"/>
    <cellStyle name="强调文字颜色 4 2 2 4 3 2 2 2" xfId="15772"/>
    <cellStyle name="输入 2 3 4 5" xfId="15773"/>
    <cellStyle name="汇总 2 6 2 2 8" xfId="15774"/>
    <cellStyle name="标题 3 2 2 3 2 3" xfId="15775"/>
    <cellStyle name="差 3 2 4 3" xfId="15776"/>
    <cellStyle name="计算 4 7 2" xfId="15777"/>
    <cellStyle name="标题 5 3 4 2 2 2" xfId="15778"/>
    <cellStyle name="常规 13 7 2" xfId="15779"/>
    <cellStyle name="20% - 强调文字颜色 6 2 3 6" xfId="15780"/>
    <cellStyle name="20% - 强调文字颜色 3 2 3 2 2 2 3" xfId="15781"/>
    <cellStyle name="强调文字颜色 5 2 3 2 3" xfId="15782"/>
    <cellStyle name="常规 2 2 5 3 2 2" xfId="15783"/>
    <cellStyle name="计算 2 5 3 2 2 2" xfId="15784"/>
    <cellStyle name="输出 2 2 4 6" xfId="15785"/>
    <cellStyle name="注释 2 2 5 5 4" xfId="15786"/>
    <cellStyle name="强调文字颜色 5 2 2 2 2 2 2 2 2 2" xfId="15787"/>
    <cellStyle name="常规 5 8" xfId="15788"/>
    <cellStyle name="汇总 2 2 2 7 2 2" xfId="15789"/>
    <cellStyle name="强调文字颜色 1 3 2 4" xfId="15790"/>
    <cellStyle name="适中 3 2 4" xfId="15791"/>
    <cellStyle name="20% - 强调文字颜色 3 2 2 3 3 2" xfId="15792"/>
    <cellStyle name="输入 2 2 5 2 2 7" xfId="15793"/>
    <cellStyle name="计算 2 2 4 3 2 5 2" xfId="15794"/>
    <cellStyle name="输出 2 3 2 2 3 3" xfId="15795"/>
    <cellStyle name="汇总 2 2 4 2 2 2 2 2" xfId="15796"/>
    <cellStyle name="20% - 强调文字颜色 1 2 2 2 2 3 2 2 2" xfId="15797"/>
    <cellStyle name="输入 2 2 3 2 2" xfId="15798"/>
    <cellStyle name="常规 4 2 3" xfId="15799"/>
    <cellStyle name="40% - 强调文字颜色 4 2 4 4 2 2" xfId="15800"/>
    <cellStyle name="好 2 3 4 3 2" xfId="15801"/>
    <cellStyle name="输入 2 5 4 5" xfId="15802"/>
    <cellStyle name="标题 3 2 2 5 2 3" xfId="15803"/>
    <cellStyle name="标题 1 3 3 3 2" xfId="15804"/>
    <cellStyle name="60% - 强调文字颜色 6 2 3 6 2 3" xfId="15805"/>
    <cellStyle name="输出 2 2 4 3 5 2 2" xfId="15806"/>
    <cellStyle name="常规 4 3 4 2 2 2" xfId="15807"/>
    <cellStyle name="40% - 强调文字颜色 6 2 2 2 2 2 2" xfId="15808"/>
    <cellStyle name="20% - 强调文字颜色 6 2 3 2 4 2" xfId="15809"/>
    <cellStyle name="20% - 强调文字颜色 6 4 4 2" xfId="15810"/>
    <cellStyle name="60% - 强调文字颜色 6 2 3 9" xfId="15811"/>
    <cellStyle name="强调文字颜色 6 2 2 2 4 2 2" xfId="15812"/>
    <cellStyle name="计算 2 2 9 3 2 2 2" xfId="15813"/>
    <cellStyle name="40% - 强调文字颜色 5 2 2 3 4 3" xfId="15814"/>
    <cellStyle name="输入 2 2 4 2 8" xfId="15815"/>
    <cellStyle name="60% - 强调文字颜色 4 2 2 2 3 3 2" xfId="15816"/>
    <cellStyle name="计算 2 7 3 5 2" xfId="15817"/>
    <cellStyle name="汇总 2 2 4 4 5" xfId="15818"/>
    <cellStyle name="60% - 强调文字颜色 2 2 3 5 2 2 2" xfId="15819"/>
    <cellStyle name="60% - 强调文字颜色 3 2 7 2 2 2" xfId="15820"/>
    <cellStyle name="输入 2 5 5 4 3" xfId="15821"/>
    <cellStyle name="强调文字颜色 3 2 4 4 3" xfId="15822"/>
    <cellStyle name="输出 2 2 3 2 7 2 2" xfId="15823"/>
    <cellStyle name="计算 2 3 3 3 4 2" xfId="15824"/>
    <cellStyle name="60% - 强调文字颜色 1 3 2 2 2 2 2 2" xfId="15825"/>
    <cellStyle name="百分比 2 2 2 3 2 3" xfId="15826"/>
    <cellStyle name="汇总 2 2 6 2 2 4" xfId="15827"/>
    <cellStyle name="常规 5 3 2 2 3 3 2" xfId="15828"/>
    <cellStyle name="汇总 2 2 3 2 2 2 5" xfId="15829"/>
    <cellStyle name="常规 4 2 11" xfId="15830"/>
    <cellStyle name="适中 2 4 3 3 2" xfId="15831"/>
    <cellStyle name="标题 5 4 2 2 2 3" xfId="15832"/>
    <cellStyle name="计算 2 2 5 2 4" xfId="15833"/>
    <cellStyle name="20% - 强调文字颜色 2 2 2 4 2 2 2 2" xfId="15834"/>
    <cellStyle name="差 2 4 3 2 2" xfId="15835"/>
    <cellStyle name="汇总 2 4 2 2 3" xfId="15836"/>
    <cellStyle name="汇总 2 6 2 3 7" xfId="15837"/>
    <cellStyle name="汇总 2 5 2 4 3 2 2" xfId="15838"/>
    <cellStyle name="差 3 2 5 2" xfId="15839"/>
    <cellStyle name="标题 3 2 2 3 3 2" xfId="15840"/>
    <cellStyle name="汇总 3 2 2" xfId="15841"/>
    <cellStyle name="计算 2 5 2 17" xfId="15842"/>
    <cellStyle name="好 2 2 6 3 2 2" xfId="15843"/>
    <cellStyle name="标题 3 2 2 2 2 2 2 3" xfId="15844"/>
    <cellStyle name="60% - 强调文字颜色 3 2 3 2 3 3" xfId="15845"/>
    <cellStyle name="计算 2 3 3 6 3" xfId="15846"/>
    <cellStyle name="输入 2 2 4 4 2 3" xfId="15847"/>
    <cellStyle name="警告文本 2 2 2 2 5 3" xfId="15848"/>
    <cellStyle name="输出 2 4 3 2 3" xfId="15849"/>
    <cellStyle name="常规 9 3 3 4" xfId="15850"/>
    <cellStyle name="计算 2 7 2 6" xfId="15851"/>
    <cellStyle name="输入 2 2 8 3 2" xfId="15852"/>
    <cellStyle name="60% - 强调文字颜色 2 3 4 2 2 2" xfId="15853"/>
    <cellStyle name="60% - 强调文字颜色 4 3 4 2 2" xfId="15854"/>
    <cellStyle name="超链接 2 3 3 4" xfId="15855"/>
    <cellStyle name="标题 3 2 2 4 2 2 2 2" xfId="15856"/>
    <cellStyle name="汇总 2 4 3 5 2" xfId="15857"/>
    <cellStyle name="输入 2 4 4 4 2 2" xfId="15858"/>
    <cellStyle name="常规 5 2 7" xfId="15859"/>
    <cellStyle name="计算 2 2 2 2 2 2 4 2 2" xfId="15860"/>
    <cellStyle name="汇总 2 2 5 2 5 3" xfId="15861"/>
    <cellStyle name="注释 2 2 2 3 2 4" xfId="15862"/>
    <cellStyle name="标题 3 2 2 4 2 2 2" xfId="15863"/>
    <cellStyle name="输入 2 4 4 4 2" xfId="15864"/>
    <cellStyle name="汇总 2 4 3 5" xfId="15865"/>
    <cellStyle name="60% - 强调文字颜色 2 2 2 2 4 3 2" xfId="15866"/>
    <cellStyle name="注释 2 2 4 2 2 5" xfId="15867"/>
    <cellStyle name="输出 2 2 3 3 2 2 2 2" xfId="15868"/>
    <cellStyle name="计算 2 2 7 5 4" xfId="15869"/>
    <cellStyle name="标题 3 3 3 4" xfId="15870"/>
    <cellStyle name="注释 2 8 6" xfId="15871"/>
    <cellStyle name="计算 2 2 6 8 2 2" xfId="15872"/>
    <cellStyle name="标题 3 2 6 2 2" xfId="15873"/>
    <cellStyle name="20% - 强调文字颜色 3 2 2 4 3 2" xfId="15874"/>
    <cellStyle name="适中 4 2 4" xfId="15875"/>
    <cellStyle name="计算 2 4 7" xfId="15876"/>
    <cellStyle name="汇总 2 4 3 5 3" xfId="15877"/>
    <cellStyle name="标题 5 6 2 2 3" xfId="15878"/>
    <cellStyle name="20% - 强调文字颜色 4 2 3 2 4" xfId="15879"/>
    <cellStyle name="检查单元格 2 2 2 2 2 2 3" xfId="15880"/>
    <cellStyle name="计算 3 3 4 2" xfId="15881"/>
    <cellStyle name="40% - 强调文字颜色 4 4 2 2" xfId="15882"/>
    <cellStyle name="计算 2 2 3 2 11" xfId="15883"/>
    <cellStyle name="说明文本" xfId="15884"/>
    <cellStyle name="强调文字颜色 5 2 2 6 3 2" xfId="15885"/>
    <cellStyle name="计算 2 2 4 5" xfId="15886"/>
    <cellStyle name="60% - 强调文字颜色 3 2 2 3 2" xfId="15887"/>
    <cellStyle name="60% - 强调文字颜色 5 2 2 4 2" xfId="15888"/>
    <cellStyle name="输入 2 2 9 2 4" xfId="15889"/>
    <cellStyle name="40% - 强调文字颜色 5 2 4 3 2 2 2" xfId="15890"/>
    <cellStyle name="40% - 强调文字颜色 6 2 6 3 2" xfId="15891"/>
    <cellStyle name="标题 1 2 2 4 3 2" xfId="15892"/>
    <cellStyle name="汇总 2 8 3 3 3" xfId="15893"/>
    <cellStyle name="40% - 强调文字颜色 3 2 2 2 3 3 2" xfId="15894"/>
    <cellStyle name="汇总 2 2 5 2 7 2 2" xfId="15895"/>
    <cellStyle name="20% - 强调文字颜色 1 2 2 4 3" xfId="15896"/>
    <cellStyle name="40% - 强调文字颜色 3 2 5 3 3 2" xfId="15897"/>
    <cellStyle name="60% - 强调文字颜色 3 2 8 2" xfId="15898"/>
    <cellStyle name="60% - 强调文字颜色 2 2 3 6 2" xfId="15899"/>
    <cellStyle name="汇总 2 3 2 2 2 4 3" xfId="15900"/>
    <cellStyle name="标题 3 2 2 3 3 2 3" xfId="15901"/>
    <cellStyle name="强调文字颜色 4 2 2 3 4 2" xfId="15902"/>
    <cellStyle name="常规 5 4 3 2 4" xfId="15903"/>
    <cellStyle name="标题 1 2 6 2" xfId="15904"/>
    <cellStyle name="60% - 强调文字颜色 3 5" xfId="15905"/>
    <cellStyle name="强调文字颜色 3 2 3 4 2 2" xfId="15906"/>
    <cellStyle name="强调文字颜色 2 2 2 4 2 4" xfId="15907"/>
    <cellStyle name="解释性文本 2 2 2 2 3 3 2" xfId="15908"/>
    <cellStyle name="汇总 2 5 5 2 5 2" xfId="15909"/>
    <cellStyle name="注释 2 5 2 3 2 3" xfId="15910"/>
    <cellStyle name="超链接 2 2 3 2 2" xfId="15911"/>
    <cellStyle name="计算 5 5" xfId="15912"/>
    <cellStyle name="输出 2 3 3 3 2" xfId="15913"/>
    <cellStyle name="40% - 强调文字颜色 2 2 2 2 2 4 3 2" xfId="15914"/>
    <cellStyle name="常规 8 3 4 3" xfId="15915"/>
    <cellStyle name="注释 2 6 3 2 2" xfId="15916"/>
    <cellStyle name="输入 2 2 4 2 2 2 5 2" xfId="15917"/>
    <cellStyle name="标题 2 3 3 2 2 2" xfId="15918"/>
    <cellStyle name="20% - 强调文字颜色 1 2 2 4 2 2" xfId="15919"/>
    <cellStyle name="计算 2 2 4 3 5 3" xfId="15920"/>
    <cellStyle name="60% - 强调文字颜色 2 3 2 3" xfId="15921"/>
    <cellStyle name="输入 2 3 3 2 2 2 2" xfId="15922"/>
    <cellStyle name="20% - 强调文字颜色 5 2 2 4 2 2 2" xfId="15923"/>
    <cellStyle name="标题 2 3 2 2" xfId="15924"/>
    <cellStyle name="注释 2 5 3" xfId="15925"/>
    <cellStyle name="20% - 强调文字颜色 4 2 3 4 2" xfId="15926"/>
    <cellStyle name="60% - 强调文字颜色 2 2 2 2 2 3 2 2 2" xfId="15927"/>
    <cellStyle name="标题 4 3 2 2 5" xfId="15928"/>
    <cellStyle name="20% - 强调文字颜色 6 2 2 4 2 2" xfId="15929"/>
    <cellStyle name="汇总 2 2 5 5 3 2 2" xfId="15930"/>
    <cellStyle name="20% - 强调文字颜色 5 6 2 2" xfId="15931"/>
    <cellStyle name="标题 5 2 2 2 3 3 2 2" xfId="15932"/>
    <cellStyle name="注释 3 2 7 2" xfId="15933"/>
    <cellStyle name="常规 5 3 3 3 4" xfId="15934"/>
    <cellStyle name="60% - 强调文字颜色 5 3 2 4" xfId="15935"/>
    <cellStyle name="计算 2 5 4 2 2 3" xfId="15936"/>
    <cellStyle name="常规 4 4 2 4 2 2" xfId="15937"/>
    <cellStyle name="注释 2 5 2 2 3 3" xfId="15938"/>
    <cellStyle name="超链接 2 2 2 3 2" xfId="15939"/>
    <cellStyle name="20% - 强调文字颜色 4 2 3 4 3" xfId="15940"/>
    <cellStyle name="汇总 2 2 2 7 3" xfId="15941"/>
    <cellStyle name="60% - 强调文字颜色 4 2 3 2 2 3 2" xfId="15942"/>
    <cellStyle name="60% - 强调文字颜色 1 5 2 2" xfId="15943"/>
    <cellStyle name="60% - 强调文字颜色 3 2 2 2 2 5 2" xfId="15944"/>
    <cellStyle name="标题 5 2 2 2 3 3 3" xfId="15945"/>
    <cellStyle name="注释 3 2 8" xfId="15946"/>
    <cellStyle name="汇总 2 2 4 2 8" xfId="15947"/>
    <cellStyle name="60% - 强调文字颜色 4 2 2 3 2 2 2 2" xfId="15948"/>
    <cellStyle name="注释 2 2 2 13" xfId="15949"/>
    <cellStyle name="标题 5 2 2 3 2 2 2 3" xfId="15950"/>
    <cellStyle name="计算 2 5 3 2 8" xfId="15951"/>
    <cellStyle name="计算 2 2 8 5 2 2 2" xfId="15952"/>
    <cellStyle name="标题 3 4 3 2 2 2" xfId="15953"/>
    <cellStyle name="标题 2 2 3 2 3 3 3" xfId="15954"/>
    <cellStyle name="汇总 2 5 3 3 2" xfId="15955"/>
    <cellStyle name="Normal 6 2" xfId="15956"/>
    <cellStyle name="注释 2 2 3 2 3 8" xfId="15957"/>
    <cellStyle name="百分比 2 5 2 2 3" xfId="15958"/>
    <cellStyle name="标题 4 3 2 2 2 2 2 2" xfId="15959"/>
    <cellStyle name="标题 4 2 2 2 3 2 2 3" xfId="15960"/>
    <cellStyle name="20% - 强调文字颜色 4 3 2 5" xfId="15961"/>
    <cellStyle name="百分比 2 3 6" xfId="15962"/>
    <cellStyle name="注释 2 2 3 3 8" xfId="15963"/>
    <cellStyle name="标题 5 3 2 2 3 2" xfId="15964"/>
    <cellStyle name="40% - 强调文字颜色 5 2 8 2" xfId="15965"/>
    <cellStyle name="常规 12 2 2 3 3 3" xfId="15966"/>
    <cellStyle name="20% - 强调文字颜色 3 3 9" xfId="15967"/>
    <cellStyle name="计算 2 2 3 3 2 8" xfId="15968"/>
    <cellStyle name="60% - 强调文字颜色 1 2" xfId="15969"/>
    <cellStyle name="计算 2 2 3 3 3 4" xfId="15970"/>
    <cellStyle name="20% - 强调文字颜色 3 4 5" xfId="15971"/>
    <cellStyle name="标题 3 2 2 3 3 2 2" xfId="15972"/>
    <cellStyle name="60% - 强调文字颜色 4 3 4 2 2 2" xfId="15973"/>
    <cellStyle name="超链接 2 3 3 4 2" xfId="15974"/>
    <cellStyle name="60% - 强调文字颜色 4 2 3 2 5 2 2" xfId="15975"/>
    <cellStyle name="汇总 2 5 2 4 2 7" xfId="15976"/>
    <cellStyle name="标题 3 2 2 2 8" xfId="15977"/>
    <cellStyle name="计算 3 9 2 2" xfId="15978"/>
    <cellStyle name="60% - 强调文字颜色 3 3 2 2 3 2 2 2" xfId="15979"/>
    <cellStyle name="常规 3 5 2 2" xfId="15980"/>
    <cellStyle name="计算 2 2 7 4 3 2" xfId="15981"/>
    <cellStyle name="标题 3 3 2 3 2" xfId="15982"/>
    <cellStyle name="20% - 强调文字颜色 5 2 7 2 2" xfId="15983"/>
    <cellStyle name="汇总 2 6 9 2 2" xfId="15984"/>
    <cellStyle name="常规 18 2" xfId="15985"/>
    <cellStyle name="20% - 强调文字颜色 6 2 2 2 3 3" xfId="15986"/>
    <cellStyle name="常规 11 3 2 2 2" xfId="15987"/>
    <cellStyle name="40% - 强调文字颜色 5 2 3 5 2 2" xfId="15988"/>
    <cellStyle name="汇总 2 5 4 3 3" xfId="15989"/>
    <cellStyle name="链接单元格 2 2 5 3 3" xfId="15990"/>
    <cellStyle name="强调文字颜色 4 2 3 2 2 2 2 3" xfId="15991"/>
    <cellStyle name="计算 2 5 2 2 2 2 3 3" xfId="15992"/>
    <cellStyle name="40% - 强调文字颜色 4 2 3 2 2 3 2 2 2" xfId="15993"/>
    <cellStyle name="计算 2 5 2 6 4" xfId="15994"/>
    <cellStyle name="输入 2 2 6 3 2 4" xfId="15995"/>
    <cellStyle name="20% - 强调文字颜色 1 2 2 3 2 2" xfId="15996"/>
    <cellStyle name="常规 9 7 2 2" xfId="15997"/>
    <cellStyle name="注释 2 7 5 2" xfId="15998"/>
    <cellStyle name="强调文字颜色 4 2 2 5 3 3" xfId="15999"/>
    <cellStyle name="输入 2 2 4 2 2 4 2 2" xfId="16000"/>
    <cellStyle name="标题 2 2 2 2 3 2 2 2 2 2" xfId="16001"/>
    <cellStyle name="标题 3 2 2 5 3 2 2" xfId="16002"/>
    <cellStyle name="60% - 强调文字颜色 4 4 2 3 2 2" xfId="16003"/>
    <cellStyle name="输入 2 5 5 4 2" xfId="16004"/>
    <cellStyle name="超链接 3 3 4 2" xfId="16005"/>
    <cellStyle name="输入 2 7 5 2" xfId="16006"/>
    <cellStyle name="40% - 强调文字颜色 1 2 5 2 2" xfId="16007"/>
    <cellStyle name="强调文字颜色 1 2 2 2 3 2" xfId="16008"/>
    <cellStyle name="20% - 强调文字颜色 3 2 3 4 3 2 2" xfId="16009"/>
    <cellStyle name="计算 2 2 9 5 2 2" xfId="16010"/>
    <cellStyle name="注释 2 2 3 2 2 3 2" xfId="16011"/>
    <cellStyle name="输出 2 4 2 2 2 4 2 2" xfId="16012"/>
    <cellStyle name="输入 2 8 3 4" xfId="16013"/>
    <cellStyle name="标题 5 3 2 6 2" xfId="16014"/>
    <cellStyle name="超链接 3 4 2 4" xfId="16015"/>
    <cellStyle name="60% - 强调文字颜色 6 3 3 3 3" xfId="16016"/>
    <cellStyle name="40% - 强调文字颜色 6 2 4 8" xfId="16017"/>
    <cellStyle name="强调文字颜色 3 2 2 2 2 2 3" xfId="16018"/>
    <cellStyle name="注释 2 2 5 5" xfId="16019"/>
    <cellStyle name="输入 2 6 2 3 5" xfId="16020"/>
    <cellStyle name="标题 1 2 2 2 2 3 3 2 2" xfId="16021"/>
    <cellStyle name="强调文字颜色 4 2 4 7" xfId="16022"/>
    <cellStyle name="计算 2 8 5 2 3" xfId="16023"/>
    <cellStyle name="说明文本 5 2" xfId="16024"/>
    <cellStyle name="计算 2 3 2 2 2 2 2" xfId="16025"/>
    <cellStyle name="输入 2 2 9 4 2" xfId="16026"/>
    <cellStyle name="计算 2 8 3 6" xfId="16027"/>
    <cellStyle name="20% - 强调文字颜色 1 2 2 3 2 2 2" xfId="16028"/>
    <cellStyle name="强调文字颜色 6 2 2 3 2 2" xfId="16029"/>
    <cellStyle name="差 2 2 2 2" xfId="16030"/>
    <cellStyle name="输入 2 2 7 4" xfId="16031"/>
    <cellStyle name="汇总 2 2 4 4 3 2 2 2" xfId="16032"/>
    <cellStyle name="标题 3 2 2 2 5 2" xfId="16033"/>
    <cellStyle name="汇总 2 5 2 4 2 4 2" xfId="16034"/>
    <cellStyle name="计算 2 2 3 2 13" xfId="16035"/>
    <cellStyle name="40% - 强调文字颜色 4 4 2 4" xfId="16036"/>
    <cellStyle name="输入 2 2 4 2 4 4" xfId="16037"/>
    <cellStyle name="汇总 2 7 2 2 6" xfId="16038"/>
    <cellStyle name="输入 3 3 4 3" xfId="16039"/>
    <cellStyle name="标题 6" xfId="16040"/>
    <cellStyle name="汇总 2 12 3" xfId="16041"/>
    <cellStyle name="20% - 强调文字颜色 3 4 3" xfId="16042"/>
    <cellStyle name="计算 2 2 3 3 3 2" xfId="16043"/>
    <cellStyle name="强调文字颜色 2 2 4 3 3" xfId="16044"/>
    <cellStyle name="汇总 2 2 12 2 2 2" xfId="16045"/>
    <cellStyle name="60% - 强调文字颜色 6 3 2 4 3" xfId="16046"/>
    <cellStyle name="注释 2 2 2 3 2 2" xfId="16047"/>
    <cellStyle name="适中 2 3 5 2 2 2" xfId="16048"/>
    <cellStyle name="注释 9 2" xfId="16049"/>
    <cellStyle name="20% - 强调文字颜色 5 4 4" xfId="16050"/>
    <cellStyle name="60% - 强调文字颜色 3 2 2 2 2 3 3" xfId="16051"/>
    <cellStyle name="汇总 2 8 11" xfId="16052"/>
    <cellStyle name="20% - 强调文字颜色 2 3 4 2 2" xfId="16053"/>
    <cellStyle name="计算 2 2 3 2 2 3 2 2" xfId="16054"/>
    <cellStyle name="强调文字颜色 2 2 3 2 4 2 2" xfId="16055"/>
    <cellStyle name="解释性文本 2 4 2" xfId="16056"/>
    <cellStyle name="链接单元格 3 2 2 3 2" xfId="16057"/>
    <cellStyle name="60% - 强调文字颜色 5 4 5" xfId="16058"/>
    <cellStyle name="标题 2 2 3 3 4" xfId="16059"/>
    <cellStyle name="常规 2 2 5 2 2 2" xfId="16060"/>
    <cellStyle name="强调文字颜色 5 2 2 2 3" xfId="16061"/>
    <cellStyle name="解释性文本 2 4 2 2 2 2" xfId="16062"/>
    <cellStyle name="40% - 强调文字颜色 2 2 5 3 2" xfId="16063"/>
    <cellStyle name="强调文字颜色 2 2 5 3 2 2" xfId="16064"/>
    <cellStyle name="20% - 强调文字颜色 4 4 2 2" xfId="16065"/>
    <cellStyle name="标题 1 2 2 3 3 3 2" xfId="16066"/>
    <cellStyle name="汇总 2 2 10 2 6" xfId="16067"/>
    <cellStyle name="强调文字颜色 6 4 4 2" xfId="16068"/>
    <cellStyle name="适中 2 2 6 2 2" xfId="16069"/>
    <cellStyle name="汇总 2 2 2 2 2 5" xfId="16070"/>
    <cellStyle name="计算 2 8 4 2 2" xfId="16071"/>
    <cellStyle name="输出 4 2 5 2 2" xfId="16072"/>
    <cellStyle name="警告文本 3 3 3" xfId="16073"/>
    <cellStyle name="强调文字颜色 3 2 2 2 8" xfId="16074"/>
    <cellStyle name="计算 2 4 9 3" xfId="16075"/>
    <cellStyle name="常规 6 2 3 3 2 2" xfId="16076"/>
    <cellStyle name="常规 5 2 2 3 2 4" xfId="16077"/>
    <cellStyle name="常规 5 5 2 6" xfId="16078"/>
    <cellStyle name="注释 2 2 7 3 2 2 2" xfId="16079"/>
    <cellStyle name="计算 2 5 10 2" xfId="16080"/>
    <cellStyle name="强调文字颜色 2 2 2 7 2 2" xfId="16081"/>
    <cellStyle name="注释 2 2 2 2 2 2 2 3" xfId="16082"/>
    <cellStyle name="60% - 强调文字颜色 3 2 2 2 3 2 2 2 2" xfId="16083"/>
    <cellStyle name="20% - 强调文字颜色 6 3 3 2 2" xfId="16084"/>
    <cellStyle name="输出 2 2 2 3 3 2 2" xfId="16085"/>
    <cellStyle name="标题 6 5 3" xfId="16086"/>
    <cellStyle name="计算 2 7 8 2 2" xfId="16087"/>
    <cellStyle name="标题 1 2 7 2 2" xfId="16088"/>
    <cellStyle name="强调文字颜色 4 2 2 3 5 2 2" xfId="16089"/>
    <cellStyle name="链接单元格 2 7 2 2 2" xfId="16090"/>
    <cellStyle name="60% - 强调文字颜色 4 2 3 4 2 2" xfId="16091"/>
    <cellStyle name="计算 2 2 4 4 5 3" xfId="16092"/>
    <cellStyle name="60% - 强调文字颜色 2 4 2 3" xfId="16093"/>
    <cellStyle name="60% - 强调文字颜色 2 3 2" xfId="16094"/>
    <cellStyle name="计算 2 2 4 3 5" xfId="16095"/>
    <cellStyle name="40% - 强调文字颜色 1 2 2 3 3 2" xfId="16096"/>
    <cellStyle name="警告文本 2 2 3 4 2 2 2" xfId="16097"/>
    <cellStyle name="20% - 强调文字颜色 6 2 5 2 2 2 2" xfId="16098"/>
    <cellStyle name="常规 3 3 2 2 4 2 2" xfId="16099"/>
    <cellStyle name="20% - 强调文字颜色 6 2 2 2 7" xfId="16100"/>
    <cellStyle name="60% - 强调文字颜色 5 4 2 2 2" xfId="16101"/>
    <cellStyle name="计算 2 2 9 3 2 3" xfId="16102"/>
    <cellStyle name="汇总 2 5 5 3 2 2" xfId="16103"/>
    <cellStyle name="标题 2 5 2" xfId="16104"/>
    <cellStyle name="20% - 强调文字颜色 5 2 2 4 4 2" xfId="16105"/>
    <cellStyle name="汇总 2 5 4 3 2 2 2" xfId="16106"/>
    <cellStyle name="计算 2 2 8 3 2 3 2" xfId="16107"/>
    <cellStyle name="20% - 强调文字颜色 1 2 2 2 2" xfId="16108"/>
    <cellStyle name="标题 2 2 2 5 4" xfId="16109"/>
    <cellStyle name="汇总 2 3 2 2 2 3" xfId="16110"/>
    <cellStyle name="20% - 强调文字颜色 4 2 2 3 2 2 2 2" xfId="16111"/>
    <cellStyle name="检查单元格 2 2 3" xfId="16112"/>
    <cellStyle name="检查单元格 2 4 10" xfId="16113"/>
    <cellStyle name="计算 2 4 2 2 3 2" xfId="16114"/>
    <cellStyle name="输出 2 2 6 3 3 2" xfId="16115"/>
    <cellStyle name="20% - 强调文字颜色 4 4 3 2 2" xfId="16116"/>
    <cellStyle name="汇总 7 2" xfId="16117"/>
    <cellStyle name="40% - 强调文字颜色 4 2 2 2 2 2 3 3" xfId="16118"/>
    <cellStyle name="输出 2 2 2 2 3 2 2 2" xfId="16119"/>
    <cellStyle name="检查单元格 2 2 2 3" xfId="16120"/>
    <cellStyle name="注释 2 2 6 4 2" xfId="16121"/>
    <cellStyle name="强调文字颜色 1 2 2 3 2" xfId="16122"/>
    <cellStyle name="60% - 强调文字颜色 1 3 4 2 2 2" xfId="16123"/>
    <cellStyle name="输出 2 4 3 2 7" xfId="16124"/>
    <cellStyle name="40% - 强调文字颜色 1 2 3 2 3 3 2" xfId="16125"/>
    <cellStyle name="输入 2 7 4 2" xfId="16126"/>
    <cellStyle name="超链接 3 3 3 2" xfId="16127"/>
    <cellStyle name="强调文字颜色 1 2 2 2 2 2" xfId="16128"/>
    <cellStyle name="20% - 强调文字颜色 1 2 2 3 4 3" xfId="16129"/>
    <cellStyle name="标题 2 5 2 2 2 2" xfId="16130"/>
    <cellStyle name="输出 2 2 3 2 3 5" xfId="16131"/>
    <cellStyle name="超链接 2 2 2 5 2 2" xfId="16132"/>
    <cellStyle name="常规 5 2 5 3 2 2" xfId="16133"/>
    <cellStyle name="注释 2 2 10 4" xfId="16134"/>
    <cellStyle name="60% - 强调文字颜色 6 2 2 2 5 3" xfId="16135"/>
    <cellStyle name="汇总 2 2 4 2 3 3 3" xfId="16136"/>
    <cellStyle name="计算 2 2 10 3 3" xfId="16137"/>
    <cellStyle name="解释性文本 2 2 2 3 7" xfId="16138"/>
    <cellStyle name="注释 2 2 5 2 2 2 2" xfId="16139"/>
    <cellStyle name="超链接 3 5" xfId="16140"/>
    <cellStyle name="计算 2 2 5 2 2 3 4" xfId="16141"/>
    <cellStyle name="标题 5 2 2 4 3 2" xfId="16142"/>
    <cellStyle name="解释性文本 2 4 7" xfId="16143"/>
    <cellStyle name="强调文字颜色 4 2 2 4" xfId="16144"/>
    <cellStyle name="20% - 强调文字颜色 6 2 3 3 2" xfId="16145"/>
    <cellStyle name="汇总 2 2 5 6 2 2" xfId="16146"/>
    <cellStyle name="计算 2 2 8 8 2" xfId="16147"/>
    <cellStyle name="20% - 强调文字颜色 1 2 2 3 3 2" xfId="16148"/>
    <cellStyle name="40% - 强调文字颜色 3 2 5 3 2 2 2" xfId="16149"/>
    <cellStyle name="常规 12 3 2 4" xfId="16150"/>
    <cellStyle name="超链接 2 6 2 2" xfId="16151"/>
    <cellStyle name="汇总 2 6 2 2 2 8" xfId="16152"/>
    <cellStyle name="输入 2 8 3 3 2" xfId="16153"/>
    <cellStyle name="超链接 3 4 2 3 2" xfId="16154"/>
    <cellStyle name="常规 2 3 2 3 2 2 2 2" xfId="16155"/>
    <cellStyle name="汇总 2 5 2 3 4" xfId="16156"/>
    <cellStyle name="20% - 强调文字颜色 3 3 4 2" xfId="16157"/>
    <cellStyle name="60% - 强调文字颜色 1 2 2 4 5 2" xfId="16158"/>
    <cellStyle name="计算 2 2 3 3 2 3 2" xfId="16159"/>
    <cellStyle name="常规 7 2 3 2 3" xfId="16160"/>
    <cellStyle name="强调文字颜色 1 2 3 2 4 4" xfId="16161"/>
    <cellStyle name="计算 2 6 6 3" xfId="16162"/>
    <cellStyle name="好 2 2 4 3 3 2" xfId="16163"/>
    <cellStyle name="40% - 强调文字颜色 2 2 6 3 2" xfId="16164"/>
    <cellStyle name="标题 3 3 2 3 3" xfId="16165"/>
    <cellStyle name="计算 2 2 7 4 3 3" xfId="16166"/>
    <cellStyle name="注释 2 7 5 3" xfId="16167"/>
    <cellStyle name="60% - 强调文字颜色 3 3 3 2 2 2" xfId="16168"/>
    <cellStyle name="输出 2 4 12" xfId="16169"/>
    <cellStyle name="常规 2 2 2 5 2 2" xfId="16170"/>
    <cellStyle name="输出 3 2 2 3" xfId="16171"/>
    <cellStyle name="强调文字颜色 2 2 2" xfId="16172"/>
    <cellStyle name="输入 2 3 2 3 3 2" xfId="16173"/>
    <cellStyle name="解释性文本 2 2 5 3 2 2" xfId="16174"/>
    <cellStyle name="标题 2 2 2 2 3 2 2 2 3" xfId="16175"/>
    <cellStyle name="输入 2 2 4 2 2 4 3" xfId="16176"/>
    <cellStyle name="40% - 强调文字颜色 5 3 2 3 2 2" xfId="16177"/>
    <cellStyle name="输出 2 2 3 5 3" xfId="16178"/>
    <cellStyle name="输出 2 9 2 2 2" xfId="16179"/>
    <cellStyle name="输出 2 2 3 2 5" xfId="16180"/>
    <cellStyle name="输入 2 2 6 3 3 3" xfId="16181"/>
    <cellStyle name="计算 2 5 2 7 3" xfId="16182"/>
    <cellStyle name="计算 3 3 6 2" xfId="16183"/>
    <cellStyle name="标题 2 4 2 2 3" xfId="16184"/>
    <cellStyle name="汇总 2 4 4 4 2 2" xfId="16185"/>
    <cellStyle name="强调文字颜色 2 2 2 2 6" xfId="16186"/>
    <cellStyle name="标题 4 2 7 3" xfId="16187"/>
    <cellStyle name="计算 2 4 14" xfId="16188"/>
    <cellStyle name="20% - 强调文字颜色 1 3 6" xfId="16189"/>
    <cellStyle name="解释性文本 2 7 2 2" xfId="16190"/>
    <cellStyle name="Normal 2 2" xfId="16191"/>
    <cellStyle name="20% - 强调文字颜色 3 2 3 2 2 4" xfId="16192"/>
    <cellStyle name="强调文字颜色 4 3 2 2" xfId="16193"/>
    <cellStyle name="链接单元格 2 2 2 2 4 3 2" xfId="16194"/>
    <cellStyle name="输入 2 5 3 5" xfId="16195"/>
    <cellStyle name="40% - 强调文字颜色 5 3 2 4 2" xfId="16196"/>
    <cellStyle name="标题 7 4 2 3" xfId="16197"/>
    <cellStyle name="检查单元格 2 7 3" xfId="16198"/>
    <cellStyle name="常规 9 2 4 2" xfId="16199"/>
    <cellStyle name="40% - 强调文字颜色 5 3 2 2 3 2 2" xfId="16200"/>
    <cellStyle name="标题 5 2 4 3 2 3" xfId="16201"/>
    <cellStyle name="强调文字颜色 2 2 3 5 2 2" xfId="16202"/>
    <cellStyle name="20% - 强调文字颜色 2 6 2 2" xfId="16203"/>
    <cellStyle name="常规 3 2 4 3 3 2" xfId="16204"/>
    <cellStyle name="计算 2 2 2 2 3 2 2" xfId="16205"/>
    <cellStyle name="输出 2 10 2" xfId="16206"/>
    <cellStyle name="40% - 强调文字颜色 3 2 3 4 3 2 2" xfId="16207"/>
    <cellStyle name="60% - 强调文字颜色 2 3 2 2" xfId="16208"/>
    <cellStyle name="计算 2 2 4 3 5 2" xfId="16209"/>
    <cellStyle name="60% - 强调文字颜色 4 2 2 3 3" xfId="16210"/>
    <cellStyle name="40% - 强调文字颜色 5 2 2 2 2 2 4 2" xfId="16211"/>
    <cellStyle name="标题 1 2 3 7 2" xfId="16212"/>
    <cellStyle name="标题 5 2 6 3 2 2" xfId="16213"/>
    <cellStyle name="汇总 2 2 3 2 4 3 3" xfId="16214"/>
    <cellStyle name="汇总 2 2 6 4 3 2" xfId="16215"/>
    <cellStyle name="20% - 强调文字颜色 2 6 2" xfId="16216"/>
    <cellStyle name="强调文字颜色 2 2 3 5 2" xfId="16217"/>
    <cellStyle name="40% - 强调文字颜色 2 2 3 2 2 3 2" xfId="16218"/>
    <cellStyle name="汇总 2 4 5 2" xfId="16219"/>
    <cellStyle name="常规 10 2 2 2 3 3 2 2" xfId="16220"/>
    <cellStyle name="强调文字颜色 3 2 4 3" xfId="16221"/>
    <cellStyle name="强调文字颜色 5 2 2 5 2 2 2" xfId="16222"/>
    <cellStyle name="60% - 强调文字颜色 6 2 6 3 3" xfId="16223"/>
    <cellStyle name="输出 2 2 3 2 3 2 6" xfId="16224"/>
    <cellStyle name="汇总 2 2 6 3 2" xfId="16225"/>
    <cellStyle name="60% - 强调文字颜色 4 2 2 2 6 2 2 2" xfId="16226"/>
    <cellStyle name="汇总 2 3 3 5" xfId="16227"/>
    <cellStyle name="输入 2 4 3 4 2" xfId="16228"/>
    <cellStyle name="差 3 3 3 2 2" xfId="16229"/>
    <cellStyle name="60% - 强调文字颜色 2 2 2 2 3 3 2" xfId="16230"/>
    <cellStyle name="好 2 2 4 2 2" xfId="16231"/>
    <cellStyle name="40% - 强调文字颜色 6 3 10" xfId="16232"/>
    <cellStyle name="常规 5 2 2 3 3 3 3" xfId="16233"/>
    <cellStyle name="输入 2 2 9" xfId="16234"/>
    <cellStyle name="汇总 2 2 8 2 2 3" xfId="16235"/>
    <cellStyle name="60% - 强调文字颜色 4 2 3 2 4 2 2 2" xfId="16236"/>
    <cellStyle name="60% - 强调文字颜色 4 2 2 3 3 3" xfId="16237"/>
    <cellStyle name="常规 13 3 2" xfId="16238"/>
    <cellStyle name="标题 5 3 4 3 3" xfId="16239"/>
    <cellStyle name="40% - 强调文字颜色 4 2 5 2 2" xfId="16240"/>
    <cellStyle name="输入 2 2 6 3 2" xfId="16241"/>
    <cellStyle name="输出 2 5 3 2 2 2 2" xfId="16242"/>
    <cellStyle name="计算 2 5 2 6" xfId="16243"/>
    <cellStyle name="注释 2 4 2 4 4" xfId="16244"/>
    <cellStyle name="20% - 强调文字颜色 3 2 2 2 5 2 2 2" xfId="16245"/>
    <cellStyle name="适中 2 4 4 2 2" xfId="16246"/>
    <cellStyle name="输入 2 2 2 8 2 2" xfId="16247"/>
    <cellStyle name="注释 2 7 3" xfId="16248"/>
    <cellStyle name="标题 2 3 4 2" xfId="16249"/>
    <cellStyle name="强调文字颜色 4 2 3 4 2 2" xfId="16250"/>
    <cellStyle name="强调文字颜色 3 2 2 4 2 4" xfId="16251"/>
    <cellStyle name="20% - 强调文字颜色 6 2 3 4 2 2 2" xfId="16252"/>
    <cellStyle name="输出 2 3 2 10" xfId="16253"/>
    <cellStyle name="汇总 2 2 6 3 2 3 2 2" xfId="16254"/>
    <cellStyle name="20% - 强调文字颜色 3 5" xfId="16255"/>
    <cellStyle name="强调文字颜色 5 2 2 4 2 2 3" xfId="16256"/>
    <cellStyle name="强调文字颜色 2 2 4 4" xfId="16257"/>
    <cellStyle name="60% - 强调文字颜色 6 4 2 2 2 2 2" xfId="16258"/>
    <cellStyle name="汇总 2 5 4 2 2" xfId="16259"/>
    <cellStyle name="40% - 强调文字颜色 2 2 3 2 3 2 2 2" xfId="16260"/>
    <cellStyle name="标题 2 2 3 2 4 2 3" xfId="16261"/>
    <cellStyle name="常规 3 3 8" xfId="16262"/>
    <cellStyle name="解释性文本 2 3 3 6" xfId="16263"/>
    <cellStyle name="输入 2 2 3 2 2 3 3" xfId="16264"/>
    <cellStyle name="注释 2 9" xfId="16265"/>
    <cellStyle name="输入 2 2 2 3 3 2 2" xfId="16266"/>
    <cellStyle name="40% - 强调文字颜色 4 2 4 5 2" xfId="16267"/>
    <cellStyle name="40% - 强调文字颜色 4 2 2 2 2 2 5 2" xfId="16268"/>
    <cellStyle name="汇总 3 3 2 2" xfId="16269"/>
    <cellStyle name="计算 5 2 2 3" xfId="16270"/>
    <cellStyle name="常规 6 2 2 2 3" xfId="16271"/>
    <cellStyle name="40% - 强调文字颜色 2 3 2 5" xfId="16272"/>
    <cellStyle name="解释性文本 4" xfId="16273"/>
    <cellStyle name="40% - 强调文字颜色 6 2 2 5 3 2" xfId="16274"/>
    <cellStyle name="标题 3 2 2 3 3 3" xfId="16275"/>
    <cellStyle name="汇总 2 6 2 3 8" xfId="16276"/>
    <cellStyle name="汇总 2 2 9 3 2" xfId="16277"/>
    <cellStyle name="注释 4 2 5 3" xfId="16278"/>
    <cellStyle name="计算 2 2 2 2 4" xfId="16279"/>
    <cellStyle name="常规 5 2 2 4 4 3" xfId="16280"/>
    <cellStyle name="汇总 2 4 2 2 2 2 2" xfId="16281"/>
    <cellStyle name="输入 2 8 2 3 3" xfId="16282"/>
    <cellStyle name="输入 2 2 2 2 3 3 2" xfId="16283"/>
    <cellStyle name="差 2 3 5 2 2" xfId="16284"/>
    <cellStyle name="输出 2 2 8 2 3" xfId="16285"/>
    <cellStyle name="汇总 2 2 5 3 3 3 2" xfId="16286"/>
    <cellStyle name="输出 2 3 3 9" xfId="16287"/>
    <cellStyle name="20% - 强调文字颜色 5 2 5 3 2" xfId="16288"/>
    <cellStyle name="汇总 2 4 4 5" xfId="16289"/>
    <cellStyle name="标题 3 2 2 4 2 3 2" xfId="16290"/>
    <cellStyle name="输入 2 4 4 5 2" xfId="16291"/>
    <cellStyle name="标题 1 3 2 3 2 2" xfId="16292"/>
    <cellStyle name="计算 2 2 10 2 2" xfId="16293"/>
    <cellStyle name="解释性文本 2 2 2 2 6" xfId="16294"/>
    <cellStyle name="超链接 2 4" xfId="16295"/>
    <cellStyle name="计算 2 2 5 2 2 2 3" xfId="16296"/>
    <cellStyle name="标题 1 3 2 3 2 3" xfId="16297"/>
    <cellStyle name="计算 2 2 3 2 3 3 2 2" xfId="16298"/>
    <cellStyle name="20% - 强调文字颜色 2 4 4 2 2" xfId="16299"/>
    <cellStyle name="汇总 2 2 2 4 2 4 3" xfId="16300"/>
    <cellStyle name="解释性文本 2 2 2 2 2 2 2 2" xfId="16301"/>
    <cellStyle name="20% - 强调文字颜色 5 2 2 2 2 5 2 2" xfId="16302"/>
    <cellStyle name="常规 8 2 5 2 2 2" xfId="16303"/>
    <cellStyle name="超链接 2 2 4 2 2 3" xfId="16304"/>
    <cellStyle name="计算 2 5 3 2 5 2 2" xfId="16305"/>
    <cellStyle name="注释 2 2 2 2 2 5" xfId="16306"/>
    <cellStyle name="标题 5 2 7 2 2" xfId="16307"/>
    <cellStyle name="警告文本 2 4 3 3 2" xfId="16308"/>
    <cellStyle name="20% - 强调文字颜色 1 2 3 3 5" xfId="16309"/>
    <cellStyle name="差 2 2 4 5 3" xfId="16310"/>
    <cellStyle name="计算 2 2 4 2 3 2 6" xfId="16311"/>
    <cellStyle name="输出 2 2 6 2 4" xfId="16312"/>
    <cellStyle name="强调文字颜色 1 2 3 3 3 2" xfId="16313"/>
    <cellStyle name="60% - 强调文字颜色 3 2 2 7" xfId="16314"/>
    <cellStyle name="强调文字颜色 1 2 2 2 2 4 2 2" xfId="16315"/>
    <cellStyle name="常规 5 2 2 4 2 3 3" xfId="16316"/>
    <cellStyle name="好 2 3 3 2 2" xfId="16317"/>
    <cellStyle name="60% - 强调文字颜色 3 2 2" xfId="16318"/>
    <cellStyle name="计算 2 2 5 2 5" xfId="16319"/>
    <cellStyle name="输入 2 5 2 2 2 4 3" xfId="16320"/>
    <cellStyle name="强调文字颜色 6 2 2 3 3 4" xfId="16321"/>
    <cellStyle name="计算 2 7 3 2 3 2 2" xfId="16322"/>
    <cellStyle name="强调文字颜色 4 2 2 6 2 2 2" xfId="16323"/>
    <cellStyle name="计算 2 2 2 3 2 2" xfId="16324"/>
    <cellStyle name="60% - 强调文字颜色 1 2 2 6 3" xfId="16325"/>
    <cellStyle name="强调文字颜色 2 2 4 4 2" xfId="16326"/>
    <cellStyle name="注释 2 3 2 2 2 3 3" xfId="16327"/>
    <cellStyle name="20% - 强调文字颜色 3 5 2" xfId="16328"/>
    <cellStyle name="标题 3 2 3 6 2 2" xfId="16329"/>
    <cellStyle name="标题 7 4" xfId="16330"/>
    <cellStyle name="输出 3 2 3 2 3" xfId="16331"/>
    <cellStyle name="汇总 2 2 7 6" xfId="16332"/>
    <cellStyle name="常规 5 3 2 2 3 3 3" xfId="16333"/>
    <cellStyle name="常规 4 2 12" xfId="16334"/>
    <cellStyle name="注释 2 5 3 3 2" xfId="16335"/>
    <cellStyle name="汇总 2 2 6 2 2 5" xfId="16336"/>
    <cellStyle name="标题 2 3 2 2 3 2" xfId="16337"/>
    <cellStyle name="汇总 2 2 3 2 2 2 6" xfId="16338"/>
    <cellStyle name="40% - 强调文字颜色 1 2 6 2 2 2" xfId="16339"/>
    <cellStyle name="汇总 2 13 2" xfId="16340"/>
    <cellStyle name="40% - 强调文字颜色 4 2 9" xfId="16341"/>
    <cellStyle name="常规 14" xfId="16342"/>
    <cellStyle name="常规 4 2 3 4 2 2" xfId="16343"/>
    <cellStyle name="差 2 3 2 4 4" xfId="16344"/>
    <cellStyle name="常规 7 6 2 2" xfId="16345"/>
    <cellStyle name="好 4 4" xfId="16346"/>
    <cellStyle name="标题 4 2 2 5 3 3" xfId="16347"/>
    <cellStyle name="20% - 强调文字颜色 4 2 2 2 2 2 2 2" xfId="16348"/>
    <cellStyle name="汇总 2 2 2 2 2 3" xfId="16349"/>
    <cellStyle name="输出 2 5 3 2 6" xfId="16350"/>
    <cellStyle name="强调文字颜色 1 2 2 3 9" xfId="16351"/>
    <cellStyle name="注释 3 4 5" xfId="16352"/>
    <cellStyle name="强调文字颜色 1 2 2 2 2 3" xfId="16353"/>
    <cellStyle name="常规 7 3 2 3 2" xfId="16354"/>
    <cellStyle name="20% - 强调文字颜色 4 2 4 4 3 2" xfId="16355"/>
    <cellStyle name="标题 1 2 2 2 5 2 3" xfId="16356"/>
    <cellStyle name="标题 5 2 2 3 3 3" xfId="16357"/>
    <cellStyle name="20% - 强调文字颜色 6 2 7 3 2 2" xfId="16358"/>
    <cellStyle name="警告文本 2 2 2 3 3" xfId="16359"/>
    <cellStyle name="超链接 2 3 3 3 3" xfId="16360"/>
    <cellStyle name="超链接 2 3 3 2 3 2" xfId="16361"/>
    <cellStyle name="标题 2 2 6 3 2" xfId="16362"/>
    <cellStyle name="注释 4 4" xfId="16363"/>
    <cellStyle name="差 6 2 2 2" xfId="16364"/>
    <cellStyle name="汇总 3 5 4" xfId="16365"/>
    <cellStyle name="40% - 强调文字颜色 2 2 3 3 3 2" xfId="16366"/>
    <cellStyle name="汇总 2 5 2 2 2 3 2 2" xfId="16367"/>
    <cellStyle name="计算 2 2 6 2 2 4 2 2" xfId="16368"/>
    <cellStyle name="链接单元格 2 3 2 2 2" xfId="16369"/>
    <cellStyle name="适中 2 2 4 4" xfId="16370"/>
    <cellStyle name="强调文字颜色 6 2 6" xfId="16371"/>
    <cellStyle name="汇总 2 6 2 7 2 2" xfId="16372"/>
    <cellStyle name="标题 4 2 5 2 3" xfId="16373"/>
    <cellStyle name="注释 2 4 5 4 2" xfId="16374"/>
    <cellStyle name="计算 2 8 2 4" xfId="16375"/>
    <cellStyle name="输出 2 2 5 15" xfId="16376"/>
    <cellStyle name="超链接 2 3 3 2 3" xfId="16377"/>
    <cellStyle name="强调文字颜色 5 3 7" xfId="16378"/>
    <cellStyle name="输入 2 2 4 2 3 8" xfId="16379"/>
    <cellStyle name="强调文字颜色 1 2 2 2 2 3 3" xfId="16380"/>
    <cellStyle name="常规 10 4 3 2 2" xfId="16381"/>
    <cellStyle name="汇总 2 2 5 2 2 3 4 2" xfId="16382"/>
    <cellStyle name="输出 2 2 3 5 3 3" xfId="16383"/>
    <cellStyle name="计算 2 2 16" xfId="16384"/>
    <cellStyle name="计算 2 2 21" xfId="16385"/>
    <cellStyle name="20% - 强调文字颜色 1 2 2 2 2 2 3 3 2 2" xfId="16386"/>
    <cellStyle name="标题 3 4 3 2 3" xfId="16387"/>
    <cellStyle name="汇总 2 5 4 5 2 2" xfId="16388"/>
    <cellStyle name="计算 2 2 8 5 2 3" xfId="16389"/>
    <cellStyle name="标题 2 2 6" xfId="16390"/>
    <cellStyle name="计算 2 4 3 2 3 3" xfId="16391"/>
    <cellStyle name="强调文字颜色 4 2 3 3 4" xfId="16392"/>
    <cellStyle name="计算 3 3 3 2 2 2" xfId="16393"/>
    <cellStyle name="常规 4 6 2 3" xfId="16394"/>
    <cellStyle name="60% - 强调文字颜色 6 2 3 3 2 2 2 3" xfId="16395"/>
    <cellStyle name="60% - 强调文字颜色 2 3 2 4 2 2" xfId="16396"/>
    <cellStyle name="常规 10 2 3 6" xfId="16397"/>
    <cellStyle name="汇总 2 10 3 4" xfId="16398"/>
    <cellStyle name="60% - 强调文字颜色 4 2 3 7" xfId="16399"/>
    <cellStyle name="20% - 强调文字颜色 4 3 5 2" xfId="16400"/>
    <cellStyle name="输出 2 2 3 2 2 3" xfId="16401"/>
    <cellStyle name="计算 2 2 3 4 2 4 2" xfId="16402"/>
    <cellStyle name="60% - 强调文字颜色 4 2 2 10" xfId="16403"/>
    <cellStyle name="标题 5 2 2 2 2 4" xfId="16404"/>
    <cellStyle name="20% - 强调文字颜色 3 2 4 4 2 2 2" xfId="16405"/>
    <cellStyle name="检查单元格 2 3 4 2" xfId="16406"/>
    <cellStyle name="无色 2" xfId="16407"/>
    <cellStyle name="标题 6 2 3 2 2 2" xfId="16408"/>
    <cellStyle name="汇总 4 4 4 2" xfId="16409"/>
    <cellStyle name="差 2 3 2 2 2 3" xfId="16410"/>
    <cellStyle name="40% - 强调文字颜色 2 2 3 4 2 2 2" xfId="16411"/>
    <cellStyle name="好 2 2 3" xfId="16412"/>
    <cellStyle name="汇总 2 2 4 2 3 4" xfId="16413"/>
    <cellStyle name="60% - 强调文字颜色 6 2 2 2 6" xfId="16414"/>
    <cellStyle name="40% - 强调文字颜色 1 2 3 3 3 2" xfId="16415"/>
    <cellStyle name="汇总 2 2 7 2 2 2" xfId="16416"/>
    <cellStyle name="汇总 2 2 3 3 2 2 3" xfId="16417"/>
    <cellStyle name="计算 2 2 4 2 10 2 2" xfId="16418"/>
    <cellStyle name="常规 5 4 3 5 2" xfId="16419"/>
    <cellStyle name="强调文字颜色 6 2 3 2 2 2 2 2 2" xfId="16420"/>
    <cellStyle name="强调文字颜色 5 2 2 2 2 4 2 2 2" xfId="16421"/>
    <cellStyle name="汇总 2 2 4 2 2 2 5 3" xfId="16422"/>
    <cellStyle name="60% - 强调文字颜色 1 2 3 2 4 2" xfId="16423"/>
    <cellStyle name="计算 2 6 11" xfId="16424"/>
    <cellStyle name="标题 4 2 4 7" xfId="16425"/>
    <cellStyle name="60% - 强调文字颜色 2 2 4 5 2" xfId="16426"/>
    <cellStyle name="汇总 2 2 6 4 2 2 2" xfId="16427"/>
    <cellStyle name="链接单元格 2 2 2 2 2" xfId="16428"/>
    <cellStyle name="60% - 强调文字颜色 2 2 2 3 5 2 2" xfId="16429"/>
    <cellStyle name="60% - 强调文字颜色 5 5 2 2 2 2" xfId="16430"/>
    <cellStyle name="汇总 2 2 4 10 2 2" xfId="16431"/>
    <cellStyle name="标题 4 2 3 6 2 3" xfId="16432"/>
    <cellStyle name="适中 2 4 4 2 2 2" xfId="16433"/>
    <cellStyle name="检查单元格 2 4 3 2 2 2" xfId="16434"/>
    <cellStyle name="60% - 强调文字颜色 4 2 3 2" xfId="16435"/>
    <cellStyle name="计算 2 2 6 2 6 2" xfId="16436"/>
    <cellStyle name="标题 2 2 4 5 2 2" xfId="16437"/>
    <cellStyle name="计算 3 2 2 3 2 2 2" xfId="16438"/>
    <cellStyle name="输入 4 6 2 2" xfId="16439"/>
    <cellStyle name="40% - 强调文字颜色 4 2 3 5 2 2 2" xfId="16440"/>
    <cellStyle name="60% - 强调文字颜色 6 2 2 3 2 2 3" xfId="16441"/>
    <cellStyle name="常规 6 2 3 2" xfId="16442"/>
    <cellStyle name="60% - 强调文字颜色 6 3 2 2 2 2 3" xfId="16443"/>
    <cellStyle name="常规 13 4 3 3 3" xfId="16444"/>
    <cellStyle name="常规 5 2 2 2 6 3" xfId="16445"/>
    <cellStyle name="20% - 强调文字颜色 6 4 2 3" xfId="16446"/>
    <cellStyle name="汇总 2 2 7 5 2" xfId="16447"/>
    <cellStyle name="20% - 强调文字颜色 5 2 2 2 2 5" xfId="16448"/>
    <cellStyle name="输出 2 2 4 2 4 2 2" xfId="16449"/>
    <cellStyle name="20% - 强调文字颜色 6 2 3 2 2 3" xfId="16450"/>
    <cellStyle name="计算 2 2 4 2 5 6" xfId="16451"/>
    <cellStyle name="注释 2 3 3 2 2 3" xfId="16452"/>
    <cellStyle name="计算 2 8 5 2 2 2" xfId="16453"/>
    <cellStyle name="60% - 强调文字颜色 2 2 2 6" xfId="16454"/>
    <cellStyle name="60% - 强调文字颜色 4 3 4" xfId="16455"/>
    <cellStyle name="计算 2 2 4 3 7 2" xfId="16456"/>
    <cellStyle name="60% - 强调文字颜色 2 3 4 2" xfId="16457"/>
    <cellStyle name="计算 2 2 6 3 7" xfId="16458"/>
    <cellStyle name="计算 2 2 2 2 3 4 2" xfId="16459"/>
    <cellStyle name="标题 2 2 4 5 2" xfId="16460"/>
    <cellStyle name="标题 2 2 2 6" xfId="16461"/>
    <cellStyle name="40% - 强调文字颜色 6 2 5 2 2 2 2" xfId="16462"/>
    <cellStyle name="标题 4 3 3 3" xfId="16463"/>
    <cellStyle name="强调文字颜色 4 2 6 4" xfId="16464"/>
    <cellStyle name="标题 5 2 4 2 3 2" xfId="16465"/>
    <cellStyle name="标题 3 2 2 2 3 6" xfId="16466"/>
    <cellStyle name="输入 2 2 5 8" xfId="16467"/>
    <cellStyle name="60% - 强调文字颜色 4 2 2 2 3 2 2 2" xfId="16468"/>
    <cellStyle name="40% - 强调文字颜色 3 2 2 2 2 3 3 2" xfId="16469"/>
    <cellStyle name="差 2 11" xfId="16470"/>
    <cellStyle name="标题 3 3 4 3" xfId="16471"/>
    <cellStyle name="强调文字颜色 4 2 4 4 2 3" xfId="16472"/>
    <cellStyle name="计算 2 2 7 6 3" xfId="16473"/>
    <cellStyle name="输入 2 8 6 2 2" xfId="16474"/>
    <cellStyle name="输出 2 3 2 2 6" xfId="16475"/>
    <cellStyle name="差 2 2 4 3 2 2 2" xfId="16476"/>
    <cellStyle name="60% - 强调文字颜色 4 2 5 3 2 2" xfId="16477"/>
    <cellStyle name="强调文字颜色 1 2 2 2 2 2 2 2 3" xfId="16478"/>
    <cellStyle name="计算 2 5 3 9" xfId="16479"/>
    <cellStyle name="输入 2 2 6 4 5" xfId="16480"/>
    <cellStyle name="标题 2 2 3 8" xfId="16481"/>
    <cellStyle name="汇总 5 2 3" xfId="16482"/>
    <cellStyle name="20% - 强调文字颜色 3 2 2 2 2 2 2 2 2 2 2" xfId="16483"/>
    <cellStyle name="60% - 强调文字颜色 4 2 2 4 3 2 2" xfId="16484"/>
    <cellStyle name="强调文字颜色 5 2 4 2 2 2 2" xfId="16485"/>
    <cellStyle name="说明文本 2 3 2 2" xfId="16486"/>
    <cellStyle name="汇总 2 2 3 3 3 2 2" xfId="16487"/>
    <cellStyle name="输入 2 2 2 3 2 3" xfId="16488"/>
    <cellStyle name="40% - 强调文字颜色 5 2 3 2 2 3 3 2" xfId="16489"/>
    <cellStyle name="常规 5 2 2 4" xfId="16490"/>
    <cellStyle name="60% - 强调文字颜色 1 2 2 3 5 2 2" xfId="16491"/>
    <cellStyle name="20% - 强调文字颜色 3 2 4 2 2" xfId="16492"/>
    <cellStyle name="常规 7 2 2 2 3 2" xfId="16493"/>
    <cellStyle name="输出 2 6 2 5 3" xfId="16494"/>
    <cellStyle name="汇总 2 2 8 7 3" xfId="16495"/>
    <cellStyle name="标题 2 2 2 2 2 2 2 3" xfId="16496"/>
    <cellStyle name="输入 2 2 3 2 2 5" xfId="16497"/>
    <cellStyle name="输入 5 3" xfId="16498"/>
    <cellStyle name="60% - 强调文字颜色 4 2 2 2 4" xfId="16499"/>
    <cellStyle name="解释性文本 2 6 3 2" xfId="16500"/>
    <cellStyle name="输出 2 7 2 4" xfId="16501"/>
    <cellStyle name="输入 2 2 4 3 2 3 2 2" xfId="16502"/>
    <cellStyle name="40% - 强调文字颜色 6 2 5 3 3" xfId="16503"/>
    <cellStyle name="链接单元格 2 2 3 3 2" xfId="16504"/>
    <cellStyle name="常规 5 2 5 2 2 2" xfId="16505"/>
    <cellStyle name="20% - 强调文字颜色 5 2 4 4 2" xfId="16506"/>
    <cellStyle name="60% - 强调文字颜色 3 4 2 4" xfId="16507"/>
    <cellStyle name="标题 2 2 3 5" xfId="16508"/>
    <cellStyle name="计算 2 3 2 4 2 2" xfId="16509"/>
    <cellStyle name="汇总 2 4 3 6" xfId="16510"/>
    <cellStyle name="标题 3 2 2 4 2 2 3" xfId="16511"/>
    <cellStyle name="输入 2 4 4 4 3" xfId="16512"/>
    <cellStyle name="标题 5 6 3 2 2" xfId="16513"/>
    <cellStyle name="汇总 2 2 8 2 5 2 2" xfId="16514"/>
    <cellStyle name="标题 4 6" xfId="16515"/>
    <cellStyle name="60% - 强调文字颜色 3 2 2 3 3 2" xfId="16516"/>
    <cellStyle name="计算 2 2 4 6 2" xfId="16517"/>
    <cellStyle name="输入 2 2 3 5 2 2" xfId="16518"/>
    <cellStyle name="20% - 强调文字颜色 1 2 2 6" xfId="16519"/>
    <cellStyle name="输入 2 5 2 2 2 2 2 2 2" xfId="16520"/>
    <cellStyle name="标题 2 2 3 4 3" xfId="16521"/>
    <cellStyle name="输入 3 2 3 2 2" xfId="16522"/>
    <cellStyle name="40% - 强调文字颜色 1 2 2 5" xfId="16523"/>
    <cellStyle name="40% - 强调文字颜色 2 6 2" xfId="16524"/>
    <cellStyle name="常规 4 2 6 3 2" xfId="16525"/>
    <cellStyle name="60% - 强调文字颜色 4 2 3 6" xfId="16526"/>
    <cellStyle name="常规 10 2 2 5 2" xfId="16527"/>
    <cellStyle name="汇总 2 10 3 3" xfId="16528"/>
    <cellStyle name="汇总 2 2 2 2 3 2" xfId="16529"/>
    <cellStyle name="汇总 2 8 3 2 6" xfId="16530"/>
    <cellStyle name="标题 2 2 3 4 2 3" xfId="16531"/>
    <cellStyle name="常规 5 2 3" xfId="16532"/>
    <cellStyle name="40% - 强调文字颜色 4 2 4 5 2 2" xfId="16533"/>
    <cellStyle name="输入 2 2 4 2 2" xfId="16534"/>
    <cellStyle name="输出 2 2 3 2 3 2" xfId="16535"/>
    <cellStyle name="汇总 3 15" xfId="16536"/>
    <cellStyle name="强调文字颜色 3 2 2 3 3" xfId="16537"/>
    <cellStyle name="标题 1 3 10" xfId="16538"/>
    <cellStyle name="20% - 强调文字颜色 5 2 2 4 3 2 2 2" xfId="16539"/>
    <cellStyle name="标题 2 4 2 2 2" xfId="16540"/>
    <cellStyle name="计算 2 7 6 2 2 2" xfId="16541"/>
    <cellStyle name="注释 2 2 4 2 2 3" xfId="16542"/>
    <cellStyle name="常规 14 5" xfId="16543"/>
    <cellStyle name="标题 5 2 6 3 2" xfId="16544"/>
    <cellStyle name="标题 2 2 3 3 2 2 2" xfId="16545"/>
    <cellStyle name="计算 2 2 5 2 2 5 2 2" xfId="16546"/>
    <cellStyle name="汇总 2 5 9 2" xfId="16547"/>
    <cellStyle name="常规 11 2 2 2" xfId="16548"/>
    <cellStyle name="常规 6 2 5 3 2 2" xfId="16549"/>
    <cellStyle name="输入 2 6 9" xfId="16550"/>
    <cellStyle name="40% - 强调文字颜色 4 2 6 2 2 2" xfId="16551"/>
    <cellStyle name="标题 4 2 2 6 3 2 2" xfId="16552"/>
    <cellStyle name="40% - 强调文字颜色 2 3 2" xfId="16553"/>
    <cellStyle name="输入 2 2 4 2 3 2 6" xfId="16554"/>
    <cellStyle name="注释 2 7 3 3" xfId="16555"/>
    <cellStyle name="汇总 2 4 3 6 2 2" xfId="16556"/>
    <cellStyle name="标题 2 3 4 2 3" xfId="16557"/>
    <cellStyle name="常规 7 2 2 2 2" xfId="16558"/>
    <cellStyle name="计算 2 5 6 2" xfId="16559"/>
    <cellStyle name="常规 3 3 3 2 2" xfId="16560"/>
    <cellStyle name="注释 8 2 2" xfId="16561"/>
    <cellStyle name="40% - 强调文字颜色 6 2 3 3 2 2" xfId="16562"/>
    <cellStyle name="常规 10 3 2 2 3 2" xfId="16563"/>
    <cellStyle name="标题 3 2 4 4 3" xfId="16564"/>
    <cellStyle name="20% - 强调文字颜色 4 2 2 2 2 2 4" xfId="16565"/>
    <cellStyle name="汇总 2 5 2 6 4 2" xfId="16566"/>
    <cellStyle name="强调文字颜色 2 3 2 5" xfId="16567"/>
    <cellStyle name="汇总 2 2 3 3 3 4" xfId="16568"/>
    <cellStyle name="输入 2 2 4 2 2 2 4 2 2" xfId="16569"/>
    <cellStyle name="汇总 2 2 2 2 2 6 3" xfId="16570"/>
    <cellStyle name="输入 4 2 4 2 2" xfId="16571"/>
    <cellStyle name="标题 1 2 2 2 2 4 2" xfId="16572"/>
    <cellStyle name="标题 2 2 3 2 2 2 2" xfId="16573"/>
    <cellStyle name="输出 2 2 3 6 2" xfId="16574"/>
    <cellStyle name="输出 2 7 3 4" xfId="16575"/>
    <cellStyle name="20% - 强调文字颜色 4 2 2 4 3 3" xfId="16576"/>
    <cellStyle name="常规 5 3" xfId="16577"/>
    <cellStyle name="差 2 2 2 2 4 2" xfId="16578"/>
    <cellStyle name="汇总 2 2 6 5 7" xfId="16579"/>
    <cellStyle name="强调文字颜色 4 2 2 2 7" xfId="16580"/>
    <cellStyle name="输入 2 2 4 5 2 2 2 2" xfId="16581"/>
    <cellStyle name="20% - 强调文字颜色 2 2 2 6 2 2" xfId="16582"/>
    <cellStyle name="强调文字颜色 3 2 2 2 4 3 3" xfId="16583"/>
    <cellStyle name="20% - 强调文字颜色 5 2 2 4 4" xfId="16584"/>
    <cellStyle name="标题 2 5" xfId="16585"/>
    <cellStyle name="20% - 强调文字颜色 6 3 2 2 2 2 2 2" xfId="16586"/>
    <cellStyle name="20% - 强调文字颜色 3 6 2" xfId="16587"/>
    <cellStyle name="强调文字颜色 2 2 4 5 2" xfId="16588"/>
    <cellStyle name="标题 2 2 2 5 2" xfId="16589"/>
    <cellStyle name="常规 2 2 2 3 4" xfId="16590"/>
    <cellStyle name="常规 13 2 2 2 2 5" xfId="16591"/>
    <cellStyle name="汇总 5 2 4" xfId="16592"/>
    <cellStyle name="强调文字颜色 5 2 4 2 2 2 3" xfId="16593"/>
    <cellStyle name="标题 2 2 3 9" xfId="16594"/>
    <cellStyle name="差 2 3 3 2 2 2 3" xfId="16595"/>
    <cellStyle name="超链接 3 3 2" xfId="16596"/>
    <cellStyle name="输入 2 7 3" xfId="16597"/>
    <cellStyle name="计算 2 2 5 2 2 3 2 2" xfId="16598"/>
    <cellStyle name="标题 4 2 3" xfId="16599"/>
    <cellStyle name="60% - 强调文字颜色 3 2 3 5 2" xfId="16600"/>
    <cellStyle name="常规 5 3 2 2 2 4" xfId="16601"/>
    <cellStyle name="常规 6 3 3 2 2 2" xfId="16602"/>
    <cellStyle name="输入 2 6 3 6" xfId="16603"/>
    <cellStyle name="超链接 3 2 2 6" xfId="16604"/>
    <cellStyle name="标题 2 2 2 4 2 3 3" xfId="16605"/>
    <cellStyle name="计算 2 2 4 3 7" xfId="16606"/>
    <cellStyle name="60% - 强调文字颜色 2 3 4" xfId="16607"/>
    <cellStyle name="强调文字颜色 5 2 2 4 4" xfId="16608"/>
    <cellStyle name="常规 10 2 2 2 2 5" xfId="16609"/>
    <cellStyle name="汇总 2 2 8 3 3 2 2" xfId="16610"/>
    <cellStyle name="标题 2 2 2 3 6 2" xfId="16611"/>
    <cellStyle name="常规 4 2 3 3 2 2" xfId="16612"/>
    <cellStyle name="汇总 3 2 10" xfId="16613"/>
    <cellStyle name="强调文字颜色 1 3 10" xfId="16614"/>
    <cellStyle name="20% - 强调文字颜色 3 2 3 2 4 3 2 2" xfId="16615"/>
    <cellStyle name="常规 13 4 3" xfId="16616"/>
    <cellStyle name="输出 2 2 4 2 2 2 6" xfId="16617"/>
    <cellStyle name="常规 2 3 2 4 2 2 2" xfId="16618"/>
    <cellStyle name="20% - 强调文字颜色 6 2 3 2 2 2 2 2 2 2" xfId="16619"/>
    <cellStyle name="20% - 强调文字颜色 1 4 2 2" xfId="16620"/>
    <cellStyle name="强调文字颜色 2 2 2 3 2 2" xfId="16621"/>
    <cellStyle name="输入 2 5 2 4 2 4" xfId="16622"/>
    <cellStyle name="汇总 3 2 2 3 3 2 2" xfId="16623"/>
    <cellStyle name="标题 2 2 2 3 5 3" xfId="16624"/>
    <cellStyle name="汇总 2 2 2 5 3 2" xfId="16625"/>
    <cellStyle name="强调文字颜色 2 2 3 2 3 2 2 2" xfId="16626"/>
    <cellStyle name="汇总 2 2 4 12 2" xfId="16627"/>
    <cellStyle name="20% - 强调文字颜色 2 3 3 2 2 2" xfId="16628"/>
    <cellStyle name="计算 2 2 3 2 2 2 2 2 2" xfId="16629"/>
    <cellStyle name="超链接 3 3 2 3 4" xfId="16630"/>
    <cellStyle name="40% - 强调文字颜色 2 2 4 2 2" xfId="16631"/>
    <cellStyle name="输入 2 2 7 5" xfId="16632"/>
    <cellStyle name="标题 3 2 2 2 5 3" xfId="16633"/>
    <cellStyle name="60% - 强调文字颜色 5 2 2 2 2 3 2 2 2" xfId="16634"/>
    <cellStyle name="60% - 强调文字颜色 4 3 3 4" xfId="16635"/>
    <cellStyle name="汇总 2 5 2 3 6 3" xfId="16636"/>
    <cellStyle name="常规 5 2 3 4 4" xfId="16637"/>
    <cellStyle name="计算 2 2 6 16" xfId="16638"/>
    <cellStyle name="强调文字颜色 5 2 2 2 6" xfId="16639"/>
    <cellStyle name="标题 2 2 2 3 4 4" xfId="16640"/>
    <cellStyle name="汇总 2 2 4 2 2 2 2 3 2" xfId="16641"/>
    <cellStyle name="注释 2 2 5 8" xfId="16642"/>
    <cellStyle name="40% - 强调文字颜色 5 2 2 4 3" xfId="16643"/>
    <cellStyle name="好 2 3 2 4 3" xfId="16644"/>
    <cellStyle name="输出 2 2 4 11" xfId="16645"/>
    <cellStyle name="汇总 3 2 3 4 2 2" xfId="16646"/>
    <cellStyle name="汇总 2 2 2 4 2 4" xfId="16647"/>
    <cellStyle name="汇总 2 9 2 2 3" xfId="16648"/>
    <cellStyle name="标题 1 2 3 3 2 2" xfId="16649"/>
    <cellStyle name="输出 2 6 4 5" xfId="16650"/>
    <cellStyle name="强调文字颜色 5 2 2 2 5" xfId="16651"/>
    <cellStyle name="常规 4 8 4 2" xfId="16652"/>
    <cellStyle name="标题 5 3 3 2 2 2 2" xfId="16653"/>
    <cellStyle name="40% - 强调文字颜色 6 2 7 2 2" xfId="16654"/>
    <cellStyle name="强调文字颜色 6 2 4 4 2 3" xfId="16655"/>
    <cellStyle name="汇总 2 2 2 5 2 2" xfId="16656"/>
    <cellStyle name="输入 2 4 2 3 2 2 2" xfId="16657"/>
    <cellStyle name="标题 2 2 2 3 4 3" xfId="16658"/>
    <cellStyle name="强调文字颜色 1 2 2 3 2 2 2 3" xfId="16659"/>
    <cellStyle name="60% - 强调文字颜色 6 3 2 3 2" xfId="16660"/>
    <cellStyle name="计算 2 4 2 3 3 2 2" xfId="16661"/>
    <cellStyle name="常规 5 7" xfId="16662"/>
    <cellStyle name="输出 2 2 4 2" xfId="16663"/>
    <cellStyle name="输出 3 10 2" xfId="16664"/>
    <cellStyle name="注释 2 2 2 2 2 2 2" xfId="16665"/>
    <cellStyle name="注释 4 6 2 2" xfId="16666"/>
    <cellStyle name="20% - 强调文字颜色 1 2 3 3 2 2" xfId="16667"/>
    <cellStyle name="60% - 强调文字颜色 5 2 3 3 2 2 2 2" xfId="16668"/>
    <cellStyle name="常规 2 4" xfId="16669"/>
    <cellStyle name="60% - 强调文字颜色 4 2 5 3" xfId="16670"/>
    <cellStyle name="差 2 2 4 3 2" xfId="16671"/>
    <cellStyle name="汇总 2 5 2 2 8 2" xfId="16672"/>
    <cellStyle name="常规 5 2 2 6 3" xfId="16673"/>
    <cellStyle name="常规 10 2 3 5" xfId="16674"/>
    <cellStyle name="常规 10 4 3 4" xfId="16675"/>
    <cellStyle name="注释 2 2 3 3 2 3" xfId="16676"/>
    <cellStyle name="汇总 2 2 6 2 5 2" xfId="16677"/>
    <cellStyle name="计算 2 7 5 3 2 2" xfId="16678"/>
    <cellStyle name="汇总 2 2 3 2 2 5 3" xfId="16679"/>
    <cellStyle name="计算 2 3 3 9" xfId="16680"/>
    <cellStyle name="60% - 强调文字颜色 3 2 3 2 6" xfId="16681"/>
    <cellStyle name="标题 3 2 2 2 2 2 5" xfId="16682"/>
    <cellStyle name="输入 2 2 4 4 5" xfId="16683"/>
    <cellStyle name="注释 2 6 5 2" xfId="16684"/>
    <cellStyle name="标题 2 3 3 4 2" xfId="16685"/>
    <cellStyle name="60% - 强调文字颜色 4 2 2 6 2 2 2" xfId="16686"/>
    <cellStyle name="标题 4 2 4 5 3" xfId="16687"/>
    <cellStyle name="输入 2 3 8 2 2" xfId="16688"/>
    <cellStyle name="常规 2 3 4 3 2 2" xfId="16689"/>
    <cellStyle name="计算 2 6 2 2 2 2" xfId="16690"/>
    <cellStyle name="输入 2 2 16 2" xfId="16691"/>
    <cellStyle name="汇总 2 2 5 5 4 2" xfId="16692"/>
    <cellStyle name="20% - 强调文字颜色 6 2 2 5 2" xfId="16693"/>
    <cellStyle name="60% - 强调文字颜色 2 3 2 2 2 2" xfId="16694"/>
    <cellStyle name="计算 2 2 5 3 2 2 3" xfId="16695"/>
    <cellStyle name="计算 2 2 2 2 2" xfId="16696"/>
    <cellStyle name="输入 2 2 8 7 3" xfId="16697"/>
    <cellStyle name="警告文本 2 4 2 3" xfId="16698"/>
    <cellStyle name="标题 5 2 6 2" xfId="16699"/>
    <cellStyle name="输出 2 2 3 3 3 2" xfId="16700"/>
    <cellStyle name="汇总 2 2 4 4 6 3" xfId="16701"/>
    <cellStyle name="计算 2 7 4 3 2 2" xfId="16702"/>
    <cellStyle name="注释 2 2 2 3 2 3" xfId="16703"/>
    <cellStyle name="汇总 2 2 5 2 5 2" xfId="16704"/>
    <cellStyle name="40% - 强调文字颜色 3 2 2 2 4 3 2 2" xfId="16705"/>
    <cellStyle name="常规 5 4 2 3 3 2" xfId="16706"/>
    <cellStyle name="计算 2 2 2 2 2 2 2" xfId="16707"/>
    <cellStyle name="20% - 强调文字颜色 5 2 2 2 2 2 4 2 2" xfId="16708"/>
    <cellStyle name="标题 2 6 2 2 2" xfId="16709"/>
    <cellStyle name="汇总 2 2 5 2 4 2 2" xfId="16710"/>
    <cellStyle name="60% - 强调文字颜色 4 2 3 2 3 3 2" xfId="16711"/>
    <cellStyle name="20% - 强调文字颜色 3 2 5 3 2" xfId="16712"/>
    <cellStyle name="标题 3 3 4 2 2 2" xfId="16713"/>
    <cellStyle name="标题 2 2 2 3 3 3 3" xfId="16714"/>
    <cellStyle name="输入 2 2 4 3 2 5" xfId="16715"/>
    <cellStyle name="标题 2 2 2 3 3 2 2 2" xfId="16716"/>
    <cellStyle name="好 2 2 3 4 2 2 2" xfId="16717"/>
    <cellStyle name="适中 2 2 9" xfId="16718"/>
    <cellStyle name="输出 2 7 6 2 2" xfId="16719"/>
    <cellStyle name="60% - 强调文字颜色 1 2 3 3 2" xfId="16720"/>
    <cellStyle name="标题 2 2 2 2 2 4 3 2" xfId="16721"/>
    <cellStyle name="60% - 强调文字颜色 4 2 3 2 4 2" xfId="16722"/>
    <cellStyle name="标题 2 2 2 3 2 2 2 2 2" xfId="16723"/>
    <cellStyle name="常规 5 2 4 2 5" xfId="16724"/>
    <cellStyle name="强调文字颜色 6 2 2 2 2 2 2 3" xfId="16725"/>
    <cellStyle name="60% - 强调文字颜色 2 2 3 3 3 2" xfId="16726"/>
    <cellStyle name="计算 2 5 4 5" xfId="16727"/>
    <cellStyle name="60% - 强调文字颜色 3 2 5 3 2" xfId="16728"/>
    <cellStyle name="40% - 强调文字颜色 6 2 2 2 2 4 2 2" xfId="16729"/>
    <cellStyle name="计算 2 2 4 4 3 3 3" xfId="16730"/>
    <cellStyle name="计算 2 5 2 4 8" xfId="16731"/>
    <cellStyle name="解释性文本 2 4 5" xfId="16732"/>
    <cellStyle name="20% - 强调文字颜色 4 2 2 2 2 2 3" xfId="16733"/>
    <cellStyle name="计算 2 2 6 6 4 2" xfId="16734"/>
    <cellStyle name="40% - 强调文字颜色 5 2 2 2 2 2 2 2 2 2" xfId="16735"/>
    <cellStyle name="标题 3 2 4 4 2" xfId="16736"/>
    <cellStyle name="计算 2 6 2 2 2 5 2" xfId="16737"/>
    <cellStyle name="标题 4 2 4 3" xfId="16738"/>
    <cellStyle name="60% - 强调文字颜色 5 2 2 5 2 2" xfId="16739"/>
    <cellStyle name="强调文字颜色 3 2 3 2 3 2 3" xfId="16740"/>
    <cellStyle name="标题 1 2 3 6" xfId="16741"/>
    <cellStyle name="常规 9 4 4 3" xfId="16742"/>
    <cellStyle name="输出 2 4 4 3 2" xfId="16743"/>
    <cellStyle name="常规 2 3 2 3 2" xfId="16744"/>
    <cellStyle name="标题 1 3 3 5" xfId="16745"/>
    <cellStyle name="强调文字颜色 3 2 3 2 4 2 2" xfId="16746"/>
    <cellStyle name="20% - 强调文字颜色 1 2 2 2 3 3" xfId="16747"/>
    <cellStyle name="汇总 3 2 2 7 2" xfId="16748"/>
    <cellStyle name="输入 2 5 2 3 4 2" xfId="16749"/>
    <cellStyle name="汇总 2 2 3 5 2 3" xfId="16750"/>
    <cellStyle name="输入 2 2 2 2 2 2 7" xfId="16751"/>
    <cellStyle name="汇总 2 5 4 2 3 2 2" xfId="16752"/>
    <cellStyle name="输出 2 2 3 2 13" xfId="16753"/>
    <cellStyle name="适中 2 2 2 4 2 2" xfId="16754"/>
    <cellStyle name="差 2 3 2 2 3 3" xfId="16755"/>
    <cellStyle name="40% - 强调文字颜色 5 2 3" xfId="16756"/>
    <cellStyle name="好 2 3 3" xfId="16757"/>
    <cellStyle name="标题 2 2 2 2 2 4 2 2" xfId="16758"/>
    <cellStyle name="输入 2 2 3 4 2 4" xfId="16759"/>
    <cellStyle name="60% - 强调文字颜色 3 2 2 2 3 4" xfId="16760"/>
    <cellStyle name="强调文字颜色 6 6" xfId="16761"/>
    <cellStyle name="计算 2 2 3 2 6 3" xfId="16762"/>
    <cellStyle name="60% - 强调文字颜色 1 2 3 3" xfId="16763"/>
    <cellStyle name="60% - 强调文字颜色 4 2 3 2 4" xfId="16764"/>
    <cellStyle name="标题 3 2 3 2 2 2 3" xfId="16765"/>
    <cellStyle name="常规 9 2 2 2 3 2 2 2" xfId="16766"/>
    <cellStyle name="计算 2 6 2 2 2 5" xfId="16767"/>
    <cellStyle name="输入 2 2 5 2 2 4" xfId="16768"/>
    <cellStyle name="标题 2 2 2 2 4 2 2 2" xfId="16769"/>
    <cellStyle name="60% - 强调文字颜色 3 2 2 3 6" xfId="16770"/>
    <cellStyle name="计算 2 2 4 9" xfId="16771"/>
    <cellStyle name="输入 2 6 3 2 2 2 2" xfId="16772"/>
    <cellStyle name="超链接 3 2 2 2 2 2 2" xfId="16773"/>
    <cellStyle name="常规 9 7 3" xfId="16774"/>
    <cellStyle name="汇总 2 6 3 3 3" xfId="16775"/>
    <cellStyle name="40% - 强调文字颜色 1 2 3 2 2 2 2 2 2 2" xfId="16776"/>
    <cellStyle name="汇总 2 3 2 2 4 2 2" xfId="16777"/>
    <cellStyle name="汇总 6 2 3" xfId="16778"/>
    <cellStyle name="60% - 强调文字颜色 4 2 2 4 4 2 2" xfId="16779"/>
    <cellStyle name="20% - 强调文字颜色 1 2 6 3 2" xfId="16780"/>
    <cellStyle name="注释 2 2 5 2 2" xfId="16781"/>
    <cellStyle name="输入 2 6 2 3 2 2" xfId="16782"/>
    <cellStyle name="汇总 4 2 2 5 2" xfId="16783"/>
    <cellStyle name="输入 2 4 2 2 4 2 2" xfId="16784"/>
    <cellStyle name="常规 2 3 2 4 3 2 2" xfId="16785"/>
    <cellStyle name="解释性文本 4 3 2" xfId="16786"/>
    <cellStyle name="60% - 强调文字颜色 5 2 3 5" xfId="16787"/>
    <cellStyle name="计算 2 7 2 2 4 3" xfId="16788"/>
    <cellStyle name="40% - 强调文字颜色 4 2 2 2 6 2 2" xfId="16789"/>
    <cellStyle name="汇总 2 8 2 2 3" xfId="16790"/>
    <cellStyle name="40% - 强调文字颜色 6 2 3 2 4 3" xfId="16791"/>
    <cellStyle name="标题 1 2 2 3 2 2" xfId="16792"/>
    <cellStyle name="标题 1 3 4 2 2" xfId="16793"/>
    <cellStyle name="强调文字颜色 4 2 2 4 2 2 2" xfId="16794"/>
    <cellStyle name="40% - 强调文字颜色 4 2 2 5 3 2 2" xfId="16795"/>
    <cellStyle name="注释 3 3 2 2 3" xfId="16796"/>
    <cellStyle name="解释性文本 2 8 2" xfId="16797"/>
    <cellStyle name="汇总 2 2 8 3 2 4" xfId="16798"/>
    <cellStyle name="计算 3 2 2 2 4 2" xfId="16799"/>
    <cellStyle name="标题 2 2 2 2 8" xfId="16800"/>
    <cellStyle name="输入 3 8 2" xfId="16801"/>
    <cellStyle name="输入 2 5 6 2 2" xfId="16802"/>
    <cellStyle name="常规 5 2 3 7" xfId="16803"/>
    <cellStyle name="20% - 强调文字颜色 5 2 2 4 5 2" xfId="16804"/>
    <cellStyle name="标题 2 6 2" xfId="16805"/>
    <cellStyle name="汇总 2 2 5 2 4" xfId="16806"/>
    <cellStyle name="60% - 强调文字颜色 6 2 2 7 2" xfId="16807"/>
    <cellStyle name="计算 2 2 2 2 3 4 2 2" xfId="16808"/>
    <cellStyle name="60% - 强调文字颜色 6 2 4 4 3" xfId="16809"/>
    <cellStyle name="输出 2 4 2 2 6" xfId="16810"/>
    <cellStyle name="检查单元格 2 2 3 2 2 2 3" xfId="16811"/>
    <cellStyle name="20% - 强调文字颜色 5 2 3 2 4" xfId="16812"/>
    <cellStyle name="计算 2 4 2 3 3 2" xfId="16813"/>
    <cellStyle name="60% - 强调文字颜色 6 3 2 3" xfId="16814"/>
    <cellStyle name="20% - 强调文字颜色 6 2 6 3" xfId="16815"/>
    <cellStyle name="汇总 2 2 5 9 2" xfId="16816"/>
    <cellStyle name="强调文字颜色 6 2 3 4 2 3" xfId="16817"/>
    <cellStyle name="警告文本 2 2 2 4 4" xfId="16818"/>
    <cellStyle name="警告文本 2 2 3 3 2 3" xfId="16819"/>
    <cellStyle name="20% - 强调文字颜色 4 2 10 2" xfId="16820"/>
    <cellStyle name="输出 2 6 2 7" xfId="16821"/>
    <cellStyle name="20% - 强调文字颜色 3 3 2 2 3 2 2" xfId="16822"/>
    <cellStyle name="输入 2 2 2 10" xfId="16823"/>
    <cellStyle name="常规 7 3 2 3 2 2" xfId="16824"/>
    <cellStyle name="常规 8 3" xfId="16825"/>
    <cellStyle name="百分比 2 3" xfId="16826"/>
    <cellStyle name="输入 2 2 2 2 6" xfId="16827"/>
    <cellStyle name="输出 2 2 4 4 5" xfId="16828"/>
    <cellStyle name="汇总 5 2 6" xfId="16829"/>
    <cellStyle name="适中 2 2 3 2 3" xfId="16830"/>
    <cellStyle name="输出 4 2 2 2 3" xfId="16831"/>
    <cellStyle name="20% - 强调文字颜色 5 3 2 2 4" xfId="16832"/>
    <cellStyle name="汇总 2 7 4 2 4" xfId="16833"/>
    <cellStyle name="40% - 强调文字颜色 2 2 3 7" xfId="16834"/>
    <cellStyle name="计算 2 6 2 2 7 2" xfId="16835"/>
    <cellStyle name="输入 2 2 5 2 2 2 3 2" xfId="16836"/>
    <cellStyle name="常规 2 2_light steel" xfId="16837"/>
    <cellStyle name="20% - 强调文字颜色 1 2 3 7 2" xfId="16838"/>
    <cellStyle name="强调文字颜色 5 2 2 3 4 3" xfId="16839"/>
    <cellStyle name="60% - 强调文字颜色 3 2 2 3 4 3 2" xfId="16840"/>
    <cellStyle name="40% - 强调文字颜色 2 4 4" xfId="16841"/>
    <cellStyle name="20% - 强调文字颜色 5 2 6 3 2 2" xfId="16842"/>
    <cellStyle name="标题 3 2 3 3" xfId="16843"/>
    <cellStyle name="计算 2 2 6 5 3" xfId="16844"/>
    <cellStyle name="输入 2 5 8 3" xfId="16845"/>
    <cellStyle name="20% - 强调文字颜色 6 2 2 4 4 2" xfId="16846"/>
    <cellStyle name="计算 2 6 4 2 3" xfId="16847"/>
    <cellStyle name="输入 2 2 2 3 2 6" xfId="16848"/>
    <cellStyle name="标题 1 2 2 2 2 5 2 2" xfId="16849"/>
    <cellStyle name="解释性文本 2 3 2 6 3" xfId="16850"/>
    <cellStyle name="计算 2 2 5 4 2 2 2" xfId="16851"/>
    <cellStyle name="汇总 2 2 4 2 3 2 3 2" xfId="16852"/>
    <cellStyle name="60% - 强调文字颜色 6 2 2 2 4 3 2" xfId="16853"/>
    <cellStyle name="计算 4 7 3" xfId="16854"/>
    <cellStyle name="汇总 2 2 6 2" xfId="16855"/>
    <cellStyle name="40% - 强调文字颜色 1 2 2 3 3 2 2 2" xfId="16856"/>
    <cellStyle name="标题 5 2 2 2 3 3" xfId="16857"/>
    <cellStyle name="20% - 强调文字颜色 5 6" xfId="16858"/>
    <cellStyle name="常规 9 3 6" xfId="16859"/>
    <cellStyle name="20% - 强调文字颜色 6 2 7 2 2 2" xfId="16860"/>
    <cellStyle name="60% - 强调文字颜色 6 4 2 3" xfId="16861"/>
    <cellStyle name="计算 2 2 10 2 3 2" xfId="16862"/>
    <cellStyle name="常规 5 4 4 3 3" xfId="16863"/>
    <cellStyle name="输入 2 2 3 2 2 2 2 2 2" xfId="16864"/>
    <cellStyle name="标题 3 2 7" xfId="16865"/>
    <cellStyle name="计算 2 2 6 9" xfId="16866"/>
    <cellStyle name="汇总 2 5 3 2 3 3" xfId="16867"/>
    <cellStyle name="60% - 强调文字颜色 3 2 4 4 2" xfId="16868"/>
    <cellStyle name="60% - 强调文字颜色 2 2 3 2 4 2" xfId="16869"/>
    <cellStyle name="输出 2 2 9 6" xfId="16870"/>
    <cellStyle name="20% - 强调文字颜色 2 2 3 2 3" xfId="16871"/>
    <cellStyle name="强调文字颜色 4 4 2 4" xfId="16872"/>
    <cellStyle name="强调文字颜色 6 2 2 2 2 3 3 2" xfId="16873"/>
    <cellStyle name="20% - 强调文字颜色 5 2 3 2 2 4 3 2" xfId="16874"/>
    <cellStyle name="强调文字颜色 1 2 3 5" xfId="16875"/>
    <cellStyle name="汇总 2 2 2 6 3 3" xfId="16876"/>
    <cellStyle name="60% - 强调文字颜色 5 2 2 2 2 4 2" xfId="16877"/>
    <cellStyle name="警告文本 2 2 2 2 3 3 3" xfId="16878"/>
    <cellStyle name="链接单元格 2 2 2 2 3" xfId="16879"/>
    <cellStyle name="汇总 2 2 6 4 2 2 3" xfId="16880"/>
    <cellStyle name="输入 2 5 6 3" xfId="16881"/>
    <cellStyle name="输出 2 5 3 5 2 2" xfId="16882"/>
    <cellStyle name="计算 2 2 5 3 2 3 2" xfId="16883"/>
    <cellStyle name="常规 9 2 3 2 3" xfId="16884"/>
    <cellStyle name="检查单元格 2 6 3 3" xfId="16885"/>
    <cellStyle name="60% - 强调文字颜色 6 2 2 8 2" xfId="16886"/>
    <cellStyle name="Normal 5 3" xfId="16887"/>
    <cellStyle name="汇总 2 5 3 2 3" xfId="16888"/>
    <cellStyle name="标题 2 2 2 2 4 2 2 3" xfId="16889"/>
    <cellStyle name="输入 2 2 5 2 2 5" xfId="16890"/>
    <cellStyle name="常规 5 2 6 3 2" xfId="16891"/>
    <cellStyle name="强调文字颜色 1 2 2 2 2" xfId="16892"/>
    <cellStyle name="计算 2 2 2 2 3 4 3" xfId="16893"/>
    <cellStyle name="60% - 强调文字颜色 6 3 2 2 3 2 2 2" xfId="16894"/>
    <cellStyle name="好 2 2 2 5 3" xfId="16895"/>
    <cellStyle name="常规 5 2 5 3 3" xfId="16896"/>
    <cellStyle name="超链接 2 2 2 2 2 2 2" xfId="16897"/>
    <cellStyle name="计算 2 2 3 3 2 2" xfId="16898"/>
    <cellStyle name="强调文字颜色 2 2 4 2 3" xfId="16899"/>
    <cellStyle name="60% - 强调文字颜色 1 2 2 4 4" xfId="16900"/>
    <cellStyle name="20% - 强调文字颜色 3 3 3" xfId="16901"/>
    <cellStyle name="汇总 2 10 2 4" xfId="16902"/>
    <cellStyle name="计算 2 2 3 4 2 3 2" xfId="16903"/>
    <cellStyle name="20% - 强调文字颜色 4 3 4 2" xfId="16904"/>
    <cellStyle name="标题 4 2 2 2 6 2 2 2" xfId="16905"/>
    <cellStyle name="60% - 强调文字颜色 6 2 2 2 4 2 3" xfId="16906"/>
    <cellStyle name="汇总 2 2 4 2 3 2 2 3" xfId="16907"/>
    <cellStyle name="常规 3 2 2 2 3 2" xfId="16908"/>
    <cellStyle name="汇总 2 3 2 2 2 5" xfId="16909"/>
    <cellStyle name="汇总 2 2 4 3 2 4 2 2" xfId="16910"/>
    <cellStyle name="输入 2 2 6 9 2" xfId="16911"/>
    <cellStyle name="链接单元格 2 2 4 4" xfId="16912"/>
    <cellStyle name="输出 2 2 5 2 3 2 2" xfId="16913"/>
    <cellStyle name="标题 1 2 3 5 2 3" xfId="16914"/>
    <cellStyle name="40% - 强调文字颜色 4 2 3 7" xfId="16915"/>
    <cellStyle name="40% - 强调文字颜色 2 2 3 2 2 2 3 2" xfId="16916"/>
    <cellStyle name="汇总 2 4 4 3 2" xfId="16917"/>
    <cellStyle name="40% - 强调文字颜色 5 2 2 3 6" xfId="16918"/>
    <cellStyle name="链接单元格 2 2 6 2 2 2" xfId="16919"/>
    <cellStyle name="计算 3 2 6" xfId="16920"/>
    <cellStyle name="标题 2 2 3" xfId="16921"/>
    <cellStyle name="标题 5 2 2 2 3 2 2 2" xfId="16922"/>
    <cellStyle name="20% - 强调文字颜色 5 5 2 2" xfId="16923"/>
    <cellStyle name="40% - 强调文字颜色 6 2 7 2" xfId="16924"/>
    <cellStyle name="标题 5 3 3 2 2 2" xfId="16925"/>
    <cellStyle name="常规 4 8 4" xfId="16926"/>
    <cellStyle name="差 2 2 4 3" xfId="16927"/>
    <cellStyle name="汇总 2 5 2 2 8" xfId="16928"/>
    <cellStyle name="差 2 2 2 7 2" xfId="16929"/>
    <cellStyle name="强调文字颜色 1 2 2 4 2 2 3" xfId="16930"/>
    <cellStyle name="标题 1 2 4 3 2 3" xfId="16931"/>
    <cellStyle name="计算 2 2 8 2 4 2 2" xfId="16932"/>
    <cellStyle name="输入 2 2 2 3 5 2 2" xfId="16933"/>
    <cellStyle name="计算 2 3 2 2 2 3" xfId="16934"/>
    <cellStyle name="20% - 强调文字颜色 5 2 2 2 4 3 2" xfId="16935"/>
    <cellStyle name="计算 2 7 2 2 2 2" xfId="16936"/>
    <cellStyle name="注释 8 3" xfId="16937"/>
    <cellStyle name="强调文字颜色 2 2 2 4 2 3 2" xfId="16938"/>
    <cellStyle name="强调文字颜色 2 2 2 4 3 4" xfId="16939"/>
    <cellStyle name="标题 2 2 2 2 3 2 3" xfId="16940"/>
    <cellStyle name="汇总 2 2 3 7" xfId="16941"/>
    <cellStyle name="60% - 强调文字颜色 2 2 2 2 2 6" xfId="16942"/>
    <cellStyle name="60% - 强调文字颜色 4 2 4 2 2 2" xfId="16943"/>
    <cellStyle name="60% - 强调文字颜色 2 3 3 2 2 2 2" xfId="16944"/>
    <cellStyle name="标题 3 3 2 2 3 2 3" xfId="16945"/>
    <cellStyle name="60% - 强调文字颜色 3 2 3 2 2 4" xfId="16946"/>
    <cellStyle name="输出 2 2 3 2 9 2" xfId="16947"/>
    <cellStyle name="60% - 强调文字颜色 4 4 2 4" xfId="16948"/>
    <cellStyle name="20% - 强调文字颜色 2 2 2 2 2" xfId="16949"/>
    <cellStyle name="标题 3 2 2 5 4" xfId="16950"/>
    <cellStyle name="计算 2 4 2 2 10" xfId="16951"/>
    <cellStyle name="常规 12" xfId="16952"/>
    <cellStyle name="差 2 3 2 4 2" xfId="16953"/>
    <cellStyle name="40% - 强调文字颜色 4 2 2 2 5 2 2" xfId="16954"/>
    <cellStyle name="百分比 2 2 2 4 4" xfId="16955"/>
    <cellStyle name="警告文本 4 3" xfId="16956"/>
    <cellStyle name="输入 2 2 4 2 2 5" xfId="16957"/>
    <cellStyle name="标题 2 2 2 2 3 2 2 3" xfId="16958"/>
    <cellStyle name="40% - 强调文字颜色 6 5 2" xfId="16959"/>
    <cellStyle name="好 2 2 3 2" xfId="16960"/>
    <cellStyle name="常规 13 3 3" xfId="16961"/>
    <cellStyle name="注释 2 4 2 4 5" xfId="16962"/>
    <cellStyle name="标题 3 2 4 8" xfId="16963"/>
    <cellStyle name="强调文字颜色 3 2 3 2 3 3 3" xfId="16964"/>
    <cellStyle name="标题 1 2 4 6" xfId="16965"/>
    <cellStyle name="强调文字颜色 6 2 4 3 2 2" xfId="16966"/>
    <cellStyle name="60% - 强调文字颜色 5 2 2 5 3 2" xfId="16967"/>
    <cellStyle name="40% - 强调文字颜色 6 2 3 2 2 5 2" xfId="16968"/>
    <cellStyle name="输入 4 3 2 2 2" xfId="16969"/>
    <cellStyle name="20% - 强调文字颜色 5 2 3 3 4" xfId="16970"/>
    <cellStyle name="输出 2 4 2 3 6" xfId="16971"/>
    <cellStyle name="计算 2 4 2 2 2 8" xfId="16972"/>
    <cellStyle name="20% - 强调文字颜色 2 2 2 5 2 2" xfId="16973"/>
    <cellStyle name="40% - 强调文字颜色 2 2 2 5 2 2 2" xfId="16974"/>
    <cellStyle name="差 2 2 3 2 2 3" xfId="16975"/>
    <cellStyle name="40% - 强调文字颜色 5 5 2 2 2 2" xfId="16976"/>
    <cellStyle name="60% - 强调文字颜色 5 2 3 6" xfId="16977"/>
    <cellStyle name="常规 10 3 2 5 2" xfId="16978"/>
    <cellStyle name="检查单元格 3 2 2 3" xfId="16979"/>
    <cellStyle name="计算 2 7 2 2 2 3" xfId="16980"/>
    <cellStyle name="计算 2 4 9" xfId="16981"/>
    <cellStyle name="常规 9 3 3 2" xfId="16982"/>
    <cellStyle name="40% - 强调文字颜色 3 2 2 2 2 2 2 3" xfId="16983"/>
    <cellStyle name="40% - 强调文字颜色 1 4 3 2" xfId="16984"/>
    <cellStyle name="标题 4 2 3 2 3 2 2 2" xfId="16985"/>
    <cellStyle name="计算 2 6 4 7" xfId="16986"/>
    <cellStyle name="输入 2 2 7 5 3" xfId="16987"/>
    <cellStyle name="60% - 强调文字颜色 2 2 3 2 4 3 2" xfId="16988"/>
    <cellStyle name="60% - 强调文字颜色 3 2 4 4 3 2" xfId="16989"/>
    <cellStyle name="输入 2 2 5 6 2 2" xfId="16990"/>
    <cellStyle name="强调文字颜色 4 2 6 2 2 2" xfId="16991"/>
    <cellStyle name="汇总 2 7 3 2 3 2" xfId="16992"/>
    <cellStyle name="40% - 强调文字颜色 3 3 8" xfId="16993"/>
    <cellStyle name="40% - 强调文字颜色 6 2 2 3 4 3 2" xfId="16994"/>
    <cellStyle name="标题 3 2 3 2 3 2" xfId="16995"/>
    <cellStyle name="汇总 2 5 2 5 2 2 2" xfId="16996"/>
    <cellStyle name="超链接 3 2 3 4" xfId="16997"/>
    <cellStyle name="60% - 强调文字颜色 4 4 3 2 2" xfId="16998"/>
    <cellStyle name="输入 2 6 4 4" xfId="16999"/>
    <cellStyle name="标题 3 2 2 6 2 2" xfId="17000"/>
    <cellStyle name="常规 5 2 2 3 2 5" xfId="17001"/>
    <cellStyle name="输入 2 2 3 2 2 6" xfId="17002"/>
    <cellStyle name="20% - 强调文字颜色 2 2 2 3 7" xfId="17003"/>
    <cellStyle name="20% - 强调文字颜色 6 2 4 3 2 2 2" xfId="17004"/>
    <cellStyle name="警告文本 2 2 3 3 3" xfId="17005"/>
    <cellStyle name="计算 2 2 4 2 4 2 2 3" xfId="17006"/>
    <cellStyle name="60% - 强调文字颜色 4 2 2 2 2 4 2 2" xfId="17007"/>
    <cellStyle name="汇总 2 10 3 2 2 2" xfId="17008"/>
    <cellStyle name="40% - 强调文字颜色 4 4 4 2" xfId="17009"/>
    <cellStyle name="强调文字颜色 4 2 2 3 4 2 3" xfId="17010"/>
    <cellStyle name="标题 1 2 6 2 3" xfId="17011"/>
    <cellStyle name="输出 2 6 10 2" xfId="17012"/>
    <cellStyle name="计算 2 3 5 2" xfId="17013"/>
    <cellStyle name="60% - 强调文字颜色 2 2 2 3 2 2 2 2 2" xfId="17014"/>
    <cellStyle name="好 3 2 4 2" xfId="17015"/>
    <cellStyle name="标题 1 4 3 2 3" xfId="17016"/>
    <cellStyle name="汇总 2 3 4 5 2 2" xfId="17017"/>
    <cellStyle name="20% - 强调文字颜色 4 2 3 2 3" xfId="17018"/>
    <cellStyle name="检查单元格 2 2 2 2 2 2 2" xfId="17019"/>
    <cellStyle name="汇总 2 8 2 2 2" xfId="17020"/>
    <cellStyle name="常规 4 4 4 4 2" xfId="17021"/>
    <cellStyle name="标题 2 2 3 5 2 2 3" xfId="17022"/>
    <cellStyle name="40% - 强调文字颜色 6 2 3 2 4 2" xfId="17023"/>
    <cellStyle name="强调文字颜色 6 2 3 4 2 2" xfId="17024"/>
    <cellStyle name="强调文字颜色 1 2 2 4 4 2 2" xfId="17025"/>
    <cellStyle name="警告文本 2 3 2 8" xfId="17026"/>
    <cellStyle name="60% - 强调文字颜色 4 2 9 2" xfId="17027"/>
    <cellStyle name="强调文字颜色 4 3 2 2 2 2" xfId="17028"/>
    <cellStyle name="20% - 强调文字颜色 2 2 2 2 3 3" xfId="17029"/>
    <cellStyle name="计算 2 7 3 2 2 2 2" xfId="17030"/>
    <cellStyle name="20% - 强调文字颜色 6 3 6" xfId="17031"/>
    <cellStyle name="警告文本 2 3 2 2 4" xfId="17032"/>
    <cellStyle name="40% - 强调文字颜色 6 2 3 2 2 4 2 2 2" xfId="17033"/>
    <cellStyle name="20% - 强调文字颜色 2 4 4" xfId="17034"/>
    <cellStyle name="强调文字颜色 2 2 3 3 4" xfId="17035"/>
    <cellStyle name="计算 2 2 3 2 3 3" xfId="17036"/>
    <cellStyle name="40% - 强调文字颜色 4 2 2 5 2 2 2" xfId="17037"/>
    <cellStyle name="强调文字颜色 1 2 2 2 5 2 3" xfId="17038"/>
    <cellStyle name="解释性文本 2 2 2 2 4 2" xfId="17039"/>
    <cellStyle name="计算 2 2 8 4 2 3" xfId="17040"/>
    <cellStyle name="标题 3 4 2 2 3" xfId="17041"/>
    <cellStyle name="汇总 2 5 4 4 2 2" xfId="17042"/>
    <cellStyle name="20% - 强调文字颜色 2 2 2 7" xfId="17043"/>
    <cellStyle name="标题 3 2 2 2 2 3 2 3" xfId="17044"/>
    <cellStyle name="输入 2 2 4 5 2 3" xfId="17045"/>
    <cellStyle name="常规 5 2 3 6 2 2" xfId="17046"/>
    <cellStyle name="输入 2 2 9 3 2" xfId="17047"/>
    <cellStyle name="计算 2 8 2 6" xfId="17048"/>
    <cellStyle name="20% - 强调文字颜色 6 2 2 3 5" xfId="17049"/>
    <cellStyle name="20% - 强调文字颜色 6 3 2 5" xfId="17050"/>
    <cellStyle name="标题 4 2 2 2 5 2 2 3" xfId="17051"/>
    <cellStyle name="汇总 2 2 6 5 4" xfId="17052"/>
    <cellStyle name="汇总 2 5 2 2 2" xfId="17053"/>
    <cellStyle name="标题 2 2 3 2 2 2 3" xfId="17054"/>
    <cellStyle name="40% - 强调文字颜色 1 2 2 2 3 2 2 2" xfId="17055"/>
    <cellStyle name="标题 1 2 2 2 2 4 3" xfId="17056"/>
    <cellStyle name="计算 2 2 3 2 3 2" xfId="17057"/>
    <cellStyle name="强调文字颜色 2 2 3 3 3" xfId="17058"/>
    <cellStyle name="20% - 强调文字颜色 2 4 3" xfId="17059"/>
    <cellStyle name="常规 4 3 8 2" xfId="17060"/>
    <cellStyle name="40% - 强调文字颜色 6 2 2 6 2" xfId="17061"/>
    <cellStyle name="标题 1 4 3 2 2" xfId="17062"/>
    <cellStyle name="40% - 强调文字颜色 6 2 2 2 2 5 2 2 2" xfId="17063"/>
    <cellStyle name="差 2 3 2 3 2 2" xfId="17064"/>
    <cellStyle name="好 3 2 2" xfId="17065"/>
    <cellStyle name="常规 9 5 3 2" xfId="17066"/>
    <cellStyle name="标题 1 4 2 4" xfId="17067"/>
    <cellStyle name="注释 2 4 2 2 3 2 2" xfId="17068"/>
    <cellStyle name="注释 2 7 2 6" xfId="17069"/>
    <cellStyle name="20% - 强调文字颜色 6 6 2 2 2" xfId="17070"/>
    <cellStyle name="汇总 2 5 2 2 3 3" xfId="17071"/>
    <cellStyle name="链接单元格 2 4 2" xfId="17072"/>
    <cellStyle name="20% - 强调文字颜色 2 3 9" xfId="17073"/>
    <cellStyle name="计算 2 2 3 2 2 8" xfId="17074"/>
    <cellStyle name="常规 12 2 2 2 3 3" xfId="17075"/>
    <cellStyle name="40% - 强调文字颜色 3 2 2 2 7" xfId="17076"/>
    <cellStyle name="注释 2 2 2 3 8" xfId="17077"/>
    <cellStyle name="计算 2 3 2 9 2" xfId="17078"/>
    <cellStyle name="输入 2 2 4 3 5 2" xfId="17079"/>
    <cellStyle name="汇总 5 3 2" xfId="17080"/>
    <cellStyle name="超链接 2 3 2 3 4" xfId="17081"/>
    <cellStyle name="40% - 强调文字颜色 1 2 4 2 2" xfId="17082"/>
    <cellStyle name="常规 2 3 3 2 2 2 2 2" xfId="17083"/>
    <cellStyle name="标题 2 2 7 2 2 2" xfId="17084"/>
    <cellStyle name="常规 10 3 8" xfId="17085"/>
    <cellStyle name="标题 3 4 2 3 2 3" xfId="17086"/>
    <cellStyle name="计算 2 2 5 3 3 3 2 2" xfId="17087"/>
    <cellStyle name="常规 9 2 4 2 3 2" xfId="17088"/>
    <cellStyle name="常规 5 11" xfId="17089"/>
    <cellStyle name="40% - 强调文字颜色 6 2 2 2 2 4 2 2 2" xfId="17090"/>
    <cellStyle name="汇总 2 7 9 3" xfId="17091"/>
    <cellStyle name="常规 11 4 2 3" xfId="17092"/>
    <cellStyle name="20% - 强调文字颜色 1 4 4 2 2" xfId="17093"/>
    <cellStyle name="强调文字颜色 2 2 2 3 4 2 2" xfId="17094"/>
    <cellStyle name="20% - 强调文字颜色 2 2 4 3 2 2" xfId="17095"/>
    <cellStyle name="汇总 2 2 2 4 5 3" xfId="17096"/>
    <cellStyle name="40% - 强调文字颜色 3 2 2 3 2 2 2 2" xfId="17097"/>
    <cellStyle name="注释 2 6 3" xfId="17098"/>
    <cellStyle name="标题 2 3 3 2" xfId="17099"/>
    <cellStyle name="20% - 强调文字颜色 5 2 2 4 2 3 2" xfId="17100"/>
    <cellStyle name="计算 2 8 2 2 2 2" xfId="17101"/>
    <cellStyle name="20% - 强调文字颜色 5 2 3 2 4 3 2" xfId="17102"/>
    <cellStyle name="40% - 强调文字颜色 1 3 2 4 2" xfId="17103"/>
    <cellStyle name="常规 9 2 2 4 2" xfId="17104"/>
    <cellStyle name="计算 2 7 2 4 3" xfId="17105"/>
    <cellStyle name="汇总 2 2 3 3 6" xfId="17106"/>
    <cellStyle name="20% - 强调文字颜色 2 2 3 2 2 5 2" xfId="17107"/>
    <cellStyle name="检查单元格 3 4 3" xfId="17108"/>
    <cellStyle name="40% - 强调文字颜色 6 2 3 2 5 2 2 2" xfId="17109"/>
    <cellStyle name="60% - 强调文字颜色 6 3 5" xfId="17110"/>
    <cellStyle name="计算 2 2 8 3 8" xfId="17111"/>
    <cellStyle name="计算 4 2 2 3 3" xfId="17112"/>
    <cellStyle name="汇总 2 3 2 2 3" xfId="17113"/>
    <cellStyle name="计算 3 3 5 2" xfId="17114"/>
    <cellStyle name="输出 2 5 2 2 6" xfId="17115"/>
    <cellStyle name="注释 2 3 2 3 2 2 2" xfId="17116"/>
    <cellStyle name="60% - 强调文字颜色 1 3 2 5 2" xfId="17117"/>
    <cellStyle name="20% - 强调文字颜色 2 2 2 2 3 2 2 2 2" xfId="17118"/>
    <cellStyle name="标题 5 2 2 6" xfId="17119"/>
    <cellStyle name="差 2 7 3" xfId="17120"/>
    <cellStyle name="20% - 强调文字颜色 2 2 2 9 2" xfId="17121"/>
    <cellStyle name="60% - 强调文字颜色 2 4 5 2" xfId="17122"/>
    <cellStyle name="60% - 强调文字颜色 5 4 4" xfId="17123"/>
    <cellStyle name="计算 2 2 7 4 7" xfId="17124"/>
    <cellStyle name="常规 9 3 4 5" xfId="17125"/>
    <cellStyle name="20% - 强调文字颜色 5 2 4 3 2" xfId="17126"/>
    <cellStyle name="输出 2 4 3 3 4" xfId="17127"/>
    <cellStyle name="输入 2 3" xfId="17128"/>
    <cellStyle name="输出 2 9 5" xfId="17129"/>
    <cellStyle name="计算 2 5 2 11 2 2" xfId="17130"/>
    <cellStyle name="20% - 强调文字颜色 1 2 3 6 2 2 2" xfId="17131"/>
    <cellStyle name="常规 13 3 4" xfId="17132"/>
    <cellStyle name="标题 2 2 2 4 4" xfId="17133"/>
    <cellStyle name="常规 13 3 2 2 2" xfId="17134"/>
    <cellStyle name="20% - 强调文字颜色 6 2 2 2 2 4 2" xfId="17135"/>
    <cellStyle name="常规 4 3 4 2 4" xfId="17136"/>
    <cellStyle name="40% - 强调文字颜色 6 2 2 2 2 4" xfId="17137"/>
    <cellStyle name="标题 1 2 2 3 2 2 2 2" xfId="17138"/>
    <cellStyle name="汇总 2 8 2 2 3 2 2" xfId="17139"/>
    <cellStyle name="40% - 强调文字颜色 6 2 3 2 4 3 2 2" xfId="17140"/>
    <cellStyle name="20% - 强调文字颜色 6 3 4" xfId="17141"/>
    <cellStyle name="输入 2 2 3 4 2 2 3" xfId="17142"/>
    <cellStyle name="链接单元格 2 3 2 4 4" xfId="17143"/>
    <cellStyle name="强调文字颜色 6 2 2 2 3 2" xfId="17144"/>
    <cellStyle name="计算 2 2 4 2 3" xfId="17145"/>
    <cellStyle name="解释性文本 3 9" xfId="17146"/>
    <cellStyle name="计算 2 2 10 3 2 2" xfId="17147"/>
    <cellStyle name="20% - 强调文字颜色 6 2 2 2 2 3 2 2 2 2" xfId="17148"/>
    <cellStyle name="汇总 2 8 2 8" xfId="17149"/>
    <cellStyle name="20% - 强调文字颜色 1 2 2 2 5 2 2 2" xfId="17150"/>
    <cellStyle name="汇总 2 2 9" xfId="17151"/>
    <cellStyle name="常规 6 2 2 2 5 2" xfId="17152"/>
    <cellStyle name="40% - 强调文字颜色 4 4 2 3 2 2" xfId="17153"/>
    <cellStyle name="汇总 2 2 6 2 2 3 2 2" xfId="17154"/>
    <cellStyle name="汇总 2 2 3 2 2 2 4 2 2" xfId="17155"/>
    <cellStyle name="汇总 2 2 4 5 2 4 2 2" xfId="17156"/>
    <cellStyle name="输出 2 2 5 3 5" xfId="17157"/>
    <cellStyle name="常规 11 2 4 2" xfId="17158"/>
    <cellStyle name="汇总 2 2 4 2 6 3 2 2" xfId="17159"/>
    <cellStyle name="计算 2 5 2 2 3 3" xfId="17160"/>
    <cellStyle name="输入 2 2 2 3 6" xfId="17161"/>
    <cellStyle name="60% - 强调文字颜色 6 2 2" xfId="17162"/>
    <cellStyle name="计算 2 2 8 2 5" xfId="17163"/>
    <cellStyle name="输出 2 2 2 7" xfId="17164"/>
    <cellStyle name="注释 2 2 5 3 5" xfId="17165"/>
    <cellStyle name="计算 2 2 4 2 4 2 3 3" xfId="17166"/>
    <cellStyle name="60% - 强调文字颜色 4 2 2 2 2 4 3 2" xfId="17167"/>
    <cellStyle name="链接单元格 3 5" xfId="17168"/>
    <cellStyle name="常规 4 3 2 2 3 2 2" xfId="17169"/>
    <cellStyle name="计算 2 2 2 4 2 3 3" xfId="17170"/>
    <cellStyle name="计算 2 5 2 2 9" xfId="17171"/>
    <cellStyle name="20% - 强调文字颜色 6 3 2 5 2" xfId="17172"/>
    <cellStyle name="汇总 2 2 6 5 4 2" xfId="17173"/>
    <cellStyle name="解释性文本 2 3 2 3 2 3" xfId="17174"/>
    <cellStyle name="汇总 2 3 5 3 2 2" xfId="17175"/>
    <cellStyle name="20% - 强调文字颜色 4 3 7" xfId="17176"/>
    <cellStyle name="计算 2 2 3 4 2 6" xfId="17177"/>
    <cellStyle name="计算 2 9 2 6" xfId="17178"/>
    <cellStyle name="强调文字颜色 4 2 2 4 6" xfId="17179"/>
    <cellStyle name="标题 1 3 8" xfId="17180"/>
    <cellStyle name="20% - 强调文字颜色 6 2 3 2 2 3 3 2 2" xfId="17181"/>
    <cellStyle name="强调文字颜色 2 3 3 3 2" xfId="17182"/>
    <cellStyle name="汇总 2 5 2 3 6 2 2" xfId="17183"/>
    <cellStyle name="超链接 2 2 4 4" xfId="17184"/>
    <cellStyle name="60% - 强调文字颜色 4 3 3 3 2" xfId="17185"/>
    <cellStyle name="标题 3 2 2 2 4 2" xfId="17186"/>
    <cellStyle name="计算 2 2 6 4 2 4 2" xfId="17187"/>
    <cellStyle name="输出 2 5 3 2 2 3" xfId="17188"/>
    <cellStyle name="汇总 2 5 2 4 2 3 2" xfId="17189"/>
    <cellStyle name="输入 2 2 6 4" xfId="17190"/>
    <cellStyle name="常规 6 3 2 2 4 2 2 2" xfId="17191"/>
    <cellStyle name="标题 5 2 2 4 3" xfId="17192"/>
    <cellStyle name="解释性文本 2 3 2 4 3" xfId="17193"/>
    <cellStyle name="计算 2 8 6" xfId="17194"/>
    <cellStyle name="输出 4 2 7" xfId="17195"/>
    <cellStyle name="计算 2 2 2 2 6 2 2" xfId="17196"/>
    <cellStyle name="常规 4 4 2 2 3 2" xfId="17197"/>
    <cellStyle name="注释 2 12 2" xfId="17198"/>
    <cellStyle name="好 2 2 2 4 4" xfId="17199"/>
    <cellStyle name="20% - 强调文字颜色 1 2 9" xfId="17200"/>
    <cellStyle name="输出 2 2 4 4 5 2" xfId="17201"/>
    <cellStyle name="输出 2 2 9 2 4" xfId="17202"/>
    <cellStyle name="计算 2 2 5 2 2 5 3" xfId="17203"/>
    <cellStyle name="标题 1 3 3 3" xfId="17204"/>
    <cellStyle name="汇总 2 3 3 5 2" xfId="17205"/>
    <cellStyle name="好 2 2 4" xfId="17206"/>
    <cellStyle name="输入 2 4 3 4 2 2" xfId="17207"/>
    <cellStyle name="差 3 3 3 2 2 2" xfId="17208"/>
    <cellStyle name="输出 2 2 6 7" xfId="17209"/>
    <cellStyle name="输入 2 2 5 3 2" xfId="17210"/>
    <cellStyle name="计算 2 4 2 6" xfId="17211"/>
    <cellStyle name="40% - 强调文字颜色 2 4 3 2 2 2" xfId="17212"/>
    <cellStyle name="常规 5 2 3 2 2 2" xfId="17213"/>
    <cellStyle name="解释性文本 2 2 3 3 3 2" xfId="17214"/>
    <cellStyle name="注释 2 2 3 2 2 2 3" xfId="17215"/>
    <cellStyle name="40% - 强调文字颜色 2 2 2 3 4 2 2 2" xfId="17216"/>
    <cellStyle name="输出 2 2 9 2 2 2" xfId="17217"/>
    <cellStyle name="汇总 2 2 4 2 2 2 4 3" xfId="17218"/>
    <cellStyle name="计算 2 4 8 3" xfId="17219"/>
    <cellStyle name="60% - 强调文字颜色 1 2 2 2 7 2" xfId="17220"/>
    <cellStyle name="60% - 强调文字颜色 6 3 3 2" xfId="17221"/>
    <cellStyle name="标题 2 2 3 2 4 3 2" xfId="17222"/>
    <cellStyle name="40% - 强调文字颜色 1 2 2 6 3 2 2" xfId="17223"/>
    <cellStyle name="汇总 2 2 4 3 2 3 3" xfId="17224"/>
    <cellStyle name="计算 2 5 2 4 3 2 2" xfId="17225"/>
    <cellStyle name="输入 2 2 4 2 4 2 4" xfId="17226"/>
    <cellStyle name="强调文字颜色 3 2 2 2 2 4 3" xfId="17227"/>
    <cellStyle name="计算 2 6 2 3 2 2 2" xfId="17228"/>
    <cellStyle name="计算 2 5 2 2 2 2 4" xfId="17229"/>
    <cellStyle name="强调文字颜色 4 2 3 2 2 2 3" xfId="17230"/>
    <cellStyle name="输入 2 2 7" xfId="17231"/>
    <cellStyle name="汇总 2 2 3 4 2 2 2" xfId="17232"/>
    <cellStyle name="20% - 强调文字颜色 5 2 2 2 2 2 2 3 2" xfId="17233"/>
    <cellStyle name="标题 1 2 2 2 2 2 4" xfId="17234"/>
    <cellStyle name="标题 1 3 2 3 2 2 2" xfId="17235"/>
    <cellStyle name="20% - 强调文字颜色 3 2 3 6 2 2" xfId="17236"/>
    <cellStyle name="输入 2 2 4 5" xfId="17237"/>
    <cellStyle name="计算 2 2 6 4 2 2 3" xfId="17238"/>
    <cellStyle name="标题 3 2 2 2 2 3" xfId="17239"/>
    <cellStyle name="注释 2 10 2 2 2" xfId="17240"/>
    <cellStyle name="强调文字颜色 3 2 6 3 2 2" xfId="17241"/>
    <cellStyle name="标题 1 2 3 3 4" xfId="17242"/>
    <cellStyle name="强调文字颜色 1 2 2 2 2 3 2" xfId="17243"/>
    <cellStyle name="强调文字颜色 3 2 2 2 3 5" xfId="17244"/>
    <cellStyle name="强调文字颜色 4 2 3 2 3 3" xfId="17245"/>
    <cellStyle name="强调文字颜色 2 2 2 4 2 3" xfId="17246"/>
    <cellStyle name="强调文字颜色 4 3 2 4" xfId="17247"/>
    <cellStyle name="强调文字颜色 6 2 2 2 2 2 3 2" xfId="17248"/>
    <cellStyle name="标题 1 3 2 2 4" xfId="17249"/>
    <cellStyle name="输出 2 12 2" xfId="17250"/>
    <cellStyle name="常规 4 3 3 2" xfId="17251"/>
    <cellStyle name="标题 5 2 2 2 5 2" xfId="17252"/>
    <cellStyle name="链接单元格 2 3 3 6" xfId="17253"/>
    <cellStyle name="60% - 强调文字颜色 4 2 2 2 6 2" xfId="17254"/>
    <cellStyle name="差 3 3 3" xfId="17255"/>
    <cellStyle name="标题 5 2 2 5 2 2 2" xfId="17256"/>
    <cellStyle name="20% - 强调文字颜色 3 2 2 4 2 2 2 2" xfId="17257"/>
    <cellStyle name="计算 2 3 7 2 2" xfId="17258"/>
    <cellStyle name="差 2 2 4 2 3 3" xfId="17259"/>
    <cellStyle name="20% - 强调文字颜色 3 2 2 2 2 2 4 2 2" xfId="17260"/>
    <cellStyle name="60% - 强调文字颜色 4 2 4 4 3" xfId="17261"/>
    <cellStyle name="强调文字颜色 5 2 6 2 2" xfId="17262"/>
    <cellStyle name="计算 3 2 2 2 6" xfId="17263"/>
    <cellStyle name="标题 3 2 2 2 5 2 3" xfId="17264"/>
    <cellStyle name="输入 2 2 7 4 3" xfId="17265"/>
    <cellStyle name="计算 2 6 3 7" xfId="17266"/>
    <cellStyle name="60% - 强调文字颜色 2 2 3 2 4 2 2" xfId="17267"/>
    <cellStyle name="60% - 强调文字颜色 3 2 4 4 2 2" xfId="17268"/>
    <cellStyle name="强调文字颜色 4 2 2 3 2 2" xfId="17269"/>
    <cellStyle name="40% - 强调文字颜色 1 2 11" xfId="17270"/>
    <cellStyle name="标题 1 2 4 2" xfId="17271"/>
    <cellStyle name="常规 5 2 3 4 2 2 2" xfId="17272"/>
    <cellStyle name="输入 2 2 3 2 2 9" xfId="17273"/>
    <cellStyle name="解释性文本 2 6 3" xfId="17274"/>
    <cellStyle name="输入 2 2 4 3 2 3 2" xfId="17275"/>
    <cellStyle name="40% - 强调文字颜色 1 2 3 5" xfId="17276"/>
    <cellStyle name="汇总 2 6 4 2 2" xfId="17277"/>
    <cellStyle name="常规 4 2 6 4 2" xfId="17278"/>
    <cellStyle name="40% - 强调文字颜色 2 2 3 2 4 2 2 2" xfId="17279"/>
    <cellStyle name="40% - 强调文字颜色 6 4 2 2 2 2" xfId="17280"/>
    <cellStyle name="好 2 2 3 6 3" xfId="17281"/>
    <cellStyle name="常规 6 3 4 2 2" xfId="17282"/>
    <cellStyle name="60% - 强调文字颜色 4 3 3 2 2 2" xfId="17283"/>
    <cellStyle name="超链接 2 2 3 4 2" xfId="17284"/>
    <cellStyle name="汇总 2 2 6 2 6" xfId="17285"/>
    <cellStyle name="计算 2 7 5 3 3" xfId="17286"/>
    <cellStyle name="常规 2 2" xfId="17287"/>
    <cellStyle name="强调文字颜色 4 2 2 2 2 2" xfId="17288"/>
    <cellStyle name="强调文字颜色 6 2 2 2 2 2 3" xfId="17289"/>
    <cellStyle name="超链接 2 2 2 2 3 3 2" xfId="17290"/>
    <cellStyle name="输入 2 3 2 2 6" xfId="17291"/>
    <cellStyle name="强调文字颜色 1 5" xfId="17292"/>
    <cellStyle name="输入 3 2 2 5 2 2" xfId="17293"/>
    <cellStyle name="40% - 强调文字颜色 1 2 3 4" xfId="17294"/>
    <cellStyle name="标题 1 2 4 4 2 2 2" xfId="17295"/>
    <cellStyle name="好 2 2 3 6 2" xfId="17296"/>
    <cellStyle name="20% - 强调文字颜色 4 4 2" xfId="17297"/>
    <cellStyle name="强调文字颜色 2 2 5 3 2" xfId="17298"/>
    <cellStyle name="超链接 2 2 3 3 2 2 2" xfId="17299"/>
    <cellStyle name="40% - 强调文字颜色 4 2 2 2 4 3 2" xfId="17300"/>
    <cellStyle name="40% - 强调文字颜色 5 2 2 2 2 4 2 2" xfId="17301"/>
    <cellStyle name="40% - 强调文字颜色 6 2 3 2 2 2 2 2" xfId="17302"/>
    <cellStyle name="汇总 2 2 6 3 2 4" xfId="17303"/>
    <cellStyle name="计算 5 6" xfId="17304"/>
    <cellStyle name="输出 2 3 3 3 3" xfId="17305"/>
    <cellStyle name="60% - 强调文字颜色 3 6" xfId="17306"/>
    <cellStyle name="强调文字颜色 3 2 3 4 2 3" xfId="17307"/>
    <cellStyle name="汇总 2 2 5 2 4 3 3" xfId="17308"/>
    <cellStyle name="汇总 2 6 2 8" xfId="17309"/>
    <cellStyle name="常规 4 6 2 3 2" xfId="17310"/>
    <cellStyle name="解释性文本 2 2 2 2 3 3 3" xfId="17311"/>
    <cellStyle name="超链接 2 2 3 2 3" xfId="17312"/>
    <cellStyle name="输出 2 2 2 2 10" xfId="17313"/>
    <cellStyle name="汇总 2 5 2 5 4 2" xfId="17314"/>
    <cellStyle name="标题 3 2 3 4 3" xfId="17315"/>
    <cellStyle name="注释 2 5 6 2" xfId="17316"/>
    <cellStyle name="标题 2 3 2 5 2" xfId="17317"/>
    <cellStyle name="汇总 4 4 2" xfId="17318"/>
    <cellStyle name="输入 2 3 2 5 2 2" xfId="17319"/>
    <cellStyle name="差 3 2 2 3 2 2" xfId="17320"/>
    <cellStyle name="链接单元格 2 2 2 2 2 3" xfId="17321"/>
    <cellStyle name="好 2 3 2 2 2 2 2 2" xfId="17322"/>
    <cellStyle name="20% - 强调文字颜色 3 2 2 2 2 2 3 3 2" xfId="17323"/>
    <cellStyle name="强调文字颜色 5 2 5 3 2" xfId="17324"/>
    <cellStyle name="注释 2 5 5 2" xfId="17325"/>
    <cellStyle name="标题 2 3 2 4 2" xfId="17326"/>
    <cellStyle name="常规 12 4 2 4 2" xfId="17327"/>
    <cellStyle name="汇总 4 3 2" xfId="17328"/>
    <cellStyle name="输入 2 5 2 2 3 2 2" xfId="17329"/>
    <cellStyle name="适中 2 11" xfId="17330"/>
    <cellStyle name="60% - 强调文字颜色 6 2 2 4 2 3 3" xfId="17331"/>
    <cellStyle name="计算 7" xfId="17332"/>
    <cellStyle name="计算 2 2 5 3 3 2 2 2" xfId="17333"/>
    <cellStyle name="输入 3 11" xfId="17334"/>
    <cellStyle name="标题 3 4 2 2 2 3" xfId="17335"/>
    <cellStyle name="标题 1 2 4 9" xfId="17336"/>
    <cellStyle name="常规 6 3 2 2 2 2 2 2" xfId="17337"/>
    <cellStyle name="强调文字颜色 2 2 3 2 5 2" xfId="17338"/>
    <cellStyle name="20% - 强调文字颜色 2 3 5 2" xfId="17339"/>
    <cellStyle name="计算 2 2 3 2 2 4 2" xfId="17340"/>
    <cellStyle name="解释性文本 3 4" xfId="17341"/>
    <cellStyle name="标题 1 2 3 2 5 3" xfId="17342"/>
    <cellStyle name="常规 10 2 5" xfId="17343"/>
    <cellStyle name="强调文字颜色 1 3 2 2 3" xfId="17344"/>
    <cellStyle name="计算 2 2 2 2 2 6" xfId="17345"/>
    <cellStyle name="注释 2 2 7 4 3" xfId="17346"/>
    <cellStyle name="40% - 强调文字颜色 3 2 7 3 2" xfId="17347"/>
    <cellStyle name="检查单元格 2 3 2 4" xfId="17348"/>
    <cellStyle name="标题 3 6 3" xfId="17349"/>
    <cellStyle name="计算 2 7 5 3 2" xfId="17350"/>
    <cellStyle name="汇总 2 2 6 2 5" xfId="17351"/>
    <cellStyle name="60% - 强调文字颜色 3 2 2 9 2" xfId="17352"/>
    <cellStyle name="输出 2 2 3 2 2 4 2 2" xfId="17353"/>
    <cellStyle name="标题 1 2 2 3 6 3" xfId="17354"/>
    <cellStyle name="标题 4 3 3 3 3" xfId="17355"/>
    <cellStyle name="汇总 2 2 7 3 2 2 3" xfId="17356"/>
    <cellStyle name="强调文字颜色 1 2 4 2 2 3" xfId="17357"/>
    <cellStyle name="40% - 强调文字颜色 6 2 2 2 2 2 4 2 2" xfId="17358"/>
    <cellStyle name="常规 3 3 6 3" xfId="17359"/>
    <cellStyle name="强调文字颜色 5 2 2 6" xfId="17360"/>
    <cellStyle name="汇总 2 2 3 2 2 2 3 2 2" xfId="17361"/>
    <cellStyle name="警告文本 3" xfId="17362"/>
    <cellStyle name="汇总 2 2 6 2 2 2 2 2" xfId="17363"/>
    <cellStyle name="40% - 强调文字颜色 5 4 4 2 2 2" xfId="17364"/>
    <cellStyle name="警告文本 2 4 5 2 2" xfId="17365"/>
    <cellStyle name="计算 2 2 3 4 7" xfId="17366"/>
    <cellStyle name="60% - 强调文字颜色 1 4 4" xfId="17367"/>
    <cellStyle name="差 2 2 2 4 2" xfId="17368"/>
    <cellStyle name="强调文字颜色 3 3 3 2 2" xfId="17369"/>
    <cellStyle name="输入 3 2 2 2 3 2" xfId="17370"/>
    <cellStyle name="适中 4 7" xfId="17371"/>
    <cellStyle name="输出 2 2 3 4 2 4" xfId="17372"/>
    <cellStyle name="输入 2 2 2 3 2 5" xfId="17373"/>
    <cellStyle name="强调文字颜色 4 2 3 3 5" xfId="17374"/>
    <cellStyle name="标题 2 2 7" xfId="17375"/>
    <cellStyle name="强调文字颜色 1 2 2 2 2 3 3 3" xfId="17376"/>
    <cellStyle name="超链接 3 3 3 2 2" xfId="17377"/>
    <cellStyle name="输入 2 7 4 2 2" xfId="17378"/>
    <cellStyle name="60% - 强调文字颜色 5 2 3 2 3 3 2 2" xfId="17379"/>
    <cellStyle name="计算 2 10 3 2 3" xfId="17380"/>
    <cellStyle name="链接单元格 3 9" xfId="17381"/>
    <cellStyle name="计算 2 6 2 4 3 3" xfId="17382"/>
    <cellStyle name="40% - 强调文字颜色 5 2 3 3 2 2 2 2" xfId="17383"/>
    <cellStyle name="强调文字颜色 5 2 3 2 4 2 3" xfId="17384"/>
    <cellStyle name="40% - 强调文字颜色 3 2 2 2" xfId="17385"/>
    <cellStyle name="标题 3 2 7 2 3" xfId="17386"/>
    <cellStyle name="汇总 2 5 2 9 2 2" xfId="17387"/>
    <cellStyle name="标题 1 2 2 2 3 2 2 2 3" xfId="17388"/>
    <cellStyle name="标题 4 2 2 2 2 5" xfId="17389"/>
    <cellStyle name="强调文字颜色 3 2 2 2 2 5 3" xfId="17390"/>
    <cellStyle name="注释 2 17" xfId="17391"/>
    <cellStyle name="60% - 强调文字颜色 1 2 6 2 2 2" xfId="17392"/>
    <cellStyle name="40% - 强调文字颜色 1 2 2 4 3 3 2" xfId="17393"/>
    <cellStyle name="输入 2 13 2 2" xfId="17394"/>
    <cellStyle name="汇总 2 2 3 2 2 7 2" xfId="17395"/>
    <cellStyle name="注释 2 2 3 3 4 2" xfId="17396"/>
    <cellStyle name="40% - 强调文字颜色 3 2 3 2 3 2" xfId="17397"/>
    <cellStyle name="输出 2 4 3" xfId="17398"/>
    <cellStyle name="40% - 强调文字颜色 2 2 2 2 3 4" xfId="17399"/>
    <cellStyle name="计算 2 2 7 2 2 3 2 2" xfId="17400"/>
    <cellStyle name="汇总 2 5 3 2 2 2 2 2" xfId="17401"/>
    <cellStyle name="标题 4 2 4 5 2" xfId="17402"/>
    <cellStyle name="20% - 强调文字颜色 4 2 3 2 2 3 3" xfId="17403"/>
    <cellStyle name="链接单元格 2 2 9" xfId="17404"/>
    <cellStyle name="计算 2 9 3 2 2 2" xfId="17405"/>
    <cellStyle name="注释 3 2 6 3" xfId="17406"/>
    <cellStyle name="输入 2 7 2 4 3" xfId="17407"/>
    <cellStyle name="40% - 强调文字颜色 5 5 2 2 2" xfId="17408"/>
    <cellStyle name="常规 10 3 2 5" xfId="17409"/>
    <cellStyle name="标题 4 2 5 2" xfId="17410"/>
    <cellStyle name="输入 2 2 5 3 4 2 2" xfId="17411"/>
    <cellStyle name="60% - 强调文字颜色 1 2 2 2 2 3 3 2 2" xfId="17412"/>
    <cellStyle name="差 3 2 2 3 2" xfId="17413"/>
    <cellStyle name="输入 2 3 2 5 2" xfId="17414"/>
    <cellStyle name="40% - 强调文字颜色 3 2 2 2 2 2 3 3 2 2" xfId="17415"/>
    <cellStyle name="常规 9 3 4 2 2 2" xfId="17416"/>
    <cellStyle name="标题 1 2 3 4 2 2" xfId="17417"/>
    <cellStyle name="汇总 2 9 3 2 3" xfId="17418"/>
    <cellStyle name="40% - 强调文字颜色 6 2 4 7" xfId="17419"/>
    <cellStyle name="60% - 强调文字颜色 6 3 3 3 2" xfId="17420"/>
    <cellStyle name="强调文字颜色 3 2 2 2 2 2 2" xfId="17421"/>
    <cellStyle name="常规 9 3 4 2 2" xfId="17422"/>
    <cellStyle name="40% - 强调文字颜色 3 2 2 2 2 2 3 3 2" xfId="17423"/>
    <cellStyle name="汇总 2 6 15" xfId="17424"/>
    <cellStyle name="标题 1 2 3 4 2" xfId="17425"/>
    <cellStyle name="20% - 强调文字颜色 3 2 3 2 3 2" xfId="17426"/>
    <cellStyle name="标题 1 2 3 4" xfId="17427"/>
    <cellStyle name="强调文字颜色 4 2 2 6" xfId="17428"/>
    <cellStyle name="汇总 2 2 2 4 2 4 2" xfId="17429"/>
    <cellStyle name="标题 1 2 3 3 2 2 2" xfId="17430"/>
    <cellStyle name="60% - 强调文字颜色 6 3 2 2 3 2 3" xfId="17431"/>
    <cellStyle name="常规 6 3 3 2" xfId="17432"/>
    <cellStyle name="链接单元格 2 2 6 4" xfId="17433"/>
    <cellStyle name="汇总 2 2 6 9 2 2" xfId="17434"/>
    <cellStyle name="常规 3 6 3 2 2" xfId="17435"/>
    <cellStyle name="标题 5 3 3 4" xfId="17436"/>
    <cellStyle name="输入 2 2 2 2 2 4 2 2" xfId="17437"/>
    <cellStyle name="标题 2 2 4" xfId="17438"/>
    <cellStyle name="强调文字颜色 4 2 3 3 2" xfId="17439"/>
    <cellStyle name="输入 2 2 2 7 2" xfId="17440"/>
    <cellStyle name="标题 1 2 3 2 5" xfId="17441"/>
    <cellStyle name="汇总 2 2 2 4 4 2 2" xfId="17442"/>
    <cellStyle name="超链接 3 2 2 2 2 2" xfId="17443"/>
    <cellStyle name="输入 2 6 3 2 2 2" xfId="17444"/>
    <cellStyle name="注释 2 3 4 2 2" xfId="17445"/>
    <cellStyle name="计算 2 2 4 2 3 3 3 3" xfId="17446"/>
    <cellStyle name="强调文字颜色 1 2 3 2" xfId="17447"/>
    <cellStyle name="计算 2 3 3 3 5" xfId="17448"/>
    <cellStyle name="输出 2 2 3 2 7 3" xfId="17449"/>
    <cellStyle name="20% - 强调文字颜色 6 2 2 2 4 3 2" xfId="17450"/>
    <cellStyle name="常规 11 3 2 3 2 2" xfId="17451"/>
    <cellStyle name="常规 6 3 2 2 4 3" xfId="17452"/>
    <cellStyle name="标题 3 3 2 5 2" xfId="17453"/>
    <cellStyle name="60% - 强调文字颜色 5 4 2 2" xfId="17454"/>
    <cellStyle name="注释 2 7 7 2" xfId="17455"/>
    <cellStyle name="汇总 2 2 2 3 3 5" xfId="17456"/>
    <cellStyle name="标题 1 2 3 2 3 3" xfId="17457"/>
    <cellStyle name="汇总 2 2 2 3 3 4" xfId="17458"/>
    <cellStyle name="标题 1 2 3 2 3 2" xfId="17459"/>
    <cellStyle name="好 2 4 3 2 3" xfId="17460"/>
    <cellStyle name="计算 2 2 2 3 3 3" xfId="17461"/>
    <cellStyle name="注释 2 4 2 2 2 2 3" xfId="17462"/>
    <cellStyle name="注释 2 6 2 7" xfId="17463"/>
    <cellStyle name="计算 2 2 2 2 2 2 4" xfId="17464"/>
    <cellStyle name="标题 3 2 2 4 2 2" xfId="17465"/>
    <cellStyle name="输入 2 4 4 4" xfId="17466"/>
    <cellStyle name="汇总 2 6 3 2 7" xfId="17467"/>
    <cellStyle name="差 3 3 4 2" xfId="17468"/>
    <cellStyle name="计算 2 2 6 4 4 2 2" xfId="17469"/>
    <cellStyle name="超链接 2 4 2 4" xfId="17470"/>
    <cellStyle name="标题 5 2 2 6 2" xfId="17471"/>
    <cellStyle name="60% - 强调文字颜色 4 2 2 3 6" xfId="17472"/>
    <cellStyle name="常规 5 2 3 3 2 3" xfId="17473"/>
    <cellStyle name="标题 2 2 2 2 3 2 2 2" xfId="17474"/>
    <cellStyle name="输入 2 2 4 2 2 4" xfId="17475"/>
    <cellStyle name="60% - 强调文字颜色 5 2 2 2 2 3 2 2" xfId="17476"/>
    <cellStyle name="20% - 强调文字颜色 3 2 3 3 4" xfId="17477"/>
    <cellStyle name="计算 2 2 2 2 2 2 2 3 2" xfId="17478"/>
    <cellStyle name="汇总 2 2 5" xfId="17479"/>
    <cellStyle name="强调文字颜色 1 2 4 2 3" xfId="17480"/>
    <cellStyle name="常规 3 3 7" xfId="17481"/>
    <cellStyle name="标题 1 2 2 4 5 3" xfId="17482"/>
    <cellStyle name="计算 2 2 7 4 2" xfId="17483"/>
    <cellStyle name="20% - 强调文字颜色 5 2 2 5 2 2 2" xfId="17484"/>
    <cellStyle name="标题 3 3 2 2" xfId="17485"/>
    <cellStyle name="计算 2 2 3 2 3 4 3" xfId="17486"/>
    <cellStyle name="强调文字颜色 2 2 2 2 2" xfId="17487"/>
    <cellStyle name="20% - 强调文字颜色 1 3 2" xfId="17488"/>
    <cellStyle name="计算 2 4 10" xfId="17489"/>
    <cellStyle name="输出 3 2 2 3 2 2" xfId="17490"/>
    <cellStyle name="计算 2 2 4 2 2 2 2 3 2 2" xfId="17491"/>
    <cellStyle name="百分比 2 2 5" xfId="17492"/>
    <cellStyle name="标题 1 2 2 5 4" xfId="17493"/>
    <cellStyle name="计算 2 2 3 2 2 3 3 2 2" xfId="17494"/>
    <cellStyle name="计算 2 8 2 7" xfId="17495"/>
    <cellStyle name="输入 2 2 9 3 3" xfId="17496"/>
    <cellStyle name="注释 2 8 4" xfId="17497"/>
    <cellStyle name="标题 2 3 5 3" xfId="17498"/>
    <cellStyle name="强调文字颜色 4 2 3 4 3 3" xfId="17499"/>
    <cellStyle name="标题 1 2 2 3 3 2 2 2" xfId="17500"/>
    <cellStyle name="常规 5 3 4 2 4" xfId="17501"/>
    <cellStyle name="强调文字颜色 3 2 2 5 2 2" xfId="17502"/>
    <cellStyle name="标题 1 2 2 4 2 2 2 2" xfId="17503"/>
    <cellStyle name="汇总 2 8 3 2 3 2 2" xfId="17504"/>
    <cellStyle name="60% - 强调文字颜色 4 2 4 5 2" xfId="17505"/>
    <cellStyle name="汇总 2 10 4 2 2" xfId="17506"/>
    <cellStyle name="注释 2 10 6" xfId="17507"/>
    <cellStyle name="好 2 2 2 2 8" xfId="17508"/>
    <cellStyle name="常规 4 5 3 3 3" xfId="17509"/>
    <cellStyle name="标题 5 3 2 5 2" xfId="17510"/>
    <cellStyle name="输入 2 8 2 4" xfId="17511"/>
    <cellStyle name="40% - 强调文字颜色 5 3 6" xfId="17512"/>
    <cellStyle name="60% - 强调文字颜色 4 2 2 2 4 2 2" xfId="17513"/>
    <cellStyle name="输入 2 2 3 4" xfId="17514"/>
    <cellStyle name="强调文字颜色 4 2 3 2 5 2" xfId="17515"/>
    <cellStyle name="常规 5 5 2 3 4" xfId="17516"/>
    <cellStyle name="计算 2 3 3 3 3 2 2" xfId="17517"/>
    <cellStyle name="强调文字颜色 3 2 4 3 3 2" xfId="17518"/>
    <cellStyle name="标题 1 3 2 4 2 2 2" xfId="17519"/>
    <cellStyle name="常规 4 2 4 2 3" xfId="17520"/>
    <cellStyle name="好 2 2 2 2 2 2" xfId="17521"/>
    <cellStyle name="计算 2 3 3 2 2 2" xfId="17522"/>
    <cellStyle name="强调文字颜色 3 2 3 2 3" xfId="17523"/>
    <cellStyle name="输入 2 5 2 4 3" xfId="17524"/>
    <cellStyle name="汇总 3 2 3 6" xfId="17525"/>
    <cellStyle name="强调文字颜色 2 2 3 4 3 3" xfId="17526"/>
    <cellStyle name="计算 2 2 3 2 4 2 3" xfId="17527"/>
    <cellStyle name="汇总 3 2 2 3 5" xfId="17528"/>
    <cellStyle name="汇总 3 2 2 3 2 3" xfId="17529"/>
    <cellStyle name="20% - 强调文字颜色 4 2 3 2 2 3 2 2" xfId="17530"/>
    <cellStyle name="60% - 强调文字颜色 1 2 2 2 3 2 2 2" xfId="17531"/>
    <cellStyle name="输入 2 2 6 2 3 2" xfId="17532"/>
    <cellStyle name="汇总 2 2 3 5 2 2" xfId="17533"/>
    <cellStyle name="输入 2 2 2 2 2 2 6" xfId="17534"/>
    <cellStyle name="20% - 强调文字颜色 6 2 2 2 2 2 3 2 2 2" xfId="17535"/>
    <cellStyle name="20% - 强调文字颜色 1 2 2 4" xfId="17536"/>
    <cellStyle name="20% - 强调文字颜色 1 2 4 5 2" xfId="17537"/>
    <cellStyle name="强调文字颜色 5 2 2 4 2 3" xfId="17538"/>
    <cellStyle name="常规 10 2 2 2 2 3 3" xfId="17539"/>
    <cellStyle name="40% - 强调文字颜色 3 2 2 4 3 2 2 2" xfId="17540"/>
    <cellStyle name="汇总 2 2 4 5 2 2" xfId="17541"/>
    <cellStyle name="输入 2 2 7 2 3 2" xfId="17542"/>
    <cellStyle name="60% - 强调文字颜色 1 2 2 2 4 2 2 2" xfId="17543"/>
    <cellStyle name="强调文字颜色 1 2 3 6" xfId="17544"/>
    <cellStyle name="标题 1 3 3 4 2" xfId="17545"/>
    <cellStyle name="常规 9 4 4 2 2" xfId="17546"/>
    <cellStyle name="标题 3 2 2 5 3 3" xfId="17547"/>
    <cellStyle name="输入 2 5 5 5" xfId="17548"/>
    <cellStyle name="输入 2 10 6" xfId="17549"/>
    <cellStyle name="好 2 3 5 2" xfId="17550"/>
    <cellStyle name="常规 5 2 2 4 2 2 2" xfId="17551"/>
    <cellStyle name="常规 5 6 2 4 2" xfId="17552"/>
    <cellStyle name="计算 5 4 2 2" xfId="17553"/>
    <cellStyle name="常规 8 3 4 2 2 2" xfId="17554"/>
    <cellStyle name="60% - 强调文字颜色 3 2 2 2 2 4" xfId="17555"/>
    <cellStyle name="60% - 强调文字颜色 4 2 3 2 2 2" xfId="17556"/>
    <cellStyle name="注释 2 4 2 3 4 3" xfId="17557"/>
    <cellStyle name="检查单元格 2 2 2 3 2 3" xfId="17558"/>
    <cellStyle name="40% - 强调文字颜色 2 4 3 2 2" xfId="17559"/>
    <cellStyle name="汇总 2 7 4 2 3 2 2" xfId="17560"/>
    <cellStyle name="标题 1 2 2 2 3 7" xfId="17561"/>
    <cellStyle name="40% - 强调文字颜色 2 2 3 6 2 2" xfId="17562"/>
    <cellStyle name="强调文字颜色 1 2 2 3 2 2 3" xfId="17563"/>
    <cellStyle name="强调文字颜色 3 2 3 5 2" xfId="17564"/>
    <cellStyle name="强调文字颜色 4 3 9" xfId="17565"/>
    <cellStyle name="60% - 强调文字颜色 6 2 2 5 2 3" xfId="17566"/>
    <cellStyle name="输出 2 2 3 2 2 10" xfId="17567"/>
    <cellStyle name="常规 5 5 2 3" xfId="17568"/>
    <cellStyle name="强调文字颜色 3 2 2 2 5" xfId="17569"/>
    <cellStyle name="40% - 强调文字颜色 3 2 2 2 3 2" xfId="17570"/>
    <cellStyle name="注释 2 2 2 3 4 2" xfId="17571"/>
    <cellStyle name="强调文字颜色 3 2 3 7" xfId="17572"/>
    <cellStyle name="标题 1 2 2 3 4 4" xfId="17573"/>
    <cellStyle name="注释 2 9 5" xfId="17574"/>
    <cellStyle name="强调文字颜色 3 2 3 6" xfId="17575"/>
    <cellStyle name="强调文字颜色 1 2 2 3 3 2 2 2" xfId="17576"/>
    <cellStyle name="60% - 强调文字颜色 2 2 2 7 2 2" xfId="17577"/>
    <cellStyle name="强调文字颜色 2 2 3 2 4 2 2 2" xfId="17578"/>
    <cellStyle name="20% - 强调文字颜色 2 3 4 2 2 2" xfId="17579"/>
    <cellStyle name="计算 2 2 3 2 2 3 2 2 2" xfId="17580"/>
    <cellStyle name="常规 2 2 2 3 2" xfId="17581"/>
    <cellStyle name="常规 13 2 2 2 2 3" xfId="17582"/>
    <cellStyle name="输出 2 3 4 3 2" xfId="17583"/>
    <cellStyle name="40% - 强调文字颜色 3 2 3 2 2 3 3 2" xfId="17584"/>
    <cellStyle name="注释 2 7 6" xfId="17585"/>
    <cellStyle name="强调文字颜色 5 2 4 4 2 3" xfId="17586"/>
    <cellStyle name="标题 1 2 2 3 4 3" xfId="17587"/>
    <cellStyle name="检查单元格 2 2 2 4 2 2 2" xfId="17588"/>
    <cellStyle name="强调文字颜色 2 2 2 2 2 3 3 2 2" xfId="17589"/>
    <cellStyle name="解释性文本 2 4 2 2" xfId="17590"/>
    <cellStyle name="输入 2 2 4 2 6 3" xfId="17591"/>
    <cellStyle name="40% - 强调文字颜色 6 2 5 4 2" xfId="17592"/>
    <cellStyle name="标题 1 2 2 3 4 2" xfId="17593"/>
    <cellStyle name="汇总 2 8 2 4 3" xfId="17594"/>
    <cellStyle name="60% - 强调文字颜色 2 2 2 2 2 5 2 2" xfId="17595"/>
    <cellStyle name="计算 2 7 16" xfId="17596"/>
    <cellStyle name="40% - 强调文字颜色 3 3 2 3 2 2 2" xfId="17597"/>
    <cellStyle name="40% - 强调文字颜色 3 2 2 2 2 2 4" xfId="17598"/>
    <cellStyle name="检查单元格 3 8" xfId="17599"/>
    <cellStyle name="常规 12 2 2 3 2 2" xfId="17600"/>
    <cellStyle name="常规 3 2 4 3 4 2" xfId="17601"/>
    <cellStyle name="标题 5 2 2 2 8" xfId="17602"/>
    <cellStyle name="60% - 强调文字颜色 4 2 4" xfId="17603"/>
    <cellStyle name="计算 2 2 4 3 6 2" xfId="17604"/>
    <cellStyle name="计算 2 2 6 2 7" xfId="17605"/>
    <cellStyle name="60% - 强调文字颜色 2 3 3 2" xfId="17606"/>
    <cellStyle name="注释 2 2 3 2 7" xfId="17607"/>
    <cellStyle name="输入 2 5 5 2" xfId="17608"/>
    <cellStyle name="常规 7 3 5" xfId="17609"/>
    <cellStyle name="40% - 强调文字颜色 5 2 2 2 2 2 5 2" xfId="17610"/>
    <cellStyle name="常规 3 2 2 4 3 3" xfId="17611"/>
    <cellStyle name="好 5 3" xfId="17612"/>
    <cellStyle name="计算 2 2 6 5 6" xfId="17613"/>
    <cellStyle name="标题 3 2 3 6" xfId="17614"/>
    <cellStyle name="60% - 强调文字颜色 5 2 4 5 2 2" xfId="17615"/>
    <cellStyle name="计算 2 2 2 4 5 3" xfId="17616"/>
    <cellStyle name="注释 2 2 3 2 9 2" xfId="17617"/>
    <cellStyle name="标题 7 4 2 2 2" xfId="17618"/>
    <cellStyle name="标题 5 2 4 3 2 2 2" xfId="17619"/>
    <cellStyle name="输入 7 2" xfId="17620"/>
    <cellStyle name="注释 3" xfId="17621"/>
    <cellStyle name="计算 2 4 2 2 2 3 2" xfId="17622"/>
    <cellStyle name="常规 5 2 2 5" xfId="17623"/>
    <cellStyle name="说明文本 5" xfId="17624"/>
    <cellStyle name="汇总 2 2 3 3 2 2 2 2" xfId="17625"/>
    <cellStyle name="计算 2 10 6 2" xfId="17626"/>
    <cellStyle name="计算 2 2 7 2 8" xfId="17627"/>
    <cellStyle name="60% - 强调文字颜色 5 2 5" xfId="17628"/>
    <cellStyle name="计算 2 2 4 4 6 3" xfId="17629"/>
    <cellStyle name="40% - 强调文字颜色 2 3 2 3 2 2" xfId="17630"/>
    <cellStyle name="解释性文本 2 2 2" xfId="17631"/>
    <cellStyle name="汇总 2 2 6 6 5" xfId="17632"/>
    <cellStyle name="Normal 3 2 2 2" xfId="17633"/>
    <cellStyle name="注释 2 6 2 3 3" xfId="17634"/>
    <cellStyle name="40% - 强调文字颜色 3 6 2 2 2" xfId="17635"/>
    <cellStyle name="20% - 强调文字颜色 5 2 4 4" xfId="17636"/>
    <cellStyle name="汇总 2 2 4 2 6 3 2" xfId="17637"/>
    <cellStyle name="输出 4 2 5" xfId="17638"/>
    <cellStyle name="标题 1 2 2 2 4 3 2 2" xfId="17639"/>
    <cellStyle name="警告文本 2 2 3 2 2 2 2" xfId="17640"/>
    <cellStyle name="汇总 2 2 4 2 5 3 3" xfId="17641"/>
    <cellStyle name="60% - 强调文字颜色 6 2 2 4 5 3" xfId="17642"/>
    <cellStyle name="60% - 强调文字颜色 6 2 2 2 5 2" xfId="17643"/>
    <cellStyle name="汇总 2 2 4 2 3 3 2" xfId="17644"/>
    <cellStyle name="计算 2 2 4 4 3 5" xfId="17645"/>
    <cellStyle name="百分比 2 2 4 4" xfId="17646"/>
    <cellStyle name="汇总 2 2 6 6 3 2 2" xfId="17647"/>
    <cellStyle name="计算 2 2 10 3 2" xfId="17648"/>
    <cellStyle name="解释性文本 2 2 2 3 6" xfId="17649"/>
    <cellStyle name="链接单元格 2 3 4 2 2" xfId="17650"/>
    <cellStyle name="汇总 2 5 2 2 2 5 2 2" xfId="17651"/>
    <cellStyle name="标题 1 2 2 2 4 2 2 3" xfId="17652"/>
    <cellStyle name="输出 3 2 6" xfId="17653"/>
    <cellStyle name="汇总 2 2 4 2 5 3 2" xfId="17654"/>
    <cellStyle name="60% - 强调文字颜色 6 2 2 4 5 2" xfId="17655"/>
    <cellStyle name="强调文字颜色 6 2 3 2 4 4" xfId="17656"/>
    <cellStyle name="汇总 2 5 3 3 4 3" xfId="17657"/>
    <cellStyle name="标题 1 2 2 2 4 2 2 2" xfId="17658"/>
    <cellStyle name="40% - 强调文字颜色 5 2 10" xfId="17659"/>
    <cellStyle name="60% - 强调文字颜色 5 2 2 2 3 5" xfId="17660"/>
    <cellStyle name="计算 2 5 3 2 3 2 2" xfId="17661"/>
    <cellStyle name="输入 2 2 4 2 2 2 2 3" xfId="17662"/>
    <cellStyle name="强调文字颜色 5 2 3 3 3 2" xfId="17663"/>
    <cellStyle name="标题 1 2 5 4" xfId="17664"/>
    <cellStyle name="强调文字颜色 4 2 2 3 3 4" xfId="17665"/>
    <cellStyle name="计算 2 2 7 3 2" xfId="17666"/>
    <cellStyle name="标题 4 4 3 2 2 2" xfId="17667"/>
    <cellStyle name="40% - 强调文字颜色 1 2 2 3 4" xfId="17668"/>
    <cellStyle name="警告文本 2 2 3 4 2 3" xfId="17669"/>
    <cellStyle name="汇总 2 4 3 2 4 2 2" xfId="17670"/>
    <cellStyle name="汇总 2 2 4 4 2 5" xfId="17671"/>
    <cellStyle name="计算 3 12" xfId="17672"/>
    <cellStyle name="60% - 强调文字颜色 6 3 3 2 2" xfId="17673"/>
    <cellStyle name="40% - 强调文字颜色 6 2 3 7" xfId="17674"/>
    <cellStyle name="检查单元格 2 5 3 2 2" xfId="17675"/>
    <cellStyle name="常规 9 2 2 2 2 2" xfId="17676"/>
    <cellStyle name="常规 5 4 3 4 2 2" xfId="17677"/>
    <cellStyle name="计算 2 2 6 17" xfId="17678"/>
    <cellStyle name="20% - 强调文字颜色 2 2 2 4 2 3 2" xfId="17679"/>
    <cellStyle name="输出 2 2 6 7 2" xfId="17680"/>
    <cellStyle name="输入 2 2 5 3 2 2" xfId="17681"/>
    <cellStyle name="计算 2 4 2 6 2" xfId="17682"/>
    <cellStyle name="40% - 强调文字颜色 5 2 3 2 2 4 2 2 2" xfId="17683"/>
    <cellStyle name="好 2 2 3 3 2" xfId="17684"/>
    <cellStyle name="60% - 强调文字颜色 4 2 2 3 5 2 2" xfId="17685"/>
    <cellStyle name="差 4 2 3 2" xfId="17686"/>
    <cellStyle name="输入 4 2 5 3" xfId="17687"/>
    <cellStyle name="标题 1 2 2 2 3 5" xfId="17688"/>
    <cellStyle name="汇总 6 4 2" xfId="17689"/>
    <cellStyle name="计算 2 2 4 3 2 5 3" xfId="17690"/>
    <cellStyle name="汇总 2 2 4 2 2 2 2 3" xfId="17691"/>
    <cellStyle name="输入 2 2 5 2 2 8" xfId="17692"/>
    <cellStyle name="40% - 强调文字颜色 4 2 2 6 3" xfId="17693"/>
    <cellStyle name="常规 5 4 3 2 2" xfId="17694"/>
    <cellStyle name="注释 2 2 5 5 5" xfId="17695"/>
    <cellStyle name="常规 4 2 2 2 2" xfId="17696"/>
    <cellStyle name="60% - 强调文字颜色 4 2 3 4" xfId="17697"/>
    <cellStyle name="链接单元格 2 7 2" xfId="17698"/>
    <cellStyle name="汇总 2 5 2 2 6 3" xfId="17699"/>
    <cellStyle name="40% - 强调文字颜色 1 3 5 2 2 2" xfId="17700"/>
    <cellStyle name="60% - 强调文字颜色 5 6 2 2" xfId="17701"/>
    <cellStyle name="常规 2 2 2 2 2 3" xfId="17702"/>
    <cellStyle name="输出 2 3 4 2 2 3" xfId="17703"/>
    <cellStyle name="计算 2 2 4 5 2 4 2" xfId="17704"/>
    <cellStyle name="计算 2 2 7 2 3" xfId="17705"/>
    <cellStyle name="常规 9 4 2" xfId="17706"/>
    <cellStyle name="20% - 强调文字颜色 4 2 5 2 3 2" xfId="17707"/>
    <cellStyle name="标题 1 2 2 3 3 2 3" xfId="17708"/>
    <cellStyle name="检查单元格 2 2 2 2 4 2 2 2" xfId="17709"/>
    <cellStyle name="40% - 强调文字颜色 1 5 2" xfId="17710"/>
    <cellStyle name="常规 4 2 5 2 2" xfId="17711"/>
    <cellStyle name="强调文字颜色 6 2 2 5 3 2" xfId="17712"/>
    <cellStyle name="汇总 2 3 2 4 2 2" xfId="17713"/>
    <cellStyle name="标题 1 2 2 2 3" xfId="17714"/>
    <cellStyle name="20% - 强调文字颜色 1 3 3 3" xfId="17715"/>
    <cellStyle name="强调文字颜色 2 2 2 2 3 3" xfId="17716"/>
    <cellStyle name="适中 2 4 2 4" xfId="17717"/>
    <cellStyle name="20% - 强调文字颜色 6 2 3 2 5" xfId="17718"/>
    <cellStyle name="注释 2 4 7 2 2" xfId="17719"/>
    <cellStyle name="标题 3 4 2 3 2 2 2" xfId="17720"/>
    <cellStyle name="标题 1 2 2 2 3 3 3" xfId="17721"/>
    <cellStyle name="注释 2 2 3 2 2" xfId="17722"/>
    <cellStyle name="适中 3 2 5 2 2" xfId="17723"/>
    <cellStyle name="20% - 强调文字颜色 3 2 3 2 3 3" xfId="17724"/>
    <cellStyle name="标题 1 2 3 5" xfId="17725"/>
    <cellStyle name="强调文字颜色 3 2 3 2 3 2 2" xfId="17726"/>
    <cellStyle name="计算 2 2 4 2 3 2 4 2" xfId="17727"/>
    <cellStyle name="标题 2 2 2 2 2 7" xfId="17728"/>
    <cellStyle name="标题 4 2 4 2 2 3" xfId="17729"/>
    <cellStyle name="40% - 强调文字颜色 5 2 2 2 2 2 2" xfId="17730"/>
    <cellStyle name="注释 2 2 3 7 2 2" xfId="17731"/>
    <cellStyle name="注释 2 2 5 2 2 2 3" xfId="17732"/>
    <cellStyle name="40% - 强调文字颜色 4 2 2 6 3 2" xfId="17733"/>
    <cellStyle name="计算 2 2 3 2 10" xfId="17734"/>
    <cellStyle name="常规 5 4 3 2 2 2" xfId="17735"/>
    <cellStyle name="输出 2 2 4 7 2" xfId="17736"/>
    <cellStyle name="汇总 2 3 2 2 2 2 3 2 2" xfId="17737"/>
    <cellStyle name="计算 2 2 2 8 3" xfId="17738"/>
    <cellStyle name="输入 2 2 3 3 4 3" xfId="17739"/>
    <cellStyle name="差 2 2 4 2 2 2 2" xfId="17740"/>
    <cellStyle name="60% - 强调文字颜色 4 2 4 3 2 2" xfId="17741"/>
    <cellStyle name="常规 12 3 3 3 3" xfId="17742"/>
    <cellStyle name="汇总 2 2 3 2 3 2 2" xfId="17743"/>
    <cellStyle name="输入 2 3 4 2 2 2 2" xfId="17744"/>
    <cellStyle name="输入 4 2 3" xfId="17745"/>
    <cellStyle name="强调文字颜色 5 2 2 3 4 2 2" xfId="17746"/>
    <cellStyle name="计算 2 8 2 2 7" xfId="17747"/>
    <cellStyle name="输入 2 2 3 3 2" xfId="17748"/>
    <cellStyle name="计算 2 2 2 6" xfId="17749"/>
    <cellStyle name="60% - 强调文字颜色 6 2 2 2 2 4 2 2" xfId="17750"/>
    <cellStyle name="输出 2 6 7 3" xfId="17751"/>
    <cellStyle name="计算 2 8 3 2" xfId="17752"/>
    <cellStyle name="注释 3 10" xfId="17753"/>
    <cellStyle name="输入 2 6 2 2 2 4" xfId="17754"/>
    <cellStyle name="40% - 强调文字颜色 1 2 3 3 2 2 2 2 2" xfId="17755"/>
    <cellStyle name="强调文字颜色 1 2 2 3 3 2 3" xfId="17756"/>
    <cellStyle name="强调文字颜色 3 2 4 5 2" xfId="17757"/>
    <cellStyle name="解释性文本 4 9" xfId="17758"/>
    <cellStyle name="标题 1 2 5 2 3" xfId="17759"/>
    <cellStyle name="强调文字颜色 4 2 2 3 3 2 3" xfId="17760"/>
    <cellStyle name="汇总 2 3 2 7 2 2" xfId="17761"/>
    <cellStyle name="汇总 2 2 6 3 4" xfId="17762"/>
    <cellStyle name="计算 2 9 2 4 3" xfId="17763"/>
    <cellStyle name="注释 2 4 3 3 3" xfId="17764"/>
    <cellStyle name="汇总 2 2 5 2 2 6" xfId="17765"/>
    <cellStyle name="适中 2 2 2 2 4 2 2 2" xfId="17766"/>
    <cellStyle name="40% - 强调文字颜色 3 4 3 2 2" xfId="17767"/>
    <cellStyle name="20% - 强调文字颜色 6 4 2 4" xfId="17768"/>
    <cellStyle name="汇总 2 2 7 5 3" xfId="17769"/>
    <cellStyle name="强调文字颜色 6 2 2 3 2 2 2 2 2" xfId="17770"/>
    <cellStyle name="20% - 强调文字颜色 6 2 3 2 2 4" xfId="17771"/>
    <cellStyle name="常规 14 3 2 2" xfId="17772"/>
    <cellStyle name="计算 2 2 2 2 2 2 7" xfId="17773"/>
    <cellStyle name="差 2 2 2 3 3 3" xfId="17774"/>
    <cellStyle name="输出 4 4 2 2" xfId="17775"/>
    <cellStyle name="40% - 强调文字颜色 2 2 2 4 3 3 2" xfId="17776"/>
    <cellStyle name="汇总 2 7 6 3 3" xfId="17777"/>
    <cellStyle name="输入 2 2 4 3 5" xfId="17778"/>
    <cellStyle name="计算 2 3 2 9" xfId="17779"/>
    <cellStyle name="输入 2 11 3" xfId="17780"/>
    <cellStyle name="20% - 强调文字颜色 6 2 3 3 5" xfId="17781"/>
    <cellStyle name="汇总 2 3 6 3 2" xfId="17782"/>
    <cellStyle name="标题 2 4 2 2 2 2" xfId="17783"/>
    <cellStyle name="标题 2 2 3 3 2 2 2 2 2" xfId="17784"/>
    <cellStyle name="链接单元格 3 4 2" xfId="17785"/>
    <cellStyle name="汇总 2 5 2 3 3 3" xfId="17786"/>
    <cellStyle name="差 2 2 6" xfId="17787"/>
    <cellStyle name="输入 2 2 5 4 3 2 2" xfId="17788"/>
    <cellStyle name="60% - 强调文字颜色 1 2 2 2 2 4 2 2 2" xfId="17789"/>
    <cellStyle name="输入 2 2 7 6 3" xfId="17790"/>
    <cellStyle name="60% - 强调文字颜色 3 2 4 2 2 2 2 2" xfId="17791"/>
    <cellStyle name="60% - 强调文字颜色 2 2 3 2 2 2 2 2 2" xfId="17792"/>
    <cellStyle name="输出 2 4 4 2 4" xfId="17793"/>
    <cellStyle name="20% - 强调文字颜色 5 2 5 2 2" xfId="17794"/>
    <cellStyle name="常规 2 3 2 2 4" xfId="17795"/>
    <cellStyle name="Normal 3 3" xfId="17796"/>
    <cellStyle name="注释 2 2 2 2 4 2 2" xfId="17797"/>
    <cellStyle name="20% - 强调文字颜色 6 2 3 4" xfId="17798"/>
    <cellStyle name="60% - 强调文字颜色 2 2 2 2 4 3 2 2" xfId="17799"/>
    <cellStyle name="汇总 2 2 5 6 3" xfId="17800"/>
    <cellStyle name="标题 1 2 4 6 2 2" xfId="17801"/>
    <cellStyle name="标题 2 2 2 8 2" xfId="17802"/>
    <cellStyle name="60% - 强调文字颜色 6 2 2 2 4 3 2 2" xfId="17803"/>
    <cellStyle name="40% - 强调文字颜色 6 2 3 3 3" xfId="17804"/>
    <cellStyle name="汇总 2 2 4 2 3 2 3 2 2" xfId="17805"/>
    <cellStyle name="常规 10 3 2 2 4" xfId="17806"/>
    <cellStyle name="汇总 2 2 6 2 2 2 4 2" xfId="17807"/>
    <cellStyle name="检查单元格 2 2 3 9" xfId="17808"/>
    <cellStyle name="常规 3 2 2 2 2" xfId="17809"/>
    <cellStyle name="输出 3 3 4 2 2" xfId="17810"/>
    <cellStyle name="标题 4 3 2" xfId="17811"/>
    <cellStyle name="20% - 强调文字颜色 5 2 2 6 2 2" xfId="17812"/>
    <cellStyle name="计算 2 3 2 10" xfId="17813"/>
    <cellStyle name="标题 4 4 4 2 3" xfId="17814"/>
    <cellStyle name="20% - 强调文字颜色 4 2 3 2 2 2 2 2 2 2" xfId="17815"/>
    <cellStyle name="汇总 2 2 5 5 4" xfId="17816"/>
    <cellStyle name="20% - 强调文字颜色 6 2 2 5" xfId="17817"/>
    <cellStyle name="标题 5 2 6 4" xfId="17818"/>
    <cellStyle name="常规 2 4 5 2" xfId="17819"/>
    <cellStyle name="计算 2 2 5 2 3 7" xfId="17820"/>
    <cellStyle name="输出 2 5 7 2" xfId="17821"/>
    <cellStyle name="常规 8 3 5" xfId="17822"/>
    <cellStyle name="链接单元格 2 7 2 3" xfId="17823"/>
    <cellStyle name="60% - 强调文字颜色 4 2 3 4 3" xfId="17824"/>
    <cellStyle name="20% - 强调文字颜色 3 2 2 2 2 2 3 2 2" xfId="17825"/>
    <cellStyle name="强调文字颜色 5 2 5 2 2" xfId="17826"/>
    <cellStyle name="输入 2 2 2 2 4 3" xfId="17827"/>
    <cellStyle name="60% - 强调文字颜色 5 2 2 6" xfId="17828"/>
    <cellStyle name="常规 10 3 2 4 2" xfId="17829"/>
    <cellStyle name="汇总 4 2 3 2" xfId="17830"/>
    <cellStyle name="输出 2 5 2 12" xfId="17831"/>
    <cellStyle name="60% - 强调文字颜色 4 2 2 4 2 2 2 2" xfId="17832"/>
    <cellStyle name="汇总 2 10 6" xfId="17833"/>
    <cellStyle name="60% - 强调文字颜色 1 2 2 3 7" xfId="17834"/>
    <cellStyle name="20% - 强调文字颜色 3 2 6" xfId="17835"/>
    <cellStyle name="常规 5 2 2 2 4 2" xfId="17836"/>
    <cellStyle name="常规 5 4 4 4" xfId="17837"/>
    <cellStyle name="汇总 3 8 2 2" xfId="17838"/>
    <cellStyle name="60% - 强调文字颜色 6 4 3" xfId="17839"/>
    <cellStyle name="计算 2 2 8 4 6" xfId="17840"/>
    <cellStyle name="40% - 强调文字颜色 3 3 2 3" xfId="17841"/>
    <cellStyle name="60% - 强调文字颜色 3 3 2 3 2" xfId="17842"/>
    <cellStyle name="计算 3 2 4 5" xfId="17843"/>
    <cellStyle name="输出 2 2 2 3 6" xfId="17844"/>
    <cellStyle name="汇总 2 3 2 2 2 2 2 2" xfId="17845"/>
    <cellStyle name="输出 2 2 3 7" xfId="17846"/>
    <cellStyle name="计算 2 2 6 5 2" xfId="17847"/>
    <cellStyle name="标题 3 2 3 2" xfId="17848"/>
    <cellStyle name="60% - 强调文字颜色 3 2 2 5 2 2" xfId="17849"/>
    <cellStyle name="常规 11 2 2 5" xfId="17850"/>
    <cellStyle name="40% - 强调文字颜色 2 2 2 3 2 2 2 2" xfId="17851"/>
    <cellStyle name="标题 4 2 11" xfId="17852"/>
    <cellStyle name="差 2 2 2 3 4" xfId="17853"/>
    <cellStyle name="60% - 强调文字颜色 5 3 2 2 2" xfId="17854"/>
    <cellStyle name="注释 3 5 2" xfId="17855"/>
    <cellStyle name="强调文字颜色 1 2 2 4 6" xfId="17856"/>
    <cellStyle name="强调文字颜色 5 3 8" xfId="17857"/>
    <cellStyle name="20% - 强调文字颜色 2 2 2 2 2 2 3 3 2" xfId="17858"/>
    <cellStyle name="60% - 强调文字颜色 6 2 2 6 2 2" xfId="17859"/>
    <cellStyle name="Normal 2" xfId="17860"/>
    <cellStyle name="输出 2 2 10 5" xfId="17861"/>
    <cellStyle name="常规 16 5" xfId="17862"/>
    <cellStyle name="标题 1 2 2 2 2 2 2 2" xfId="17863"/>
    <cellStyle name="汇总 2 7 6 5" xfId="17864"/>
    <cellStyle name="注释 2 2 2 2 2 4 2 2" xfId="17865"/>
    <cellStyle name="百分比 2 8" xfId="17866"/>
    <cellStyle name="汇总 2 2 4 2 2 2 5 2 2" xfId="17867"/>
    <cellStyle name="40% - 强调文字颜色 5 2 5 3 3" xfId="17868"/>
    <cellStyle name="汇总 4 6" xfId="17869"/>
    <cellStyle name="常规 15 2 2 2" xfId="17870"/>
    <cellStyle name="百分比 2 6 2 2" xfId="17871"/>
    <cellStyle name="计算 2 5 2 3 2 5" xfId="17872"/>
    <cellStyle name="强调文字颜色 2 2 2 3 3 2 2 2" xfId="17873"/>
    <cellStyle name="输入 2 5 4" xfId="17874"/>
    <cellStyle name="20% - 强调文字颜色 1 4 3 2 2 2" xfId="17875"/>
    <cellStyle name="汇总 2 3 2 7 2" xfId="17876"/>
    <cellStyle name="标题 1 2 2 5 3" xfId="17877"/>
    <cellStyle name="强调文字颜色 6 2 3 8" xfId="17878"/>
    <cellStyle name="百分比 2 2 4" xfId="17879"/>
    <cellStyle name="60% - 强调文字颜色 5 4 2 3" xfId="17880"/>
    <cellStyle name="60% - 强调文字颜色 4 2 8 2" xfId="17881"/>
    <cellStyle name="百分比 2 3 5 3" xfId="17882"/>
    <cellStyle name="输出 3 6" xfId="17883"/>
    <cellStyle name="输出 2 9 6" xfId="17884"/>
    <cellStyle name="输入 2 4" xfId="17885"/>
    <cellStyle name="常规 4 2 4 4 2" xfId="17886"/>
    <cellStyle name="标题 2 2 3 3 2 2 3" xfId="17887"/>
    <cellStyle name="汇总 2 6 2 2 2" xfId="17888"/>
    <cellStyle name="20% - 强调文字颜色 2 3 2 5 2" xfId="17889"/>
    <cellStyle name="40% - 强调文字颜色 5 2 3 3 2 2 2" xfId="17890"/>
    <cellStyle name="注释 2 2 2 4 3 2 2" xfId="17891"/>
    <cellStyle name="40% - 强调文字颜色 3 2 2 3 2 2 2" xfId="17892"/>
    <cellStyle name="60% - 强调文字颜色 6 2 2 5 3 3" xfId="17893"/>
    <cellStyle name="输入 2 3 13" xfId="17894"/>
    <cellStyle name="适中 2 4 3 2" xfId="17895"/>
    <cellStyle name="20% - 强调文字颜色 1 2 5 4 2 2" xfId="17896"/>
    <cellStyle name="标题 4 2 2 2 2 2 2" xfId="17897"/>
    <cellStyle name="警告文本 2 3 2 2 2 3" xfId="17898"/>
    <cellStyle name="60% - 强调文字颜色 1 2 4 2 2 2 2" xfId="17899"/>
    <cellStyle name="40% - 强调文字颜色 1 2 2 2 3 3 2 2" xfId="17900"/>
    <cellStyle name="标题 2 2 3 2 3 2 3" xfId="17901"/>
    <cellStyle name="汇总 2 5 3 2 2" xfId="17902"/>
    <cellStyle name="Normal 5 2" xfId="17903"/>
    <cellStyle name="好 2 3 4 4" xfId="17904"/>
    <cellStyle name="标题 2 2 4 2" xfId="17905"/>
    <cellStyle name="输入 2 2 2 7 2 2" xfId="17906"/>
    <cellStyle name="强调文字颜色 4 2 3 3 2 2" xfId="17907"/>
    <cellStyle name="超链接 2 2 2 2 3 2" xfId="17908"/>
    <cellStyle name="好 2 2 6 3 3" xfId="17909"/>
    <cellStyle name="注释 2 6 5 3" xfId="17910"/>
    <cellStyle name="20% - 强调文字颜色 4 2 4" xfId="17911"/>
    <cellStyle name="60% - 强调文字颜色 1 2 3 3 5" xfId="17912"/>
    <cellStyle name="注释 2 2 4 2 5 2" xfId="17913"/>
    <cellStyle name="60% - 强调文字颜色 4 2 5 2 2" xfId="17914"/>
    <cellStyle name="60% - 强调文字颜色 2 3 3 3 2 2" xfId="17915"/>
    <cellStyle name="40% - 强调文字颜色 2 3 2 2 2 2 2 2" xfId="17916"/>
    <cellStyle name="输出 2 2 4 2 9" xfId="17917"/>
    <cellStyle name="汇总 2 3 2 2 3 3 2" xfId="17918"/>
    <cellStyle name="汇总 2 6 2 4 3" xfId="17919"/>
    <cellStyle name="汇总 2 2 4 3 6 3" xfId="17920"/>
    <cellStyle name="注释 2 2 5 5 3" xfId="17921"/>
    <cellStyle name="20% - 强调文字颜色 1 2 3 2 2 4 2 2" xfId="17922"/>
    <cellStyle name="40% - 强调文字颜色 3 2 5 4 2" xfId="17923"/>
    <cellStyle name="计算 4 2 5 2 2" xfId="17924"/>
    <cellStyle name="输出 2 2 4 5" xfId="17925"/>
    <cellStyle name="标题 2 2 4 8" xfId="17926"/>
    <cellStyle name="警告文本 2 3 2 2 5" xfId="17927"/>
    <cellStyle name="注释 2 2 3 4 4 2 2" xfId="17928"/>
    <cellStyle name="40% - 强调文字颜色 3 2 3 3 3 2 2" xfId="17929"/>
    <cellStyle name="链接单元格 2 2 2 2 4 2" xfId="17930"/>
    <cellStyle name="差 2 2 2 3 6" xfId="17931"/>
    <cellStyle name="注释 5 2 2 2" xfId="17932"/>
    <cellStyle name="百分比 2 3 4" xfId="17933"/>
    <cellStyle name="强调文字颜色 6 2 4 8" xfId="17934"/>
    <cellStyle name="标题 1 2 2 6 3" xfId="17935"/>
    <cellStyle name="标题 5 3 2 3 3 2 2" xfId="17936"/>
    <cellStyle name="汇总 2 9 6" xfId="17937"/>
    <cellStyle name="20% - 强调文字颜色 6 2 2 2 2 2 2" xfId="17938"/>
    <cellStyle name="常规 5 2 2 6 2 2" xfId="17939"/>
    <cellStyle name="常规 9 2 2 2 2 3" xfId="17940"/>
    <cellStyle name="计算 2 2 5 3 6 2" xfId="17941"/>
    <cellStyle name="60% - 强调文字颜色 3 3 3 2" xfId="17942"/>
    <cellStyle name="输出 2 4 6 2 2" xfId="17943"/>
    <cellStyle name="常规 2 3 4 2 2" xfId="17944"/>
    <cellStyle name="输出 2 2 12 2" xfId="17945"/>
    <cellStyle name="汇总 2 5 2 4 2 5" xfId="17946"/>
    <cellStyle name="汇总 2 2 4 4 3 2 3" xfId="17947"/>
    <cellStyle name="标题 3 2 2 2 6" xfId="17948"/>
    <cellStyle name="计算 2 2 6 4 2 6" xfId="17949"/>
    <cellStyle name="百分比 2 3 3 2 2 2" xfId="17950"/>
    <cellStyle name="40% - 强调文字颜色 5 2 3 2 2 3 2" xfId="17951"/>
    <cellStyle name="20% - 强调文字颜色 5 2 3 7 2" xfId="17952"/>
    <cellStyle name="强调文字颜色 2 3 2 2 3 2" xfId="17953"/>
    <cellStyle name="标题 5 8 3" xfId="17954"/>
    <cellStyle name="汇总 2 2 8 4 5" xfId="17955"/>
    <cellStyle name="适中 2 4 3 2 2" xfId="17956"/>
    <cellStyle name="60% - 强调文字颜色 6 3 3 3 2 2 2" xfId="17957"/>
    <cellStyle name="百分比 2 2 5 3" xfId="17958"/>
    <cellStyle name="汇总 2 2 9 2 4 2" xfId="17959"/>
    <cellStyle name="注释 2 4 5 6" xfId="17960"/>
    <cellStyle name="输入 2 5 2 3 6" xfId="17961"/>
    <cellStyle name="标题 5 3 3 3" xfId="17962"/>
    <cellStyle name="40% - 强调文字颜色 6 2 5 3 2 2 2" xfId="17963"/>
    <cellStyle name="标题 2 3 2 4 3" xfId="17964"/>
    <cellStyle name="注释 2 5 5 3" xfId="17965"/>
    <cellStyle name="40% - 强调文字颜色 2 2 4 3 2" xfId="17966"/>
    <cellStyle name="60% - 强调文字颜色 3 2 3 2 3 2" xfId="17967"/>
    <cellStyle name="标题 3 2 2 2 2 2 2 2" xfId="17968"/>
    <cellStyle name="计算 2 3 3 6 2" xfId="17969"/>
    <cellStyle name="输入 2 2 4 4 2 2" xfId="17970"/>
    <cellStyle name="汇总 4 3 3" xfId="17971"/>
    <cellStyle name="60% - 强调文字颜色 4 2 2 4 2 3 2" xfId="17972"/>
    <cellStyle name="20% - 强调文字颜色 4 2 2 3 2 2 2 2 2" xfId="17973"/>
    <cellStyle name="汇总 2 3 2 2 2 3 2" xfId="17974"/>
    <cellStyle name="20% - 强调文字颜色 2 2 9" xfId="17975"/>
    <cellStyle name="适中 2 6" xfId="17976"/>
    <cellStyle name="计算 2 2 3 4 4 2 2" xfId="17977"/>
    <cellStyle name="注释 2 3 3 2" xfId="17978"/>
    <cellStyle name="注释 9" xfId="17979"/>
    <cellStyle name="汇总 2 5 4 3 2 2" xfId="17980"/>
    <cellStyle name="计算 2 2 8 3 2 3" xfId="17981"/>
    <cellStyle name="输入 2 2 2 4 3 3" xfId="17982"/>
    <cellStyle name="标题 3 2 4 4 4" xfId="17983"/>
    <cellStyle name="20% - 强调文字颜色 4 2 2 2 2 2 5" xfId="17984"/>
    <cellStyle name="强调文字颜色 6 2 2 5 2" xfId="17985"/>
    <cellStyle name="常规 10 3 2 2 3 3" xfId="17986"/>
    <cellStyle name="常规 5 2 3 3 2 2" xfId="17987"/>
    <cellStyle name="输入 2 2 4 2 2 3" xfId="17988"/>
    <cellStyle name="强调文字颜色 6 2 2 3 5 2 2" xfId="17989"/>
    <cellStyle name="汇总 2 2 4 6 2" xfId="17990"/>
    <cellStyle name="40% - 强调文字颜色 5 2 3 3 2 2" xfId="17991"/>
    <cellStyle name="解释性文本 2 2 8" xfId="17992"/>
    <cellStyle name="60% - 强调文字颜色 1 2 2 3 2" xfId="17993"/>
    <cellStyle name="输出 2 2 5 2 2 7" xfId="17994"/>
    <cellStyle name="Normal 3 2 3" xfId="17995"/>
    <cellStyle name="标题 4 2 2 6 3 2" xfId="17996"/>
    <cellStyle name="链接单元格 2 2 2 2 2 3 2" xfId="17997"/>
    <cellStyle name="输入 2 5 2 10" xfId="17998"/>
    <cellStyle name="差 3 2 2 3 2 2 2" xfId="17999"/>
    <cellStyle name="计算 2 2 8 8" xfId="18000"/>
    <cellStyle name="标题 3 4 6" xfId="18001"/>
    <cellStyle name="输出 2 2 4 2 2 9" xfId="18002"/>
    <cellStyle name="60% - 强调文字颜色 6 2 4 4 2 3" xfId="18003"/>
    <cellStyle name="汇总 2 2 5 4 5 2 2" xfId="18004"/>
    <cellStyle name="汇总 2 3 2 7 3" xfId="18005"/>
    <cellStyle name="40% - 强调文字颜色 4 3 5" xfId="18006"/>
    <cellStyle name="汇总 2 2 4 2 2 2 2 2 2 2" xfId="18007"/>
    <cellStyle name="40% - 强调文字颜色 5 2 2 3 3 2" xfId="18008"/>
    <cellStyle name="注释 2 2 4 8 2" xfId="18009"/>
    <cellStyle name="40% - 强调文字颜色 6 3 2 4 2 2 2" xfId="18010"/>
    <cellStyle name="警告文本 2 2 7 2" xfId="18011"/>
    <cellStyle name="计算 2 2 2 2 8" xfId="18012"/>
    <cellStyle name="常规 13 3 2 2" xfId="18013"/>
    <cellStyle name="20% - 强调文字颜色 6 2 2 2 2 4" xfId="18014"/>
    <cellStyle name="20% - 强调文字颜色 3 2 5 5 2" xfId="18015"/>
    <cellStyle name="警告文本 2 2 3 2 2" xfId="18016"/>
    <cellStyle name="输入 2 2 8 3 2 4" xfId="18017"/>
    <cellStyle name="强调文字颜色 1 2 2 2 3 2 2" xfId="18018"/>
    <cellStyle name="输出 2 4 3 2 6" xfId="18019"/>
    <cellStyle name="标题 6 3 3 3" xfId="18020"/>
    <cellStyle name="输入 2 2 4 2 11" xfId="18021"/>
    <cellStyle name="输入 2 2 14 3" xfId="18022"/>
    <cellStyle name="60% - 强调文字颜色 1 2 2 2 2 2 4" xfId="18023"/>
    <cellStyle name="输入 2 2 5 2 5" xfId="18024"/>
    <cellStyle name="输出 2 2 7 4 4" xfId="18025"/>
    <cellStyle name="计算 2 4 3 3 4" xfId="18026"/>
    <cellStyle name="输出 2 2 4 2 7 2" xfId="18027"/>
    <cellStyle name="60% - 强调文字颜色 1 3 2 3 2 2 2" xfId="18028"/>
    <cellStyle name="60% - 强调文字颜色 2 2 2 2 7 2" xfId="18029"/>
    <cellStyle name="强调文字颜色 1 2 3 2 5 2 2" xfId="18030"/>
    <cellStyle name="输出 2 2 6" xfId="18031"/>
    <cellStyle name="计算 2 2 8 2 5 2" xfId="18032"/>
    <cellStyle name="60% - 强调文字颜色 6 2 2 2" xfId="18033"/>
    <cellStyle name="输入 2 2 2 3 6 2" xfId="18034"/>
    <cellStyle name="强调文字颜色 1 2 3 3 2" xfId="18035"/>
    <cellStyle name="输出 2 5 8" xfId="18036"/>
    <cellStyle name="常规 2 4 6" xfId="18037"/>
    <cellStyle name="常规 2 2 2 2 2 5 2 2" xfId="18038"/>
    <cellStyle name="输入 2 4 4 2 2 2 2" xfId="18039"/>
    <cellStyle name="40% - 强调文字颜色 4 2 4 3 2 2 2" xfId="18040"/>
    <cellStyle name="输出 3 3 5 2" xfId="18041"/>
    <cellStyle name="输出 2 5 11" xfId="18042"/>
    <cellStyle name="常规 3 2 3 2" xfId="18043"/>
    <cellStyle name="计算 2 2 7 4 4" xfId="18044"/>
    <cellStyle name="标题 3 3 2 4" xfId="18045"/>
    <cellStyle name="汇总 2 7 3 5 3" xfId="18046"/>
    <cellStyle name="汇总 2 2 2 4 2 4 2 2" xfId="18047"/>
    <cellStyle name="百分比 2 2 2 4 3" xfId="18048"/>
    <cellStyle name="警告文本 4 2" xfId="18049"/>
    <cellStyle name="标题 2 2 3 4 2 2" xfId="18050"/>
    <cellStyle name="解释性文本 2 2 5 3 3" xfId="18051"/>
    <cellStyle name="输入 2 3 2 3 4" xfId="18052"/>
    <cellStyle name="强调文字颜色 2 3" xfId="18053"/>
    <cellStyle name="输入 2 2 5 3 3 2 2" xfId="18054"/>
    <cellStyle name="计算 2 4 2 7 2 2" xfId="18055"/>
    <cellStyle name="60% - 强调文字颜色 1 2 2 2 2 3 2 2 2" xfId="18056"/>
    <cellStyle name="强调文字颜色 4 2 5" xfId="18057"/>
    <cellStyle name="输出 2 4 3 5" xfId="18058"/>
    <cellStyle name="常规 9 3 3" xfId="18059"/>
    <cellStyle name="汇总 2 2 7 4 2 2 2" xfId="18060"/>
    <cellStyle name="40% - 强调文字颜色 1 4 3" xfId="18061"/>
    <cellStyle name="60% - 强调文字颜色 1 2 3 3 2 2 2 2" xfId="18062"/>
    <cellStyle name="计算 2 5 2 3 2 4" xfId="18063"/>
    <cellStyle name="注释 2 5 3 2 3 2" xfId="18064"/>
    <cellStyle name="20% - 强调文字颜色 4 3 3 4 2" xfId="18065"/>
    <cellStyle name="60% - 强调文字颜色 2 2 2 2 2 4 2 2 2" xfId="18066"/>
    <cellStyle name="40% - 强调文字颜色 6 2 3 4 3 2 2" xfId="18067"/>
    <cellStyle name="注释 2 2 2 6 3" xfId="18068"/>
    <cellStyle name="40% - 强调文字颜色 3 2 2 5 2" xfId="18069"/>
    <cellStyle name="强调文字颜色 1 4 2" xfId="18070"/>
    <cellStyle name="输入 2 3 2 2 5 2" xfId="18071"/>
    <cellStyle name="警告文本 2 4 6" xfId="18072"/>
    <cellStyle name="好 2 5 2 2 2" xfId="18073"/>
    <cellStyle name="警告文本 2 2 5 2" xfId="18074"/>
    <cellStyle name="汇总 2 2 6 6 2 2" xfId="18075"/>
    <cellStyle name="20% - 强调文字颜色 6 3 3 3 2" xfId="18076"/>
    <cellStyle name="40% - 强调文字颜色 3 2 2 2 4 3 2" xfId="18077"/>
    <cellStyle name="常规 5 4 2 3 3" xfId="18078"/>
    <cellStyle name="超链接 2 2 4 3 2" xfId="18079"/>
    <cellStyle name="60% - 强调文字颜色 6 2 2 3" xfId="18080"/>
    <cellStyle name="计算 2 2 8 2 5 3" xfId="18081"/>
    <cellStyle name="汇总 2 5 4 2 5 2" xfId="18082"/>
    <cellStyle name="输入 2 2 5 4 5 2" xfId="18083"/>
    <cellStyle name="标题 5 2 3 5 2" xfId="18084"/>
    <cellStyle name="60% - 强调文字颜色 1 2 2 2 6 2 2" xfId="18085"/>
    <cellStyle name="输入 2 2 9 2 3" xfId="18086"/>
    <cellStyle name="标题 6 6 2" xfId="18087"/>
    <cellStyle name="汇总 2 2 9 2 4" xfId="18088"/>
    <cellStyle name="常规 12 9" xfId="18089"/>
    <cellStyle name="20% - 强调文字颜色 4 2 3 2 2 2 2 2" xfId="18090"/>
    <cellStyle name="汇总 3 2 2 2 2 3" xfId="18091"/>
    <cellStyle name="检查单元格 2 3 2 2 2 3" xfId="18092"/>
    <cellStyle name="输入 2 7 2 2 4 2" xfId="18093"/>
    <cellStyle name="输入 2 2 3 2 8" xfId="18094"/>
    <cellStyle name="输入 2 2 3 4 2 2 2" xfId="18095"/>
    <cellStyle name="20% - 强调文字颜色 6 3 3" xfId="18096"/>
    <cellStyle name="计算 2 2 3 6 2 2" xfId="18097"/>
    <cellStyle name="60% - 强调文字颜色 3 2 2 2 3 2 2" xfId="18098"/>
    <cellStyle name="链接单元格 2 3 2 4 3" xfId="18099"/>
    <cellStyle name="强调文字颜色 2 2 7 2 3" xfId="18100"/>
    <cellStyle name="60% - 强调文字颜色 4 2 2 2 2 3 2" xfId="18101"/>
    <cellStyle name="40% - 强调文字颜色 6 3 3 2 2 2 2" xfId="18102"/>
    <cellStyle name="警告文本 2 2 4" xfId="18103"/>
    <cellStyle name="输入 2 2 2 8 3" xfId="18104"/>
    <cellStyle name="强调文字颜色 4 2 3 4 3" xfId="18105"/>
    <cellStyle name="计算 2 4 3 2 4 2" xfId="18106"/>
    <cellStyle name="输出 2 2 4 2 6 2 2" xfId="18107"/>
    <cellStyle name="标题 2 3 5" xfId="18108"/>
    <cellStyle name="标题 3 4 5 2" xfId="18109"/>
    <cellStyle name="计算 2 2 8 7 2" xfId="18110"/>
    <cellStyle name="标题 5 2 2 3 2 3" xfId="18111"/>
    <cellStyle name="40% - 强调文字颜色 1 4 2 3 2 2" xfId="18112"/>
    <cellStyle name="计算 2 5 2 4" xfId="18113"/>
    <cellStyle name="警告文本 2 2 2 2 4 2 2 2" xfId="18114"/>
    <cellStyle name="常规 2 2 4 5" xfId="18115"/>
    <cellStyle name="常规 16 2" xfId="18116"/>
    <cellStyle name="常规 21 2" xfId="18117"/>
    <cellStyle name="输出 2 2 10 2" xfId="18118"/>
    <cellStyle name="60% - 强调文字颜色 6 2 4 2 2 3" xfId="18119"/>
    <cellStyle name="标题 5 2 3 6 2" xfId="18120"/>
    <cellStyle name="常规 12 2 2 6" xfId="18121"/>
    <cellStyle name="超链接 2 5 2 4" xfId="18122"/>
    <cellStyle name="60% - 强调文字颜色 6 2 2 3 4 3 2" xfId="18123"/>
    <cellStyle name="常规 2 2 2 2 4 3" xfId="18124"/>
    <cellStyle name="汇总 2 2 4 2 4 2 3 2" xfId="18125"/>
    <cellStyle name="汇总 2 2 8 2 5" xfId="18126"/>
    <cellStyle name="标题 5 6 3" xfId="18127"/>
    <cellStyle name="标题 4 2 4 6" xfId="18128"/>
    <cellStyle name="40% - 强调文字颜色 6 2 3 3 2 2 2 2 2" xfId="18129"/>
    <cellStyle name="常规 2 2 2 2 2 4 2 2" xfId="18130"/>
    <cellStyle name="链接单元格 2 2 2 4 2" xfId="18131"/>
    <cellStyle name="40% - 强调文字颜色 3 2 10" xfId="18132"/>
    <cellStyle name="标题 4 2 2 4 3 3" xfId="18133"/>
    <cellStyle name="常规 3 3 3 3 3" xfId="18134"/>
    <cellStyle name="输出 2 2 5 2 2 2 2" xfId="18135"/>
    <cellStyle name="40% - 强调文字颜色 4 2 2 3 4 2 2 2" xfId="18136"/>
    <cellStyle name="60% - 强调文字颜色 5 2 3 7" xfId="18137"/>
    <cellStyle name="常规 10 3 2 5 3" xfId="18138"/>
    <cellStyle name="40% - 强调文字颜色 6 2 3 6 2" xfId="18139"/>
    <cellStyle name="标题 3 2 2 2 2 3 2" xfId="18140"/>
    <cellStyle name="输入 2 2 4 5 2" xfId="18141"/>
    <cellStyle name="计算 2 3 4 6" xfId="18142"/>
    <cellStyle name="60% - 强调文字颜色 3 2 3 3 3" xfId="18143"/>
    <cellStyle name="汇总 2 2 4 2 5" xfId="18144"/>
    <cellStyle name="计算 2 7 3 3 2" xfId="18145"/>
    <cellStyle name="标题 1 6 3" xfId="18146"/>
    <cellStyle name="注释 2 2 2 10" xfId="18147"/>
    <cellStyle name="60% - 强调文字颜色 1 2 2 5 2 2 2" xfId="18148"/>
    <cellStyle name="输入 2 5 5 2 3" xfId="18149"/>
    <cellStyle name="20% - 强调文字颜色 1 2 3 4 3 2" xfId="18150"/>
    <cellStyle name="计算 2 7 4 2 3 2 2" xfId="18151"/>
    <cellStyle name="注释 2 2 2 2 3 3 2" xfId="18152"/>
    <cellStyle name="注释 2 7 3 6" xfId="18153"/>
    <cellStyle name="注释 2 4 2 2 3 3 2" xfId="18154"/>
    <cellStyle name="汇总 2 2 9 5 2 2" xfId="18155"/>
    <cellStyle name="警告文本 2 2 2 2 3 2" xfId="18156"/>
    <cellStyle name="60% - 强调文字颜色 6 2 3 2 5 3" xfId="18157"/>
    <cellStyle name="汇总 2 2 4 3 3 3 3" xfId="18158"/>
    <cellStyle name="60% - 强调文字颜色 2 2 2 2 5 2 2" xfId="18159"/>
    <cellStyle name="汇总 2 5 2 5" xfId="18160"/>
    <cellStyle name="60% - 强调文字颜色 6 2 3 2 5 2 2" xfId="18161"/>
    <cellStyle name="汇总 2 2 4 3 3 3 2 2" xfId="18162"/>
    <cellStyle name="输出 2 2 7 2" xfId="18163"/>
    <cellStyle name="计算 2 2 2 2 4 2 2 2" xfId="18164"/>
    <cellStyle name="60% - 强调文字颜色 6 2 3 2 5 2" xfId="18165"/>
    <cellStyle name="汇总 2 2 4 3 3 3 2" xfId="18166"/>
    <cellStyle name="超链接 2 3 2 3 2 2" xfId="18167"/>
    <cellStyle name="常规 7 2 3 2 3 2 2" xfId="18168"/>
    <cellStyle name="20% - 强调文字颜色 3 3 4 2 2 2" xfId="18169"/>
    <cellStyle name="60% - 强调文字颜色 6 2 3 2 3 3 2 2" xfId="18170"/>
    <cellStyle name="强调文字颜色 6 4 2 2" xfId="18171"/>
    <cellStyle name="60% - 强调文字颜色 6 2 3 2" xfId="18172"/>
    <cellStyle name="计算 2 2 8 2 6 2" xfId="18173"/>
    <cellStyle name="百分比 2 2 2 3 2 2 3" xfId="18174"/>
    <cellStyle name="强调文字颜色 1 2 2 2 2 2 2 2 2 2" xfId="18175"/>
    <cellStyle name="20% - 强调文字颜色 3 2 5 2 2 2 2" xfId="18176"/>
    <cellStyle name="常规 5 4 2 4 2" xfId="18177"/>
    <cellStyle name="常规 5 2 2 2 2 2 2" xfId="18178"/>
    <cellStyle name="计算 2 2 5 3 2 3" xfId="18179"/>
    <cellStyle name="60% - 强调文字颜色 6 2 2 8" xfId="18180"/>
    <cellStyle name="输入 2 3 2 2 2 2 2 2" xfId="18181"/>
    <cellStyle name="超链接 2 3 3 2 2" xfId="18182"/>
    <cellStyle name="汇总 2 2 6 2 2 5 3" xfId="18183"/>
    <cellStyle name="标题 2 3 2 2 3 2 3" xfId="18184"/>
    <cellStyle name="强调文字颜色 2 2 2 2 8" xfId="18185"/>
    <cellStyle name="20% - 强调文字颜色 1 3 8" xfId="18186"/>
    <cellStyle name="输入 2 3 7 3" xfId="18187"/>
    <cellStyle name="40% - 强调文字颜色 5 2 2 3 5 2" xfId="18188"/>
    <cellStyle name="40% - 强调文字颜色 1 2 2 2 3 3" xfId="18189"/>
    <cellStyle name="60% - 强调文字颜色 1 2 4 2 2" xfId="18190"/>
    <cellStyle name="计算 2 2 3 2 7 2 2" xfId="18191"/>
    <cellStyle name="汇总 2 5 3" xfId="18192"/>
    <cellStyle name="检查单元格 2 3 2 3 3 2" xfId="18193"/>
    <cellStyle name="汇总 2 2" xfId="18194"/>
    <cellStyle name="强调文字颜色 5 2 2 3 4 2 3" xfId="18195"/>
    <cellStyle name="输出 2 5 3 6 2" xfId="18196"/>
    <cellStyle name="汇总 2 9 2 2 2" xfId="18197"/>
    <cellStyle name="Normal 2 5" xfId="18198"/>
    <cellStyle name="常规 2 3 2 2 4 3" xfId="18199"/>
    <cellStyle name="汇总 2 7 4 2 2 2" xfId="18200"/>
    <cellStyle name="40% - 强调文字颜色 2 2 3 5 2" xfId="18201"/>
    <cellStyle name="40% - 强调文字颜色 6 2 2 4 4 2 2" xfId="18202"/>
    <cellStyle name="标题 4 2 2 2 3 2 3" xfId="18203"/>
    <cellStyle name="60% - 强调文字颜色 2 2 2 2 2 4 2" xfId="18204"/>
    <cellStyle name="40% - 强调文字颜色 2 4 2 2" xfId="18205"/>
    <cellStyle name="强调文字颜色 6 2 2 6 2 2 2" xfId="18206"/>
    <cellStyle name="输出 2 4 2 7 3" xfId="18207"/>
    <cellStyle name="60% - 强调文字颜色 6 4 4 2 2" xfId="18208"/>
    <cellStyle name="超链接 2 5 3 2 2" xfId="18209"/>
    <cellStyle name="计算 2 2 4 15" xfId="18210"/>
    <cellStyle name="注释 3 2 2 3" xfId="18211"/>
    <cellStyle name="汇总 2 7 12 2" xfId="18212"/>
    <cellStyle name="20% - 强调文字颜色 3 2 2 3 4 3 2" xfId="18213"/>
    <cellStyle name="计算 2 8 2 2 3 2" xfId="18214"/>
    <cellStyle name="20% - 强调文字颜色 2 2 2 2 2 3 2 2 2" xfId="18215"/>
    <cellStyle name="标题 4 2 6 2" xfId="18216"/>
    <cellStyle name="20% - 强调文字颜色 1 2 5" xfId="18217"/>
    <cellStyle name="汇总 2 2 6 2 2 2 3 2 2" xfId="18218"/>
    <cellStyle name="40% - 强调文字颜色 5 2 2 2 3 4" xfId="18219"/>
    <cellStyle name="百分比 2 2 3 3 3" xfId="18220"/>
    <cellStyle name="60% - 强调文字颜色 1 3 5 2 2 2" xfId="18221"/>
    <cellStyle name="标题 2 2 2 7 2 2" xfId="18222"/>
    <cellStyle name="汇总 2 2 5 2" xfId="18223"/>
    <cellStyle name="计算 2 2 2 2 2 2 2 3 2 2" xfId="18224"/>
    <cellStyle name="警告文本 2 3 2 4 3 2" xfId="18225"/>
    <cellStyle name="20% - 强调文字颜色 3 2 2 3 5 2" xfId="18226"/>
    <cellStyle name="警告文本 2 2 4 3 2 2 2" xfId="18227"/>
    <cellStyle name="计算 2 2 7 3 6" xfId="18228"/>
    <cellStyle name="60% - 强调文字颜色 5 3 3" xfId="18229"/>
    <cellStyle name="输入 2 2 4 3 2 6" xfId="18230"/>
    <cellStyle name="40% - 强调文字颜色 2 2 2 2 2 2 3 3 2" xfId="18231"/>
    <cellStyle name="输入 2 2 7 3 5" xfId="18232"/>
    <cellStyle name="计算 2 6 2 9" xfId="18233"/>
    <cellStyle name="常规 5" xfId="18234"/>
    <cellStyle name="40% - 强调文字颜色 5 2 2 3 4 2 2 2" xfId="18235"/>
    <cellStyle name="计算 2 6 4 5 3" xfId="18236"/>
    <cellStyle name="强调文字颜色 2 2 3 2 2 2 2 2 2" xfId="18237"/>
    <cellStyle name="20% - 强调文字颜色 2 3 2 2 2 2 2" xfId="18238"/>
    <cellStyle name="20% - 强调文字颜色 3 2 2 4 3 2 2" xfId="18239"/>
    <cellStyle name="计算 2 4 7 2" xfId="18240"/>
    <cellStyle name="计算 2 2 4 2 3 2 8" xfId="18241"/>
    <cellStyle name="常规 5 3 6 2 2" xfId="18242"/>
    <cellStyle name="40% - 强调文字颜色 6 3 2 4 2 2" xfId="18243"/>
    <cellStyle name="输入 2 2 6 3 2 3" xfId="18244"/>
    <cellStyle name="计算 2 5 2 6 3" xfId="18245"/>
    <cellStyle name="输入 4 2 4 2" xfId="18246"/>
    <cellStyle name="标题 1 2 2 2 2 4" xfId="18247"/>
    <cellStyle name="常规 15 2 2 2 2" xfId="18248"/>
    <cellStyle name="计算 2 2 2 3 3 3 3" xfId="18249"/>
    <cellStyle name="汇总 4 6 2" xfId="18250"/>
    <cellStyle name="输出 2 2 3 6" xfId="18251"/>
    <cellStyle name="20% - 强调文字颜色 2 2 5 5 2" xfId="18252"/>
    <cellStyle name="强调文字颜色 5 2 3 4 3 3" xfId="18253"/>
    <cellStyle name="计算 2 2 5 8 2 2" xfId="18254"/>
    <cellStyle name="60% - 强调文字颜色 3 2 2 4 5 2 2" xfId="18255"/>
    <cellStyle name="强调文字颜色 1 2 3 2 3 3 2" xfId="18256"/>
    <cellStyle name="计算 2 6 5 2 2" xfId="18257"/>
    <cellStyle name="标题 3 3 3 2" xfId="18258"/>
    <cellStyle name="60% - 强调文字颜色 3 2 2 6 2 2" xfId="18259"/>
    <cellStyle name="计算 2 2 7 5 2" xfId="18260"/>
    <cellStyle name="输入 2 6 8 2" xfId="18261"/>
    <cellStyle name="汇总 2 2 4 2 2 5 2 2" xfId="18262"/>
    <cellStyle name="60% - 强调文字颜色 2 3 2 5 2" xfId="18263"/>
    <cellStyle name="适中 2 2 7 2 2" xfId="18264"/>
    <cellStyle name="汇总 2 2 2 3 2 5" xfId="18265"/>
    <cellStyle name="标题 1 2 3 2 2 3" xfId="18266"/>
    <cellStyle name="输出 2 5 4 6" xfId="18267"/>
    <cellStyle name="计算 2 8 5 2 2" xfId="18268"/>
    <cellStyle name="汇总 2 6 2 12" xfId="18269"/>
    <cellStyle name="输出 4 2 6 2 2" xfId="18270"/>
    <cellStyle name="60% - 强调文字颜色 4 4 4" xfId="18271"/>
    <cellStyle name="60% - 强调文字颜色 2 3 5 2" xfId="18272"/>
    <cellStyle name="标题 3 2 2 7" xfId="18273"/>
    <cellStyle name="计算 2 2 6 4 7" xfId="18274"/>
    <cellStyle name="60% - 强调文字颜色 2 2 2 4 3 2 2" xfId="18275"/>
    <cellStyle name="强调文字颜色 3 2 4 2 2 2 2" xfId="18276"/>
    <cellStyle name="强调文字颜色 5 2 2 4 5 2" xfId="18277"/>
    <cellStyle name="常规 10 2 2 2 2 6 2" xfId="18278"/>
    <cellStyle name="汇总 2 2 8 9" xfId="18279"/>
    <cellStyle name="注释 2 5 4 2 2 2" xfId="18280"/>
    <cellStyle name="标题 2 3 2 3 2 2 2" xfId="18281"/>
    <cellStyle name="标题 2 2 2 2 2 2 4" xfId="18282"/>
    <cellStyle name="强调文字颜色 3 5 3" xfId="18283"/>
    <cellStyle name="计算 2 4 2 5" xfId="18284"/>
    <cellStyle name="输出 2 2 6 6" xfId="18285"/>
    <cellStyle name="无色 5" xfId="18286"/>
    <cellStyle name="警告文本 2 3 2 2 2 2 3" xfId="18287"/>
    <cellStyle name="60% - 强调文字颜色 5 2 3 6 2" xfId="18288"/>
    <cellStyle name="常规 10 3 2 5 2 2" xfId="18289"/>
    <cellStyle name="20% - 强调文字颜色 4 2 3 2 2 4 2" xfId="18290"/>
    <cellStyle name="链接单元格 2 3 8" xfId="18291"/>
    <cellStyle name="常规 6 2 2 4 2 2 2" xfId="18292"/>
    <cellStyle name="标题 5 3 5 2" xfId="18293"/>
    <cellStyle name="汇总 2 3 5 2 2 2" xfId="18294"/>
    <cellStyle name="20% - 强调文字颜色 3 3 7" xfId="18295"/>
    <cellStyle name="计算 2 2 3 3 2 6" xfId="18296"/>
    <cellStyle name="常规 10 5 2 4 2" xfId="18297"/>
    <cellStyle name="常规 10 2 4 4 2 2" xfId="18298"/>
    <cellStyle name="20% - 强调文字颜色 2 2 2 2 4 2" xfId="18299"/>
    <cellStyle name="60% - 强调文字颜色 6 2 2 4 2 2 3" xfId="18300"/>
    <cellStyle name="60% - 强调文字颜色 2 2 2 2 5 2" xfId="18301"/>
    <cellStyle name="常规 5 4 3 2" xfId="18302"/>
    <cellStyle name="汇总 2 2 5 2 2 2 2 3" xfId="18303"/>
    <cellStyle name="计算 2 2 7 3 2 5" xfId="18304"/>
    <cellStyle name="汇总 2 2 4 5 2 2 2" xfId="18305"/>
    <cellStyle name="60% - 强调文字颜色 1 2 2 2 5" xfId="18306"/>
    <cellStyle name="常规 10 2 2 6 2 2" xfId="18307"/>
    <cellStyle name="注释 2 3 4 2 2 2" xfId="18308"/>
    <cellStyle name="60% - 强调文字颜色 3 2 2 5" xfId="18309"/>
    <cellStyle name="注释 2 2 6 4" xfId="18310"/>
    <cellStyle name="汇总 2 2 16 3" xfId="18311"/>
    <cellStyle name="输出 2 2 2 2 2 2 3 3" xfId="18312"/>
    <cellStyle name="警告文本 2 2 3 10" xfId="18313"/>
    <cellStyle name="标题 2 5 2 2 2" xfId="18314"/>
    <cellStyle name="输入 2 14" xfId="18315"/>
    <cellStyle name="计算 2 2 7 2 2 4" xfId="18316"/>
    <cellStyle name="汇总 2 5 3 2 2 3" xfId="18317"/>
    <cellStyle name="计算 2 7 4 2 7" xfId="18318"/>
    <cellStyle name="注释 2 5 2 2 3 2" xfId="18319"/>
    <cellStyle name="强调文字颜色 5 2 2 2 2 5 2 2" xfId="18320"/>
    <cellStyle name="输入 2 7 2 6" xfId="18321"/>
    <cellStyle name="汇总 2 16 2" xfId="18322"/>
    <cellStyle name="60% - 强调文字颜色 1 2 3 4 2 2 2" xfId="18323"/>
    <cellStyle name="标题 2 3 2 4 2 2 2" xfId="18324"/>
    <cellStyle name="汇总 2 4 3 4 3" xfId="18325"/>
    <cellStyle name="20% - 强调文字颜色 2 3 2 2 3 2 2 2" xfId="18326"/>
    <cellStyle name="注释 3 9 2" xfId="18327"/>
    <cellStyle name="常规 12 3 6" xfId="18328"/>
    <cellStyle name="60% - 强调文字颜色 6 2 2 2 3 2 2" xfId="18329"/>
    <cellStyle name="计算 3 6 3" xfId="18330"/>
    <cellStyle name="60% - 强调文字颜色 5 2 2 3 3 2" xfId="18331"/>
    <cellStyle name="好 2 2 2 4 3" xfId="18332"/>
    <cellStyle name="计算 2 8 5" xfId="18333"/>
    <cellStyle name="60% - 强调文字颜色 6 2 2 2 2 4 4" xfId="18334"/>
    <cellStyle name="输出 2 2 3 4 2 3 2" xfId="18335"/>
    <cellStyle name="输出 4 2 6" xfId="18336"/>
    <cellStyle name="40% - 强调文字颜色 3 2 2 2 2 3 2" xfId="18337"/>
    <cellStyle name="汇总 2 2 5 2 6 2 2" xfId="18338"/>
    <cellStyle name="输出 2 5 2 2 4 2 2" xfId="18339"/>
    <cellStyle name="20% - 强调文字颜色 5 3 3 2 2 2 2" xfId="18340"/>
    <cellStyle name="标题 2 2 4 4" xfId="18341"/>
    <cellStyle name="检查单元格 4 3 2" xfId="18342"/>
    <cellStyle name="20% - 强调文字颜色 2 2 3 6 2 2" xfId="18343"/>
    <cellStyle name="链接单元格 3 2 5" xfId="18344"/>
    <cellStyle name="输入 2 3 4 2 3 2" xfId="18345"/>
    <cellStyle name="计算 2 5 2 3 2 2" xfId="18346"/>
    <cellStyle name="常规 2 2 4 4 2 2" xfId="18347"/>
    <cellStyle name="计算 2 7 3 3" xfId="18348"/>
    <cellStyle name="60% - 强调文字颜色 6 2 2 2 2 3 2 3" xfId="18349"/>
    <cellStyle name="检查单元格 4 3" xfId="18350"/>
    <cellStyle name="输入 2 2 4 5 3 2 2" xfId="18351"/>
    <cellStyle name="20% - 强调文字颜色 2 2 3 6 2" xfId="18352"/>
    <cellStyle name="标题 3 2 2 2 2 3 3 2 2" xfId="18353"/>
    <cellStyle name="计算 2 2 2 3 2 7" xfId="18354"/>
    <cellStyle name="汇总 2 3 4 2 2 3" xfId="18355"/>
    <cellStyle name="20% - 强调文字颜色 4 2 2 3 4 2 2 2" xfId="18356"/>
    <cellStyle name="标题 4 4 4" xfId="18357"/>
    <cellStyle name="40% - 强调文字颜色 5 3 2 2 2 2 2 2" xfId="18358"/>
    <cellStyle name="输入 2 2 4 9 2" xfId="18359"/>
    <cellStyle name="检查单元格 2 3 2 3 3 2 2" xfId="18360"/>
    <cellStyle name="汇总 2 5 3 2" xfId="18361"/>
    <cellStyle name="Normal 5" xfId="18362"/>
    <cellStyle name="计算 4 4 3 3" xfId="18363"/>
    <cellStyle name="强调文字颜色 6 3 2 2" xfId="18364"/>
    <cellStyle name="常规 7 2 3 2 2 2 2" xfId="18365"/>
    <cellStyle name="注释 2 7 2 2 3" xfId="18366"/>
    <cellStyle name="20% - 强调文字颜色 4 2 2 2 2 3 2" xfId="18367"/>
    <cellStyle name="常规 17 2 2" xfId="18368"/>
    <cellStyle name="20% - 强调文字颜色 6 2 2 2 2 3 2" xfId="18369"/>
    <cellStyle name="20% - 强调文字颜色 6 6" xfId="18370"/>
    <cellStyle name="标题 5 2 2 2 4 3" xfId="18371"/>
    <cellStyle name="链接单元格 2 3 2 7" xfId="18372"/>
    <cellStyle name="强调文字颜色 4 2 2 6 2" xfId="18373"/>
    <cellStyle name="60% - 强调文字颜色 6 2 2 2 2 3 2 2 3" xfId="18374"/>
    <cellStyle name="计算 2 7 3 2 3" xfId="18375"/>
    <cellStyle name="输出 2 7 3 6" xfId="18376"/>
    <cellStyle name="差 3 2 3 2 2" xfId="18377"/>
    <cellStyle name="60% - 强调文字颜色 4 2 2 2 5 2 2 2" xfId="18378"/>
    <cellStyle name="输入 2 3 3 4 2" xfId="18379"/>
    <cellStyle name="计算 3 2 3 6" xfId="18380"/>
    <cellStyle name="60% - 强调文字颜色 3 3 2 2 3" xfId="18381"/>
    <cellStyle name="汇总 3 2 2 2 3" xfId="18382"/>
    <cellStyle name="输入 2 5 3 2 4 2" xfId="18383"/>
    <cellStyle name="计算 2 2 4 3 9" xfId="18384"/>
    <cellStyle name="60% - 强调文字颜色 2 3 6" xfId="18385"/>
    <cellStyle name="汇总 2 4 5 5" xfId="18386"/>
    <cellStyle name="标题 4 2 3 4 2 2 2" xfId="18387"/>
    <cellStyle name="计算 2 2 2 2 3 6" xfId="18388"/>
    <cellStyle name="计算 2 6 4 2" xfId="18389"/>
    <cellStyle name="输出 2 4 8 3" xfId="18390"/>
    <cellStyle name="强调文字颜色 1 2 3 2 2 3" xfId="18391"/>
    <cellStyle name="60% - 强调文字颜色 6 2 2 2 2 2 3 2" xfId="18392"/>
    <cellStyle name="计算 2 2 5 3 6" xfId="18393"/>
    <cellStyle name="计算 2 4 3 10" xfId="18394"/>
    <cellStyle name="60% - 强调文字颜色 3 3 3" xfId="18395"/>
    <cellStyle name="汇总 2 5 3 2 8" xfId="18396"/>
    <cellStyle name="差 4 2 2 2 2" xfId="18397"/>
    <cellStyle name="差 2 3 4 3" xfId="18398"/>
    <cellStyle name="60% - 强调文字颜色 5 3" xfId="18399"/>
    <cellStyle name="适中 2 6 3 3" xfId="18400"/>
    <cellStyle name="40% - 强调文字颜色 5 3 4 2 2 2" xfId="18401"/>
    <cellStyle name="强调文字颜色 4 2 2 3 2 2 2 3" xfId="18402"/>
    <cellStyle name="标题 1 2 4 2 2 3" xfId="18403"/>
    <cellStyle name="计算 2 2 8 2 3 2 2" xfId="18404"/>
    <cellStyle name="20% - 强调文字颜色 3 2 3 2 5 2" xfId="18405"/>
    <cellStyle name="输入 3 10 2" xfId="18406"/>
    <cellStyle name="常规 9 3 6 2" xfId="18407"/>
    <cellStyle name="汇总 3 16" xfId="18408"/>
    <cellStyle name="20% - 强调文字颜色 4 3 6 2" xfId="18409"/>
    <cellStyle name="计算 2 2 3 4 2 5 2" xfId="18410"/>
    <cellStyle name="输出 2 2 3 2 3 3" xfId="18411"/>
    <cellStyle name="常规 3 3 2 2 2 2 2 2" xfId="18412"/>
    <cellStyle name="强调文字颜色 6 2 2 5 2 3" xfId="18413"/>
    <cellStyle name="输出 2 11 2 2" xfId="18414"/>
    <cellStyle name="常规 4 3 2 2 2" xfId="18415"/>
    <cellStyle name="计算 4 7 2 2" xfId="18416"/>
    <cellStyle name="40% - 强调文字颜色 6 2 3 2 3" xfId="18417"/>
    <cellStyle name="常规 4 4 4 3" xfId="18418"/>
    <cellStyle name="汇总 3 3 2 2 3" xfId="18419"/>
    <cellStyle name="常规 5 4 2 3" xfId="18420"/>
    <cellStyle name="输入 2 3 5 2 2" xfId="18421"/>
    <cellStyle name="汇总 2 6 2 3 5 2" xfId="18422"/>
    <cellStyle name="常规 5 3 6 3" xfId="18423"/>
    <cellStyle name="60% - 强调文字颜色 5 6 2" xfId="18424"/>
    <cellStyle name="链接单元格 2 2 5 4" xfId="18425"/>
    <cellStyle name="汇总 2 14 3" xfId="18426"/>
    <cellStyle name="好 3 2 2 3 2 3" xfId="18427"/>
    <cellStyle name="差 2 3 2 6 2" xfId="18428"/>
    <cellStyle name="常规 3 2 2 4 4 2" xfId="18429"/>
    <cellStyle name="好 6 2" xfId="18430"/>
    <cellStyle name="注释 2 10 2 3" xfId="18431"/>
    <cellStyle name="强调文字颜色 3 2 6 3 3" xfId="18432"/>
    <cellStyle name="标题 3 3 2 2 3 2 2 2" xfId="18433"/>
    <cellStyle name="标题 4 2 4 9" xfId="18434"/>
    <cellStyle name="60% - 强调文字颜色 3 2 3 2 2 3 2" xfId="18435"/>
    <cellStyle name="常规 3 2 2 2 2 4 2" xfId="18436"/>
    <cellStyle name="常规 7 4 2 2 2" xfId="18437"/>
    <cellStyle name="40% - 强调文字颜色 4 6" xfId="18438"/>
    <cellStyle name="常规 4 2 3 2 2 2 2" xfId="18439"/>
    <cellStyle name="好 2 2 2 2 4 3" xfId="18440"/>
    <cellStyle name="标题 2 2 2 5 2 2 2" xfId="18441"/>
    <cellStyle name="40% - 强调文字颜色 3 2 3 2 4 3 2" xfId="18442"/>
    <cellStyle name="标题 7 5" xfId="18443"/>
    <cellStyle name="链接单元格 2 4 6 3" xfId="18444"/>
    <cellStyle name="强调文字颜色 5 2 2 6 2" xfId="18445"/>
    <cellStyle name="60% - 强调文字颜色 5 3 5 2" xfId="18446"/>
    <cellStyle name="20% - 强调文字颜色 5 2 2 5 2 2" xfId="18447"/>
    <cellStyle name="计算 2 2 7 4" xfId="18448"/>
    <cellStyle name="标题 3 3 2" xfId="18449"/>
    <cellStyle name="检查单元格 2 3 3" xfId="18450"/>
    <cellStyle name="常规 5 2 4 5" xfId="18451"/>
    <cellStyle name="20% - 强调文字颜色 1 3" xfId="18452"/>
    <cellStyle name="强调文字颜色 2 2 2 2" xfId="18453"/>
    <cellStyle name="40% - 强调文字颜色 5 2 3 3 4" xfId="18454"/>
    <cellStyle name="强调文字颜色 1 2 3 4 2 2" xfId="18455"/>
    <cellStyle name="输出 2 6 8 2" xfId="18456"/>
    <cellStyle name="40% - 强调文字颜色 6 3 5 2 2" xfId="18457"/>
    <cellStyle name="常规 5 6 4 2" xfId="18458"/>
    <cellStyle name="标题 2 2 3 2 5 2 2" xfId="18459"/>
    <cellStyle name="60% - 强调文字颜色 4 2 2 3 5 2" xfId="18460"/>
    <cellStyle name="差 4 2 3" xfId="18461"/>
    <cellStyle name="汇总 2 3 2 2 3 3" xfId="18462"/>
    <cellStyle name="差 2 2 4 3 2 3" xfId="18463"/>
    <cellStyle name="标题 3 2 3 2 4 3 2" xfId="18464"/>
    <cellStyle name="40% - 强调文字颜色 2 2 2 6 3 2 2" xfId="18465"/>
    <cellStyle name="说明文本 2 3 3" xfId="18466"/>
    <cellStyle name="汇总 2 2 3 3 3 3" xfId="18467"/>
    <cellStyle name="强调文字颜色 2 2 2 2 3 3 2" xfId="18468"/>
    <cellStyle name="20% - 强调文字颜色 1 3 3 3 2" xfId="18469"/>
    <cellStyle name="20% - 强调文字颜色 3 2 2 2 4 2 2 2" xfId="18470"/>
    <cellStyle name="适中 2 3 4 2 2" xfId="18471"/>
    <cellStyle name="汇总 2 2 11 2 2" xfId="18472"/>
    <cellStyle name="60% - 强调文字颜色 5 2 3 3 2" xfId="18473"/>
    <cellStyle name="强调文字颜色 2 2 2 9" xfId="18474"/>
    <cellStyle name="计算 2 5 3 2 5 2" xfId="18475"/>
    <cellStyle name="强调文字颜色 5 2 3 5 3" xfId="18476"/>
    <cellStyle name="计算 2 2 2 3 2 4 3" xfId="18477"/>
    <cellStyle name="汇总 2 2 4 10" xfId="18478"/>
    <cellStyle name="60% - 强调文字颜色 5 5 2 2" xfId="18479"/>
    <cellStyle name="强调文字颜色 6 2 2 2 2 2" xfId="18480"/>
    <cellStyle name="链接单元格 2 3 2 3 4" xfId="18481"/>
    <cellStyle name="20% - 强调文字颜色 6 2 4" xfId="18482"/>
    <cellStyle name="输出 2 2 3 2 6 3" xfId="18483"/>
    <cellStyle name="计算 2 3 3 2 5" xfId="18484"/>
    <cellStyle name="20% - 强调文字颜色 2 2 2 6" xfId="18485"/>
    <cellStyle name="标题 3 2 2 2 2 3 2 2" xfId="18486"/>
    <cellStyle name="输入 2 2 4 5 2 2" xfId="18487"/>
    <cellStyle name="计算 2 3 4 6 2" xfId="18488"/>
    <cellStyle name="60% - 强调文字颜色 3 2 3 3 3 2" xfId="18489"/>
    <cellStyle name="差 2 3 3 7" xfId="18490"/>
    <cellStyle name="汇总 2 2 3 2 2 3 3 3" xfId="18491"/>
    <cellStyle name="汇总 2 2 6 2 3 2 3" xfId="18492"/>
    <cellStyle name="汇总 2 5 6 3 2 2" xfId="18493"/>
    <cellStyle name="汇总 2 6 2 4 2" xfId="18494"/>
    <cellStyle name="常规 2 2 2 2 4 2 2" xfId="18495"/>
    <cellStyle name="常规 13 3 2 3" xfId="18496"/>
    <cellStyle name="20% - 强调文字颜色 6 2 2 2 2 5" xfId="18497"/>
    <cellStyle name="标题 6 9" xfId="18498"/>
    <cellStyle name="常规 9 5 2 2 2 2" xfId="18499"/>
    <cellStyle name="解释性文本 2 2 2 5 2 3" xfId="18500"/>
    <cellStyle name="60% - 强调文字颜色 3 3 6 2" xfId="18501"/>
    <cellStyle name="60% - 强调文字颜色 2 2 4 4 2" xfId="18502"/>
    <cellStyle name="标题 4 2 3 7" xfId="18503"/>
    <cellStyle name="汇总 2 2 6 4 2 3 3" xfId="18504"/>
    <cellStyle name="常规 12 2 3 2 2" xfId="18505"/>
    <cellStyle name="计算 2 2 11" xfId="18506"/>
    <cellStyle name="60% - 强调文字颜色 2 2 2 3 3 3 2" xfId="18507"/>
    <cellStyle name="好 3 3 2 2 3" xfId="18508"/>
    <cellStyle name="计算 4 6 2 2" xfId="18509"/>
    <cellStyle name="常规 4 3 4 3" xfId="18510"/>
    <cellStyle name="40% - 强调文字颜色 6 2 2 2 3" xfId="18511"/>
    <cellStyle name="40% - 强调文字颜色 1 4" xfId="18512"/>
    <cellStyle name="40% - 强调文字颜色 6 3 5 2 2 2" xfId="18513"/>
    <cellStyle name="60% - 强调文字颜色 5 5" xfId="18514"/>
    <cellStyle name="计算 2 5 2 3 9" xfId="18515"/>
    <cellStyle name="计算 2 2 5 3 3 2 3" xfId="18516"/>
    <cellStyle name="60% - 强调文字颜色 2 3 2 3 2 2" xfId="18517"/>
    <cellStyle name="常规 5 2 3 2 3 3 2 2" xfId="18518"/>
    <cellStyle name="20% - 强调文字颜色 4 2 2 2 2 5" xfId="18519"/>
    <cellStyle name="强调文字颜色 6 3 3 4" xfId="18520"/>
    <cellStyle name="常规 5 3 3 6" xfId="18521"/>
    <cellStyle name="解释性文本 2 3 2 3 4" xfId="18522"/>
    <cellStyle name="标题 2 2 2 3 10" xfId="18523"/>
    <cellStyle name="汇总 2 6 4 5 2" xfId="18524"/>
    <cellStyle name="标题 3 3" xfId="18525"/>
    <cellStyle name="20% - 强调文字颜色 5 2 2 5 2" xfId="18526"/>
    <cellStyle name="20% - 强调文字颜色 5 2 2 4 5" xfId="18527"/>
    <cellStyle name="标题 2 6" xfId="18528"/>
    <cellStyle name="输入 2 5 6 2" xfId="18529"/>
    <cellStyle name="60% - 强调文字颜色 5 3 3 3" xfId="18530"/>
    <cellStyle name="汇总 6 3" xfId="18531"/>
    <cellStyle name="解释性文本 2 2 2 7" xfId="18532"/>
    <cellStyle name="常规 13 3 3 3 2 2" xfId="18533"/>
    <cellStyle name="20% - 强调文字颜色 3 2 2 2 2 2 4" xfId="18534"/>
    <cellStyle name="输出 6 3" xfId="18535"/>
    <cellStyle name="强调文字颜色 5 2 6" xfId="18536"/>
    <cellStyle name="20% - 强调文字颜色 1 3 2 2 3 2 2 2" xfId="18537"/>
    <cellStyle name="强调文字颜色 5 2 2 3 2 2" xfId="18538"/>
    <cellStyle name="链接单元格 2 4 3 3 2" xfId="18539"/>
    <cellStyle name="输入 2 7 2 3 3" xfId="18540"/>
    <cellStyle name="注释 3 2 5 3" xfId="18541"/>
    <cellStyle name="强调文字颜色 5 3 3 4" xfId="18542"/>
    <cellStyle name="40% - 强调文字颜色 6 3 2 5" xfId="18543"/>
    <cellStyle name="强调文字颜色 1 2 6 2 3" xfId="18544"/>
    <cellStyle name="常规 5 3 7" xfId="18545"/>
    <cellStyle name="汇总 4 7 3" xfId="18546"/>
    <cellStyle name="计算 2 5 5 2 3 3" xfId="18547"/>
    <cellStyle name="标题 1 2 2 2 2 2 2" xfId="18548"/>
    <cellStyle name="输入 2 5 3 4" xfId="18549"/>
    <cellStyle name="计算 4 2 2 3" xfId="18550"/>
    <cellStyle name="汇总 2 3 2 2" xfId="18551"/>
    <cellStyle name="40% - 强调文字颜色 5 2 4 2 2 2 2" xfId="18552"/>
    <cellStyle name="40% - 强调文字颜色 6 2 2 2 2 3" xfId="18553"/>
    <cellStyle name="常规 4 3 4 2 3" xfId="18554"/>
    <cellStyle name="常规 5 2 4" xfId="18555"/>
    <cellStyle name="计算 2 6 9" xfId="18556"/>
    <cellStyle name="汇总 2 4 5 2 2" xfId="18557"/>
    <cellStyle name="40% - 强调文字颜色 2 2 3 2 2 3 2 2" xfId="18558"/>
    <cellStyle name="60% - 强调文字颜色 5 3 2 3" xfId="18559"/>
    <cellStyle name="汇总 2 5 3 3 5 2" xfId="18560"/>
    <cellStyle name="常规 5 3 3 3 3" xfId="18561"/>
    <cellStyle name="标题 2 2 2 2 5 3" xfId="18562"/>
    <cellStyle name="输入 3 2 7 3" xfId="18563"/>
    <cellStyle name="汇总 2 4 10 2" xfId="18564"/>
    <cellStyle name="输出 2 5 4 2 3 2" xfId="18565"/>
    <cellStyle name="汇总 2 2 4 6 3" xfId="18566"/>
    <cellStyle name="60% - 强调文字颜色 2 2 2 2 4 2 2 2" xfId="18567"/>
    <cellStyle name="注释 3 2 2 2 2 3" xfId="18568"/>
    <cellStyle name="输出 2 2 5 3 6" xfId="18569"/>
    <cellStyle name="强调文字颜色 1 3 2 2 3 2" xfId="18570"/>
    <cellStyle name="常规 10 2 5 2" xfId="18571"/>
    <cellStyle name="注释 2 3 2 2 2 3" xfId="18572"/>
    <cellStyle name="60% - 强调文字颜色 1 2 2 6" xfId="18573"/>
    <cellStyle name="计算 2 8 4 2 2 2" xfId="18574"/>
    <cellStyle name="标题 2 2 4 3 2" xfId="18575"/>
    <cellStyle name="计算 2 5 2 3 2 3 3" xfId="18576"/>
    <cellStyle name="20% - 强调文字颜色 5 2 2 2 2 3 2" xfId="18577"/>
    <cellStyle name="计算 2 2 5 2 2 6 2 2" xfId="18578"/>
    <cellStyle name="常规 5 3 3 4 2" xfId="18579"/>
    <cellStyle name="汇总 2 2 17 3" xfId="18580"/>
    <cellStyle name="注释 2 2 7 4" xfId="18581"/>
    <cellStyle name="注释 2 2 4 2 9" xfId="18582"/>
    <cellStyle name="百分比 2 2 3 3 2" xfId="18583"/>
    <cellStyle name="40% - 强调文字颜色 3 2 3 7 2" xfId="18584"/>
    <cellStyle name="40% - 强调文字颜色 5 2 2 2 3 3" xfId="18585"/>
    <cellStyle name="标题 2 2 2 4" xfId="18586"/>
    <cellStyle name="输入 2 4 2 5 2" xfId="18587"/>
    <cellStyle name="汇总 2 2 4 5" xfId="18588"/>
    <cellStyle name="输入 2 2 5 4 4 2 2" xfId="18589"/>
    <cellStyle name="输入 2 2 8 6 3" xfId="18590"/>
    <cellStyle name="计算 2 7 5 7" xfId="18591"/>
    <cellStyle name="汇总 4 8 2" xfId="18592"/>
    <cellStyle name="常规 5 2 3 2 4" xfId="18593"/>
    <cellStyle name="常规 26" xfId="18594"/>
    <cellStyle name="40% - 强调文字颜色 5 6 2 2 2" xfId="18595"/>
    <cellStyle name="常规 11 3 2 5" xfId="18596"/>
    <cellStyle name="注释 2 2 2 2 2 2 3 3" xfId="18597"/>
    <cellStyle name="强调文字颜色 1 2 3 2 3 4" xfId="18598"/>
    <cellStyle name="计算 2 6 5 3" xfId="18599"/>
    <cellStyle name="20% - 强调文字颜色 3 3 3 2" xfId="18600"/>
    <cellStyle name="计算 2 2 3 3 2 2 2" xfId="18601"/>
    <cellStyle name="60% - 强调文字颜色 1 2 2 4 4 2" xfId="18602"/>
    <cellStyle name="注释 2 2 3 2 5 4" xfId="18603"/>
    <cellStyle name="60% - 强调文字颜色 2 2 4 2 2 2 2 2" xfId="18604"/>
    <cellStyle name="常规 4 2 4 3 3" xfId="18605"/>
    <cellStyle name="常规 12 2 2 4" xfId="18606"/>
    <cellStyle name="超链接 2 5 2 2" xfId="18607"/>
    <cellStyle name="计算 2 2 5 2 2 2 4 2 2" xfId="18608"/>
    <cellStyle name="计算 2 5 2 3 2 4 3" xfId="18609"/>
    <cellStyle name="标题 2 2 4 4 2" xfId="18610"/>
    <cellStyle name="60% - 强调文字颜色 6 2 2 4 3 3 2" xfId="18611"/>
    <cellStyle name="输出 2 2 4 2 12" xfId="18612"/>
    <cellStyle name="警告文本 2 4 9" xfId="18613"/>
    <cellStyle name="60% - 强调文字颜色 3 2 3 5" xfId="18614"/>
    <cellStyle name="注释 2 3 4 2 3 2" xfId="18615"/>
    <cellStyle name="差 2 2 2 2 2 2 2 2 3" xfId="18616"/>
    <cellStyle name="输入 3 5 2" xfId="18617"/>
    <cellStyle name="40% - 强调文字颜色 4 3 2 4 2 2 2" xfId="18618"/>
    <cellStyle name="标题 5 3 2 2 2 2 2 3" xfId="18619"/>
    <cellStyle name="计算 2 2 3 2 4" xfId="18620"/>
    <cellStyle name="输出 2 2 2 2 6 2" xfId="18621"/>
    <cellStyle name="常规 3 2 3 2 2" xfId="18622"/>
    <cellStyle name="输出 3 3 5 2 2" xfId="18623"/>
    <cellStyle name="强调文字颜色 2 2 2 3 5 2" xfId="18624"/>
    <cellStyle name="20% - 强调文字颜色 1 4 5 2" xfId="18625"/>
    <cellStyle name="汇总 2 2 4 5 6" xfId="18626"/>
    <cellStyle name="20% - 强调文字颜色 4 2 2 2 2 2 3 3 2 2" xfId="18627"/>
    <cellStyle name="汇总 2 2 2 2 3 4 2 2" xfId="18628"/>
    <cellStyle name="汇总 2 2 6 2 4 2 2" xfId="18629"/>
    <cellStyle name="标题 3 6 2 2 2" xfId="18630"/>
    <cellStyle name="输入 2 2 11 4" xfId="18631"/>
    <cellStyle name="60% - 强调文字颜色 5 2 4 4 2" xfId="18632"/>
    <cellStyle name="好 3 2 2 2 2 2" xfId="18633"/>
    <cellStyle name="汇总 2 7 3 2 3 3" xfId="18634"/>
    <cellStyle name="40% - 强调文字颜色 3 3 9" xfId="18635"/>
    <cellStyle name="强调文字颜色 5 2 2 4 4 2" xfId="18636"/>
    <cellStyle name="标题 2 2 2 3 6 2 2" xfId="18637"/>
    <cellStyle name="差 2 4 8" xfId="18638"/>
    <cellStyle name="常规 10 2 3 4 2" xfId="18639"/>
    <cellStyle name="输入 3 3 4" xfId="18640"/>
    <cellStyle name="解释性文本 2 2 3 2 2 2 3" xfId="18641"/>
    <cellStyle name="输出 2 2 5 3 4" xfId="18642"/>
    <cellStyle name="汇总 2 5 2 10 2 2" xfId="18643"/>
    <cellStyle name="标题 2 2 2 2 2 3 4" xfId="18644"/>
    <cellStyle name="60% - 强调文字颜色 6 2 4 5 3" xfId="18645"/>
    <cellStyle name="强调文字颜色 4 2 2 3 6" xfId="18646"/>
    <cellStyle name="标题 1 2 8" xfId="18647"/>
    <cellStyle name="输入 2 2 7 2 3 3" xfId="18648"/>
    <cellStyle name="汇总 2 2 2 2 2 2 3 2" xfId="18649"/>
    <cellStyle name="输入 2 6 2 2 4 2 2" xfId="18650"/>
    <cellStyle name="检查单元格 2 2 2 2 2 3 2" xfId="18651"/>
    <cellStyle name="20% - 强调文字颜色 4 2 3 3 3" xfId="18652"/>
    <cellStyle name="好 2 2 3 4 2 3" xfId="18653"/>
    <cellStyle name="60% - 强调文字颜色 5 2 2 2 3 3" xfId="18654"/>
    <cellStyle name="40% - 强调文字颜色 2 3 2 2" xfId="18655"/>
    <cellStyle name="注释 2 2 4 4 2 2" xfId="18656"/>
    <cellStyle name="输入 2 2 8 2 2 2" xfId="18657"/>
    <cellStyle name="汇总 2 2 2 5 5" xfId="18658"/>
    <cellStyle name="常规 5 4 8" xfId="18659"/>
    <cellStyle name="20% - 强调文字颜色 4 2 2 4 3" xfId="18660"/>
    <cellStyle name="输入 2 5 2 7 3" xfId="18661"/>
    <cellStyle name="计算 2 2 10 4" xfId="18662"/>
    <cellStyle name="40% - 强调文字颜色 2 2 2 2 2 2 4 2 2" xfId="18663"/>
    <cellStyle name="60% - 强调文字颜色 5 2 5 2 2 2" xfId="18664"/>
    <cellStyle name="20% - 强调文字颜色 4 2 2 3 3 2 2" xfId="18665"/>
    <cellStyle name="60% - 强调文字颜色 5 2 3 5 2 2 2" xfId="18666"/>
    <cellStyle name="标题 2 2 3 6 2" xfId="18667"/>
    <cellStyle name="输入 2 5 2 3 4 3" xfId="18668"/>
    <cellStyle name="20% - 强调文字颜色 1 2 2 2 3 4" xfId="18669"/>
    <cellStyle name="20% - 强调文字颜色 4 2 2 3 3 2" xfId="18670"/>
    <cellStyle name="标题 2 2 3 6" xfId="18671"/>
    <cellStyle name="60% - 强调文字颜色 5 2 3 5 2 2" xfId="18672"/>
    <cellStyle name="标题 1 2 2 2 7 2" xfId="18673"/>
    <cellStyle name="20% - 强调文字颜色 4 5" xfId="18674"/>
    <cellStyle name="标题 5 2 2 2 2 2" xfId="18675"/>
    <cellStyle name="强调文字颜色 2 2 5 4" xfId="18676"/>
    <cellStyle name="常规 16" xfId="18677"/>
    <cellStyle name="常规 21" xfId="18678"/>
    <cellStyle name="输出 2 2 10" xfId="18679"/>
    <cellStyle name="40% - 强调文字颜色 5 2 2 2 2 2 3 2 2" xfId="18680"/>
    <cellStyle name="常规 12 4 4 2" xfId="18681"/>
    <cellStyle name="强调文字颜色 6 2 2 2 2 2 2 2 3" xfId="18682"/>
    <cellStyle name="输出 2 2 4 3 4 2 2" xfId="18683"/>
    <cellStyle name="20% - 强调文字颜色 5 2 3 2 2 5" xfId="18684"/>
    <cellStyle name="常规 6 3 3 3 2 2" xfId="18685"/>
    <cellStyle name="强调文字颜色 4 2 2 2 8" xfId="18686"/>
    <cellStyle name="60% - 强调文字颜色 3 2 4 5 2" xfId="18687"/>
    <cellStyle name="标题 5 2 3" xfId="18688"/>
    <cellStyle name="60% - 强调文字颜色 2 2 3 2 5 2" xfId="18689"/>
    <cellStyle name="汇总 2 8 5 3 2 2" xfId="18690"/>
    <cellStyle name="汇总 2 2 5 4 2 3 3" xfId="18691"/>
    <cellStyle name="常规 11 2 3 2 2" xfId="18692"/>
    <cellStyle name="标题 3 5 2" xfId="18693"/>
    <cellStyle name="计算 2 2 9 4" xfId="18694"/>
    <cellStyle name="常规 5 3 2 7" xfId="18695"/>
    <cellStyle name="汇总 2 10 2 3 2" xfId="18696"/>
    <cellStyle name="60% - 强调文字颜色 4 2 2 6 2" xfId="18697"/>
    <cellStyle name="常规 10 2 2 4 2 2" xfId="18698"/>
    <cellStyle name="60% - 强调文字颜色 6 2 3 6 2" xfId="18699"/>
    <cellStyle name="注释 2 2 3 5 2 3 2" xfId="18700"/>
    <cellStyle name="输入 2 8 7" xfId="18701"/>
    <cellStyle name="计算 2 2 3 2 2 2 4 2" xfId="18702"/>
    <cellStyle name="20% - 强调文字颜色 2 3 3 4 2" xfId="18703"/>
    <cellStyle name="汇总 2 2 4 2 6" xfId="18704"/>
    <cellStyle name="注释 2 2 2 11" xfId="18705"/>
    <cellStyle name="计算 2 7 3 3 3" xfId="18706"/>
    <cellStyle name="强调文字颜色 4 2 2 7 2" xfId="18707"/>
    <cellStyle name="输入 2 5 2 2 4 3" xfId="18708"/>
    <cellStyle name="20% - 强调文字颜色 4 2 2 2 3 2" xfId="18709"/>
    <cellStyle name="20% - 强调文字颜色 4 2 2 2 3" xfId="18710"/>
    <cellStyle name="40% - 强调文字颜色 1 3 3 3" xfId="18711"/>
    <cellStyle name="60% - 强调文字颜色 5 2 3 4" xfId="18712"/>
    <cellStyle name="40% - 强调文字颜色 2 2 2 2 6 2 2 2" xfId="18713"/>
    <cellStyle name="60% - 强调文字颜色 5 2 3 3 4" xfId="18714"/>
    <cellStyle name="强调文字颜色 5 2 2 2 2 3 3 3" xfId="18715"/>
    <cellStyle name="强调文字颜色 3 2 2 7" xfId="18716"/>
    <cellStyle name="警告文本 2 2 3 4 3" xfId="18717"/>
    <cellStyle name="标题 2 2 4 2 2 2 2 2" xfId="18718"/>
    <cellStyle name="标题 3 2 4 2" xfId="18719"/>
    <cellStyle name="60% - 强调文字颜色 3 2 2 5 3 2" xfId="18720"/>
    <cellStyle name="计算 2 2 6 6 2" xfId="18721"/>
    <cellStyle name="强调文字颜色 4 2 4 3 2 2" xfId="18722"/>
    <cellStyle name="输入 2 2 3 7 2 2" xfId="18723"/>
    <cellStyle name="标题 5 3 4 2 2" xfId="18724"/>
    <cellStyle name="常规 13 7" xfId="18725"/>
    <cellStyle name="汇总 3 2 4 2 3" xfId="18726"/>
    <cellStyle name="强调文字颜色 6 2 2 3 9" xfId="18727"/>
    <cellStyle name="20% - 强调文字颜色 4 2 2 2 3 4" xfId="18728"/>
    <cellStyle name="常规 5 2 2 2 2 3 3 3" xfId="18729"/>
    <cellStyle name="20% - 强调文字颜色 5 2 3 2 3 2" xfId="18730"/>
    <cellStyle name="输出 2 4 2 2 5 2" xfId="18731"/>
    <cellStyle name="检查单元格 2 2 3 2 2 2 2 2" xfId="18732"/>
    <cellStyle name="汇总 2 2 4 5 8" xfId="18733"/>
    <cellStyle name="常规 4 3 2 3 4 2" xfId="18734"/>
    <cellStyle name="20% - 强调文字颜色 4 3 3 3 2" xfId="18735"/>
    <cellStyle name="40% - 强调文字颜色 3 2 2 4 2 2" xfId="18736"/>
    <cellStyle name="标题 4 2 2 7 2" xfId="18737"/>
    <cellStyle name="60% - 强调文字颜色 2 2 4 3 2 2" xfId="18738"/>
    <cellStyle name="60% - 强调文字颜色 3 3 5 2 2" xfId="18739"/>
    <cellStyle name="链接单元格 2 2 2 2 3 2" xfId="18740"/>
    <cellStyle name="计算 2 8 3 2 4" xfId="18741"/>
    <cellStyle name="警告文本 5 2 2" xfId="18742"/>
    <cellStyle name="20% - 强调文字颜色 3 2 3 2 2 3" xfId="18743"/>
    <cellStyle name="输入 2 2 2 4 2 2 2" xfId="18744"/>
    <cellStyle name="强调文字颜色 1 2 7 2 3" xfId="18745"/>
    <cellStyle name="常规 5 3 4 2 2 2" xfId="18746"/>
    <cellStyle name="40% - 强调文字颜色 6 3 2 2 2 2 2" xfId="18747"/>
    <cellStyle name="注释 2 2 4 3 2 2 3" xfId="18748"/>
    <cellStyle name="计算 2 6 3 2 8" xfId="18749"/>
    <cellStyle name="输出 2 2 9 4" xfId="18750"/>
    <cellStyle name="计算 2 4 5 3" xfId="18751"/>
    <cellStyle name="60% - 强调文字颜色 4 2 3 6 2" xfId="18752"/>
    <cellStyle name="标题 2 2 8" xfId="18753"/>
    <cellStyle name="强调文字颜色 4 2 3 3 6" xfId="18754"/>
    <cellStyle name="好 2 2 3 2 2 2 3" xfId="18755"/>
    <cellStyle name="标题 4 3 5 2 2 2" xfId="18756"/>
    <cellStyle name="常规 3 3 2 2 5 2 2" xfId="18757"/>
    <cellStyle name="标题 5 2 2 2 2 2 2 3" xfId="18758"/>
    <cellStyle name="40% - 强调文字颜色 2 2 7 2 2" xfId="18759"/>
    <cellStyle name="输出 2 2 2 3 8" xfId="18760"/>
    <cellStyle name="汇总 4 2 3 4" xfId="18761"/>
    <cellStyle name="20% - 强调文字颜色 2 2 5 2 2" xfId="18762"/>
    <cellStyle name="60% - 强调文字颜色 6 2 2 4 4" xfId="18763"/>
    <cellStyle name="计算 2 7 3 3 2 2" xfId="18764"/>
    <cellStyle name="汇总 2 2 4 2 5 2" xfId="18765"/>
    <cellStyle name="计算 2 7 4 2 2 2 2" xfId="18766"/>
    <cellStyle name="注释 2 2 2 2 2 3 2" xfId="18767"/>
    <cellStyle name="检查单元格 2 3 3 3" xfId="18768"/>
    <cellStyle name="注释 2 2 7 5 2" xfId="18769"/>
    <cellStyle name="强调文字颜色 4 2 2 3 2 2 2 2" xfId="18770"/>
    <cellStyle name="标题 1 2 4 2 2 2" xfId="18771"/>
    <cellStyle name="适中 2 6 3 2" xfId="18772"/>
    <cellStyle name="60% - 强调文字颜色 5 2" xfId="18773"/>
    <cellStyle name="60% - 强调文字颜色 4 2 3 2 5" xfId="18774"/>
    <cellStyle name="60% - 强调文字颜色 1 2 3 4" xfId="18775"/>
    <cellStyle name="输出 4 6 2 2" xfId="18776"/>
    <cellStyle name="60% - 强调文字颜色 4 2 3 5" xfId="18777"/>
    <cellStyle name="链接单元格 2 7 3" xfId="18778"/>
    <cellStyle name="适中 2 5 3 2 2" xfId="18779"/>
    <cellStyle name="注释 2 3 6" xfId="18780"/>
    <cellStyle name="汇总 2 2 3 2 2 4 3" xfId="18781"/>
    <cellStyle name="标题 3 6 2 2" xfId="18782"/>
    <cellStyle name="汇总 2 2 6 2 4 2" xfId="18783"/>
    <cellStyle name="汇总 2 10 3 2" xfId="18784"/>
    <cellStyle name="注释 2 8 4 3" xfId="18785"/>
    <cellStyle name="汇总 2 7 3 2 3" xfId="18786"/>
    <cellStyle name="40% - 强调文字颜色 6 2 2 3 4 3" xfId="18787"/>
    <cellStyle name="常规 4 5 2 3 3" xfId="18788"/>
    <cellStyle name="标题 3 2 10" xfId="18789"/>
    <cellStyle name="60% - 强调文字颜色 4 2 3 5 2" xfId="18790"/>
    <cellStyle name="汇总 2 2 3 5 5" xfId="18791"/>
    <cellStyle name="计算 2 7 2 6 2" xfId="18792"/>
    <cellStyle name="输入 2 2 8 3 2 2" xfId="18793"/>
    <cellStyle name="警告文本 2 2 6 4" xfId="18794"/>
    <cellStyle name="输出 2 2 9 3" xfId="18795"/>
    <cellStyle name="适中 4 2 2 2" xfId="18796"/>
    <cellStyle name="计算 2 4 5 2" xfId="18797"/>
    <cellStyle name="链接单元格 3 2 2" xfId="18798"/>
    <cellStyle name="计算 2 6 3 2 7" xfId="18799"/>
    <cellStyle name="强调文字颜色 2 2 2 4 4 3" xfId="18800"/>
    <cellStyle name="60% - 强调文字颜色 6 2 2 2 2 3 2 2" xfId="18801"/>
    <cellStyle name="输出 2 5 7 3" xfId="18802"/>
    <cellStyle name="计算 2 2 5 2 3 8" xfId="18803"/>
    <cellStyle name="计算 2 7 3 2" xfId="18804"/>
    <cellStyle name="40% - 强调文字颜色 5 2 2 3 3 2 2 2" xfId="18805"/>
    <cellStyle name="20% - 强调文字颜色 3 2 3 2 3 2 2 2 2" xfId="18806"/>
    <cellStyle name="强调文字颜色 5 2 4 4 2" xfId="18807"/>
    <cellStyle name="60% - 强调文字颜色 4 2 2 6 3" xfId="18808"/>
    <cellStyle name="强调文字颜色 2 2 3 3 2 2 2" xfId="18809"/>
    <cellStyle name="60% - 强调文字颜色 6 4 2 4" xfId="18810"/>
    <cellStyle name="20% - 强调文字颜色 2 4 2 2 2" xfId="18811"/>
    <cellStyle name="计算 2 2 10 2 3 3" xfId="18812"/>
    <cellStyle name="汇总 2 10 2 3 3" xfId="18813"/>
    <cellStyle name="汇总 2 3 2 4 3 3" xfId="18814"/>
    <cellStyle name="标题 1 2 2 3 4" xfId="18815"/>
    <cellStyle name="强调文字颜色 6 2 5 3 2 2" xfId="18816"/>
    <cellStyle name="标题 2 2 4 6" xfId="18817"/>
    <cellStyle name="汇总 2 5 6 3" xfId="18818"/>
    <cellStyle name="输出 2 5 10" xfId="18819"/>
    <cellStyle name="标题 1 2 3 2 3 2 2 3" xfId="18820"/>
    <cellStyle name="汇总 2 5 3 2 4 3" xfId="18821"/>
    <cellStyle name="60% - 强调文字颜色 6 2 2 5 4" xfId="18822"/>
    <cellStyle name="汇总 2 2 4 2 6 2" xfId="18823"/>
    <cellStyle name="强调文字颜色 4 2 2 7 2 2" xfId="18824"/>
    <cellStyle name="40% - 强调文字颜色 6 2 3 2 2 4 2" xfId="18825"/>
    <cellStyle name="60% - 强调文字颜色 6 2 2 3 5 2 2" xfId="18826"/>
    <cellStyle name="汇总 2 2 4 2 4 3 2 2" xfId="18827"/>
    <cellStyle name="标题 1 2 3 2 7" xfId="18828"/>
    <cellStyle name="20% - 强调文字颜色 4 2 3 6" xfId="18829"/>
    <cellStyle name="计算 2 5 4 7 2" xfId="18830"/>
    <cellStyle name="40% - 强调文字颜色 4 2 3 3 3 2 2" xfId="18831"/>
    <cellStyle name="注释 3 2 4" xfId="18832"/>
    <cellStyle name="输入 2 7 2 2" xfId="18833"/>
    <cellStyle name="适中 2 2 2 2 3 4" xfId="18834"/>
    <cellStyle name="40% - 强调文字颜色 3 3 5" xfId="18835"/>
    <cellStyle name="汇总 2 2 3 2 2 3 2" xfId="18836"/>
    <cellStyle name="60% - 强调文字颜色 6 4 2 2 3" xfId="18837"/>
    <cellStyle name="20% - 强调文字颜色 4 2 2 2 3 2 2 2 2" xfId="18838"/>
    <cellStyle name="60% - 强调文字颜色 6 2 2 2 5 2 2" xfId="18839"/>
    <cellStyle name="汇总 2 2 4 2 3 3 2 2" xfId="18840"/>
    <cellStyle name="标题 6 2 2 2 2 3" xfId="18841"/>
    <cellStyle name="警告文本 2 2 3 2 2 2" xfId="18842"/>
    <cellStyle name="20% - 强调文字颜色 3 2 5 5 2 2" xfId="18843"/>
    <cellStyle name="注释 4 6" xfId="18844"/>
    <cellStyle name="注释 2 2 2 2 2" xfId="18845"/>
    <cellStyle name="40% - 强调文字颜色 2 4 2 2 2 2" xfId="18846"/>
    <cellStyle name="输出 2 6 2 2 4" xfId="18847"/>
    <cellStyle name="60% - 强调文字颜色 3 2 2 2 2 3 2 2 2" xfId="18848"/>
    <cellStyle name="20% - 强调文字颜色 5 4 3 2 2" xfId="18849"/>
    <cellStyle name="汇总 2 8 5 2 2" xfId="18850"/>
    <cellStyle name="60% - 强调文字颜色 5 2 2 9 2" xfId="18851"/>
    <cellStyle name="解释性文本 2 2 6 2 3" xfId="18852"/>
    <cellStyle name="输入 2 3 3 2 4" xfId="18853"/>
    <cellStyle name="强调文字颜色 6 3 3 2" xfId="18854"/>
    <cellStyle name="60% - 强调文字颜色 4 2 2 2 2 4 3" xfId="18855"/>
    <cellStyle name="20% - 强调文字颜色 1 2 5 4 2" xfId="18856"/>
    <cellStyle name="60% - 强调文字颜色 5 2 2" xfId="18857"/>
    <cellStyle name="计算 2 2 7 2 5" xfId="18858"/>
    <cellStyle name="适中 2 6 3 2 2" xfId="18859"/>
    <cellStyle name="常规 5 3 2 3" xfId="18860"/>
    <cellStyle name="计算 2 5 2 6 4 2" xfId="18861"/>
    <cellStyle name="汇总 2 2 4 2 3 3" xfId="18862"/>
    <cellStyle name="60% - 强调文字颜色 6 2 2 2 5" xfId="18863"/>
    <cellStyle name="汇总 2 2 8 8" xfId="18864"/>
    <cellStyle name="60% - 强调文字颜色 1 2 3 4 2" xfId="18865"/>
    <cellStyle name="60% - 强调文字颜色 4 2 3 2 5 2" xfId="18866"/>
    <cellStyle name="适中 2 2 3 9" xfId="18867"/>
    <cellStyle name="输入 2 4 4 7" xfId="18868"/>
    <cellStyle name="标题 4 2 3 4 2 3" xfId="18869"/>
    <cellStyle name="输入 2 5 2 3 5 2 2" xfId="18870"/>
    <cellStyle name="20% - 强调文字颜色 1 2 2 2 4 3 2" xfId="18871"/>
    <cellStyle name="注释 2 2 2 2 6 2" xfId="18872"/>
    <cellStyle name="汇总 2 2 4 2 11 3" xfId="18873"/>
    <cellStyle name="常规 5 2 6 2 2" xfId="18874"/>
    <cellStyle name="输入 2 7 6" xfId="18875"/>
    <cellStyle name="超链接 3 3 5" xfId="18876"/>
    <cellStyle name="强调文字颜色 1 2 2 2 4" xfId="18877"/>
    <cellStyle name="20% - 强调文字颜色 2 3 5 2 2 2" xfId="18878"/>
    <cellStyle name="强调文字颜色 4 2 3 6 2" xfId="18879"/>
    <cellStyle name="计算 2 7 4 2 3" xfId="18880"/>
    <cellStyle name="标题 1 2 2 2 2 2 2 2 2" xfId="18881"/>
    <cellStyle name="强调文字颜色 4 2 3 3" xfId="18882"/>
    <cellStyle name="输入 2 2 2 7" xfId="18883"/>
    <cellStyle name="强调文字颜色 2 2 2 3 9" xfId="18884"/>
    <cellStyle name="计算 2 6 4 3 2" xfId="18885"/>
    <cellStyle name="汇总 2 2 5 2 3" xfId="18886"/>
    <cellStyle name="强调文字颜色 3 2 2 3 3 2 2 2" xfId="18887"/>
    <cellStyle name="标题 3 2 2 7 3" xfId="18888"/>
    <cellStyle name="差 2 2 6 2 2" xfId="18889"/>
    <cellStyle name="汇总 2 5 2 3 3 3 2 2" xfId="18890"/>
    <cellStyle name="计算 2 7 2 2 2 2 3" xfId="18891"/>
    <cellStyle name="20% - 强调文字颜色 6 2 2 3 2" xfId="18892"/>
    <cellStyle name="汇总 2 2 5 5 2 2" xfId="18893"/>
    <cellStyle name="汇总 4 5 2" xfId="18894"/>
    <cellStyle name="标题 3 2 4 2 2" xfId="18895"/>
    <cellStyle name="60% - 强调文字颜色 3 2 2 5 3 2 2" xfId="18896"/>
    <cellStyle name="强调文字颜色 4 2 4 3 2 2 2" xfId="18897"/>
    <cellStyle name="强调文字颜色 3 2 2 2 3 7" xfId="18898"/>
    <cellStyle name="计算 2 2 6 6 2 2" xfId="18899"/>
    <cellStyle name="标题 4 2 2 2 2 2 2 3" xfId="18900"/>
    <cellStyle name="20% - 强调文字颜色 3 3 2 5" xfId="18901"/>
    <cellStyle name="输入 2 2 2 4 2 2 2 2" xfId="18902"/>
    <cellStyle name="计算 3 3 4 3" xfId="18903"/>
    <cellStyle name="汇总 2 6 3 8" xfId="18904"/>
    <cellStyle name="汇总 5 4 2" xfId="18905"/>
    <cellStyle name="40% - 强调文字颜色 1 2 4 3 2" xfId="18906"/>
    <cellStyle name="40% - 强调文字颜色 3 2 2 3 7" xfId="18907"/>
    <cellStyle name="注释 2 6 6 2" xfId="18908"/>
    <cellStyle name="输入 2 5 2 9 2" xfId="18909"/>
    <cellStyle name="60% - 强调文字颜色 5 2 4 3" xfId="18910"/>
    <cellStyle name="差 2 3 4 2 2" xfId="18911"/>
    <cellStyle name="输出 2 2 2 3 2" xfId="18912"/>
    <cellStyle name="常规 7 2 4 3" xfId="18913"/>
    <cellStyle name="计算 2 7 7" xfId="18914"/>
    <cellStyle name="解释性文本 2 2 4 3 2 2 2" xfId="18915"/>
    <cellStyle name="汇总 2 7 6 4" xfId="18916"/>
    <cellStyle name="标题 3 2 3 4 4" xfId="18917"/>
    <cellStyle name="输出 2 2 2 2 11" xfId="18918"/>
    <cellStyle name="60% - 强调文字颜色 4 2 4 2" xfId="18919"/>
    <cellStyle name="60% - 强调文字颜色 2 3 3 2 2" xfId="18920"/>
    <cellStyle name="强调文字颜色 1 2 3 2 7" xfId="18921"/>
    <cellStyle name="注释 4 3 3" xfId="18922"/>
    <cellStyle name="常规 5 2 2 5 2" xfId="18923"/>
    <cellStyle name="40% - 强调文字颜色 5 6 2 2" xfId="18924"/>
    <cellStyle name="汇总 4 8" xfId="18925"/>
    <cellStyle name="40% - 强调文字颜色 2 2 9 2" xfId="18926"/>
    <cellStyle name="标题 4 2 2 3 3 3 2" xfId="18927"/>
    <cellStyle name="注释 2 2 3 2 4 2 5" xfId="18928"/>
    <cellStyle name="计算 2 6 2 3 5 2" xfId="18929"/>
    <cellStyle name="强调文字颜色 2 2 2 6" xfId="18930"/>
    <cellStyle name="20% - 强调文字颜色 1 2 2 4 2 3 2" xfId="18931"/>
    <cellStyle name="计算 2 2 2 2 4 4 2" xfId="18932"/>
    <cellStyle name="常规 2 3 5" xfId="18933"/>
    <cellStyle name="输出 2 4 7" xfId="18934"/>
    <cellStyle name="强调文字颜色 4 3" xfId="18935"/>
    <cellStyle name="常规 8 2 2 3 2 2" xfId="18936"/>
    <cellStyle name="输入 2 4 2 3" xfId="18937"/>
    <cellStyle name="汇总 2 5 2 3 6 2" xfId="18938"/>
    <cellStyle name="60% - 强调文字颜色 4 3 3 3" xfId="18939"/>
    <cellStyle name="40% - 强调文字颜色 2 3 4 2 2 2" xfId="18940"/>
    <cellStyle name="强调文字颜色 5 2 2 7 3" xfId="18941"/>
    <cellStyle name="输出 2 5 2 11" xfId="18942"/>
    <cellStyle name="计算 2 2 3 2 2 2 8" xfId="18943"/>
    <cellStyle name="计算 2 6 3 3 2" xfId="18944"/>
    <cellStyle name="差 2 4 2 2" xfId="18945"/>
    <cellStyle name="输出 5 2" xfId="18946"/>
    <cellStyle name="汇总 2 2 4 2 3 4 2" xfId="18947"/>
    <cellStyle name="60% - 强调文字颜色 6 2 2 2 6 2" xfId="18948"/>
    <cellStyle name="计算 2 2 10 4 2" xfId="18949"/>
    <cellStyle name="汇总 2 2 6 5 2" xfId="18950"/>
    <cellStyle name="20% - 强调文字颜色 6 3 2 3" xfId="18951"/>
    <cellStyle name="链接单元格 2 3 2 4 2 3" xfId="18952"/>
    <cellStyle name="输入 2 2 2 4 2 3" xfId="18953"/>
    <cellStyle name="常规 5 3 2 4" xfId="18954"/>
    <cellStyle name="40% - 强调文字颜色 5 2 3 2 2 4 3 2" xfId="18955"/>
    <cellStyle name="适中 2 2 2 4 3 2 2" xfId="18956"/>
    <cellStyle name="40% - 强调文字颜色 5 3 3 2" xfId="18957"/>
    <cellStyle name="适中 2 5 3 3" xfId="18958"/>
    <cellStyle name="汇总 3 3 3 2 2 2" xfId="18959"/>
    <cellStyle name="计算 2 2 16 3" xfId="18960"/>
    <cellStyle name="输出 2 4 5 5 2" xfId="18961"/>
    <cellStyle name="计算 2 6 2 2 3 2" xfId="18962"/>
    <cellStyle name="注释 2 2 5 4 5" xfId="18963"/>
    <cellStyle name="常规 5 2 6 2" xfId="18964"/>
    <cellStyle name="差 3 4 3" xfId="18965"/>
    <cellStyle name="60% - 强调文字颜色 4 2 2 2 7 2" xfId="18966"/>
    <cellStyle name="20% - 强调文字颜色 6 2 2 2 4 2 2" xfId="18967"/>
    <cellStyle name="常规 6 3 2 2 3 3" xfId="18968"/>
    <cellStyle name="注释 2 2 13 2" xfId="18969"/>
    <cellStyle name="汇总 2 9 2 2 2 2" xfId="18970"/>
    <cellStyle name="强调文字颜色 6 2 4 4 2 2 2" xfId="18971"/>
    <cellStyle name="注释 2 2 3 3 7" xfId="18972"/>
    <cellStyle name="60% - 强调文字颜色 5 2 2 6 3 2 2" xfId="18973"/>
    <cellStyle name="Normal 2 5 2" xfId="18974"/>
    <cellStyle name="常规 2 3 2 2 4 3 2" xfId="18975"/>
    <cellStyle name="输出 2 4 7 2 2" xfId="18976"/>
    <cellStyle name="常规 2 3 5 2 2" xfId="18977"/>
    <cellStyle name="注释 2 2 5 2 2 4" xfId="18978"/>
    <cellStyle name="标题 5 5 3 3" xfId="18979"/>
    <cellStyle name="汇总 2 2 6 2 2 2 3 3" xfId="18980"/>
    <cellStyle name="40% - 强调文字颜色 1 2 2 2 6 2 2" xfId="18981"/>
    <cellStyle name="输入 2 19" xfId="18982"/>
    <cellStyle name="输入 2 8 2 3 2 2" xfId="18983"/>
    <cellStyle name="常规 12 3 3 5" xfId="18984"/>
    <cellStyle name="20% - 强调文字颜色 5 2 2 3 4" xfId="18985"/>
    <cellStyle name="超链接 3 2 2 2 3 2 3" xfId="18986"/>
    <cellStyle name="标题 1 5" xfId="18987"/>
    <cellStyle name="输出 2 2 5 2 5" xfId="18988"/>
    <cellStyle name="20% - 强调文字颜色 2 2 2 2 4 2 2 2" xfId="18989"/>
    <cellStyle name="汇总 4 2 7" xfId="18990"/>
    <cellStyle name="适中 2 2 2 2 4" xfId="18991"/>
    <cellStyle name="60% - 强调文字颜色 6 2 2 9" xfId="18992"/>
    <cellStyle name="常规 11 2 3 2" xfId="18993"/>
    <cellStyle name="汇总 2 2 2 2 3" xfId="18994"/>
    <cellStyle name="差 2 2 3 2 2" xfId="18995"/>
    <cellStyle name="60% - 强调文字颜色 2 3 2 2 3" xfId="18996"/>
    <cellStyle name="标题 2 2 6 3 3" xfId="18997"/>
    <cellStyle name="解释性文本 2 3 5 2" xfId="18998"/>
    <cellStyle name="警告文本 2 2 2 3 7" xfId="18999"/>
    <cellStyle name="注释 4 5" xfId="19000"/>
    <cellStyle name="常规 5 3 2 2 2 5" xfId="19001"/>
    <cellStyle name="40% - 强调文字颜色 1 2 2 7 2 2" xfId="19002"/>
    <cellStyle name="标题 2 2 3 3 3 3" xfId="19003"/>
    <cellStyle name="常规 7 2 2 2 2 2 2 2 2" xfId="19004"/>
    <cellStyle name="计算 2 2 11 3 2" xfId="19005"/>
    <cellStyle name="汇总 2 2 4 2 4 3 2" xfId="19006"/>
    <cellStyle name="60% - 强调文字颜色 6 2 2 3 5 2" xfId="19007"/>
    <cellStyle name="标题 2 2 2 2 2 6 2" xfId="19008"/>
    <cellStyle name="标题 4 2 4 2 2 2 2" xfId="19009"/>
    <cellStyle name="60% - 强调文字颜色 5 2 2 2 2 4 3" xfId="19010"/>
    <cellStyle name="计算 4 9" xfId="19011"/>
    <cellStyle name="输出 2 3 3 2 6" xfId="19012"/>
    <cellStyle name="输入 2 8 7 2 2" xfId="19013"/>
    <cellStyle name="标题 1 2 2 2 5 3" xfId="19014"/>
    <cellStyle name="检查单元格 5 2 2" xfId="19015"/>
    <cellStyle name="计算 2 7 4 2 2" xfId="19016"/>
    <cellStyle name="标题 2 5 3" xfId="19017"/>
    <cellStyle name="60% - 强调文字颜色 6 2 2 2 2 3 3 2 2" xfId="19018"/>
    <cellStyle name="输入 2 7 5" xfId="19019"/>
    <cellStyle name="超链接 3 3 4" xfId="19020"/>
    <cellStyle name="强调文字颜色 1 2 2 2 3" xfId="19021"/>
    <cellStyle name="60% - 强调文字颜色 6 2 3 3 2 2 2 2" xfId="19022"/>
    <cellStyle name="40% - 强调文字颜色 1 2 5 2" xfId="19023"/>
    <cellStyle name="40% - 强调文字颜色 3 2 3 2 2 2 3" xfId="19024"/>
    <cellStyle name="注释 2 2 3 3 3 2 3" xfId="19025"/>
    <cellStyle name="计算 2 2 2 2 5 3" xfId="19026"/>
    <cellStyle name="计算 2 5 4 4 2 2" xfId="19027"/>
    <cellStyle name="40% - 强调文字颜色 3 2 3 5 2 2 2" xfId="19028"/>
    <cellStyle name="常规 9 10" xfId="19029"/>
    <cellStyle name="计算 2 2 5 2 5 2" xfId="19030"/>
    <cellStyle name="60% - 强调文字颜色 3 2 2 2" xfId="19031"/>
    <cellStyle name="计算 2 2 2 3 2 2 2" xfId="19032"/>
    <cellStyle name="计算 2 2 3 3 2 3 2 2" xfId="19033"/>
    <cellStyle name="20% - 强调文字颜色 3 3 4 2 2" xfId="19034"/>
    <cellStyle name="常规 7 2 3 2 3 2" xfId="19035"/>
    <cellStyle name="60% - 强调文字颜色 1 2 2 4 5 2 2" xfId="19036"/>
    <cellStyle name="汇总 2 13 2 2" xfId="19037"/>
    <cellStyle name="40% - 强调文字颜色 4 2 9 2" xfId="19038"/>
    <cellStyle name="标题 1 2 2 4 3 4" xfId="19039"/>
    <cellStyle name="输出 2 4 2 2 2" xfId="19040"/>
    <cellStyle name="常规 9 2 3 3" xfId="19041"/>
    <cellStyle name="检查单元格 2 6 4" xfId="19042"/>
    <cellStyle name="40% - 强调文字颜色 2 2 2 2 3 3 2 2" xfId="19043"/>
    <cellStyle name="输出 2 3 2 2 2 2 3" xfId="19044"/>
    <cellStyle name="常规 14 2" xfId="19045"/>
    <cellStyle name="40% - 强调文字颜色 6 2 2 2 3 2 2" xfId="19046"/>
    <cellStyle name="强调文字颜色 5 2 2 2 2 3 2 2 2" xfId="19047"/>
    <cellStyle name="20% - 强调文字颜色 5 2 2 4" xfId="19048"/>
    <cellStyle name="检查单元格 2 2 2 2 8" xfId="19049"/>
    <cellStyle name="常规 10 2 3 3 3 2" xfId="19050"/>
    <cellStyle name="强调文字颜色 1 2 4 4 2 2 2" xfId="19051"/>
    <cellStyle name="计算 2 3 15" xfId="19052"/>
    <cellStyle name="标题 4 2 2 4" xfId="19053"/>
    <cellStyle name="汇总 2 9 2 3 2" xfId="19054"/>
    <cellStyle name="强调文字颜色 6 2 4 4 3 2" xfId="19055"/>
    <cellStyle name="标题 2 2 2 3 5 2" xfId="19056"/>
    <cellStyle name="强调文字颜色 5 2 2 3 4" xfId="19057"/>
    <cellStyle name="汇总 2 2 6 3 2 2 3" xfId="19058"/>
    <cellStyle name="强调文字颜色 1 2 2 3" xfId="19059"/>
    <cellStyle name="60% - 强调文字颜色 1 2 2 2 4 2" xfId="19060"/>
    <cellStyle name="强调文字颜色 5 2 4 3 4" xfId="19061"/>
    <cellStyle name="标题 1 2 2 2 6" xfId="19062"/>
    <cellStyle name="60% - 强调文字颜色 6 2 4 3 3 3" xfId="19063"/>
    <cellStyle name="输出 2 2 4 4 2 3 2" xfId="19064"/>
    <cellStyle name="计算 2 6 4 8" xfId="19065"/>
    <cellStyle name="标题 4 2 3 2 3 2 2 3" xfId="19066"/>
    <cellStyle name="强调文字颜色 6 2 4 2 2 2 2" xfId="19067"/>
    <cellStyle name="60% - 强调文字颜色 5 2 2 4 3 2 2" xfId="19068"/>
    <cellStyle name="输入 2 11 2 2" xfId="19069"/>
    <cellStyle name="汇总 2 4 5 2 2 2" xfId="19070"/>
    <cellStyle name="计算 2 6 9 2" xfId="19071"/>
    <cellStyle name="40% - 强调文字颜色 2 2 3 2 2 3 2 2 2" xfId="19072"/>
    <cellStyle name="计算 4 2 5 3" xfId="19073"/>
    <cellStyle name="汇总 2 3 5 2" xfId="19074"/>
    <cellStyle name="计算 2 2 4 2 14" xfId="19075"/>
    <cellStyle name="60% - 强调文字颜色 5 2 2 4 2 2 2" xfId="19076"/>
    <cellStyle name="常规 10 2 2 2 5 3" xfId="19077"/>
    <cellStyle name="输出 2 5 2 10" xfId="19078"/>
    <cellStyle name="强调文字颜色 5 2 2 7 2" xfId="19079"/>
    <cellStyle name="40% - 强调文字颜色 4 2 2 4 5 2 2" xfId="19080"/>
    <cellStyle name="汇总 2 2 3 3 2 4" xfId="19081"/>
    <cellStyle name="输入 2 4 2 2 2 2 2 2" xfId="19082"/>
    <cellStyle name="输入 2 2 2 2 2 2 2 2 2" xfId="19083"/>
    <cellStyle name="标题 2 2 2 5" xfId="19084"/>
    <cellStyle name="计算 2 2 4 4 2 3 2" xfId="19085"/>
    <cellStyle name="计算 4 4 3" xfId="19086"/>
    <cellStyle name="汇总 2 4 2 2 2 5" xfId="19087"/>
    <cellStyle name="计算 2 4 9 2 2" xfId="19088"/>
    <cellStyle name="汇总 2 2 4 4 2 4 2 2" xfId="19089"/>
    <cellStyle name="差 2 3 7 2" xfId="19090"/>
    <cellStyle name="汇总 2 10 4" xfId="19091"/>
    <cellStyle name="汇总 2 6 2 2 3 2 2" xfId="19092"/>
    <cellStyle name="20% - 强调文字颜色 3 2 4" xfId="19093"/>
    <cellStyle name="60% - 强调文字颜色 1 2 2 3 5" xfId="19094"/>
    <cellStyle name="60% - 强调文字颜色 5 2 2 4" xfId="19095"/>
    <cellStyle name="汇总 2 5 3 2 5 3" xfId="19096"/>
    <cellStyle name="注释 2 2 5 3 6" xfId="19097"/>
    <cellStyle name="输出 2 2 2 8" xfId="19098"/>
    <cellStyle name="40% - 强调文字颜色 2 2 2 2 5 2 2" xfId="19099"/>
    <cellStyle name="汇总 2 2 4 2 2 2 2 3 3" xfId="19100"/>
    <cellStyle name="注释 2 2 5 9" xfId="19101"/>
    <cellStyle name="40% - 强调文字颜色 5 2 2 4 4" xfId="19102"/>
    <cellStyle name="40% - 强调文字颜色 4 2 3 2 2 2 2" xfId="19103"/>
    <cellStyle name="输出 2 2 4 7 3" xfId="19104"/>
    <cellStyle name="强调文字颜色 6 2 2 4 4 2 2" xfId="19105"/>
    <cellStyle name="强调文字颜色 2 2 2 2 5 2 2" xfId="19106"/>
    <cellStyle name="20% - 强调文字颜色 1 3 5 2 2" xfId="19107"/>
    <cellStyle name="标题 4 2 7 2 2 2" xfId="19108"/>
    <cellStyle name="强调文字颜色 3 2 2 2 2 3 2 2 2" xfId="19109"/>
    <cellStyle name="常规 13 2 2 2 4" xfId="19110"/>
    <cellStyle name="40% - 强调文字颜色 6 2 2 2 2 2 4 2 2 2" xfId="19111"/>
    <cellStyle name="常规 3 3 6 3 2" xfId="19112"/>
    <cellStyle name="标题 5 3 2 4 4" xfId="19113"/>
    <cellStyle name="常规 11 4 3" xfId="19114"/>
    <cellStyle name="汇总 2 3 4 2 4 2 2" xfId="19115"/>
    <cellStyle name="20% - 强调文字颜色 4 2 2 2 5 2 2" xfId="19116"/>
    <cellStyle name="40% - 强调文字颜色 1 2 2 7" xfId="19117"/>
    <cellStyle name="60% - 强调文字颜色 5 2 2 3 6" xfId="19118"/>
    <cellStyle name="常规 7 2 2 2 2 2 2" xfId="19119"/>
    <cellStyle name="40% - 强调文字颜色 1 2 3 2 2 4 3 2" xfId="19120"/>
    <cellStyle name="链接单元格 3 2 2 4" xfId="19121"/>
    <cellStyle name="40% - 强调文字颜色 1 2 2 2 4 3 2 2" xfId="19122"/>
    <cellStyle name="常规 9 6 2" xfId="19123"/>
    <cellStyle name="60% - 强调文字颜色 1 2 4 3 2 2 2" xfId="19124"/>
    <cellStyle name="60% - 强调文字颜色 4 2 2 2 2 2 2 2 2 2" xfId="19125"/>
    <cellStyle name="警告文本 4" xfId="19126"/>
    <cellStyle name="汇总 2 2 6 2 2 2 2 3" xfId="19127"/>
    <cellStyle name="超链接 3 2 4 2 2 2 2" xfId="19128"/>
    <cellStyle name="20% - 强调文字颜色 5 3 8" xfId="19129"/>
    <cellStyle name="计算 3 2 2 6 3" xfId="19130"/>
    <cellStyle name="40% - 强调文字颜色 1 2 4 2 2 2 2 2" xfId="19131"/>
    <cellStyle name="输入 2 5 3 2 4" xfId="19132"/>
    <cellStyle name="输入 2 4 3 3 3" xfId="19133"/>
    <cellStyle name="汇总 2 3 2 6" xfId="19134"/>
    <cellStyle name="60% - 强调文字颜色 4 2 2 3 4" xfId="19135"/>
    <cellStyle name="输入 6 3" xfId="19136"/>
    <cellStyle name="输入 5 2 2" xfId="19137"/>
    <cellStyle name="20% - 强调文字颜色 3 2 10 2" xfId="19138"/>
    <cellStyle name="计算 2 4 2 2 2 2 3" xfId="19139"/>
    <cellStyle name="输入 2 2 3 2 2 4 2" xfId="19140"/>
    <cellStyle name="注释 3 8" xfId="19141"/>
    <cellStyle name="标题 2 2 2 2 2 2 2 2 2" xfId="19142"/>
    <cellStyle name="常规 5 2 2 3 2 3 2" xfId="19143"/>
    <cellStyle name="常规 5 5 2 5 2" xfId="19144"/>
    <cellStyle name="60% - 强调文字颜色 4 2 2 2 3 2" xfId="19145"/>
    <cellStyle name="输出 4 2 2 2 2 2" xfId="19146"/>
    <cellStyle name="常规 5 6 2 3 3" xfId="19147"/>
    <cellStyle name="适中 2 2 3 2 2 2" xfId="19148"/>
    <cellStyle name="汇总 5 2 5 2" xfId="19149"/>
    <cellStyle name="20% - 强调文字颜色 4 4 2 3 2 2" xfId="19150"/>
    <cellStyle name="汇总 2 5 5 7" xfId="19151"/>
    <cellStyle name="20% - 强调文字颜色 3 2 2 2 2 2 2 3 2" xfId="19152"/>
    <cellStyle name="60% - 强调文字颜色 4 2 2 5 3" xfId="19153"/>
    <cellStyle name="链接单元格 2 6 3 3" xfId="19154"/>
    <cellStyle name="强调文字颜色 5 2 4 3 2" xfId="19155"/>
    <cellStyle name="输入 8 2" xfId="19156"/>
    <cellStyle name="计算 2 4 2 2 2 4 2" xfId="19157"/>
    <cellStyle name="汇总 2 10 2 2 3" xfId="19158"/>
    <cellStyle name="注释 2 2 3 3 4" xfId="19159"/>
    <cellStyle name="输入 2 13 2" xfId="19160"/>
    <cellStyle name="汇总 2 2 3 2 2 7" xfId="19161"/>
    <cellStyle name="适中 2 2 2 2 2 2 2 3" xfId="19162"/>
    <cellStyle name="40% - 强调文字颜色 3 2 3 2 3" xfId="19163"/>
    <cellStyle name="计算 2 2 9 2 3 3" xfId="19164"/>
    <cellStyle name="汇总 2 5 5 2 3 2" xfId="19165"/>
    <cellStyle name="标题 3 2 9" xfId="19166"/>
    <cellStyle name="常规 5 2 2 4 4 2" xfId="19167"/>
    <cellStyle name="计算 2 2 2 2 3" xfId="19168"/>
    <cellStyle name="20% - 强调文字颜色 3 2 2 2 3" xfId="19169"/>
    <cellStyle name="常规 8 3 4" xfId="19170"/>
    <cellStyle name="40% - 强调文字颜色 6 6 2 2" xfId="19171"/>
    <cellStyle name="60% - 强调文字颜色 4 2 3 4 2" xfId="19172"/>
    <cellStyle name="链接单元格 2 7 2 2" xfId="19173"/>
    <cellStyle name="标题 5 3 2 3 2" xfId="19174"/>
    <cellStyle name="40% - 强调文字颜色 5 3 7" xfId="19175"/>
    <cellStyle name="标题 5 2 2 2 2 3 2" xfId="19176"/>
    <cellStyle name="注释 2 2 7" xfId="19177"/>
    <cellStyle name="20% - 强调文字颜色 4 6 2" xfId="19178"/>
    <cellStyle name="注释 2 4 2 10" xfId="19179"/>
    <cellStyle name="注释 2 4 2 2 2 2 2 2" xfId="19180"/>
    <cellStyle name="注释 2 2 4 2 2 6" xfId="19181"/>
    <cellStyle name="输出 2 2 3 3 2 2 2 3" xfId="19182"/>
    <cellStyle name="标题 3 2 2 4 3 3" xfId="19183"/>
    <cellStyle name="标题 1 3 2 4 2" xfId="19184"/>
    <cellStyle name="好 2 2 2 2" xfId="19185"/>
    <cellStyle name="常规 13 2 3" xfId="19186"/>
    <cellStyle name="20% - 强调文字颜色 3 2 4 6" xfId="19187"/>
    <cellStyle name="警告文本 2 2 2 3" xfId="19188"/>
    <cellStyle name="60% - 强调文字颜色 5 3 10" xfId="19189"/>
    <cellStyle name="计算 2 2 3 2 5 3" xfId="19190"/>
    <cellStyle name="60% - 强调文字颜色 1 2 2 3" xfId="19191"/>
    <cellStyle name="20% - 强调文字颜色 1 2 6 2 2" xfId="19192"/>
    <cellStyle name="标题 4 2 6 3 2 2" xfId="19193"/>
    <cellStyle name="60% - 强调文字颜色 5 2 2 5" xfId="19194"/>
    <cellStyle name="计算 2 2 8 4 5" xfId="19195"/>
    <cellStyle name="标题 3 4 2 5" xfId="19196"/>
    <cellStyle name="60% - 强调文字颜色 6 4 2" xfId="19197"/>
    <cellStyle name="汇总 2 7 4 2 3 2" xfId="19198"/>
    <cellStyle name="40% - 强调文字颜色 2 2 3 6 2" xfId="19199"/>
    <cellStyle name="输入 2 2 2 2 5 2" xfId="19200"/>
    <cellStyle name="标题 4 2 2 2 3 3 3" xfId="19201"/>
    <cellStyle name="60% - 强调文字颜色 2 2 2 2 2 5 2" xfId="19202"/>
    <cellStyle name="40% - 强调文字颜色 2 4 3 2" xfId="19203"/>
    <cellStyle name="60% - 强调文字颜色 5 2 2 3 4 3" xfId="19204"/>
    <cellStyle name="差 2 2 2 8" xfId="19205"/>
    <cellStyle name="常规 2 2 2 7 3" xfId="19206"/>
    <cellStyle name="强调文字颜色 4 2 2 3 5 2" xfId="19207"/>
    <cellStyle name="标题 1 2 7 2" xfId="19208"/>
    <cellStyle name="输入 2 2 2 2 2 5 2" xfId="19209"/>
    <cellStyle name="超链接 2 2 3 3 2" xfId="19210"/>
    <cellStyle name="好 2 3 5 2 2 2" xfId="19211"/>
    <cellStyle name="输出 2 3 7" xfId="19212"/>
    <cellStyle name="常规 2 2 5" xfId="19213"/>
    <cellStyle name="计算 2 2 2 2 4 3 2" xfId="19214"/>
    <cellStyle name="计算 2 2 6 3 5" xfId="19215"/>
    <cellStyle name="60% - 强调文字颜色 4 3 2" xfId="19216"/>
    <cellStyle name="计算 2 2 2 4 3 2" xfId="19217"/>
    <cellStyle name="计算 2 2 5 5" xfId="19218"/>
    <cellStyle name="60% - 强调文字颜色 3 2 2 4 2" xfId="19219"/>
    <cellStyle name="60% - 强调文字颜色 6 2 2 7 2 2" xfId="19220"/>
    <cellStyle name="常规 5 2 3 7 2" xfId="19221"/>
    <cellStyle name="60% - 强调文字颜色 4 3 6 2" xfId="19222"/>
    <cellStyle name="标题 5 2 3 7" xfId="19223"/>
    <cellStyle name="输入 2 5 5 3 2" xfId="19224"/>
    <cellStyle name="计算 2 2 5 3 2 2 2 2" xfId="19225"/>
    <cellStyle name="输入 2 2 7 2 7" xfId="19226"/>
    <cellStyle name="检查单元格 2 2 2 2 3 3 2" xfId="19227"/>
    <cellStyle name="20% - 强调文字颜色 4 2 4 3 3" xfId="19228"/>
    <cellStyle name="输入 2 6 2 2 5 2 2" xfId="19229"/>
    <cellStyle name="20% - 强调文字颜色 1 2 3 2 2 4 2" xfId="19230"/>
    <cellStyle name="40% - 强调文字颜色 3 2 5 4" xfId="19231"/>
    <cellStyle name="链接单元格 2 3 2 3" xfId="19232"/>
    <cellStyle name="计算 2 2 6 2 2 4 3" xfId="19233"/>
    <cellStyle name="汇总 2 5 2 2 2 3 3" xfId="19234"/>
    <cellStyle name="20% - 强调文字颜色 6 2" xfId="19235"/>
    <cellStyle name="汇总 2 2 4 2 10 3" xfId="19236"/>
    <cellStyle name="输出 2 2 2 2 2 6 2" xfId="19237"/>
    <cellStyle name="警告文本 2 3 3 2 2" xfId="19238"/>
    <cellStyle name="60% - 强调文字颜色 5 2 2 2 2 5 2" xfId="19239"/>
    <cellStyle name="常规 4 3 3 2 2" xfId="19240"/>
    <cellStyle name="输入 2 6 11" xfId="19241"/>
    <cellStyle name="计算 2 3 2 2 3 2 2" xfId="19242"/>
    <cellStyle name="注释 2 2 2 2 2 8" xfId="19243"/>
    <cellStyle name="60% - 强调文字颜色 1 2 2 4 3 3 2" xfId="19244"/>
    <cellStyle name="20% - 强调文字颜色 3 3 2 3 2" xfId="19245"/>
    <cellStyle name="汇总 2 6 2 6" xfId="19246"/>
    <cellStyle name="计算 4 4 4 2" xfId="19247"/>
    <cellStyle name="40% - 强调文字颜色 6 2 2 2 2 3 2 2 2" xfId="19248"/>
    <cellStyle name="40% - 强调文字颜色 5 2 3 2" xfId="19249"/>
    <cellStyle name="适中 2 2 2 4 2 2 2" xfId="19250"/>
    <cellStyle name="警告文本 3 10" xfId="19251"/>
    <cellStyle name="40% - 强调文字颜色 4 2 2 4 5" xfId="19252"/>
    <cellStyle name="汇总 2 4 2 2 2 3 2 2" xfId="19253"/>
    <cellStyle name="60% - 强调文字颜色 5 2 2 2 7 2" xfId="19254"/>
    <cellStyle name="计算 2 2 4 13" xfId="19255"/>
    <cellStyle name="60% - 强调文字颜色 1 2 3 3 2 2 2" xfId="19256"/>
    <cellStyle name="60% - 强调文字颜色 3 2 6 3" xfId="19257"/>
    <cellStyle name="强调文字颜色 3 2 5 2 2" xfId="19258"/>
    <cellStyle name="60% - 强调文字颜色 2 2 3 4 3" xfId="19259"/>
    <cellStyle name="60% - 强调文字颜色 5 2 2 2 6 2 2" xfId="19260"/>
    <cellStyle name="计算 2 2 3 4 2 3 2 2" xfId="19261"/>
    <cellStyle name="20% - 强调文字颜色 4 3 4 2 2" xfId="19262"/>
    <cellStyle name="汇总 2 10 2 4 2" xfId="19263"/>
    <cellStyle name="60% - 强调文字颜色 4 2 2 7 2" xfId="19264"/>
    <cellStyle name="常规 5 2 3 2 3 4 2" xfId="19265"/>
    <cellStyle name="汇总 2 2 4 4" xfId="19266"/>
    <cellStyle name="注释 2 2 4 2 2 2 4" xfId="19267"/>
    <cellStyle name="常规 11 4 2 3 2" xfId="19268"/>
    <cellStyle name="20% - 强调文字颜色 6 2 3 2 4 3" xfId="19269"/>
    <cellStyle name="20% - 强调文字颜色 1 4 4 2 2 2" xfId="19270"/>
    <cellStyle name="强调文字颜色 2 2 2 3 4 2 2 2" xfId="19271"/>
    <cellStyle name="计算 3 3 2 4 3" xfId="19272"/>
    <cellStyle name="超链接 2 9" xfId="19273"/>
    <cellStyle name="计算 2 2 5 2 2 2 8" xfId="19274"/>
    <cellStyle name="20% - 强调文字颜色 3 2 3 4 2 2 2" xfId="19275"/>
    <cellStyle name="40% - 强调文字颜色 6 2 7 2 2 2" xfId="19276"/>
    <cellStyle name="标题 5 3 3 2 2 2 2 2" xfId="19277"/>
    <cellStyle name="20% - 强调文字颜色 4 2 4 2 2" xfId="19278"/>
    <cellStyle name="计算 2 6 2 4 4" xfId="19279"/>
    <cellStyle name="60% - 强调文字颜色 5 2 2 2 6" xfId="19280"/>
    <cellStyle name="输入 2 8 2 4 2" xfId="19281"/>
    <cellStyle name="标题 5 3 2 5 2 2" xfId="19282"/>
    <cellStyle name="计算 2 2 9 4 2 2" xfId="19283"/>
    <cellStyle name="标题 3 5 2 2 2" xfId="19284"/>
    <cellStyle name="输出 2 4 2 2 2 3 2 2" xfId="19285"/>
    <cellStyle name="40% - 强调文字颜色 2 2 3 7 2" xfId="19286"/>
    <cellStyle name="汇总 2 7 4 2 4 2" xfId="19287"/>
    <cellStyle name="汇总 2 6 4 7" xfId="19288"/>
    <cellStyle name="40% - 强调文字颜色 1 2 3 2 4 2" xfId="19289"/>
    <cellStyle name="常规 4 2 4 2 2" xfId="19290"/>
    <cellStyle name="标题 5 2 4 3 3" xfId="19291"/>
    <cellStyle name="40% - 强调文字颜色 5 2 2 2 4 2 2" xfId="19292"/>
    <cellStyle name="标题 4 2 4 4 2 3" xfId="19293"/>
    <cellStyle name="标题 2 2 2 3 3 2" xfId="19294"/>
    <cellStyle name="汇总 2 4 2 4 3 2 2" xfId="19295"/>
    <cellStyle name="强调文字颜色 1 2 2 2 4 3 2" xfId="19296"/>
    <cellStyle name="注释 2 4 7 3" xfId="19297"/>
    <cellStyle name="标题 5 2 5 3" xfId="19298"/>
    <cellStyle name="标题 3 2 3 3 2 2 2 3" xfId="19299"/>
    <cellStyle name="标题 7 2 2" xfId="19300"/>
    <cellStyle name="检查单元格 2 4 4 3 2" xfId="19301"/>
    <cellStyle name="强调文字颜色 5 2 2 4 3 2 2 2" xfId="19302"/>
    <cellStyle name="注释 4 2 3 2 2" xfId="19303"/>
    <cellStyle name="注释 2 3 2 6" xfId="19304"/>
    <cellStyle name="强调文字颜色 1 2 4 5 2 2" xfId="19305"/>
    <cellStyle name="60% - 强调文字颜色 6 3 9" xfId="19306"/>
    <cellStyle name="60% - 强调文字颜色 5 2 4 3 2 2 2" xfId="19307"/>
    <cellStyle name="60% - 强调文字颜色 6 2 4" xfId="19308"/>
    <cellStyle name="计算 2 2 8 2 7" xfId="19309"/>
    <cellStyle name="计算 2 2 4 5 6 2" xfId="19310"/>
    <cellStyle name="40% - 强调文字颜色 6 4 2 3 2 2" xfId="19311"/>
    <cellStyle name="常规 6 3 5 2 2" xfId="19312"/>
    <cellStyle name="60% - 强调文字颜色 5 2 4 6" xfId="19313"/>
    <cellStyle name="60% - 强调文字颜色 3 2 2 8" xfId="19314"/>
    <cellStyle name="计算 2 7 5 2" xfId="19315"/>
    <cellStyle name="输出 2 2 3 4 2 2 2 2" xfId="19316"/>
    <cellStyle name="计算 2 2 3 3 2 3 3" xfId="19317"/>
    <cellStyle name="常规 2 2 3 4 2 2" xfId="19318"/>
    <cellStyle name="汇总 2 2 4 4 9" xfId="19319"/>
    <cellStyle name="强调文字颜色 3 2 2 3 4 3 2" xfId="19320"/>
    <cellStyle name="注释 2 4" xfId="19321"/>
    <cellStyle name="60% - 强调文字颜色 3 2 2 3 2 2 2 2 2" xfId="19322"/>
    <cellStyle name="计算 2 2 4 5 2 2 2 2" xfId="19323"/>
    <cellStyle name="强调文字颜色 2 2 3 6 2" xfId="19324"/>
    <cellStyle name="强调文字颜色 3 2 2 5 3" xfId="19325"/>
    <cellStyle name="标题 2 4 2 4 2" xfId="19326"/>
    <cellStyle name="40% - 强调文字颜色 5 2 4" xfId="19327"/>
    <cellStyle name="适中 2 2 2 4 2 3" xfId="19328"/>
    <cellStyle name="注释 2 2 3 2 2 6 2" xfId="19329"/>
    <cellStyle name="注释 2 2 4 2 2 2 2 3" xfId="19330"/>
    <cellStyle name="常规 9 3 2 2 3 2" xfId="19331"/>
    <cellStyle name="60% - 强调文字颜色 1 2 2 2 2 3" xfId="19332"/>
    <cellStyle name="强调文字颜色 5 2 2 3 4 2 2 2" xfId="19333"/>
    <cellStyle name="40% - 强调文字颜色 3 3 3 2 2 2" xfId="19334"/>
    <cellStyle name="60% - 强调文字颜色 4 2 7" xfId="19335"/>
    <cellStyle name="汇总 2 2 4 2 2 6 2" xfId="19336"/>
    <cellStyle name="20% - 强调文字颜色 6 2 2 3 2 2" xfId="19337"/>
    <cellStyle name="汇总 2 2 5 5 2 2 2" xfId="19338"/>
    <cellStyle name="40% - 强调文字颜色 1 2 3 2 5" xfId="19339"/>
    <cellStyle name="输出 2 2 2 7 2" xfId="19340"/>
    <cellStyle name="40% - 强调文字颜色 2 2 2 2 2 2 3 3" xfId="19341"/>
    <cellStyle name="20% - 强调文字颜色 3 2 2 2 2 2" xfId="19342"/>
    <cellStyle name="60% - 强调文字颜色 1 2 2 3 3 2 2 2" xfId="19343"/>
    <cellStyle name="计算 2 2 4 5 2 5 2" xfId="19344"/>
    <cellStyle name="常规 2 2 2 2 3 3" xfId="19345"/>
    <cellStyle name="60% - 强调文字颜色 6 2 2 3 4 2 2" xfId="19346"/>
    <cellStyle name="汇总 2 2 4 2 4 2 2 2" xfId="19347"/>
    <cellStyle name="标题 3 2 2 3 4" xfId="19348"/>
    <cellStyle name="差 3 2 6" xfId="19349"/>
    <cellStyle name="汇总 2 5 2 4 3 3" xfId="19350"/>
    <cellStyle name="链接单元格 4 4 2" xfId="19351"/>
    <cellStyle name="输出 2 2 7 2 3" xfId="19352"/>
    <cellStyle name="注释 2 6 2 3 2 2" xfId="19353"/>
    <cellStyle name="输入 2 2 4 2 2 3 2 2 2" xfId="19354"/>
    <cellStyle name="输出 2 2 3 9" xfId="19355"/>
    <cellStyle name="汇总 2 2 5 3 2 3 2" xfId="19356"/>
    <cellStyle name="常规 5 2 6 3" xfId="19357"/>
    <cellStyle name="40% - 强调文字颜色 6 2 2 2 2 4 3 2 2" xfId="19358"/>
    <cellStyle name="强调文字颜色 2 2 2 3 5 3" xfId="19359"/>
    <cellStyle name="汇总 2 2 2 2 6 2" xfId="19360"/>
    <cellStyle name="20% - 强调文字颜色 3 2 2 9" xfId="19361"/>
    <cellStyle name="汇总 2 2 3 2 4 3 2" xfId="19362"/>
    <cellStyle name="60% - 强调文字颜色 6 4 4 2 3" xfId="19363"/>
    <cellStyle name="标题 1 3 2 2 5" xfId="19364"/>
    <cellStyle name="汇总 2 2 2 5 3 2 2" xfId="19365"/>
    <cellStyle name="60% - 强调文字颜色 5 2 2 3 4 2" xfId="19366"/>
    <cellStyle name="计算 2 6 2 5 2 2" xfId="19367"/>
    <cellStyle name="适中 2 2 3 4 2 3" xfId="19368"/>
    <cellStyle name="汇总 2 6 3 3 4" xfId="19369"/>
    <cellStyle name="输出 2 8 5 3" xfId="19370"/>
    <cellStyle name="40% - 强调文字颜色 2 5 2 2 2 2" xfId="19371"/>
    <cellStyle name="20% - 强调文字颜色 3 2 2 7 2" xfId="19372"/>
    <cellStyle name="标题 1 3 2 2 3 2" xfId="19373"/>
    <cellStyle name="40% - 强调文字颜色 1 3 10" xfId="19374"/>
    <cellStyle name="常规 10 5 4 2 2" xfId="19375"/>
    <cellStyle name="注释 2 2 7 2 7" xfId="19376"/>
    <cellStyle name="汇总 2 5 2 4 3" xfId="19377"/>
    <cellStyle name="计算 2 2 4 4 3 2 3" xfId="19378"/>
    <cellStyle name="计算 2 5 2 3 8" xfId="19379"/>
    <cellStyle name="60% - 强调文字颜色 2 2 3 3 2 2" xfId="19380"/>
    <cellStyle name="计算 2 2 4 2 6 3 2 2" xfId="19381"/>
    <cellStyle name="60% - 强调文字颜色 3 2 5 2 2" xfId="19382"/>
    <cellStyle name="计算 2 5 3 5" xfId="19383"/>
    <cellStyle name="标题 3 2 2 11" xfId="19384"/>
    <cellStyle name="常规 5 3 3 2 3 2 2" xfId="19385"/>
    <cellStyle name="计算 2 6 3 4 3" xfId="19386"/>
    <cellStyle name="计算 2 7 2 2 9" xfId="19387"/>
    <cellStyle name="60% - 强调文字颜色 5 2 3 2 5" xfId="19388"/>
    <cellStyle name="警告文本 2 4 4 3 2" xfId="19389"/>
    <cellStyle name="20% - 强调文字颜色 6 2 2 4 5 2 2" xfId="19390"/>
    <cellStyle name="20% - 强调文字颜色 3 3 2 2 3 2" xfId="19391"/>
    <cellStyle name="常规 11 2 2 2 2" xfId="19392"/>
    <cellStyle name="汇总 2 6 2 2 3 5" xfId="19393"/>
    <cellStyle name="汇总 2 5 9 2 2" xfId="19394"/>
    <cellStyle name="强调文字颜色 1 2 2 2 2 4" xfId="19395"/>
    <cellStyle name="20% - 强调文字颜色 2 3 2 2" xfId="19396"/>
    <cellStyle name="强调文字颜色 2 2 3 2 2 2" xfId="19397"/>
    <cellStyle name="计算 2 8 3 8" xfId="19398"/>
    <cellStyle name="40% - 强调文字颜色 4 2 2 2 2 2 3" xfId="19399"/>
    <cellStyle name="计算 2 4 4 3 2 2" xfId="19400"/>
    <cellStyle name="汇总 2 2 4 6" xfId="19401"/>
    <cellStyle name="输入 2 4 2 5 3" xfId="19402"/>
    <cellStyle name="注释 3 2 2 2 2" xfId="19403"/>
    <cellStyle name="注释 2 4 8 2" xfId="19404"/>
    <cellStyle name="60% - 强调文字颜色 1 4 4 2 2" xfId="19405"/>
    <cellStyle name="20% - 强调文字颜色 2 2 2 2 2 3 2" xfId="19406"/>
    <cellStyle name="输入 2 2 7 6" xfId="19407"/>
    <cellStyle name="20% - 强调文字颜色 2 2 2 2 2 2 2 2 2 2" xfId="19408"/>
    <cellStyle name="常规 5 2 3 4 5" xfId="19409"/>
    <cellStyle name="强调文字颜色 4 2 2 8" xfId="19410"/>
    <cellStyle name="标题 4 2 6 2 2 2" xfId="19411"/>
    <cellStyle name="20% - 强调文字颜色 1 2 5 2 2" xfId="19412"/>
    <cellStyle name="好 2 2 2 3 2 2 3" xfId="19413"/>
    <cellStyle name="标题 1 3 5 2" xfId="19414"/>
    <cellStyle name="强调文字颜色 4 2 2 4 3 2" xfId="19415"/>
    <cellStyle name="适中 2 3 4 3 2" xfId="19416"/>
    <cellStyle name="汇总 2 2 11 3 2" xfId="19417"/>
    <cellStyle name="20% - 强调文字颜色 3 2 3 3 3" xfId="19418"/>
    <cellStyle name="60% - 强调文字颜色 1 2 7 2" xfId="19419"/>
    <cellStyle name="汇总 2 10 3 3 3" xfId="19420"/>
    <cellStyle name="40% - 强调文字颜色 5 4 2 4 2" xfId="19421"/>
    <cellStyle name="汇总 2 5 2 2 2 2 4" xfId="19422"/>
    <cellStyle name="强调文字颜色 2 2 6 2" xfId="19423"/>
    <cellStyle name="20% - 强调文字颜色 5 3" xfId="19424"/>
    <cellStyle name="计算 2 2 8 2 2 3 2 2" xfId="19425"/>
    <cellStyle name="汇总 2 2 5 2 7 3" xfId="19426"/>
    <cellStyle name="40% - 强调文字颜色 3 2 2 2 3 4" xfId="19427"/>
    <cellStyle name="计算 2 6 2 3 2 3" xfId="19428"/>
    <cellStyle name="40% - 强调文字颜色 2 2 3 2" xfId="19429"/>
    <cellStyle name="检查单元格 3 10" xfId="19430"/>
    <cellStyle name="计算 2 2 3 4 2 2 3" xfId="19431"/>
    <cellStyle name="20% - 强调文字颜色 4 3 3 3" xfId="19432"/>
    <cellStyle name="汇总 2 5 2 2 5 2 2" xfId="19433"/>
    <cellStyle name="60% - 强调文字颜色 4 2 2 3 2" xfId="19434"/>
    <cellStyle name="标题 3 2 3 2 4 2 2 2" xfId="19435"/>
    <cellStyle name="计算 2 4 4 9" xfId="19436"/>
    <cellStyle name="输入 2 4 3 2 2" xfId="19437"/>
    <cellStyle name="20% - 强调文字颜色 1 2 2 2 2 5 2 2 2" xfId="19438"/>
    <cellStyle name="输入 2 7 13" xfId="19439"/>
    <cellStyle name="常规 6 3 2 2 3 3 2" xfId="19440"/>
    <cellStyle name="60% - 强调文字颜色 5 4 4 2" xfId="19441"/>
    <cellStyle name="常规 5 2 2 3 3" xfId="19442"/>
    <cellStyle name="标题 3 2 3 2 4 2 2" xfId="19443"/>
    <cellStyle name="输出 2 2 3 2 4 2 5" xfId="19444"/>
    <cellStyle name="汇总 2 2 6 3 2 2 2 2" xfId="19445"/>
    <cellStyle name="40% - 强调文字颜色 6 2 3 2 3 2 2 2 2" xfId="19446"/>
    <cellStyle name="汇总 2 5 2 4 4 3" xfId="19447"/>
    <cellStyle name="标题 3 2 2 4 4" xfId="19448"/>
    <cellStyle name="汇总 2 5 2 4" xfId="19449"/>
    <cellStyle name="60% - 强调文字颜色 4 3 2 2 4 2" xfId="19450"/>
    <cellStyle name="60% - 强调文字颜色 6 2 6 3" xfId="19451"/>
    <cellStyle name="40% - 强调文字颜色 6 5 2 2" xfId="19452"/>
    <cellStyle name="常规 7 3 4" xfId="19453"/>
    <cellStyle name="60% - 强调文字颜色 4 3 2 2 3" xfId="19454"/>
    <cellStyle name="差 2 4 4 3" xfId="19455"/>
    <cellStyle name="汇总 2 5 4 2 8" xfId="19456"/>
    <cellStyle name="差 4 2 3 2 2" xfId="19457"/>
    <cellStyle name="检查单元格 2 2 3 6 2 2" xfId="19458"/>
    <cellStyle name="强调文字颜色 1 2 2 4 5 2 2" xfId="19459"/>
    <cellStyle name="20% - 强调文字颜色 2 2 2 3 3 3" xfId="19460"/>
    <cellStyle name="汇总 2 3 2 2 2" xfId="19461"/>
    <cellStyle name="计算 4 2 2 3 2" xfId="19462"/>
    <cellStyle name="60% - 强调文字颜色 4 2 7 2 2" xfId="19463"/>
    <cellStyle name="超链接 2 5 3 2 2 2" xfId="19464"/>
    <cellStyle name="标题 4 2 6 2 2" xfId="19465"/>
    <cellStyle name="20% - 强调文字颜色 1 2 5 2" xfId="19466"/>
    <cellStyle name="40% - 强调文字颜色 4 2 3 3 2 2 2" xfId="19467"/>
    <cellStyle name="输入 2 6 2 2" xfId="19468"/>
    <cellStyle name="注释 2 2 4" xfId="19469"/>
    <cellStyle name="常规 4 2 2 2 4 2" xfId="19470"/>
    <cellStyle name="计算 2 9 2 3" xfId="19471"/>
    <cellStyle name="检查单元格 2 2 3 3 2 3" xfId="19472"/>
    <cellStyle name="60% - 强调文字颜色 4 3 2 4 2 2 2" xfId="19473"/>
    <cellStyle name="60% - 强调文字颜色 6 2 4 4" xfId="19474"/>
    <cellStyle name="计算 2 3 11 2" xfId="19475"/>
    <cellStyle name="差 2 4 4 2 3" xfId="19476"/>
    <cellStyle name="汇总 2 4 2 2 6 3" xfId="19477"/>
    <cellStyle name="标题 3 2 2 2 4 3 3" xfId="19478"/>
    <cellStyle name="输入 2 2 6 5 3" xfId="19479"/>
    <cellStyle name="计算 2 5 4 7" xfId="19480"/>
    <cellStyle name="计算 2 5 4 3 2" xfId="19481"/>
    <cellStyle name="计算 2 2 7 8 3" xfId="19482"/>
    <cellStyle name="60% - 强调文字颜色 2 4 2 3 2" xfId="19483"/>
    <cellStyle name="常规 3 3 2 2 4 2 2 2" xfId="19484"/>
    <cellStyle name="20% - 强调文字颜色 1 2 2 2 2 3 3" xfId="19485"/>
    <cellStyle name="常规 10 3 2 3 4" xfId="19486"/>
    <cellStyle name="40% - 强调文字颜色 6 2 3 4 3" xfId="19487"/>
    <cellStyle name="输入 2 2 4 3 3" xfId="19488"/>
    <cellStyle name="常规 9 3 2 2 2 2 2" xfId="19489"/>
    <cellStyle name="计算 2 3 2 7" xfId="19490"/>
    <cellStyle name="标题 3 2 2 2 2 2 2 2 2 3" xfId="19491"/>
    <cellStyle name="汇总 2 7 5 5" xfId="19492"/>
    <cellStyle name="计算 2 5 5 2 3 2 2" xfId="19493"/>
    <cellStyle name="汇总 2 2 7 6 2 2" xfId="19494"/>
    <cellStyle name="60% - 强调文字颜色 4 2 2 3 3 2 2" xfId="19495"/>
    <cellStyle name="注释 2 2 4 5 2 2" xfId="19496"/>
    <cellStyle name="60% - 强调文字颜色 5 2 2 3 3 3" xfId="19497"/>
    <cellStyle name="20% - 强调文字颜色 1 3 4 2" xfId="19498"/>
    <cellStyle name="强调文字颜色 2 2 2 2 4 2" xfId="19499"/>
    <cellStyle name="输入 2 2 6 11" xfId="19500"/>
    <cellStyle name="链接单元格 2 2 3 2 2 2" xfId="19501"/>
    <cellStyle name="标题 1 2 2 2 3 2 2 2 2 2" xfId="19502"/>
    <cellStyle name="输出 2 3 7 2" xfId="19503"/>
    <cellStyle name="计算 2 2 2 2 4 3 2 2" xfId="19504"/>
    <cellStyle name="常规 2 2 5 2" xfId="19505"/>
    <cellStyle name="计算 2 4 2 3 4" xfId="19506"/>
    <cellStyle name="输出 2 2 6 4 4" xfId="19507"/>
    <cellStyle name="输入 2 2 4 12" xfId="19508"/>
    <cellStyle name="60% - 强调文字颜色 3 2 4 7" xfId="19509"/>
    <cellStyle name="常规 3 2 2 3 2 2" xfId="19510"/>
    <cellStyle name="计算 2 2 2 3 4 2" xfId="19511"/>
    <cellStyle name="计算 2 2 5 4 5" xfId="19512"/>
    <cellStyle name="60% - 强调文字颜色 3 4 2" xfId="19513"/>
    <cellStyle name="40% - 强调文字颜色 2 2 10" xfId="19514"/>
    <cellStyle name="60% - 强调文字颜色 6 2 3 5 3" xfId="19515"/>
    <cellStyle name="汇总 2 15 2" xfId="19516"/>
    <cellStyle name="20% - 强调文字颜色 6 2 2 2 2 3 2 2 2" xfId="19517"/>
    <cellStyle name="输入 2 2 4 3 9" xfId="19518"/>
    <cellStyle name="检查单元格 3 3 2" xfId="19519"/>
    <cellStyle name="20% - 强调文字颜色 2 2 3 5 2 2" xfId="19520"/>
    <cellStyle name="计算 2 7 2 3 2" xfId="19521"/>
    <cellStyle name="汇总 2 2 3 2 5" xfId="19522"/>
    <cellStyle name="汇总 2 10 4 2" xfId="19523"/>
    <cellStyle name="汇总 2 6 2 2 3 2 2 2" xfId="19524"/>
    <cellStyle name="60% - 强调文字颜色 4 2 4 5" xfId="19525"/>
    <cellStyle name="差 2 2 4 2 4" xfId="19526"/>
    <cellStyle name="注释 2 3 2 2 4 2 2" xfId="19527"/>
    <cellStyle name="60% - 强调文字颜色 1 2 4 5 2" xfId="19528"/>
    <cellStyle name="解释性文本 5 2 2" xfId="19529"/>
    <cellStyle name="汇总 2 2 2 2 4 3 2" xfId="19530"/>
    <cellStyle name="20% - 强调文字颜色 4 2 2 2 2 2 4 2 2" xfId="19531"/>
    <cellStyle name="汇总 2 3 3 2 4 3" xfId="19532"/>
    <cellStyle name="差 2 4 2 2 3" xfId="19533"/>
    <cellStyle name="计算 3 8 2" xfId="19534"/>
    <cellStyle name="输出 5 2 3" xfId="19535"/>
    <cellStyle name="计算 3 4 4 2 2" xfId="19536"/>
    <cellStyle name="40% - 强调文字颜色 6 2 2 2 2 2 2 2 2 2" xfId="19537"/>
    <cellStyle name="注释 2 2 3 4 3 2" xfId="19538"/>
    <cellStyle name="40% - 强调文字颜色 3 2 3 3 2 2" xfId="19539"/>
    <cellStyle name="40% - 强调文字颜色 6 2 6 3" xfId="19540"/>
    <cellStyle name="注释 2 2 3 2 2 2 4" xfId="19541"/>
    <cellStyle name="40% - 强调文字颜色 6 2 3 4 2 2 2" xfId="19542"/>
    <cellStyle name="常规 10 3 2 3 3 2 2" xfId="19543"/>
    <cellStyle name="汇总 2 2 7 7 2 2" xfId="19544"/>
    <cellStyle name="汇总 2 2 2 3 4 2 2" xfId="19545"/>
    <cellStyle name="汇总 2 3 4 2 3 3" xfId="19546"/>
    <cellStyle name="20% - 强调文字颜色 5 3 2 4" xfId="19547"/>
    <cellStyle name="标题 4 2 2 2 4 2 2 2" xfId="19548"/>
    <cellStyle name="输出 2 9 2 4" xfId="19549"/>
    <cellStyle name="计算 2 2 4 4 2" xfId="19550"/>
    <cellStyle name="60% - 强调文字颜色 3 3 2 2 3 2 2" xfId="19551"/>
    <cellStyle name="常规 3 5 2" xfId="19552"/>
    <cellStyle name="标题 3 2 2 2 3 2 2" xfId="19553"/>
    <cellStyle name="汇总 2 5 2 4 2 2 2 2" xfId="19554"/>
    <cellStyle name="输入 2 2 5 4 2" xfId="19555"/>
    <cellStyle name="输出 2 2 7 7" xfId="19556"/>
    <cellStyle name="计算 2 4 3 6" xfId="19557"/>
    <cellStyle name="60% - 强调文字颜色 2 2 3 2 2 3" xfId="19558"/>
    <cellStyle name="计算 2 2 6 4 2 3 2 2" xfId="19559"/>
    <cellStyle name="汇总 2 2 7 2 2 3" xfId="19560"/>
    <cellStyle name="输入 2 4 7 3" xfId="19561"/>
    <cellStyle name="强调文字颜色 5 2 3 2 2 4" xfId="19562"/>
    <cellStyle name="强调文字颜色 2 2 2 2 2 5 3" xfId="19563"/>
    <cellStyle name="检查单元格 2 2 2 6 2" xfId="19564"/>
    <cellStyle name="计算 2 2 4 2 8 3" xfId="19565"/>
    <cellStyle name="60% - 强调文字颜色 3 4 5" xfId="19566"/>
    <cellStyle name="计算 2 2 5 4 8" xfId="19567"/>
    <cellStyle name="60% - 强调文字颜色 2 2 5 3" xfId="19568"/>
    <cellStyle name="计算 2 2 2 2 2 5 3" xfId="19569"/>
    <cellStyle name="链接单元格 2 2 5 3" xfId="19570"/>
    <cellStyle name="计算 2 5 2 2 2 2 3" xfId="19571"/>
    <cellStyle name="强调文字颜色 4 2 3 2 2 2 2" xfId="19572"/>
    <cellStyle name="常规 5 2 5 4 2" xfId="19573"/>
    <cellStyle name="强调文字颜色 5 3 10" xfId="19574"/>
    <cellStyle name="常规 6 3 2 2 5 2" xfId="19575"/>
    <cellStyle name="输出 2 2 3 2 8 2" xfId="19576"/>
    <cellStyle name="20% - 强调文字颜色 6 2 3 2 3" xfId="19577"/>
    <cellStyle name="检查单元格 2 2 4 2 2 2 2" xfId="19578"/>
    <cellStyle name="汇总 2 2 10 2 7" xfId="19579"/>
    <cellStyle name="常规 5 2 3 4 5 2" xfId="19580"/>
    <cellStyle name="计算 2 3 2 3 3" xfId="19581"/>
    <cellStyle name="60% - 强调文字颜色 4 2" xfId="19582"/>
    <cellStyle name="适中 2 6 2 2" xfId="19583"/>
    <cellStyle name="60% - 强调文字颜色 4 2 3 3 2 2 2 2" xfId="19584"/>
    <cellStyle name="输入 5 5" xfId="19585"/>
    <cellStyle name="输入 2 2 2 5 2 2" xfId="19586"/>
    <cellStyle name="40% - 强调文字颜色 5 4 2 2 2 2" xfId="19587"/>
    <cellStyle name="注释 2 2 6 2 3 3" xfId="19588"/>
    <cellStyle name="标题 2 2 2 3 3 4" xfId="19589"/>
    <cellStyle name="计算 2 6 10 2" xfId="19590"/>
    <cellStyle name="强调文字颜色 2 2 3 2 2 2 2 2" xfId="19591"/>
    <cellStyle name="60% - 强调文字颜色 5 4 2 4 2" xfId="19592"/>
    <cellStyle name="20% - 强调文字颜色 2 3 2 2 2 2" xfId="19593"/>
    <cellStyle name="强调文字颜色 2 2 2 4 6" xfId="19594"/>
    <cellStyle name="汇总 4 2 2 4 3" xfId="19595"/>
    <cellStyle name="汇总 4 2" xfId="19596"/>
    <cellStyle name="常规 12 4 2 3" xfId="19597"/>
    <cellStyle name="输入 4 4 2 2" xfId="19598"/>
    <cellStyle name="强调文字颜色 6 2 2 5 4" xfId="19599"/>
    <cellStyle name="60% - 强调文字颜色 3 3 2 5 2" xfId="19600"/>
    <cellStyle name="汇总 2 2 4 3 2 5 2 2" xfId="19601"/>
    <cellStyle name="百分比 2 2 5 2 2 2" xfId="19602"/>
    <cellStyle name="20% - 强调文字颜色 1 2 5 3 3" xfId="19603"/>
    <cellStyle name="40% - 强调文字颜色 5 2 2 4 2 3 2" xfId="19604"/>
    <cellStyle name="20% - 强调文字颜色 1 3 2 2 2 2 2 2" xfId="19605"/>
    <cellStyle name="20% - 强调文字颜色 4 3 2 2 3 2" xfId="19606"/>
    <cellStyle name="强调文字颜色 2 2 2 2 2 2 2 2 2 2" xfId="19607"/>
    <cellStyle name="汇总 2 6 2 2 5" xfId="19608"/>
    <cellStyle name="输入 2 3 4 2" xfId="19609"/>
    <cellStyle name="汇总 2 7 3 4" xfId="19610"/>
    <cellStyle name="40% - 强调文字颜色 6 2 2 3 6" xfId="19611"/>
    <cellStyle name="汇总 2 2 7 4 3 3" xfId="19612"/>
    <cellStyle name="汇总 2 7 4 4 2" xfId="19613"/>
    <cellStyle name="40% - 强调文字颜色 2 2 5 5" xfId="19614"/>
    <cellStyle name="计算 2 2 8 3 3" xfId="19615"/>
    <cellStyle name="输入 2 2 2 4 4" xfId="19616"/>
    <cellStyle name="20% - 强调文字颜色 1 2 4 2" xfId="19617"/>
    <cellStyle name="强调文字颜色 6 2 4 6" xfId="19618"/>
    <cellStyle name="百分比 2 3 2" xfId="19619"/>
    <cellStyle name="汇总 2 9 4" xfId="19620"/>
    <cellStyle name="20% - 强调文字颜色 4 2 2" xfId="19621"/>
    <cellStyle name="60% - 强调文字颜色 1 2 3 3 3" xfId="19622"/>
    <cellStyle name="计算 2 2 6 2 2 2 3 2" xfId="19623"/>
    <cellStyle name="注释 2 2 3 2 5 2 2" xfId="19624"/>
    <cellStyle name="常规 6 3 2 2 3" xfId="19625"/>
    <cellStyle name="注释 2 2 2 2 3" xfId="19626"/>
    <cellStyle name="注释 4 7" xfId="19627"/>
    <cellStyle name="40% - 强调文字颜色 3 2 3 2 3 2 2 2" xfId="19628"/>
    <cellStyle name="警告文本 2 2 2 2 5 2" xfId="19629"/>
    <cellStyle name="20% - 强调文字颜色 1 2 3 4" xfId="19630"/>
    <cellStyle name="60% - 强调文字颜色 2 3 10" xfId="19631"/>
    <cellStyle name="强调文字颜色 1 5 2 2" xfId="19632"/>
    <cellStyle name="常规 9 2 2 2 3 3 2" xfId="19633"/>
    <cellStyle name="60% - 强调文字颜色 1 2 3 2 2 4" xfId="19634"/>
    <cellStyle name="计算 2 2 5 2 3 5 2" xfId="19635"/>
    <cellStyle name="标题 1 2 3" xfId="19636"/>
    <cellStyle name="20% - 强调文字颜色 5 2 2 3 2 2 2 2 2" xfId="19637"/>
    <cellStyle name="常规 5 4 3 4 3" xfId="19638"/>
    <cellStyle name="标题 1 3 2 2 2 2" xfId="19639"/>
    <cellStyle name="常规 5 2 2 4 2 3 2" xfId="19640"/>
    <cellStyle name="常规 7 2 2 5 2 2" xfId="19641"/>
    <cellStyle name="输入 2 3 4 6" xfId="19642"/>
    <cellStyle name="强调文字颜色 4 3 5 2" xfId="19643"/>
    <cellStyle name="汇总 2 6 2 2 9" xfId="19644"/>
    <cellStyle name="60% - 强调文字颜色 1 2 3 2 2" xfId="19645"/>
    <cellStyle name="计算 2 2 3 2 6 2 2" xfId="19646"/>
    <cellStyle name="60% - 强调文字颜色 4 2 3 2 3 2" xfId="19647"/>
    <cellStyle name="标题 3 2 3 2 2 2 2 2" xfId="19648"/>
    <cellStyle name="60% - 强调文字颜色 3 2 3 3 5" xfId="19649"/>
    <cellStyle name="标题 3 2 2 2 2 3 4" xfId="19650"/>
    <cellStyle name="输入 2 2 4 5 4" xfId="19651"/>
    <cellStyle name="计算 2 3 4 8" xfId="19652"/>
    <cellStyle name="汇总 7 2 2" xfId="19653"/>
    <cellStyle name="40% - 强调文字颜色 4 2 2 2 2 2 3 3 2" xfId="19654"/>
    <cellStyle name="输出 2 8 3" xfId="19655"/>
    <cellStyle name="40% - 强调文字颜色 5 2 8 2 2" xfId="19656"/>
    <cellStyle name="注释 2 6 3 2 2 2" xfId="19657"/>
    <cellStyle name="40% - 强调文字颜色 1 2 2 2 2 2 2 3" xfId="19658"/>
    <cellStyle name="标题 2 3 3 2 2 2 2" xfId="19659"/>
    <cellStyle name="60% - 强调文字颜色 5 2 3 6 2 2" xfId="19660"/>
    <cellStyle name="注释 2 6 7" xfId="19661"/>
    <cellStyle name="汇总 2 2 6 5 6" xfId="19662"/>
    <cellStyle name="强调文字颜色 6 2 2 2 2 5 3" xfId="19663"/>
    <cellStyle name="汇总 2 6 2 2 2 7" xfId="19664"/>
    <cellStyle name="常规 12 3 2 3" xfId="19665"/>
    <cellStyle name="20% - 强调文字颜色 4 2 2 4 3 2" xfId="19666"/>
    <cellStyle name="强调文字颜色 3 2 2 3 5 3" xfId="19667"/>
    <cellStyle name="汇总 2 4 2 4 2 2" xfId="19668"/>
    <cellStyle name="标题 2 2 2 2 3" xfId="19669"/>
    <cellStyle name="20% - 强调文字颜色 1 2 3 4 2" xfId="19670"/>
    <cellStyle name="链接单元格 2 4 3 2 3" xfId="19671"/>
    <cellStyle name="注释 2 2 2 2 3 2" xfId="19672"/>
    <cellStyle name="注释 4 7 2" xfId="19673"/>
    <cellStyle name="百分比 2 2 3 2 2 2 3" xfId="19674"/>
    <cellStyle name="汇总 2 2 6 7 2" xfId="19675"/>
    <cellStyle name="60% - 强调文字颜色 2 3 3 3" xfId="19676"/>
    <cellStyle name="计算 2 2 6 2 8" xfId="19677"/>
    <cellStyle name="60% - 强调文字颜色 4 2 5" xfId="19678"/>
    <cellStyle name="常规 3 3 2 2 3 3 2" xfId="19679"/>
    <cellStyle name="常规 3 3 7 5" xfId="19680"/>
    <cellStyle name="常规 10 2 4 4 3" xfId="19681"/>
    <cellStyle name="20% - 强调文字颜色 2 2 2 2 5" xfId="19682"/>
    <cellStyle name="60% - 强调文字颜色 5 4 4 2 2" xfId="19683"/>
    <cellStyle name="输入 2 2 3 2 3 3" xfId="19684"/>
    <cellStyle name="输入 2 10" xfId="19685"/>
    <cellStyle name="常规 5 2 2 3 3 2" xfId="19686"/>
    <cellStyle name="常规 7 2 4" xfId="19687"/>
    <cellStyle name="超链接 3 2 3 3 2 3" xfId="19688"/>
    <cellStyle name="汇总 2 6 2 2 3 3 2" xfId="19689"/>
    <cellStyle name="汇总 2 11 4" xfId="19690"/>
    <cellStyle name="计算 2 2 5 9 3" xfId="19691"/>
    <cellStyle name="标题 2 6 2 3" xfId="19692"/>
    <cellStyle name="汇总 2 2 5 2 4 3" xfId="19693"/>
    <cellStyle name="60% - 强调文字颜色 4 2 4 4 2" xfId="19694"/>
    <cellStyle name="差 2 2 4 2 3 2" xfId="19695"/>
    <cellStyle name="汇总 2 6 3 2 3 3" xfId="19696"/>
    <cellStyle name="计算 4 5" xfId="19697"/>
    <cellStyle name="常规 8 3 3 3" xfId="19698"/>
    <cellStyle name="输出 2 3 3 2 2" xfId="19699"/>
    <cellStyle name="40% - 强调文字颜色 2 2 2 2 2 4 2 2" xfId="19700"/>
    <cellStyle name="计算 2 2 5 2 3 3" xfId="19701"/>
    <cellStyle name="注释 2 2 3 4 2 5" xfId="19702"/>
    <cellStyle name="注释 4 5 3" xfId="19703"/>
    <cellStyle name="20% - 强调文字颜色 5 2 2 4 4 2 2" xfId="19704"/>
    <cellStyle name="标题 2 5 2 2" xfId="19705"/>
    <cellStyle name="解释性文本 2 3 5 2 3" xfId="19706"/>
    <cellStyle name="输入 2 4 2 2 4" xfId="19707"/>
    <cellStyle name="40% - 强调文字颜色 4 2 2 3 5 2" xfId="19708"/>
    <cellStyle name="40% - 强调文字颜色 5 2 2 2 2" xfId="19709"/>
    <cellStyle name="注释 2 2 3 7" xfId="19710"/>
    <cellStyle name="注释 2 2 4 2 4" xfId="19711"/>
    <cellStyle name="40% - 强调文字颜色 2 2 5 4 2" xfId="19712"/>
    <cellStyle name="注释 2 6 6 3" xfId="19713"/>
    <cellStyle name="常规 13 4 3 4 2" xfId="19714"/>
    <cellStyle name="注释 2 2 2 2 5 3" xfId="19715"/>
    <cellStyle name="超链接 3 2 4 2 2 2" xfId="19716"/>
    <cellStyle name="60% - 强调文字颜色 5 2 2 2 3 2 2 2" xfId="19717"/>
    <cellStyle name="计算 2 4 3 4" xfId="19718"/>
    <cellStyle name="输出 2 2 7 5" xfId="19719"/>
    <cellStyle name="超链接 3 3 9" xfId="19720"/>
    <cellStyle name="汇总 2 2 3 10 2" xfId="19721"/>
    <cellStyle name="60% - 强调文字颜色 1 2 3 2 3" xfId="19722"/>
    <cellStyle name="计算 2 2 6 2 2 2 2 2" xfId="19723"/>
    <cellStyle name="60% - 强调文字颜色 4 2 3 2 3 3" xfId="19724"/>
    <cellStyle name="标题 3 2 3 2 2 2 2 3" xfId="19725"/>
    <cellStyle name="输入 2 3 4 7" xfId="19726"/>
    <cellStyle name="输入 2 5 2 3 4 2 2" xfId="19727"/>
    <cellStyle name="20% - 强调文字颜色 1 2 2 2 3 3 2" xfId="19728"/>
    <cellStyle name="20% - 强调文字颜色 3 2 5 2 3" xfId="19729"/>
    <cellStyle name="40% - 强调文字颜色 5 2 4 4 2 2 2" xfId="19730"/>
    <cellStyle name="20% - 强调文字颜色 3 2 2 5" xfId="19731"/>
    <cellStyle name="60% - 强调文字颜色 4 2 2 8" xfId="19732"/>
    <cellStyle name="计算 2 2 3 4 2 3 3" xfId="19733"/>
    <cellStyle name="常规 4 3 3 2 3 2 2" xfId="19734"/>
    <cellStyle name="汇总 2 10 2 5" xfId="19735"/>
    <cellStyle name="汇总 2 3 2 2 2 6" xfId="19736"/>
    <cellStyle name="40% - 强调文字颜色 4 2 2 3 4 3 2" xfId="19737"/>
    <cellStyle name="计算 2 6 2 2 4 2" xfId="19738"/>
    <cellStyle name="20% - 强调文字颜色 5 2 7 3 2 2" xfId="19739"/>
    <cellStyle name="常规 6 4 5 2 2" xfId="19740"/>
    <cellStyle name="40% - 强调文字颜色 6 2 3 2 3 2 2 2" xfId="19741"/>
    <cellStyle name="标题 2 2 4 3 2 3" xfId="19742"/>
    <cellStyle name="计算 2 4 2 2 5" xfId="19743"/>
    <cellStyle name="输出 2 2 6 3 5" xfId="19744"/>
    <cellStyle name="20% - 强调文字颜色 5 2 9 2" xfId="19745"/>
    <cellStyle name="常规 4 3 10" xfId="19746"/>
    <cellStyle name="输入 2 5 2 3 5 2" xfId="19747"/>
    <cellStyle name="20% - 强调文字颜色 1 2 2 2 4 3" xfId="19748"/>
    <cellStyle name="20% - 强调文字颜色 1 2 2 9" xfId="19749"/>
    <cellStyle name="60% - 强调文字颜色 2 6 2" xfId="19750"/>
    <cellStyle name="汇总 2 5 2 5 3 2 2" xfId="19751"/>
    <cellStyle name="标题 3 2 3 3 3 2" xfId="19752"/>
    <cellStyle name="检查单元格 2 2 2 5 2" xfId="19753"/>
    <cellStyle name="强调文字颜色 2 2 2 2 2 4 3" xfId="19754"/>
    <cellStyle name="60% - 强调文字颜色 4 4 4 2" xfId="19755"/>
    <cellStyle name="60% - 强调文字颜色 2 3 5 2 2" xfId="19756"/>
    <cellStyle name="标题 3 2 2 7 2" xfId="19757"/>
    <cellStyle name="输出 3 15" xfId="19758"/>
    <cellStyle name="输入 2 8 6 2" xfId="19759"/>
    <cellStyle name="输入 2 4 2 2 8" xfId="19760"/>
    <cellStyle name="强调文字颜色 1 2 2 3 4 2" xfId="19761"/>
    <cellStyle name="60% - 强调文字颜色 2 2 3 7" xfId="19762"/>
    <cellStyle name="60% - 强调文字颜色 3 2 9" xfId="19763"/>
    <cellStyle name="强调文字颜色 6 2 6 4" xfId="19764"/>
    <cellStyle name="标题 1 2 4 4 2 2" xfId="19765"/>
    <cellStyle name="常规 9 3 5 2 2" xfId="19766"/>
    <cellStyle name="汇总 2 2 4 3" xfId="19767"/>
    <cellStyle name="40% - 强调文字颜色 3 2 2 2 2 2 4 3 2" xfId="19768"/>
    <cellStyle name="标题 1 2 4 4 2" xfId="19769"/>
    <cellStyle name="输入 2 2 2 2 2 2 4 2" xfId="19770"/>
    <cellStyle name="计算 2 2 6 3 2 3 3" xfId="19771"/>
    <cellStyle name="汇总 2 5 2 3 2 2 3" xfId="19772"/>
    <cellStyle name="计算 2 5 3 3 2 2" xfId="19773"/>
    <cellStyle name="强调文字颜色 5 2 4 2 3" xfId="19774"/>
    <cellStyle name="60% - 强调文字颜色 4 2 2 4 4" xfId="19775"/>
    <cellStyle name="好 2 4 4 4" xfId="19776"/>
    <cellStyle name="强调文字颜色 5 2 2 2 4 3 2" xfId="19777"/>
    <cellStyle name="20% - 强调文字颜色 1 2 2 7 2 2" xfId="19778"/>
    <cellStyle name="60% - 强调文字颜色 1 3 8" xfId="19779"/>
    <cellStyle name="20% - 强调文字颜色 5 2 2 2 4 3 2 2" xfId="19780"/>
    <cellStyle name="计算 2 7 2 2 2 2 2" xfId="19781"/>
    <cellStyle name="好 2 2 2 2 5 2 2" xfId="19782"/>
    <cellStyle name="常规 5 4 3 2 3 2 2" xfId="19783"/>
    <cellStyle name="汇总 2 2 4 2 2 2 2 4 2 2" xfId="19784"/>
    <cellStyle name="检查单元格 2 2 6 3" xfId="19785"/>
    <cellStyle name="40% - 强调文字颜色 5 2 2 5 3 2" xfId="19786"/>
    <cellStyle name="20% - 强调文字颜色 5 2 2 2 2 4 3 2" xfId="19787"/>
    <cellStyle name="输出 3 2 2 4 3" xfId="19788"/>
    <cellStyle name="适中 2 2 2 2 3 3 2" xfId="19789"/>
    <cellStyle name="40% - 强调文字颜色 3 3 4 2" xfId="19790"/>
    <cellStyle name="输入 2 5" xfId="19791"/>
    <cellStyle name="输出 2 9 7" xfId="19792"/>
    <cellStyle name="计算 2 5 2 13" xfId="19793"/>
    <cellStyle name="60% - 强调文字颜色 1 2 2 2 3 2 2 2 2 2" xfId="19794"/>
    <cellStyle name="常规 5 2 6 3 3" xfId="19795"/>
    <cellStyle name="超链接 2 2 2 2 3 2 2" xfId="19796"/>
    <cellStyle name="链接单元格 2 3 4 4" xfId="19797"/>
    <cellStyle name="输出 2 2 5 2 4 2 2" xfId="19798"/>
    <cellStyle name="强调文字颜色 4 2 2 2 5" xfId="19799"/>
    <cellStyle name="输出 2 2 7 2 2 4" xfId="19800"/>
    <cellStyle name="链接单元格 2 6 2" xfId="19801"/>
    <cellStyle name="汇总 2 5 2 2 5 3" xfId="19802"/>
    <cellStyle name="60% - 强调文字颜色 4 2 2 4" xfId="19803"/>
    <cellStyle name="强调文字颜色 1 2 2 2 2 2 2 3" xfId="19804"/>
    <cellStyle name="60% - 强调文字颜色 4 2 2 3 4 2 2" xfId="19805"/>
    <cellStyle name="输入 3 2 3 4" xfId="19806"/>
    <cellStyle name="注释 2 4 4 5 2" xfId="19807"/>
    <cellStyle name="计算 2 7 3 4" xfId="19808"/>
    <cellStyle name="40% - 强调文字颜色 2 2 3 2 4 2" xfId="19809"/>
    <cellStyle name="汇总 2 6 4" xfId="19810"/>
    <cellStyle name="60% - 强调文字颜色 4 2 2 3 5" xfId="19811"/>
    <cellStyle name="计算 2 6 4 3 2 2" xfId="19812"/>
    <cellStyle name="60% - 强调文字颜色 5 4 4 2 2 2" xfId="19813"/>
    <cellStyle name="计算 2 8 2 5 3" xfId="19814"/>
    <cellStyle name="输入 2 2 3 2 3 3 2" xfId="19815"/>
    <cellStyle name="输入 2 10 2" xfId="19816"/>
    <cellStyle name="常规 5 2 2 3 3 2 2" xfId="19817"/>
    <cellStyle name="60% - 强调文字颜色 4 2 2 3 2 2" xfId="19818"/>
    <cellStyle name="常规 7 2 4 2" xfId="19819"/>
    <cellStyle name="60% - 强调文字颜色 1 2 5 3" xfId="19820"/>
    <cellStyle name="计算 2 7 2 2 3 2 2" xfId="19821"/>
    <cellStyle name="60% - 强调文字颜色 4 2 2 2 5 2 2" xfId="19822"/>
    <cellStyle name="差 3 2 3 2" xfId="19823"/>
    <cellStyle name="输入 2 3 3 4" xfId="19824"/>
    <cellStyle name="40% - 强调文字颜色 6 3 6" xfId="19825"/>
    <cellStyle name="常规 10 7 2" xfId="19826"/>
    <cellStyle name="40% - 强调文字颜色 1 2 3 2 4 3 2 2" xfId="19827"/>
    <cellStyle name="汇总 2 5 3 2 4" xfId="19828"/>
    <cellStyle name="60% - 强调文字颜色 4 2 2 2 3 2 2 2 2 2" xfId="19829"/>
    <cellStyle name="标题 2 2 2 9 2" xfId="19830"/>
    <cellStyle name="40% - 强调文字颜色 2 2 9" xfId="19831"/>
    <cellStyle name="标题 4 2 2 3 3 3" xfId="19832"/>
    <cellStyle name="40% - 强调文字颜色 6 2 3 2 4 2 2 2" xfId="19833"/>
    <cellStyle name="汇总 2 8 2 2 2 2 2" xfId="19834"/>
    <cellStyle name="计算 2 4" xfId="19835"/>
    <cellStyle name="强调文字颜色 3 2 4 5 3" xfId="19836"/>
    <cellStyle name="常规 2 2 2 2 2 2 2 2" xfId="19837"/>
    <cellStyle name="40% - 强调文字颜色 2 2 2 3 4" xfId="19838"/>
    <cellStyle name="40% - 强调文字颜色 1 4 5 2" xfId="19839"/>
    <cellStyle name="标题 3 2 2 2 2 4 3 2" xfId="19840"/>
    <cellStyle name="计算 2 2 3 2 2 2 6" xfId="19841"/>
    <cellStyle name="60% - 强调文字颜色 1 2 3 2 5" xfId="19842"/>
    <cellStyle name="注释 2 2 4 2 4 2" xfId="19843"/>
    <cellStyle name="常规 10 4 5 2 2" xfId="19844"/>
    <cellStyle name="标题 2 2 3 2 3 2 2 2" xfId="19845"/>
    <cellStyle name="40% - 强调文字颜色 5 3 2 5 2" xfId="19846"/>
    <cellStyle name="60% - 强调文字颜色 4 2 2 2 2 3" xfId="19847"/>
    <cellStyle name="解释性文本 2 2 2 2 3 2 2 2" xfId="19848"/>
    <cellStyle name="40% - 强调文字颜色 6 3 3 2 2 2" xfId="19849"/>
    <cellStyle name="常规 5 4 4 2 2" xfId="19850"/>
    <cellStyle name="标题 1 2 3 4 2 2 3" xfId="19851"/>
    <cellStyle name="输出 2 2 3 2 3 2 3 2" xfId="19852"/>
    <cellStyle name="汇总 2 3 4 2 2 2" xfId="19853"/>
    <cellStyle name="计算 2 2 2 3 2 6" xfId="19854"/>
    <cellStyle name="20% - 强调文字颜色 1 2 2 2 2 3 2 2 2 2" xfId="19855"/>
    <cellStyle name="输入 2 4 2 2 4 3" xfId="19856"/>
    <cellStyle name="常规 5 2 5 3" xfId="19857"/>
    <cellStyle name="常规 6 4 4 2 2" xfId="19858"/>
    <cellStyle name="40% - 强调文字颜色 6 4 3 2 2 2" xfId="19859"/>
    <cellStyle name="强调文字颜色 2 2 2 2 2 2 5" xfId="19860"/>
    <cellStyle name="40% - 强调文字颜色 5 2 5 5 2" xfId="19861"/>
    <cellStyle name="检查单元格 2 2 2 3 4" xfId="19862"/>
    <cellStyle name="60% - 强调文字颜色 4 2 2 2 2 2 3" xfId="19863"/>
    <cellStyle name="40% - 强调文字颜色 3 3 7" xfId="19864"/>
    <cellStyle name="40% - 强调文字颜色 6 2 2 9 2" xfId="19865"/>
    <cellStyle name="汇总 2 2 5 3 2 2 2" xfId="19866"/>
    <cellStyle name="输出 2 2 2 9" xfId="19867"/>
    <cellStyle name="输入 2 4 2 2 6" xfId="19868"/>
    <cellStyle name="汇总 2 3 9 3" xfId="19869"/>
    <cellStyle name="解释性文本 2 2 3 4 4" xfId="19870"/>
    <cellStyle name="汇总 2 5 5 6 2" xfId="19871"/>
    <cellStyle name="注释 2 2 5 3 7" xfId="19872"/>
    <cellStyle name="计算 3 2 2 3 3" xfId="19873"/>
    <cellStyle name="输入 4 7" xfId="19874"/>
    <cellStyle name="40% - 强调文字颜色 3 3 6" xfId="19875"/>
    <cellStyle name="输入 2 6 2 7 2" xfId="19876"/>
    <cellStyle name="60% - 强调文字颜色 4 2 2 2 2 2 2" xfId="19877"/>
    <cellStyle name="60% - 强调文字颜色 2 2 2 6 2" xfId="19878"/>
    <cellStyle name="常规 13 2 2 2 4 2" xfId="19879"/>
    <cellStyle name="解释性文本 2 4 5 2" xfId="19880"/>
    <cellStyle name="标题 3 2 3 9" xfId="19881"/>
    <cellStyle name="计算 2 3 2 5 2 2" xfId="19882"/>
    <cellStyle name="标题 5 2 2 2 3 3 2" xfId="19883"/>
    <cellStyle name="注释 3 2 7" xfId="19884"/>
    <cellStyle name="20% - 强调文字颜色 5 6 2" xfId="19885"/>
    <cellStyle name="标题 5 3 3 3 2" xfId="19886"/>
    <cellStyle name="40% - 强调文字颜色 6 3 7" xfId="19887"/>
    <cellStyle name="40% - 强调文字颜色 1 2 3 5 2 2 2" xfId="19888"/>
    <cellStyle name="60% - 强调文字颜色 6 3 11" xfId="19889"/>
    <cellStyle name="40% - 强调文字颜色 2 2 4 3 2 2" xfId="19890"/>
    <cellStyle name="60% - 强调文字颜色 3 2 2 2 5 2" xfId="19891"/>
    <cellStyle name="输入 2 2 3 4 4 2" xfId="19892"/>
    <cellStyle name="计算 2 2 3 8 2" xfId="19893"/>
    <cellStyle name="标题 2 2 2 6 3" xfId="19894"/>
    <cellStyle name="汇总 2 3 2 8" xfId="19895"/>
    <cellStyle name="标题 3 2 8 3" xfId="19896"/>
    <cellStyle name="标题 3 2 2 4 3 2 3" xfId="19897"/>
    <cellStyle name="汇总 2 5 3 6" xfId="19898"/>
    <cellStyle name="60% - 强调文字颜色 4 3 3 2 2" xfId="19899"/>
    <cellStyle name="超链接 2 2 3 4" xfId="19900"/>
    <cellStyle name="常规 2" xfId="19901"/>
    <cellStyle name="输入 2 2 7 3 2" xfId="19902"/>
    <cellStyle name="计算 2 6 2 6" xfId="19903"/>
    <cellStyle name="60% - 强调文字颜色 1 2 2 3 4" xfId="19904"/>
    <cellStyle name="20% - 强调文字颜色 3 2 3" xfId="19905"/>
    <cellStyle name="注释 2 2 3 2 4 2 3" xfId="19906"/>
    <cellStyle name="强调文字颜色 2 2 7 2 2" xfId="19907"/>
    <cellStyle name="20% - 强调文字颜色 6 3 2" xfId="19908"/>
    <cellStyle name="链接单元格 2 3 2 4 2" xfId="19909"/>
    <cellStyle name="标题 5 2 4 6" xfId="19910"/>
    <cellStyle name="输入 2 2 4 2 7 2" xfId="19911"/>
    <cellStyle name="40% - 强调文字颜色 4 4 5 2" xfId="19912"/>
    <cellStyle name="40% - 强调文字颜色 3 2 2 3 2 2 2 2 2" xfId="19913"/>
    <cellStyle name="标题 1 2 4 2 2 2 2 2" xfId="19914"/>
    <cellStyle name="注释 2 2 3 2 3 4 2" xfId="19915"/>
    <cellStyle name="汇总 2 2 3 3 2 4 2 2" xfId="19916"/>
    <cellStyle name="20% - 强调文字颜色 5 2 3 5" xfId="19917"/>
    <cellStyle name="注释 2 3 2 3 2 2" xfId="19918"/>
    <cellStyle name="60% - 强调文字颜色 1 3 2 5" xfId="19919"/>
    <cellStyle name="20% - 强调文字颜色 2 2 4 3 2" xfId="19920"/>
    <cellStyle name="注释 2 2 6 2 2 2 2" xfId="19921"/>
    <cellStyle name="注释 2 2 4 9" xfId="19922"/>
    <cellStyle name="汇总 2 2 4 2 2 2 2 2 3" xfId="19923"/>
    <cellStyle name="40% - 强调文字颜色 5 2 2 3 4" xfId="19924"/>
    <cellStyle name="输入 2 6 2 2 9" xfId="19925"/>
    <cellStyle name="输入 2 2 8 2 3 2 2" xfId="19926"/>
    <cellStyle name="40% - 强调文字颜色 3 3 2 2 2 2 2" xfId="19927"/>
    <cellStyle name="常规 13 3 3 3 2" xfId="19928"/>
    <cellStyle name="常规 2 2 2 2 4 3 2 2" xfId="19929"/>
    <cellStyle name="常规 4 2 2 6 2 2" xfId="19930"/>
    <cellStyle name="标题 4 3 2 4 2 2 2" xfId="19931"/>
    <cellStyle name="适中 2 7 2 3" xfId="19932"/>
    <cellStyle name="60% - 强调文字颜色 3 5 2 2" xfId="19933"/>
    <cellStyle name="强调文字颜色 5 2 2 3 8" xfId="19934"/>
    <cellStyle name="计算 2 2 3 2 2 3 2 3" xfId="19935"/>
    <cellStyle name="强调文字颜色 2 2 3 2 4 2 3" xfId="19936"/>
    <cellStyle name="检查单元格 6 2" xfId="19937"/>
    <cellStyle name="40% - 强调文字颜色 1 2 3 2 5 2 2" xfId="19938"/>
    <cellStyle name="注释 2 2 8 3 2" xfId="19939"/>
    <cellStyle name="输出 2 5 2 4" xfId="19940"/>
    <cellStyle name="20% - 强调文字颜色 5 2 2 2 6" xfId="19941"/>
    <cellStyle name="Normal 7 2" xfId="19942"/>
    <cellStyle name="60% - 强调文字颜色 3 4 4 2 2 2" xfId="19943"/>
    <cellStyle name="汇总 2 5 3 4 2" xfId="19944"/>
    <cellStyle name="强调文字颜色 3 2 2 2 4 2 2 2" xfId="19945"/>
    <cellStyle name="输入 2 5 5 2 4" xfId="19946"/>
    <cellStyle name="计算 2 2 10 2 3 2 2" xfId="19947"/>
    <cellStyle name="60% - 强调文字颜色 6 4 2 3 2" xfId="19948"/>
    <cellStyle name="常规 4 5 5 2 2" xfId="19949"/>
    <cellStyle name="40% - 强调文字颜色 6 2 4 3 2 2" xfId="19950"/>
    <cellStyle name="强调文字颜色 6 3 9" xfId="19951"/>
    <cellStyle name="链接单元格 2 3 5 2" xfId="19952"/>
    <cellStyle name="好 2 2 2 2 2 4" xfId="19953"/>
    <cellStyle name="汇总 2 5 2 2 2 6 2" xfId="19954"/>
    <cellStyle name="计算 2 5 2 2 3 2 2" xfId="19955"/>
    <cellStyle name="标题 5 2 2 3 2 2" xfId="19956"/>
    <cellStyle name="标题 5 4 2 2" xfId="19957"/>
    <cellStyle name="注释 2 2 4 2 4 3" xfId="19958"/>
    <cellStyle name="60% - 强调文字颜色 1 2 3 2 6" xfId="19959"/>
    <cellStyle name="差 2 2 2 2 7" xfId="19960"/>
    <cellStyle name="计算 2 2 4 2 2 2 3" xfId="19961"/>
    <cellStyle name="输入 2 10 3 2 2" xfId="19962"/>
    <cellStyle name="60% - 强调文字颜色 3 4 2 4 2" xfId="19963"/>
    <cellStyle name="汇总 2 3 5 4" xfId="19964"/>
    <cellStyle name="60% - 强调文字颜色 2 2 2 2 2 2 2 2 2" xfId="19965"/>
    <cellStyle name="标题 4 2 2 2 5" xfId="19966"/>
    <cellStyle name="汇总 2 2 5 4 3 2 2" xfId="19967"/>
    <cellStyle name="40% - 强调文字颜色 1 2 2 2 3 2 2" xfId="19968"/>
    <cellStyle name="输入 2 5 2 4 3 2" xfId="19969"/>
    <cellStyle name="汇总 2 5 2 2" xfId="19970"/>
    <cellStyle name="计算 4 4 2 3" xfId="19971"/>
    <cellStyle name="输入 2 2 4 5 4 2" xfId="19972"/>
    <cellStyle name="20% - 强调文字颜色 2 2 4 6" xfId="19973"/>
    <cellStyle name="60% - 强调文字颜色 2 2 8 2" xfId="19974"/>
    <cellStyle name="20% - 强调文字颜色 4 2 2 2 2 4 3 2 2" xfId="19975"/>
    <cellStyle name="标题 1 2 2 3 5" xfId="19976"/>
    <cellStyle name="40% - 强调文字颜色 1 2 3 2" xfId="19977"/>
    <cellStyle name="20% - 强调文字颜色 2 2 2 2 3" xfId="19978"/>
    <cellStyle name="60% - 强调文字颜色 3 2 3 4 2" xfId="19979"/>
    <cellStyle name="计算 2 3 5 5" xfId="19980"/>
    <cellStyle name="输出 2 2 4 3 7" xfId="19981"/>
    <cellStyle name="输出 2 2 2 8 2 2" xfId="19982"/>
    <cellStyle name="强调文字颜色 2 2 4 3 3 2" xfId="19983"/>
    <cellStyle name="20% - 强调文字颜色 3 4 3 2" xfId="19984"/>
    <cellStyle name="计算 2 2 3 3 3 2 2" xfId="19985"/>
    <cellStyle name="标题 1 4 4 2 2 2" xfId="19986"/>
    <cellStyle name="常规 4 5 3 2" xfId="19987"/>
    <cellStyle name="汇总 4 4 3 3" xfId="19988"/>
    <cellStyle name="20% - 强调文字颜色 4 2 2 2 7 2" xfId="19989"/>
    <cellStyle name="60% - 强调文字颜色 4 2 3 7 2" xfId="19990"/>
    <cellStyle name="汇总 2 10 3 4 2" xfId="19991"/>
    <cellStyle name="计算 2 2 3 4 2 4 2 2" xfId="19992"/>
    <cellStyle name="输出 2 2 3 2 2 3 2" xfId="19993"/>
    <cellStyle name="20% - 强调文字颜色 4 3 5 2 2" xfId="19994"/>
    <cellStyle name="注释 2 4 3 7" xfId="19995"/>
    <cellStyle name="汇总 2 2 9 2 2 3" xfId="19996"/>
    <cellStyle name="40% - 强调文字颜色 5 2 4 2 2" xfId="19997"/>
    <cellStyle name="汇总 2 5 2 3 2 4 3" xfId="19998"/>
    <cellStyle name="汇总 2 2 3 4 6 2" xfId="19999"/>
    <cellStyle name="常规 9 2 2 5 2 2" xfId="20000"/>
    <cellStyle name="20% - 强调文字颜色 3 2 3 4 2" xfId="20001"/>
    <cellStyle name="常规 9 5 3" xfId="20002"/>
    <cellStyle name="计算 2 2 3 9 3" xfId="20003"/>
    <cellStyle name="汇总 2 2 2 2 6" xfId="20004"/>
    <cellStyle name="汇总 2 3 4 4" xfId="20005"/>
    <cellStyle name="60% - 强调文字颜色 3 4 2 3 2" xfId="20006"/>
    <cellStyle name="40% - 强调文字颜色 4 3 2 5 2" xfId="20007"/>
    <cellStyle name="汇总 5 2 2" xfId="20008"/>
    <cellStyle name="输入 2 2 3 2 2 4" xfId="20009"/>
    <cellStyle name="强调文字颜色 6 2 2 2 5 2 3" xfId="20010"/>
    <cellStyle name="标题 2 2 2 2 2 2 2 2" xfId="20011"/>
    <cellStyle name="汇总 2 2 9 2 6" xfId="20012"/>
    <cellStyle name="40% - 强调文字颜色 5 4 2 3 2" xfId="20013"/>
    <cellStyle name="注释 2 3 2 11" xfId="20014"/>
    <cellStyle name="计算 2 2 4 4 3 3" xfId="20015"/>
    <cellStyle name="20% - 强调文字颜色 1 2 2 4 3 3 2" xfId="20016"/>
    <cellStyle name="解释性文本 2 2 3 3" xfId="20017"/>
    <cellStyle name="标题 4 2 2 4 2 2 2" xfId="20018"/>
    <cellStyle name="计算 2 2 5 4 5 3" xfId="20019"/>
    <cellStyle name="60% - 强调文字颜色 3 4 2 3" xfId="20020"/>
    <cellStyle name="60% - 强调文字颜色 2 2 2 4 5 2" xfId="20021"/>
    <cellStyle name="常规 5 2 3 3" xfId="20022"/>
    <cellStyle name="60% - 强调文字颜色 6 3 2 3 2 2 2" xfId="20023"/>
    <cellStyle name="60% - 强调文字颜色 1 5 2" xfId="20024"/>
    <cellStyle name="60% - 强调文字颜色 3 2 2 2 2 5" xfId="20025"/>
    <cellStyle name="标题 7 4 3" xfId="20026"/>
    <cellStyle name="警告文本 2 2 3 4 2" xfId="20027"/>
    <cellStyle name="计算 2 2 4 2 4 2 3 2" xfId="20028"/>
    <cellStyle name="汇总 2 15 2 2" xfId="20029"/>
    <cellStyle name="计算 2 6 2 2 2 4" xfId="20030"/>
    <cellStyle name="40% - 强调文字颜色 2 2 10 2" xfId="20031"/>
    <cellStyle name="汇总 2 2 3 2 5 2" xfId="20032"/>
    <cellStyle name="计算 2 7 2 3 2 2" xfId="20033"/>
    <cellStyle name="汇总 2 2 10 2 2 3" xfId="20034"/>
    <cellStyle name="40% - 强调文字颜色 3 2 2 2 2 3 2 2" xfId="20035"/>
    <cellStyle name="常规 3 2 4 2 3 3" xfId="20036"/>
    <cellStyle name="检查单元格 3 3 2 2" xfId="20037"/>
    <cellStyle name="20% - 强调文字颜色 2 2 3 5 2 2 2" xfId="20038"/>
    <cellStyle name="标题 5 2 4 2 4" xfId="20039"/>
    <cellStyle name="计算 2 2 2 3 4 2 2" xfId="20040"/>
    <cellStyle name="计算 2 2 5 4 5 2" xfId="20041"/>
    <cellStyle name="60% - 强调文字颜色 3 4 2 2" xfId="20042"/>
    <cellStyle name="常规 3 2 2 3 2 2 2" xfId="20043"/>
    <cellStyle name="注释 2 3 2 2 4 3" xfId="20044"/>
    <cellStyle name="60% - 强调文字颜色 1 2 4 6" xfId="20045"/>
    <cellStyle name="常规 9 8" xfId="20046"/>
    <cellStyle name="注释 2 2 4 3 2 6" xfId="20047"/>
    <cellStyle name="注释 2 4 2 2 2 3 2 2" xfId="20048"/>
    <cellStyle name="汇总 2 2 10 2 4 2" xfId="20049"/>
    <cellStyle name="20% - 强调文字颜色 2 2 3 2 5 2 2" xfId="20050"/>
    <cellStyle name="标题 2 2 3 4 2 2 3" xfId="20051"/>
    <cellStyle name="汇总 2 7 2 2 2" xfId="20052"/>
    <cellStyle name="40% - 强调文字颜色 6 2 2 2 4 2" xfId="20053"/>
    <cellStyle name="常规 4 3 4 4 2" xfId="20054"/>
    <cellStyle name="强调文字颜色 4 2 5 2 2 2" xfId="20055"/>
    <cellStyle name="输入 2 2 4 6 2 2" xfId="20056"/>
    <cellStyle name="标题 3 2 2 2 2 4 2 2" xfId="20057"/>
    <cellStyle name="60% - 强调文字颜色 3 2 3 4 3 2" xfId="20058"/>
    <cellStyle name="注释 2 2 6 2 5" xfId="20059"/>
    <cellStyle name="常规 5 3 4 2" xfId="20060"/>
    <cellStyle name="40% - 强调文字颜色 6 3 2 2 2" xfId="20061"/>
    <cellStyle name="60% - 强调文字颜色 6 2 2 2 3 3 3" xfId="20062"/>
    <cellStyle name="40% - 强调文字颜色 6 2 2 2 2 2 5 2" xfId="20063"/>
    <cellStyle name="60% - 强调文字颜色 2 2 2 3 5" xfId="20064"/>
    <cellStyle name="计算 2 2 5 9 2 2" xfId="20065"/>
    <cellStyle name="40% - 强调文字颜色 6 2 2 9" xfId="20066"/>
    <cellStyle name="汇总 2 2 5 3 2 2" xfId="20067"/>
    <cellStyle name="40% - 强调文字颜色 4 3 2 2 2 2 2 2" xfId="20068"/>
    <cellStyle name="计算 2 4 2 2 5 3" xfId="20069"/>
    <cellStyle name="标题 4 2 2 3 2 2 2" xfId="20070"/>
    <cellStyle name="标题 1 2 2 3 2 2 2 3" xfId="20071"/>
    <cellStyle name="汇总 2 2 4 2 3 2 4 2 2" xfId="20072"/>
    <cellStyle name="常规 4 5 5 3" xfId="20073"/>
    <cellStyle name="40% - 强调文字颜色 6 2 4 3 3" xfId="20074"/>
    <cellStyle name="好 4 2 3 2" xfId="20075"/>
    <cellStyle name="20% - 强调文字颜色 6 2 7" xfId="20076"/>
    <cellStyle name="计算 2 2 6 2 4 2 2" xfId="20077"/>
    <cellStyle name="汇总 2 4 3 2 7" xfId="20078"/>
    <cellStyle name="汇总 2 7 2 3 3 2 2" xfId="20079"/>
    <cellStyle name="差 2 6 4" xfId="20080"/>
    <cellStyle name="60% - 强调文字颜色 2 3 4 2 2" xfId="20081"/>
    <cellStyle name="60% - 强调文字颜色 4 3 4 2" xfId="20082"/>
    <cellStyle name="计算 2 8 7 2 2" xfId="20083"/>
    <cellStyle name="常规 10 2 2 4" xfId="20084"/>
    <cellStyle name="标题 3 2 4 3 3" xfId="20085"/>
    <cellStyle name="汇总 2 5 2 6 3 2" xfId="20086"/>
    <cellStyle name="计算 2 2 6 6 3 3" xfId="20087"/>
    <cellStyle name="常规 10 3 2 2 2 2" xfId="20088"/>
    <cellStyle name="注释 2 2 3 2 3" xfId="20089"/>
    <cellStyle name="40% - 强调文字颜色 1 2 2 2 3 2" xfId="20090"/>
    <cellStyle name="20% - 强调文字颜色 1 3 3 4" xfId="20091"/>
    <cellStyle name="强调文字颜色 2 2 2 2 3 4" xfId="20092"/>
    <cellStyle name="常规 12 3 2 3 2 2" xfId="20093"/>
    <cellStyle name="20% - 强调文字颜色 4 2 2 2 7" xfId="20094"/>
    <cellStyle name="标题 2 2 6 2 2 2" xfId="20095"/>
    <cellStyle name="输出 3 3 2 3" xfId="20096"/>
    <cellStyle name="常规 2 2 2 6 2 2" xfId="20097"/>
    <cellStyle name="60% - 强调文字颜色 4 2 2 2 2 2 4" xfId="20098"/>
    <cellStyle name="40% - 强调文字颜色 5 2 2 2 3 5" xfId="20099"/>
    <cellStyle name="超链接 2 3 3 2 2 2 2" xfId="20100"/>
    <cellStyle name="40% - 强调文字颜色 6 2 2 4 2 2 2" xfId="20101"/>
    <cellStyle name="输出 3 2 2 2 3" xfId="20102"/>
    <cellStyle name="20% - 强调文字颜色 2 2 3 2 4 2" xfId="20103"/>
    <cellStyle name="计算 2 2 6 9 2 2" xfId="20104"/>
    <cellStyle name="标题 3 2 7 2 2" xfId="20105"/>
    <cellStyle name="输出 2 2 5 2 5 2" xfId="20106"/>
    <cellStyle name="强调文字颜色 2 3 9" xfId="20107"/>
    <cellStyle name="20% - 强调文字颜色 5 2 2 3 4 2" xfId="20108"/>
    <cellStyle name="标题 1 5 2" xfId="20109"/>
    <cellStyle name="注释 4 7 2 2" xfId="20110"/>
    <cellStyle name="注释 2 2 2 2 3 2 2" xfId="20111"/>
    <cellStyle name="计算 2 2 8 2 2 5" xfId="20112"/>
    <cellStyle name="输入 3 2 2 2 4" xfId="20113"/>
    <cellStyle name="20% - 强调文字颜色 6 2 3 2 2 4 3 2" xfId="20114"/>
    <cellStyle name="20% - 强调文字颜色 4 2 3" xfId="20115"/>
    <cellStyle name="60% - 强调文字颜色 1 2 3 3 4" xfId="20116"/>
    <cellStyle name="计算 2 2 6 2 2 2 3 3" xfId="20117"/>
    <cellStyle name="计算 3 3 6 2 2" xfId="20118"/>
    <cellStyle name="汇总 3 3 6" xfId="20119"/>
    <cellStyle name="标题 5 2 3 6" xfId="20120"/>
    <cellStyle name="差 2 8 3" xfId="20121"/>
    <cellStyle name="链接单元格 2 3 2 3 2" xfId="20122"/>
    <cellStyle name="20% - 强调文字颜色 6 2 2" xfId="20123"/>
    <cellStyle name="汇总 2 5 3 2 2 4 2" xfId="20124"/>
    <cellStyle name="60% - 强调文字颜色 3 2 4 3 3 2" xfId="20125"/>
    <cellStyle name="输入 2 2 5 5 2 2" xfId="20126"/>
    <cellStyle name="计算 2 4 4 6 2" xfId="20127"/>
    <cellStyle name="20% - 强调文字颜色 3 2 2 6" xfId="20128"/>
    <cellStyle name="60% - 强调文字颜色 2 2 3 2 3 3 2" xfId="20129"/>
    <cellStyle name="40% - 强调文字颜色 2 2 3 3 5" xfId="20130"/>
    <cellStyle name="强调文字颜色 4 2 2 2 3 7" xfId="20131"/>
    <cellStyle name="说明文本 2 2 2 2" xfId="20132"/>
    <cellStyle name="输出 7 3" xfId="20133"/>
    <cellStyle name="强调文字颜色 5 3 6" xfId="20134"/>
    <cellStyle name="汇总 2 2 3 3 2 2 2" xfId="20135"/>
    <cellStyle name="40% - 强调文字颜色 4 2 2 9 2" xfId="20136"/>
    <cellStyle name="20% - 强调文字颜色 2 2 3 6 2 2 2" xfId="20137"/>
    <cellStyle name="计算 2 10 6" xfId="20138"/>
    <cellStyle name="40% - 强调文字颜色 5 2 2 2 4 3 2 2" xfId="20139"/>
    <cellStyle name="超链接 2 2 5" xfId="20140"/>
    <cellStyle name="警告文本 2 2 2 2 2 2 2 2 2" xfId="20141"/>
    <cellStyle name="常规 6 2 2 2 3 2 2 2" xfId="20142"/>
    <cellStyle name="解释性文本 2 2 6 4" xfId="20143"/>
    <cellStyle name="注释 2 2 2 5 3" xfId="20144"/>
    <cellStyle name="40% - 强调文字颜色 3 2 2 4 2" xfId="20145"/>
    <cellStyle name="计算 4 2 2 2 2" xfId="20146"/>
    <cellStyle name="40% - 强调文字颜色 3 2 3 2 5 2 2" xfId="20147"/>
    <cellStyle name="计算 2 2 7 5 5" xfId="20148"/>
    <cellStyle name="60% - 强调文字颜色 5 5 2" xfId="20149"/>
    <cellStyle name="标题 3 3 3 5" xfId="20150"/>
    <cellStyle name="输入 2 5 2 5 2" xfId="20151"/>
    <cellStyle name="汇总 3 2 4 5" xfId="20152"/>
    <cellStyle name="输出 2 4 2 2 10" xfId="20153"/>
    <cellStyle name="60% - 强调文字颜色 3 2 3 4 2 2" xfId="20154"/>
    <cellStyle name="20% - 强调文字颜色 2 2 2 2 3 2" xfId="20155"/>
    <cellStyle name="40% - 强调文字颜色 1 3 2 3 2" xfId="20156"/>
    <cellStyle name="60% - 强调文字颜色 5 2 3 3 2 2" xfId="20157"/>
    <cellStyle name="计算 2 2 8 2 4" xfId="20158"/>
    <cellStyle name="强调文字颜色 6 2 2 6 3 3" xfId="20159"/>
    <cellStyle name="汇总 2 7 4 3 3" xfId="20160"/>
    <cellStyle name="40% - 强调文字颜色 2 2 4 6" xfId="20161"/>
    <cellStyle name="输入 2 2 2 3 5" xfId="20162"/>
    <cellStyle name="汇总 2 2 6 2 2 2 5" xfId="20163"/>
    <cellStyle name="注释 2 2 2 3 2 2 2" xfId="20164"/>
    <cellStyle name="计算 2 2 5 4 3 2" xfId="20165"/>
    <cellStyle name="60% - 强调文字颜色 6 2 2 2 5 2 3" xfId="20166"/>
    <cellStyle name="强调文字颜色 3 4 2 3 2" xfId="20167"/>
    <cellStyle name="汇总 2 2 4 2 3 3 2 3" xfId="20168"/>
    <cellStyle name="常规 5 5 3 2" xfId="20169"/>
    <cellStyle name="汇总 2 2 5 2 2 3 2 3" xfId="20170"/>
    <cellStyle name="60% - 强调文字颜色 2 2 2 3 5 2" xfId="20171"/>
    <cellStyle name="强调文字颜色 3 2 3 2 2 2 3" xfId="20172"/>
    <cellStyle name="60% - 强调文字颜色 5 2 2 4 2 2" xfId="20173"/>
    <cellStyle name="汇总 2 4 2 7 3" xfId="20174"/>
    <cellStyle name="计算 2 6 2 2" xfId="20175"/>
    <cellStyle name="输出 2 4 6 3" xfId="20176"/>
    <cellStyle name="常规 2 3 4 3" xfId="20177"/>
    <cellStyle name="40% - 强调文字颜色 5 2 2 2 2 2 4" xfId="20178"/>
    <cellStyle name="标题 5 2 2 3 5" xfId="20179"/>
    <cellStyle name="汇总 2 2 4 2 16" xfId="20180"/>
    <cellStyle name="40% - 强调文字颜色 4 2 2 2 4 2" xfId="20181"/>
    <cellStyle name="40% - 强调文字颜色 2 2 3 2 2 5" xfId="20182"/>
    <cellStyle name="汇总 2 4 7" xfId="20183"/>
    <cellStyle name="标题 5 4 5" xfId="20184"/>
    <cellStyle name="标题 2 2 3 3 2 2 2 3" xfId="20185"/>
    <cellStyle name="标题 1 3 11" xfId="20186"/>
    <cellStyle name="强调文字颜色 3 2 2 3 4" xfId="20187"/>
    <cellStyle name="强调文字颜色 4 2 4 5 2 2" xfId="20188"/>
    <cellStyle name="标题 3 4 4 2" xfId="20189"/>
    <cellStyle name="计算 2 2 8 6 2" xfId="20190"/>
    <cellStyle name="强调文字颜色 4 3 2 3 2" xfId="20191"/>
    <cellStyle name="注释 2 6 10 2" xfId="20192"/>
    <cellStyle name="20% - 强调文字颜色 2 2 3 2 4 3" xfId="20193"/>
    <cellStyle name="链接单元格 2 3 2 5 2" xfId="20194"/>
    <cellStyle name="20% - 强调文字颜色 6 4 2" xfId="20195"/>
    <cellStyle name="适中 2 2 4 6" xfId="20196"/>
    <cellStyle name="强调文字颜色 6 2 8" xfId="20197"/>
    <cellStyle name="20% - 强调文字颜色 2 2 2 2 2 2 4 2 2" xfId="20198"/>
    <cellStyle name="60% - 强调文字颜色 1 2 2 4 2 2 2" xfId="20199"/>
    <cellStyle name="注释 2 2 6 3 2 2 2" xfId="20200"/>
    <cellStyle name="常规 13 4 3 3 2" xfId="20201"/>
    <cellStyle name="好 2 2 4 2 3 2" xfId="20202"/>
    <cellStyle name="汇总 2 2 2 6 2" xfId="20203"/>
    <cellStyle name="输入 2 4 2 3 3 2" xfId="20204"/>
    <cellStyle name="计算 2 2 4 3 3 3 2" xfId="20205"/>
    <cellStyle name="计算 2 2 2 4 4 2" xfId="20206"/>
    <cellStyle name="计算 2 2 6 4 5" xfId="20207"/>
    <cellStyle name="60% - 强调文字颜色 4 4 2" xfId="20208"/>
    <cellStyle name="标题 3 2 2 5" xfId="20209"/>
    <cellStyle name="60% - 强调文字颜色 4 2 2 3 4 2" xfId="20210"/>
    <cellStyle name="常规 5 2 2 3 3 4 2" xfId="20211"/>
    <cellStyle name="输入 2 3 8" xfId="20212"/>
    <cellStyle name="标题 2 2 3 2 2 2 2 2 3" xfId="20213"/>
    <cellStyle name="计算 2 2 3 3 3 2 2 2" xfId="20214"/>
    <cellStyle name="20% - 强调文字颜色 3 4 3 2 2" xfId="20215"/>
    <cellStyle name="标题 1 4 2 2 2 3" xfId="20216"/>
    <cellStyle name="强调文字颜色 2 2 2 3 3 3" xfId="20217"/>
    <cellStyle name="汇总 2 2 2 2 4 2" xfId="20218"/>
    <cellStyle name="输入 2 2 8 4 3" xfId="20219"/>
    <cellStyle name="标题 3 2 2 2 6 2 3" xfId="20220"/>
    <cellStyle name="计算 2 7 3 7" xfId="20221"/>
    <cellStyle name="强调文字颜色 6 2 2 2 2 2 2" xfId="20222"/>
    <cellStyle name="输入 2 2 5 4 7" xfId="20223"/>
    <cellStyle name="解释性文本 2 2 3 2 2 2" xfId="20224"/>
    <cellStyle name="输入 2 4 2 2 3 2 2" xfId="20225"/>
    <cellStyle name="检查单元格 2 2 3 2 3" xfId="20226"/>
    <cellStyle name="计算 2 6 4 2 4 2 2" xfId="20227"/>
    <cellStyle name="汇总 2 2 6 2 2 2 3 2" xfId="20228"/>
    <cellStyle name="好 3 3 3 2 3" xfId="20229"/>
    <cellStyle name="输入 2 18" xfId="20230"/>
    <cellStyle name="注释 2 5 2 4 2" xfId="20231"/>
    <cellStyle name="计算 2 2 9 3 5" xfId="20232"/>
    <cellStyle name="20% - 强调文字颜色 6 2 2 2 2 2 3 3" xfId="20233"/>
    <cellStyle name="60% - 强调文字颜色 6 2 6 2 2" xfId="20234"/>
    <cellStyle name="警告文本 2 2 2 2 2 2 3" xfId="20235"/>
    <cellStyle name="警告文本 2 2 5 2 2 2" xfId="20236"/>
    <cellStyle name="输出 2 2 2 3 9" xfId="20237"/>
    <cellStyle name="标题 2 2 4 4 2 2" xfId="20238"/>
    <cellStyle name="20% - 强调文字颜色 2 2 5 2 3" xfId="20239"/>
    <cellStyle name="40% - 强调文字颜色 5 2 3 4 2 2 2" xfId="20240"/>
    <cellStyle name="好 2 3 4 2 3" xfId="20241"/>
    <cellStyle name="标题 3 2 9 2" xfId="20242"/>
    <cellStyle name="汇总 2 5 5 2 3 2 2" xfId="20243"/>
    <cellStyle name="20% - 强调文字颜色 4 5 2 2 2 2" xfId="20244"/>
    <cellStyle name="常规 2 2 2 8 2" xfId="20245"/>
    <cellStyle name="标题 6 5 2 2" xfId="20246"/>
    <cellStyle name="强调文字颜色 5 4 2 4" xfId="20247"/>
    <cellStyle name="计算 2 3 2 2 2 2 3 3" xfId="20248"/>
    <cellStyle name="60% - 强调文字颜色 4 2 2 5 3 2" xfId="20249"/>
    <cellStyle name="强调文字颜色 5 2 4 3 2 2" xfId="20250"/>
    <cellStyle name="标题 2 2 3 2 2 2" xfId="20251"/>
    <cellStyle name="警告文本 4 5" xfId="20252"/>
    <cellStyle name="计算 2 2 4 2 3 2 3 3" xfId="20253"/>
    <cellStyle name="计算 2 2 2" xfId="20254"/>
    <cellStyle name="超链接 2 6 3" xfId="20255"/>
    <cellStyle name="20% - 强调文字颜色 3 2 2 2 2 5 2 2" xfId="20256"/>
    <cellStyle name="标题 2 3 10" xfId="20257"/>
    <cellStyle name="常规 12 3 5 2" xfId="20258"/>
    <cellStyle name="40% - 强调文字颜色 5 2 2 2 2 2 2 3 2" xfId="20259"/>
    <cellStyle name="标题 3 2 5 4" xfId="20260"/>
    <cellStyle name="输出 2 2 4 3 2 2 2 2" xfId="20261"/>
    <cellStyle name="计算 2 2 2 2 3 2 3" xfId="20262"/>
    <cellStyle name="20% - 强调文字颜色 4 2 5 3 2 2 2" xfId="20263"/>
    <cellStyle name="60% - 强调文字颜色 2 2 4 2 2 2" xfId="20264"/>
    <cellStyle name="60% - 强调文字颜色 3 3 4 2 2" xfId="20265"/>
    <cellStyle name="计算 2 2 4 5 2 2 3" xfId="20266"/>
    <cellStyle name="40% - 强调文字颜色 1 2 5 5 2 2" xfId="20267"/>
    <cellStyle name="汇总 2 2 4 2 7 2" xfId="20268"/>
    <cellStyle name="60% - 强调文字颜色 6 2 2 6 4" xfId="20269"/>
    <cellStyle name="60% - 强调文字颜色 1 2 2 3 8" xfId="20270"/>
    <cellStyle name="20% - 强调文字颜色 3 2 7" xfId="20271"/>
    <cellStyle name="输出 2 7 2" xfId="20272"/>
    <cellStyle name="注释 2 4 2 2 4 2 2" xfId="20273"/>
    <cellStyle name="注释 2 8 2 6" xfId="20274"/>
    <cellStyle name="常规 4 12" xfId="20275"/>
    <cellStyle name="40% - 强调文字颜色 4 2 2 2 2 4 2 2" xfId="20276"/>
    <cellStyle name="好 2 3 3 2 2 2 2 2" xfId="20277"/>
    <cellStyle name="计算 2 2 7 10" xfId="20278"/>
    <cellStyle name="汇总 2 6 4 2 2 2" xfId="20279"/>
    <cellStyle name="计算 2 5 2 3 2 6" xfId="20280"/>
    <cellStyle name="40% - 强调文字颜色 1 2 3 5 2" xfId="20281"/>
    <cellStyle name="计算 2 8 3 5" xfId="20282"/>
    <cellStyle name="60% - 强调文字颜色 2 2 3 6 2 2" xfId="20283"/>
    <cellStyle name="计算 3 3 2 2 3" xfId="20284"/>
    <cellStyle name="汇总 2 5 5 4 3" xfId="20285"/>
    <cellStyle name="常规 6 3 3 2 3" xfId="20286"/>
    <cellStyle name="计算 2 2 2 4 2 3 2" xfId="20287"/>
    <cellStyle name="注释 2 2 3 2 6 2 2" xfId="20288"/>
    <cellStyle name="20% - 强调文字颜色 1 2 2 4 3 2" xfId="20289"/>
    <cellStyle name="汇总 2 7 3 2 5" xfId="20290"/>
    <cellStyle name="40% - 强调文字颜色 1 4 5" xfId="20291"/>
    <cellStyle name="标题 2 2 2 2 6 2 2" xfId="20292"/>
    <cellStyle name="汇总 2 2 8 3 2 2 2 2" xfId="20293"/>
    <cellStyle name="注释 2 2 3 2 3 2 2 3" xfId="20294"/>
    <cellStyle name="40% - 强调文字颜色 6 2 3 5 2 2 2" xfId="20295"/>
    <cellStyle name="60% - 强调文字颜色 5 2 2 7 2 2" xfId="20296"/>
    <cellStyle name="汇总 2 2 8 7 2 2" xfId="20297"/>
    <cellStyle name="适中 2 2 4 3 3 2" xfId="20298"/>
    <cellStyle name="强调文字颜色 6 2 5 3 2" xfId="20299"/>
    <cellStyle name="注释 3 3 2 3" xfId="20300"/>
    <cellStyle name="常规 4 11" xfId="20301"/>
    <cellStyle name="注释 2 2 2 2 5 2 2" xfId="20302"/>
    <cellStyle name="常规 5 3 2 2 3" xfId="20303"/>
    <cellStyle name="20% - 强调文字颜色 4 2 2 2 6 2 2" xfId="20304"/>
    <cellStyle name="强调文字颜色 2 2 2 2 3 7" xfId="20305"/>
    <cellStyle name="计算 2 2 5 7 3" xfId="20306"/>
    <cellStyle name="常规 5 4 4 4 2" xfId="20307"/>
    <cellStyle name="常规 5 2 2 2 4 2 2" xfId="20308"/>
    <cellStyle name="60% - 强调文字颜色 6 4 3 2" xfId="20309"/>
    <cellStyle name="超链接 2 2 3 2 2 3" xfId="20310"/>
    <cellStyle name="差 2 3 2 2 5" xfId="20311"/>
    <cellStyle name="40% - 强调文字颜色 5 4" xfId="20312"/>
    <cellStyle name="40% - 强调文字颜色 1 2 2 2 4 2" xfId="20313"/>
    <cellStyle name="注释 2 2 3 3 3" xfId="20314"/>
    <cellStyle name="汇总 2 2 3 2 2 6" xfId="20315"/>
    <cellStyle name="40% - 强调文字颜色 3 2 3 2 2" xfId="20316"/>
    <cellStyle name="适中 2 2 2 2 2 2 2 2" xfId="20317"/>
    <cellStyle name="计算 2 6 3 3 3 3" xfId="20318"/>
    <cellStyle name="强调文字颜色 6 2 4 3 4" xfId="20319"/>
    <cellStyle name="计算 2 4 2 2 3 3 3" xfId="20320"/>
    <cellStyle name="输入 5 2 2 2" xfId="20321"/>
    <cellStyle name="输入 2 3 2" xfId="20322"/>
    <cellStyle name="常规 10 3" xfId="20323"/>
    <cellStyle name="汇总 4 6 2 2" xfId="20324"/>
    <cellStyle name="40% - 强调文字颜色 4 2 5 3" xfId="20325"/>
    <cellStyle name="解释性文本 2 6 2 2 2" xfId="20326"/>
    <cellStyle name="标题 4 4 2 4" xfId="20327"/>
    <cellStyle name="20% - 强调文字颜色 1 3 4 2 2 2" xfId="20328"/>
    <cellStyle name="强调文字颜色 2 2 2 2 4 2 2 2" xfId="20329"/>
    <cellStyle name="20% - 强调文字颜色 5 2 2" xfId="20330"/>
    <cellStyle name="60% - 强调文字颜色 1 2 4 3 3" xfId="20331"/>
    <cellStyle name="汇总 2 5 2 2 2 2 3 2" xfId="20332"/>
    <cellStyle name="40% - 强调文字颜色 4 4 2 3 2 2 2" xfId="20333"/>
    <cellStyle name="输出 2 4 4 6" xfId="20334"/>
    <cellStyle name="汇总 2 2 4 2 2 4 2 2" xfId="20335"/>
    <cellStyle name="汇总 4 4 2 2" xfId="20336"/>
    <cellStyle name="60% - 强调文字颜色 3 2 3 3 2 2 2 2 2" xfId="20337"/>
    <cellStyle name="注释 2 5 6 2 2" xfId="20338"/>
    <cellStyle name="强调文字颜色 4 2 2 3 4 3 2" xfId="20339"/>
    <cellStyle name="标题 1 2 6 3 2" xfId="20340"/>
    <cellStyle name="警告文本 2 6 3" xfId="20341"/>
    <cellStyle name="注释 2 7 3 2 4" xfId="20342"/>
    <cellStyle name="40% - 强调文字颜色 1 2 3 3 2" xfId="20343"/>
    <cellStyle name="20% - 强调文字颜色 4 2 3 2 3 3 2" xfId="20344"/>
    <cellStyle name="汇总 2 2 7 2 2 3 2 2" xfId="20345"/>
    <cellStyle name="警告文本 2 3 5" xfId="20346"/>
    <cellStyle name="好 2 5 3 2" xfId="20347"/>
    <cellStyle name="40% - 强调文字颜色 6 2 3 4 2" xfId="20348"/>
    <cellStyle name="常规 10 3 2 3 3" xfId="20349"/>
    <cellStyle name="强调文字颜色 1 2 5 3 2 2" xfId="20350"/>
    <cellStyle name="20% - 强调文字颜色 5 2 2 2 2 2 2 2 2 2 2" xfId="20351"/>
    <cellStyle name="常规 13 4 3 2 2" xfId="20352"/>
    <cellStyle name="好 2 2 4 2 2 2" xfId="20353"/>
    <cellStyle name="输入 2 2 9 2" xfId="20354"/>
    <cellStyle name="40% - 强调文字颜色 2 2 5 2 2" xfId="20355"/>
    <cellStyle name="强调文字颜色 4 2 2 4 2 4" xfId="20356"/>
    <cellStyle name="注释 2 6 4 3" xfId="20357"/>
    <cellStyle name="标题 2 3 3 3 3" xfId="20358"/>
    <cellStyle name="60% - 强调文字颜色 6 2 3 5 2 3" xfId="20359"/>
    <cellStyle name="60% - 强调文字颜色 3 2 3 3 2 2" xfId="20360"/>
    <cellStyle name="计算 2 3 4 5 2" xfId="20361"/>
    <cellStyle name="40% - 强调文字颜色 1 2 7 3 2" xfId="20362"/>
    <cellStyle name="解释性文本 2 3 2 4 2 2" xfId="20363"/>
    <cellStyle name="常规 5 4 2 3 2 2" xfId="20364"/>
    <cellStyle name="输入 2 4 3 2 2 3" xfId="20365"/>
    <cellStyle name="20% - 强调文字颜色 4 3 2 2 2 2 2 2" xfId="20366"/>
    <cellStyle name="40% - 强调文字颜色 1 2 6 3 2" xfId="20367"/>
    <cellStyle name="解释性文本 2 3 2 3 2 2" xfId="20368"/>
    <cellStyle name="标题 2 3 2 3 3" xfId="20369"/>
    <cellStyle name="注释 2 5 4 3" xfId="20370"/>
    <cellStyle name="输出 2 2 3 2 2 9" xfId="20371"/>
    <cellStyle name="60% - 强调文字颜色 6 2 3 4 2 3" xfId="20372"/>
    <cellStyle name="好 6 2 2 2" xfId="20373"/>
    <cellStyle name="输出 2 2 4 3 3 2 2" xfId="20374"/>
    <cellStyle name="标题 4 3 2 4 2" xfId="20375"/>
    <cellStyle name="常规 4 2 2 6" xfId="20376"/>
    <cellStyle name="输入 2 4 4 2 3" xfId="20377"/>
    <cellStyle name="汇总 2 2 2 8 3" xfId="20378"/>
    <cellStyle name="输入 2 2 4 4 2 3 2" xfId="20379"/>
    <cellStyle name="60% - 强调文字颜色 3 2 3 2 3 3 2" xfId="20380"/>
    <cellStyle name="计算 3 2 2 3 2 3" xfId="20381"/>
    <cellStyle name="输入 4 6 3" xfId="20382"/>
    <cellStyle name="汇总 2 6 4 2 6" xfId="20383"/>
    <cellStyle name="输入 2 5 4 3" xfId="20384"/>
    <cellStyle name="汇总 2 2 6 3 4 2" xfId="20385"/>
    <cellStyle name="汇总 2 2 3 2 3 4 3" xfId="20386"/>
    <cellStyle name="40% - 强调文字颜色 5 2 2 2 2 2 4 3" xfId="20387"/>
    <cellStyle name="计算 2 5 5 2 4 2" xfId="20388"/>
    <cellStyle name="常规 2 2 2 8" xfId="20389"/>
    <cellStyle name="输出 2 3 4 8" xfId="20390"/>
    <cellStyle name="20% - 强调文字颜色 2 2 3 2 4 3 2 2" xfId="20391"/>
    <cellStyle name="输入 2 2 2 3 7" xfId="20392"/>
    <cellStyle name="计算 2 2 8 2 6" xfId="20393"/>
    <cellStyle name="60% - 强调文字颜色 6 2 3" xfId="20394"/>
    <cellStyle name="20% - 强调文字颜色 5 2 2 2 2 2 3 2" xfId="20395"/>
    <cellStyle name="20% - 强调文字颜色 3 2 3 2 3" xfId="20396"/>
    <cellStyle name="标题 2 3 4 2 2 2" xfId="20397"/>
    <cellStyle name="注释 2 7 3 2 2" xfId="20398"/>
    <cellStyle name="常规 3 3 3 4 3" xfId="20399"/>
    <cellStyle name="标题 4 2 9 2" xfId="20400"/>
    <cellStyle name="强调文字颜色 2 2 2 4 5" xfId="20401"/>
    <cellStyle name="好 2 4 4 2 3" xfId="20402"/>
    <cellStyle name="计算 2 3 2 3 2 2" xfId="20403"/>
    <cellStyle name="计算 2 2 4 5 9" xfId="20404"/>
    <cellStyle name="20% - 强调文字颜色 5 3 5 2 2 2" xfId="20405"/>
    <cellStyle name="汇总 2 4 11 2" xfId="20406"/>
    <cellStyle name="输出 2 2 4 2 2 3 2 2" xfId="20407"/>
    <cellStyle name="输入 2 5 2 7" xfId="20408"/>
    <cellStyle name="输入 2 2 4 2 2 2 4 2" xfId="20409"/>
    <cellStyle name="20% - 强调文字颜色 3 2 2 2 2 3" xfId="20410"/>
    <cellStyle name="40% - 强调文字颜色 2 2 2 2 4 3 2 2" xfId="20411"/>
    <cellStyle name="输出 2 5 2 2 2" xfId="20412"/>
    <cellStyle name="60% - 强调文字颜色 6 2 4 5 2" xfId="20413"/>
    <cellStyle name="警告文本 2 2 4 2" xfId="20414"/>
    <cellStyle name="60% - 强调文字颜色 1 4 4 2 2 2" xfId="20415"/>
    <cellStyle name="强调文字颜色 3 2 6 2 3" xfId="20416"/>
    <cellStyle name="60% - 强调文字颜色 3 2 3 2 2 2 2" xfId="20417"/>
    <cellStyle name="标题 4 2 3 9" xfId="20418"/>
    <cellStyle name="计算 2 3 3 5 2 2" xfId="20419"/>
    <cellStyle name="强调文字颜色 3 2 2 2 2 4 2 3" xfId="20420"/>
    <cellStyle name="40% - 强调文字颜色 3 2 2 2 2 5 2 2 2" xfId="20421"/>
    <cellStyle name="20% - 强调文字颜色 6 2 4 4 2" xfId="20422"/>
    <cellStyle name="注释 3 3 2 2 2" xfId="20423"/>
    <cellStyle name="汇总 2 6 3 3 2 2" xfId="20424"/>
    <cellStyle name="常规 10 3 2 3 4 2" xfId="20425"/>
    <cellStyle name="40% - 强调文字颜色 3 2 2 5" xfId="20426"/>
    <cellStyle name="40% - 强调文字颜色 6 2 3 4 3 2" xfId="20427"/>
    <cellStyle name="40% - 强调文字颜色 5 2 2 2 3" xfId="20428"/>
    <cellStyle name="输入 2 2 5 2 2 6 2" xfId="20429"/>
    <cellStyle name="注释 2 2 3 8" xfId="20430"/>
    <cellStyle name="输出 2 3 2 2 3 2 2" xfId="20431"/>
    <cellStyle name="汇总 2 2 5 4 4 2" xfId="20432"/>
    <cellStyle name="强调文字颜色 3 4" xfId="20433"/>
    <cellStyle name="输出 2 2 2 2 3" xfId="20434"/>
    <cellStyle name="标题 2 2 2 5 2 2 3" xfId="20435"/>
    <cellStyle name="好 2 2 2 2 4 4" xfId="20436"/>
    <cellStyle name="常规 3 7 3" xfId="20437"/>
    <cellStyle name="输入 2 2 4 3 2 2 3" xfId="20438"/>
    <cellStyle name="警告文本 2 2 3 6 2" xfId="20439"/>
    <cellStyle name="20% - 强调文字颜色 2 2 2 2 2 2 2 2" xfId="20440"/>
    <cellStyle name="20% - 强调文字颜色 3 3 3 2 2 2 2" xfId="20441"/>
    <cellStyle name="注释 2 4 3 9" xfId="20442"/>
    <cellStyle name="强调文字颜色 4 5" xfId="20443"/>
    <cellStyle name="输出 2 2 2 3 4" xfId="20444"/>
    <cellStyle name="常规 7 4 3 2 2 2" xfId="20445"/>
    <cellStyle name="标题 5 2 6 3" xfId="20446"/>
    <cellStyle name="注释 2 5 3 5 2" xfId="20447"/>
    <cellStyle name="计算 2 5 4 10" xfId="20448"/>
    <cellStyle name="计算 2 7 2 3" xfId="20449"/>
    <cellStyle name="计算 2 2 5 2 2 9" xfId="20450"/>
    <cellStyle name="检查单元格 3 3" xfId="20451"/>
    <cellStyle name="20% - 强调文字颜色 2 2 3 5 2" xfId="20452"/>
    <cellStyle name="标题 5 2 10" xfId="20453"/>
    <cellStyle name="汇总 3 2 2 2 2 2 2" xfId="20454"/>
    <cellStyle name="标题 4 2 9" xfId="20455"/>
    <cellStyle name="计算 2 2 9 3 3 3" xfId="20456"/>
    <cellStyle name="输出 2 5 4 3 3" xfId="20457"/>
    <cellStyle name="40% - 强调文字颜色 2 2 2 2 3 2 2 2 2" xfId="20458"/>
    <cellStyle name="计算 2 2 3 4 5" xfId="20459"/>
    <cellStyle name="60% - 强调文字颜色 1 4 2" xfId="20460"/>
    <cellStyle name="40% - 强调文字颜色 4 4 3 2 2 2" xfId="20461"/>
    <cellStyle name="输入 2 2 4 4 4 2 2" xfId="20462"/>
    <cellStyle name="60% - 强调文字颜色 3 2 3 2 5 2 2" xfId="20463"/>
    <cellStyle name="60% - 强调文字颜色 4 2 3 2 4 3 2" xfId="20464"/>
    <cellStyle name="计算 2 2 7 4 2 2 2" xfId="20465"/>
    <cellStyle name="标题 3 3 2 2 2 2" xfId="20466"/>
    <cellStyle name="标题 3 2 3 2 2 2" xfId="20467"/>
    <cellStyle name="60% - 强调文字颜色 4 2 2 3 4 3 2" xfId="20468"/>
    <cellStyle name="计算 2 2 6 5 2 2 2" xfId="20469"/>
    <cellStyle name="计算 2 3 10" xfId="20470"/>
    <cellStyle name="汇总 2 2 4 7 3" xfId="20471"/>
    <cellStyle name="标题 7 3 3" xfId="20472"/>
    <cellStyle name="计算 2 2 2 2 6" xfId="20473"/>
    <cellStyle name="链接单元格 3 2 3" xfId="20474"/>
    <cellStyle name="20% - 强调文字颜色 5 2 2 2 3 2 2 2 2" xfId="20475"/>
    <cellStyle name="40% - 强调文字颜色 6 4 2 3 2" xfId="20476"/>
    <cellStyle name="常规 6 3 5 2" xfId="20477"/>
    <cellStyle name="链接单元格 2 2 4 5 2 2" xfId="20478"/>
    <cellStyle name="适中 2 2 2 2 2 2 2 2 2" xfId="20479"/>
    <cellStyle name="注释 2 2 3 3 3 2" xfId="20480"/>
    <cellStyle name="40% - 强调文字颜色 3 2 3 2 2 2" xfId="20481"/>
    <cellStyle name="汇总 2 2 3 2 2 6 2" xfId="20482"/>
    <cellStyle name="常规 3 2 2 4 2 2" xfId="20483"/>
    <cellStyle name="好 4 2" xfId="20484"/>
    <cellStyle name="40% - 强调文字颜色 5 2 3 2 2 2" xfId="20485"/>
    <cellStyle name="汇总 2 2 4 2 6 5" xfId="20486"/>
    <cellStyle name="20% - 强调文字颜色 1 2 2 2 2 2 4 3" xfId="20487"/>
    <cellStyle name="40% - 强调文字颜色 4 2 2 2 2 4" xfId="20488"/>
    <cellStyle name="好 2 3 3 2 2 2" xfId="20489"/>
    <cellStyle name="解释性文本 2 2 3 6" xfId="20490"/>
    <cellStyle name="60% - 强调文字颜色 3 2 2 9" xfId="20491"/>
    <cellStyle name="计算 2 7 5 3" xfId="20492"/>
    <cellStyle name="注释 2 4 2 3 2 2 2 2" xfId="20493"/>
    <cellStyle name="40% - 强调文字颜色 4 2 3 2 3 2" xfId="20494"/>
    <cellStyle name="计算 2 4 3 2 5" xfId="20495"/>
    <cellStyle name="输出 2 2 7 3 5" xfId="20496"/>
    <cellStyle name="输出 2 2 4 2 6 3" xfId="20497"/>
    <cellStyle name="常规 7 3 2 3" xfId="20498"/>
    <cellStyle name="20% - 强调文字颜色 1 2 10 2" xfId="20499"/>
    <cellStyle name="20% - 强调文字颜色 4 2 2 8 2" xfId="20500"/>
    <cellStyle name="20% - 强调文字颜色 6 2 3 2 2 4 2" xfId="20501"/>
    <cellStyle name="常规 14 3 2 2 2" xfId="20502"/>
    <cellStyle name="20% - 强调文字颜色 2 6 2 2 2" xfId="20503"/>
    <cellStyle name="强调文字颜色 2 2 3 5 2 2 2" xfId="20504"/>
    <cellStyle name="输入 2 2 4 2 14" xfId="20505"/>
    <cellStyle name="20% - 强调文字颜色 1 2 2 5" xfId="20506"/>
    <cellStyle name="汇总 2 2 4 3 2 8" xfId="20507"/>
    <cellStyle name="常规 3 2 4 3 3 2 2" xfId="20508"/>
    <cellStyle name="汇总 2 2 2 3 4" xfId="20509"/>
    <cellStyle name="差 2 2 3 3 3" xfId="20510"/>
    <cellStyle name="注释 2 2 7 2" xfId="20511"/>
    <cellStyle name="20% - 强调文字颜色 4 6 2 2" xfId="20512"/>
    <cellStyle name="输入 2 6 2 5 2" xfId="20513"/>
    <cellStyle name="计算 2 2 4 2 2 2 4 2 2" xfId="20514"/>
    <cellStyle name="60% - 强调文字颜色 1 2 3 7" xfId="20515"/>
    <cellStyle name="好 2 2 2 2 2 3 2" xfId="20516"/>
    <cellStyle name="20% - 强调文字颜色 5 3 2 2 3 2 2" xfId="20517"/>
    <cellStyle name="强调文字颜色 5 2 2 6 3 2 2" xfId="20518"/>
    <cellStyle name="输入 2 3 3 7" xfId="20519"/>
    <cellStyle name="说明文本 2" xfId="20520"/>
    <cellStyle name="强调文字颜色 4 3 4 3" xfId="20521"/>
    <cellStyle name="汇总 2 4 2 2 5 3" xfId="20522"/>
    <cellStyle name="20% - 强调文字颜色 3 3 2" xfId="20523"/>
    <cellStyle name="60% - 强调文字颜色 1 2 2 4 3" xfId="20524"/>
    <cellStyle name="强调文字颜色 2 2 4 2 2" xfId="20525"/>
    <cellStyle name="强调文字颜色 4 2 4 6" xfId="20526"/>
    <cellStyle name="60% - 强调文字颜色 4 2 2 3 2 2 2 2 2" xfId="20527"/>
    <cellStyle name="汇总 2 2 4 2 8 2" xfId="20528"/>
    <cellStyle name="计算 4" xfId="20529"/>
    <cellStyle name="60% - 强调文字颜色 6 2 3 4" xfId="20530"/>
    <cellStyle name="计算 2 3 10 2" xfId="20531"/>
    <cellStyle name="警告文本 2 2 5 2 3" xfId="20532"/>
    <cellStyle name="警告文本 2 4 2" xfId="20533"/>
    <cellStyle name="输入 2 2 6 2 2 3" xfId="20534"/>
    <cellStyle name="链接单元格 2 2 4 3 2" xfId="20535"/>
    <cellStyle name="输出 7 2 2" xfId="20536"/>
    <cellStyle name="20% - 强调文字颜色 3 2 2 2 2 3 3 2" xfId="20537"/>
    <cellStyle name="强调文字颜色 5 3 5 2" xfId="20538"/>
    <cellStyle name="汇总 2 4 3 2 3" xfId="20539"/>
    <cellStyle name="适中 2 4 7" xfId="20540"/>
    <cellStyle name="差 2 4 4 2 2" xfId="20541"/>
    <cellStyle name="60% - 强调文字颜色 4 3 2 2 2 2" xfId="20542"/>
    <cellStyle name="60% - 强调文字颜色 6 2 4 3" xfId="20543"/>
    <cellStyle name="输入 2 2 4 2 2 3 2" xfId="20544"/>
    <cellStyle name="常规 5 2 3 3 2 2 2" xfId="20545"/>
    <cellStyle name="标题 4 3 5 2 3" xfId="20546"/>
    <cellStyle name="注释 2 2 3 2 3 2 3 2" xfId="20547"/>
    <cellStyle name="输入 2 2 6 3 2 2" xfId="20548"/>
    <cellStyle name="计算 2 5 2 6 2" xfId="20549"/>
    <cellStyle name="注释 4 2 7" xfId="20550"/>
    <cellStyle name="注释 2 4 2 2 3" xfId="20551"/>
    <cellStyle name="20% - 强调文字颜色 6 6 2" xfId="20552"/>
    <cellStyle name="标题 5 2 2 2 4 3 2" xfId="20553"/>
    <cellStyle name="强调文字颜色 1 2 4 9" xfId="20554"/>
    <cellStyle name="计算 2 2 5 3 2 2" xfId="20555"/>
    <cellStyle name="计算 2 5 5 2 5" xfId="20556"/>
    <cellStyle name="标题 4 2 3 2 4 3" xfId="20557"/>
    <cellStyle name="警告文本 2 2 2" xfId="20558"/>
    <cellStyle name="百分比 2 2 2 2 3 2" xfId="20559"/>
    <cellStyle name="40% - 强调文字颜色 3 2 2 6 3 2" xfId="20560"/>
    <cellStyle name="常规 5 4 2 5 3" xfId="20561"/>
    <cellStyle name="常规 5 2 2 2 2 3 3" xfId="20562"/>
    <cellStyle name="汇总 2 4 2 2 6 2" xfId="20563"/>
    <cellStyle name="标题 3 2 2 2 4 3 2" xfId="20564"/>
    <cellStyle name="输入 2 2 6 5 2" xfId="20565"/>
    <cellStyle name="计算 2 5 4 6" xfId="20566"/>
    <cellStyle name="常规 4 4 3 2 2 2" xfId="20567"/>
    <cellStyle name="输入 2 2 6 7" xfId="20568"/>
    <cellStyle name="强调文字颜色 4 2 7 3" xfId="20569"/>
    <cellStyle name="常规 5 2 3 3 6" xfId="20570"/>
    <cellStyle name="40% - 强调文字颜色 3 2 3 2 5 2 2 2" xfId="20571"/>
    <cellStyle name="适中 2 2 2 2 4 2 3" xfId="20572"/>
    <cellStyle name="20% - 强调文字颜色 3 2 3 4" xfId="20573"/>
    <cellStyle name="汇总 2 2 5 4 2 4" xfId="20574"/>
    <cellStyle name="输入 2 2 2 4 6" xfId="20575"/>
    <cellStyle name="计算 2 2 8 3 5" xfId="20576"/>
    <cellStyle name="60% - 强调文字颜色 6 3 2" xfId="20577"/>
    <cellStyle name="20% - 强调文字颜色 6 2 3 4 2" xfId="20578"/>
    <cellStyle name="40% - 强调文字颜色 6 2 3 3 2 2 2 2" xfId="20579"/>
    <cellStyle name="40% - 强调文字颜色 4 2 3 2 4 3 2" xfId="20580"/>
    <cellStyle name="40% - 强调文字颜色 6 2 2 2 2 4 2" xfId="20581"/>
    <cellStyle name="常规 4 3 4 2 4 2" xfId="20582"/>
    <cellStyle name="60% - 强调文字颜色 2 5 2 2 2" xfId="20583"/>
    <cellStyle name="计算 2 2 4 5 5 2 2" xfId="20584"/>
    <cellStyle name="20% - 强调文字颜色 6 2 2 4 2 3 2" xfId="20585"/>
    <cellStyle name="适中 3 13" xfId="20586"/>
    <cellStyle name="计算 2 2 5 4 2 4 3" xfId="20587"/>
    <cellStyle name="输出 2 4 3 2 2 4" xfId="20588"/>
    <cellStyle name="20% - 强调文字颜色 2 4 2 3 2 2" xfId="20589"/>
    <cellStyle name="好 2 3 2 3 3 2" xfId="20590"/>
    <cellStyle name="计算 2 6 2 11" xfId="20591"/>
    <cellStyle name="汇总 2 2 10 4 2" xfId="20592"/>
    <cellStyle name="20% - 强调文字颜色 5 2 2 2 2 2 5" xfId="20593"/>
    <cellStyle name="常规 4 2 3 2 4" xfId="20594"/>
    <cellStyle name="标题 4 2 2 4 4 3" xfId="20595"/>
    <cellStyle name="检查单元格 2 2 2 3 6" xfId="20596"/>
    <cellStyle name="输出 2 9 2 2" xfId="20597"/>
    <cellStyle name="超链接 2 3 2 2 3 2" xfId="20598"/>
    <cellStyle name="60% - 强调文字颜色 3 2 2 4 3 2 2 2" xfId="20599"/>
    <cellStyle name="强调文字颜色 4 2 4 2 2 2 2 2" xfId="20600"/>
    <cellStyle name="强调文字颜色 5 2 3 2 3 3 2" xfId="20601"/>
    <cellStyle name="输入 2 7 2 2 7" xfId="20602"/>
    <cellStyle name="输出 3 2 2 6 2" xfId="20603"/>
    <cellStyle name="20% - 强调文字颜色 1 2 2 2 5 2 2" xfId="20604"/>
    <cellStyle name="强调文字颜色 4 2 2 3 9" xfId="20605"/>
    <cellStyle name="计算 2 6 2 2 2 4 3" xfId="20606"/>
    <cellStyle name="标题 4 2 3 4" xfId="20607"/>
    <cellStyle name="输入 2 2 8 2 2" xfId="20608"/>
    <cellStyle name="警告文本 2 2 2 2 4 3" xfId="20609"/>
    <cellStyle name="40% - 强调文字颜色 1 4 2 4" xfId="20610"/>
    <cellStyle name="60% - 强调文字颜色 1 2 4 4 2" xfId="20611"/>
    <cellStyle name="汇总 2 3 3 2 3 3" xfId="20612"/>
    <cellStyle name="汇总 2 2 2 2 4 2 2" xfId="20613"/>
    <cellStyle name="强调文字颜色 2 2 2 3 3 3 2" xfId="20614"/>
    <cellStyle name="计算 2 6 3 5 3" xfId="20615"/>
    <cellStyle name="60% - 强调文字颜色 5 4 2 3 2 2" xfId="20616"/>
    <cellStyle name="强调文字颜色 2 2 2 4 2 2 3" xfId="20617"/>
    <cellStyle name="注释 2 2 2 3 7" xfId="20618"/>
    <cellStyle name="60% - 强调文字颜色 5 2 2 6 2 2 2" xfId="20619"/>
    <cellStyle name="40% - 强调文字颜色 3 2 2 2 6" xfId="20620"/>
    <cellStyle name="常规 12 2 2 2 3 2" xfId="20621"/>
    <cellStyle name="输出 2 2 6 5 2 2" xfId="20622"/>
    <cellStyle name="计算 2 4 2 4 2 2" xfId="20623"/>
    <cellStyle name="输入 2 4 8 2" xfId="20624"/>
    <cellStyle name="计算 2 2 4 2 9 2" xfId="20625"/>
    <cellStyle name="60% - 强调文字颜色 2 2 6 2" xfId="20626"/>
    <cellStyle name="计算 2 2 2 2 2 6 2" xfId="20627"/>
    <cellStyle name="强调文字颜色 5 2 2 2 2 4 3 2" xfId="20628"/>
    <cellStyle name="汇总 2 7 2 2 2 2 2 2" xfId="20629"/>
    <cellStyle name="20% - 强调文字颜色 1 2 3 4 2 2 2" xfId="20630"/>
    <cellStyle name="40% - 强调文字颜色 5 2 3 4" xfId="20631"/>
    <cellStyle name="输出 2 2 2 2 2 3 2 2" xfId="20632"/>
    <cellStyle name="20% - 强调文字颜色 3 3 5 2 2 2" xfId="20633"/>
    <cellStyle name="常规 3 7 2 3 2 2" xfId="20634"/>
    <cellStyle name="常规 11 4 2" xfId="20635"/>
    <cellStyle name="汇总 2 7 9" xfId="20636"/>
    <cellStyle name="标题 5 3 2 4 3" xfId="20637"/>
    <cellStyle name="60% - 强调文字颜色 3 2 2 2 2 2 3" xfId="20638"/>
    <cellStyle name="20% - 强调文字颜色 5 3 4" xfId="20639"/>
    <cellStyle name="20% - 强调文字颜色 5 2 4 4 3" xfId="20640"/>
    <cellStyle name="警告文本 2 3 5 2" xfId="20641"/>
    <cellStyle name="好 2 5 3 2 2" xfId="20642"/>
    <cellStyle name="注释 2 4 2 3 4 2 2" xfId="20643"/>
    <cellStyle name="汇总 2 8 5" xfId="20644"/>
    <cellStyle name="20% - 强调文字颜色 3 2 4 5 2 2" xfId="20645"/>
    <cellStyle name="警告文本 2 2 2 2 2 2" xfId="20646"/>
    <cellStyle name="常规 13 2 2 2 2" xfId="20647"/>
    <cellStyle name="汇总 4 4 2 2 2" xfId="20648"/>
    <cellStyle name="常规 5 3 4 5" xfId="20649"/>
    <cellStyle name="20% - 强调文字颜色 5 2 2 2 6 2 2 2" xfId="20650"/>
    <cellStyle name="汇总 2 2 3 3 4 2 2" xfId="20651"/>
    <cellStyle name="常规 3 4 3 2 2" xfId="20652"/>
    <cellStyle name="链接单元格 2 2 5 2" xfId="20653"/>
    <cellStyle name="常规 4 5 5 2" xfId="20654"/>
    <cellStyle name="40% - 强调文字颜色 6 2 4 3 2" xfId="20655"/>
    <cellStyle name="标题 1 2 3 3 6" xfId="20656"/>
    <cellStyle name="强调文字颜色 1 3 3 3" xfId="20657"/>
    <cellStyle name="注释 2 2 15" xfId="20658"/>
    <cellStyle name="40% - 强调文字颜色 4 2 2 6 2" xfId="20659"/>
    <cellStyle name="输出 2 2 5 2 2 6" xfId="20660"/>
    <cellStyle name="Normal 3 2 2" xfId="20661"/>
    <cellStyle name="20% - 强调文字颜色 4 2 2 3 4 3" xfId="20662"/>
    <cellStyle name="输出 2 4 2 2 2 2 3 2" xfId="20663"/>
    <cellStyle name="输出 2 4 2 2 9" xfId="20664"/>
    <cellStyle name="计算 2 2 9 3 3 2" xfId="20665"/>
    <cellStyle name="标题 4 2 8" xfId="20666"/>
    <cellStyle name="40% - 强调文字颜色 3 6 2 2" xfId="20667"/>
    <cellStyle name="40% - 强调文字颜色 1 3 2 5 2" xfId="20668"/>
    <cellStyle name="计算 2 5 3 2 2 6" xfId="20669"/>
    <cellStyle name="强调文字颜色 5 2 3 2 7" xfId="20670"/>
    <cellStyle name="注释 2 2 7 4 5" xfId="20671"/>
    <cellStyle name="检查单元格 2 3 2 6" xfId="20672"/>
    <cellStyle name="计算 2 2 2 4 2 2 3" xfId="20673"/>
    <cellStyle name="标题 5 3 4 3 2" xfId="20674"/>
    <cellStyle name="40% - 强调文字颜色 2 2 4 4 2 2" xfId="20675"/>
    <cellStyle name="汇总 2 5 2 2 3 5 2" xfId="20676"/>
    <cellStyle name="链接单元格 2 4 4 2" xfId="20677"/>
    <cellStyle name="常规 10 2 2 2 2 2" xfId="20678"/>
    <cellStyle name="解释性文本 2 2 7" xfId="20679"/>
    <cellStyle name="标题 2 2 4 3 3" xfId="20680"/>
    <cellStyle name="60% - 强调文字颜色 3 2 2 4 2 2" xfId="20681"/>
    <cellStyle name="计算 2 2 5 5 2" xfId="20682"/>
    <cellStyle name="强调文字颜色 2 2 2 5 3 2 2" xfId="20683"/>
    <cellStyle name="强调文字颜色 4 2 3 2 2" xfId="20684"/>
    <cellStyle name="输入 2 2 2 6 2" xfId="20685"/>
    <cellStyle name="标题 1 2 2 2 2 3 3 3" xfId="20686"/>
    <cellStyle name="警告文本 2 3 2 5 2" xfId="20687"/>
    <cellStyle name="20% - 强调文字颜色 3 2 2 4 4" xfId="20688"/>
    <cellStyle name="60% - 强调文字颜色 4 2 6 3 2 2" xfId="20689"/>
    <cellStyle name="汇总 2 3 4 3 2 2" xfId="20690"/>
    <cellStyle name="计算 2 2 2 4 2 6" xfId="20691"/>
    <cellStyle name="输入 2 2 4 2 3 5 3" xfId="20692"/>
    <cellStyle name="强调文字颜色 1 2 4 6" xfId="20693"/>
    <cellStyle name="注释 4 2 4" xfId="20694"/>
    <cellStyle name="输入 2 8 2 2" xfId="20695"/>
    <cellStyle name="40% - 强调文字颜色 5 2 2 2 2 5 2 2" xfId="20696"/>
    <cellStyle name="汇总 2 2 5 3 2 4" xfId="20697"/>
    <cellStyle name="40% - 强调文字颜色 3 2 2 2 3 2 2 2 2 2" xfId="20698"/>
    <cellStyle name="输入 2 2 4 3 2" xfId="20699"/>
    <cellStyle name="计算 2 3 2 6" xfId="20700"/>
    <cellStyle name="40% - 强调文字颜色 4 2 2 2 3 5" xfId="20701"/>
    <cellStyle name="标题 1 2 6 2 2 2" xfId="20702"/>
    <cellStyle name="强调文字颜色 4 2 2 3 4 2 2 2" xfId="20703"/>
    <cellStyle name="常规 10 3 6" xfId="20704"/>
    <cellStyle name="超链接 2 2 3 2 2 2 2" xfId="20705"/>
    <cellStyle name="常规 11 2 3" xfId="20706"/>
    <cellStyle name="标题 5 3 2 2 4" xfId="20707"/>
    <cellStyle name="40% - 强调文字颜色 5 2 9" xfId="20708"/>
    <cellStyle name="输入 2 2 3 4 7" xfId="20709"/>
    <cellStyle name="60% - 强调文字颜色 3 2 2 2 8" xfId="20710"/>
    <cellStyle name="40% - 强调文字颜色 5 2 2 2 6 2" xfId="20711"/>
    <cellStyle name="计算 2 11" xfId="20712"/>
    <cellStyle name="40% - 强调文字颜色 3 2 2 2 2 5" xfId="20713"/>
    <cellStyle name="标题 1 2 2 2 2 2" xfId="20714"/>
    <cellStyle name="60% - 强调文字颜色 2 2 3" xfId="20715"/>
    <cellStyle name="计算 2 2 4 2 6" xfId="20716"/>
    <cellStyle name="20% - 强调文字颜色 3 2 3 2 4 2" xfId="20717"/>
    <cellStyle name="输入 2 2 2 2 9" xfId="20718"/>
    <cellStyle name="20% - 强调文字颜色 2 2 2 2 4 3 2" xfId="20719"/>
    <cellStyle name="20% - 强调文字颜色 2 2 2 2 3 5" xfId="20720"/>
    <cellStyle name="标题 1 2 2 2 3 2 2" xfId="20721"/>
    <cellStyle name="60% - 强调文字颜色 3 2 2 2 7 2" xfId="20722"/>
    <cellStyle name="标题 2 2 2 8 3" xfId="20723"/>
    <cellStyle name="强调文字颜色 5 2 2 2 2 2" xfId="20724"/>
    <cellStyle name="汇总 2 3 6" xfId="20725"/>
    <cellStyle name="计算 2 2 13 2" xfId="20726"/>
    <cellStyle name="60% - 强调文字颜色 3 2 3 3 4" xfId="20727"/>
    <cellStyle name="计算 2 3 4 7" xfId="20728"/>
    <cellStyle name="标题 3 2 2 2 2 3 3" xfId="20729"/>
    <cellStyle name="输入 2 2 4 5 3" xfId="20730"/>
    <cellStyle name="计算 2 2 5 8 3" xfId="20731"/>
    <cellStyle name="常规 9 2 3 2 2" xfId="20732"/>
    <cellStyle name="检查单元格 2 6 3 2" xfId="20733"/>
    <cellStyle name="20% - 强调文字颜色 4 2 5 4 2 2" xfId="20734"/>
    <cellStyle name="检查单元格 2 3 6" xfId="20735"/>
    <cellStyle name="20% - 强调文字颜色 4 2 2 2 6 2" xfId="20736"/>
    <cellStyle name="汇总 4 4 2 3" xfId="20737"/>
    <cellStyle name="计算 3 2 4 4 2" xfId="20738"/>
    <cellStyle name="输出 2 2 4 2 7" xfId="20739"/>
    <cellStyle name="60% - 强调文字颜色 1 3 2 3 2 2" xfId="20740"/>
    <cellStyle name="输入 2 2 3 2 2 8" xfId="20741"/>
    <cellStyle name="40% - 强调文字颜色 2 2 2 2 2 5 2 2" xfId="20742"/>
    <cellStyle name="输出 2 3 4 2 2" xfId="20743"/>
    <cellStyle name="常规 2 2 2 2 2" xfId="20744"/>
    <cellStyle name="计算 2 2 9 2 2 2" xfId="20745"/>
    <cellStyle name="计算 2 2 2 3 6" xfId="20746"/>
    <cellStyle name="20% - 强调文字颜色 2 2 2 2 6 2 2" xfId="20747"/>
    <cellStyle name="60% - 强调文字颜色 3 2 2 2 5 2 2 2" xfId="20748"/>
    <cellStyle name="常规 5 2 3 2 5 3" xfId="20749"/>
    <cellStyle name="计算 2 2 3 8 2 2" xfId="20750"/>
    <cellStyle name="输入 2 2 3 4 4 2 2" xfId="20751"/>
    <cellStyle name="60% - 强调文字颜色 3 2 2 2 5 2 2" xfId="20752"/>
    <cellStyle name="适中 2 2 2 3 5" xfId="20753"/>
    <cellStyle name="百分比 2 2 2 4 2 3" xfId="20754"/>
    <cellStyle name="Normal 2 2 4 2" xfId="20755"/>
    <cellStyle name="60% - 强调文字颜色 5 2 4 3 3 2" xfId="20756"/>
    <cellStyle name="60% - 强调文字颜色 1 2 3 4 3 2" xfId="20757"/>
    <cellStyle name="强调文字颜色 2 2 5 2 2 2" xfId="20758"/>
    <cellStyle name="20% - 强调文字颜色 4 3 2 2" xfId="20759"/>
    <cellStyle name="标题 2 2 7 2 3" xfId="20760"/>
    <cellStyle name="60% - 强调文字颜色 1 2 2 2 3 2" xfId="20761"/>
    <cellStyle name="计算 2 2 9 3 3 2 2" xfId="20762"/>
    <cellStyle name="标题 4 2 8 2" xfId="20763"/>
    <cellStyle name="20% - 强调文字颜色 1 4 5" xfId="20764"/>
    <cellStyle name="强调文字颜色 2 2 2 3 5" xfId="20765"/>
    <cellStyle name="60% - 强调文字颜色 4 2 2 2 4 3 2" xfId="20766"/>
    <cellStyle name="计算 2 2 6 4 2 2 2" xfId="20767"/>
    <cellStyle name="标题 3 2 2 2 2 2" xfId="20768"/>
    <cellStyle name="输入 2 2 4 4" xfId="20769"/>
    <cellStyle name="输入 2 2 5 2 8" xfId="20770"/>
    <cellStyle name="汇总 2 5 2 10" xfId="20771"/>
    <cellStyle name="常规 5 4 2 3 4 2" xfId="20772"/>
    <cellStyle name="强调文字颜色 4 2 2 2 5 2 2" xfId="20773"/>
    <cellStyle name="警告文本 2 2 2 6" xfId="20774"/>
    <cellStyle name="汇总 2 3 3 3 3" xfId="20775"/>
    <cellStyle name="20% - 强调文字颜色 5 2 2 4 2 3" xfId="20776"/>
    <cellStyle name="标题 2 3 3" xfId="20777"/>
    <cellStyle name="输出 2 2 5 3 3 3" xfId="20778"/>
    <cellStyle name="60% - 强调文字颜色 6 2 2 4 2" xfId="20779"/>
    <cellStyle name="链接单元格 2 6 2 2 2" xfId="20780"/>
    <cellStyle name="60% - 强调文字颜色 4 2 2 4 2 2" xfId="20781"/>
    <cellStyle name="常规 9 3 7 2" xfId="20782"/>
    <cellStyle name="常规 5 2 3 2 2" xfId="20783"/>
    <cellStyle name="输入 2 2 5 3" xfId="20784"/>
    <cellStyle name="汇总 2 3 2 2 2 2 5" xfId="20785"/>
    <cellStyle name="强调文字颜色 5 2 4 4 2 2 2" xfId="20786"/>
    <cellStyle name="60% - 强调文字颜色 4 2 2 6 3 2 2" xfId="20787"/>
    <cellStyle name="标题 1 2 2 3 4 2 2" xfId="20788"/>
    <cellStyle name="标题 6 2 2 3 3" xfId="20789"/>
    <cellStyle name="强调文字颜色 5 2 2 3 7" xfId="20790"/>
    <cellStyle name="适中 2 2 2 2 5 2 2" xfId="20791"/>
    <cellStyle name="输出 2 3 2 2 5 2 2" xfId="20792"/>
    <cellStyle name="注释 2 4 3 8" xfId="20793"/>
    <cellStyle name="汇总 2 2 5 2 2 5 2 2" xfId="20794"/>
    <cellStyle name="注释 2 4 3 3 2 2 2" xfId="20795"/>
    <cellStyle name="计算 2 5 14" xfId="20796"/>
    <cellStyle name="注释 2 2 6 2 6" xfId="20797"/>
    <cellStyle name="20% - 强调文字颜色 1 2 2 2 2 4 2 2 2" xfId="20798"/>
    <cellStyle name="输入 2 3 3 2 2" xfId="20799"/>
    <cellStyle name="标题 3 2 6" xfId="20800"/>
    <cellStyle name="计算 2 4 3 3 3 3" xfId="20801"/>
    <cellStyle name="强调文字颜色 4 2 4 3 4" xfId="20802"/>
    <cellStyle name="计算 2 2 6 8" xfId="20803"/>
    <cellStyle name="无色 2 2 3" xfId="20804"/>
    <cellStyle name="解释性文本 2 2 3 5 3" xfId="20805"/>
    <cellStyle name="标题 1 2 3 6 2 2 2" xfId="20806"/>
    <cellStyle name="注释 2 9 4 2" xfId="20807"/>
    <cellStyle name="20% - 强调文字颜色 6 2 4 3 2" xfId="20808"/>
    <cellStyle name="汇总 2 2 5 7 2 2" xfId="20809"/>
    <cellStyle name="注释 2 7 2 3 2 2" xfId="20810"/>
    <cellStyle name="检查单元格 2 3 2 6 2" xfId="20811"/>
    <cellStyle name="汇总 3 2 2 2" xfId="20812"/>
    <cellStyle name="常规 3 7 3 2" xfId="20813"/>
    <cellStyle name="汇总 2 4 3 2 4" xfId="20814"/>
    <cellStyle name="适中 2 4 8" xfId="20815"/>
    <cellStyle name="标题 2 2 2 5 2 3" xfId="20816"/>
    <cellStyle name="汇总 3 2 2 4 2" xfId="20817"/>
    <cellStyle name="常规 3 8" xfId="20818"/>
    <cellStyle name="链接单元格 2 2 7 3" xfId="20819"/>
    <cellStyle name="汇总 3 2 2 2 6" xfId="20820"/>
    <cellStyle name="60% - 强调文字颜色 6 2 2 3 3 3 2" xfId="20821"/>
    <cellStyle name="计算 2 5 2 2 2 4 3" xfId="20822"/>
    <cellStyle name="标题 1 2 3 3 2 2 2 2" xfId="20823"/>
    <cellStyle name="链接单元格 2 2 2 5" xfId="20824"/>
    <cellStyle name="超链接 2 2 3 2 4" xfId="20825"/>
    <cellStyle name="强调文字颜色 5 3 3 3 2" xfId="20826"/>
    <cellStyle name="检查单元格 4" xfId="20827"/>
    <cellStyle name="计算 2 7 3" xfId="20828"/>
    <cellStyle name="60% - 强调文字颜色 6 2 2 2 2 3 2" xfId="20829"/>
    <cellStyle name="注释 2 2 5 2 4" xfId="20830"/>
    <cellStyle name="40% - 强调文字颜色 5 2 2 5 2 2" xfId="20831"/>
    <cellStyle name="检查单元格 2 2 5 3" xfId="20832"/>
    <cellStyle name="注释 2 2 6 7 2" xfId="20833"/>
    <cellStyle name="40% - 强调文字颜色 6 2 5" xfId="20834"/>
    <cellStyle name="20% - 强调文字颜色 1 2 3 2 5 2 2 2" xfId="20835"/>
    <cellStyle name="标题 2 4 2 2" xfId="20836"/>
    <cellStyle name="20% - 强调文字颜色 5 2 2 4 3 2 2" xfId="20837"/>
    <cellStyle name="注释 3 5 3" xfId="20838"/>
    <cellStyle name="60% - 强调文字颜色 6 2 3 6 2 2 2" xfId="20839"/>
    <cellStyle name="40% - 强调文字颜色 2 2 4 4 2" xfId="20840"/>
    <cellStyle name="注释 2 5 6 3" xfId="20841"/>
    <cellStyle name="常规 13 4 2 4 2" xfId="20842"/>
    <cellStyle name="计算 2 5 2 2 2 2 2" xfId="20843"/>
    <cellStyle name="常规 2 2 4 3 2 2 2" xfId="20844"/>
    <cellStyle name="标题 5 3 2 2" xfId="20845"/>
    <cellStyle name="超链接 2 3 9" xfId="20846"/>
    <cellStyle name="常规 6 3 4 3 2" xfId="20847"/>
    <cellStyle name="解释性文本 2 3 4 2 3" xfId="20848"/>
    <cellStyle name="60% - 强调文字颜色 3 2 2 10" xfId="20849"/>
    <cellStyle name="常规 6 2 2 2 4 2" xfId="20850"/>
    <cellStyle name="输入 2 6 2 2 7" xfId="20851"/>
    <cellStyle name="注释 2 2 4 7" xfId="20852"/>
    <cellStyle name="40% - 强调文字颜色 5 2 2 3 2" xfId="20853"/>
    <cellStyle name="输出 2 7 8 2" xfId="20854"/>
    <cellStyle name="强调文字颜色 1 2 3 5 2 2" xfId="20855"/>
    <cellStyle name="20% - 强调文字颜色 2 2 2 3 2 2 2 2" xfId="20856"/>
    <cellStyle name="常规 11 6 2" xfId="20857"/>
    <cellStyle name="汇总 2 9 9" xfId="20858"/>
    <cellStyle name="计算 2 5 2 3 10" xfId="20859"/>
    <cellStyle name="输出 2 2 2 2 2 2 4 2" xfId="20860"/>
    <cellStyle name="60% - 强调文字颜色 2 2 2 2 2 3 3 2 2" xfId="20861"/>
    <cellStyle name="20% - 强调文字颜色 4 2 4 4 2" xfId="20862"/>
    <cellStyle name="强调文字颜色 1 2 2 6 2" xfId="20863"/>
    <cellStyle name="标题 4 2 2 8" xfId="20864"/>
    <cellStyle name="60% - 强调文字颜色 2 2 4 3 3" xfId="20865"/>
    <cellStyle name="百分比 2 3 2 2 3" xfId="20866"/>
    <cellStyle name="常规 5 3 4 2 3 2" xfId="20867"/>
    <cellStyle name="差 2 10" xfId="20868"/>
    <cellStyle name="注释 2 5 2 2 5" xfId="20869"/>
    <cellStyle name="60% - 强调文字颜色 2 5" xfId="20870"/>
    <cellStyle name="60% - 强调文字颜色 6 2 10" xfId="20871"/>
    <cellStyle name="输入 2 5 8 2" xfId="20872"/>
    <cellStyle name="常规 2 2 3 7" xfId="20873"/>
    <cellStyle name="输入 2 2 6 2 2" xfId="20874"/>
    <cellStyle name="20% - 强调文字颜色 5 3 3 4 2" xfId="20875"/>
    <cellStyle name="标题 3 3 2 2 2 2 2" xfId="20876"/>
    <cellStyle name="计算 2 3 2 5 3" xfId="20877"/>
    <cellStyle name="20% - 强调文字颜色 4 2 2 2 2 2 4 2 2 2" xfId="20878"/>
    <cellStyle name="汇总 2 2 2 2 4 3 2 2" xfId="20879"/>
    <cellStyle name="好 2 2 8" xfId="20880"/>
    <cellStyle name="汇总 2 2 6 3 3 2 2" xfId="20881"/>
    <cellStyle name="输出 2 9 3" xfId="20882"/>
    <cellStyle name="40% - 强调文字颜色 2 2 2 3 3 3 2" xfId="20883"/>
    <cellStyle name="输出 3 4 2 2" xfId="20884"/>
    <cellStyle name="解释性文本 2 3 2 3 2 2 2" xfId="20885"/>
    <cellStyle name="40% - 强调文字颜色 1 2 6 3 2 2" xfId="20886"/>
    <cellStyle name="计算 2 2 4 4 6 2 2" xfId="20887"/>
    <cellStyle name="60% - 强调文字颜色 5 2 4 2" xfId="20888"/>
    <cellStyle name="60% - 强调文字颜色 2 4 3 2 2" xfId="20889"/>
    <cellStyle name="注释 2 7 8" xfId="20890"/>
    <cellStyle name="标题 3 3 2 6" xfId="20891"/>
    <cellStyle name="计算 2 2 7 4 6" xfId="20892"/>
    <cellStyle name="60% - 强调文字颜色 5 4 3" xfId="20893"/>
    <cellStyle name="输出 3 2 9" xfId="20894"/>
    <cellStyle name="常规 5 3 2 5 2" xfId="20895"/>
    <cellStyle name="输出 2 2 4 2 2 3 2" xfId="20896"/>
    <cellStyle name="20% - 强调文字颜色 5 3 5 2 2" xfId="20897"/>
    <cellStyle name="汇总 2 4 11" xfId="20898"/>
    <cellStyle name="输出 2 5 4 2 4" xfId="20899"/>
    <cellStyle name="60% - 强调文字颜色 6 2 2 3 3 3" xfId="20900"/>
    <cellStyle name="适中 2 7 4" xfId="20901"/>
    <cellStyle name="输出 4 7 3" xfId="20902"/>
    <cellStyle name="计算 2 10 5 2" xfId="20903"/>
    <cellStyle name="20% - 强调文字颜色 1 3 9" xfId="20904"/>
    <cellStyle name="标题 4 2 2 3 5 2" xfId="20905"/>
    <cellStyle name="汇总 2 3 2 2 3 2" xfId="20906"/>
    <cellStyle name="差 2 3 3 2 2 2" xfId="20907"/>
    <cellStyle name="汇总 2 2 5 2 3 2 2 2" xfId="20908"/>
    <cellStyle name="强调文字颜色 3 2 3 2 5" xfId="20909"/>
    <cellStyle name="标题 5 2 2 2 6" xfId="20910"/>
    <cellStyle name="标题 5 3 6" xfId="20911"/>
    <cellStyle name="40% - 强调文字颜色 1 2 3 2 2 2 2 2" xfId="20912"/>
    <cellStyle name="汇总 2 3 2 2 4" xfId="20913"/>
    <cellStyle name="40% - 强调文字颜色 4 2 3 2 2 4 2" xfId="20914"/>
    <cellStyle name="标题 5 3 3 2 2 2 3" xfId="20915"/>
    <cellStyle name="差 2 2 4 3 3" xfId="20916"/>
    <cellStyle name="40% - 强调文字颜色 2 4 2 3 2 2 2" xfId="20917"/>
    <cellStyle name="20% - 强调文字颜色 5 2 4 3 3 2" xfId="20918"/>
    <cellStyle name="汇总 2 2 3 3 4" xfId="20919"/>
    <cellStyle name="20% - 强调文字颜色 5 2 2 2 6 2" xfId="20920"/>
    <cellStyle name="警告文本 2 3 4 2 2" xfId="20921"/>
    <cellStyle name="注释 2 3 3 2 2 2 2" xfId="20922"/>
    <cellStyle name="60% - 强调文字颜色 2 2 2 5 2" xfId="20923"/>
    <cellStyle name="说明文本 2 4" xfId="20924"/>
    <cellStyle name="输入 2 2 2 3 2 2 3" xfId="20925"/>
    <cellStyle name="40% - 强调文字颜色 5 4 5 2" xfId="20926"/>
    <cellStyle name="输入 2 2 5 2 7 2" xfId="20927"/>
    <cellStyle name="汇总 2 4 3 2 4 3" xfId="20928"/>
    <cellStyle name="差 2 2 2 2 3 3 2 2" xfId="20929"/>
    <cellStyle name="输入 2 2 8 11" xfId="20930"/>
    <cellStyle name="注释 2 2 3 2 2 2 2 2 3" xfId="20931"/>
    <cellStyle name="标题 3 3 3 3 2 2 2" xfId="20932"/>
    <cellStyle name="标题 2 2 2 2 2 4 4" xfId="20933"/>
    <cellStyle name="检查单元格 2 2 4 2 4" xfId="20934"/>
    <cellStyle name="20% - 强调文字颜色 2 3 3 3 2 2" xfId="20935"/>
    <cellStyle name="强调文字颜色 2 2 3 2 3 3 2 2" xfId="20936"/>
    <cellStyle name="计算 2 2 3 2 2 2 3 2 2" xfId="20937"/>
    <cellStyle name="常规 8 2 3 2 2 2 2" xfId="20938"/>
    <cellStyle name="输入 3 3 2 3 2" xfId="20939"/>
    <cellStyle name="差 2 3 3 3" xfId="20940"/>
    <cellStyle name="标题 5 3 2 3" xfId="20941"/>
    <cellStyle name="20% - 强调文字颜色 2 2 2 2 2 2 4 2 2 2" xfId="20942"/>
    <cellStyle name="40% - 强调文字颜色 1 4 2 2 2 2" xfId="20943"/>
    <cellStyle name="输出 2 2 6 5" xfId="20944"/>
    <cellStyle name="计算 2 4 2 4" xfId="20945"/>
    <cellStyle name="标题 5 2 2 2 2 3" xfId="20946"/>
    <cellStyle name="20% - 强调文字颜色 4 6" xfId="20947"/>
    <cellStyle name="60% - 强调文字颜色 5 2 5 3 2 2" xfId="20948"/>
    <cellStyle name="40% - 强调文字颜色 2 2 2 2 2 2 5 2 2" xfId="20949"/>
    <cellStyle name="标题 5 2 8 3" xfId="20950"/>
    <cellStyle name="警告文本 2 4 4 4" xfId="20951"/>
    <cellStyle name="20% - 强调文字颜色 1 2 3 2 2 2 2 2" xfId="20952"/>
    <cellStyle name="注释 2 2 3 5 3" xfId="20953"/>
    <cellStyle name="40% - 强调文字颜色 3 2 3 4 2" xfId="20954"/>
    <cellStyle name="好 2 9" xfId="20955"/>
    <cellStyle name="20% - 强调文字颜色 5 2 5 3" xfId="20956"/>
    <cellStyle name="链接单元格 2 2 3 9" xfId="20957"/>
    <cellStyle name="40% - 强调文字颜色 3 3 3 3" xfId="20958"/>
    <cellStyle name="适中 2 2 2 2 3 2 3" xfId="20959"/>
    <cellStyle name="计算 4 2 3 2 2" xfId="20960"/>
    <cellStyle name="计算 2 8 6 3" xfId="20961"/>
    <cellStyle name="好 2 3 5 2 2" xfId="20962"/>
    <cellStyle name="计算 2 2 2 2 4 3" xfId="20963"/>
    <cellStyle name="计算 2 2 2 4 3" xfId="20964"/>
    <cellStyle name="注释 2 6 2 4 2" xfId="20965"/>
    <cellStyle name="汇总 2 8 3 2 2 2" xfId="20966"/>
    <cellStyle name="汇总 2 2 4 3 3 5 2" xfId="20967"/>
    <cellStyle name="注释 2 2 5 7 3" xfId="20968"/>
    <cellStyle name="40% - 强调文字颜色 5 2 2 4 2 3" xfId="20969"/>
    <cellStyle name="百分比 2 2 5 2 2" xfId="20970"/>
    <cellStyle name="输入 2 5 2 14" xfId="20971"/>
    <cellStyle name="输入 2 2 3 3 2 6" xfId="20972"/>
    <cellStyle name="标题 2 2 2 3 2 2 2 3" xfId="20973"/>
    <cellStyle name="标题 2 2 2 3 2" xfId="20974"/>
    <cellStyle name="计算 2 2 5 2 2 4 2 2" xfId="20975"/>
    <cellStyle name="输入 3 7 3" xfId="20976"/>
    <cellStyle name="注释 4 3 3 2" xfId="20977"/>
    <cellStyle name="汇总 2 4 2 2 3 3 2" xfId="20978"/>
    <cellStyle name="无色 3 2 2" xfId="20979"/>
    <cellStyle name="检查单元格 2 3 4 3 2 2" xfId="20980"/>
    <cellStyle name="20% - 强调文字颜色 2 2 3 2 2 2 2 2 2 2" xfId="20981"/>
    <cellStyle name="输出 2 2 3 2 7 2" xfId="20982"/>
    <cellStyle name="计算 2 3 3 3 4" xfId="20983"/>
    <cellStyle name="60% - 强调文字颜色 1 3 2 2 2 2 2" xfId="20984"/>
    <cellStyle name="常规 6 3 2 2 4 2" xfId="20985"/>
    <cellStyle name="强调文字颜色 5 2 3 5 2 3" xfId="20986"/>
    <cellStyle name="标题 3 4 2 2" xfId="20987"/>
    <cellStyle name="计算 2 2 8 4 2" xfId="20988"/>
    <cellStyle name="20% - 强调文字颜色 5 2 2 5 3 2 2" xfId="20989"/>
    <cellStyle name="强调文字颜色 1 2 2 2 5 2" xfId="20990"/>
    <cellStyle name="60% - 强调文字颜色 2 3 9" xfId="20991"/>
    <cellStyle name="40% - 强调文字颜色 2 2 3 4" xfId="20992"/>
    <cellStyle name="强调文字颜色 2 2 2 4 3 2 2 2" xfId="20993"/>
    <cellStyle name="汇总 2 7 7" xfId="20994"/>
    <cellStyle name="60% - 强调文字颜色 3 3 2 3 2 2 2" xfId="20995"/>
    <cellStyle name="输入 2 4 2 2 2 6" xfId="20996"/>
    <cellStyle name="汇总 2 5 10" xfId="20997"/>
    <cellStyle name="计算 2 6 4 2 3 3" xfId="20998"/>
    <cellStyle name="计算 2 2 4 2 6 3 3" xfId="20999"/>
    <cellStyle name="60% - 强调文字颜色 3 2 5 3" xfId="21000"/>
    <cellStyle name="60% - 强调文字颜色 2 2 3 3 3" xfId="21001"/>
    <cellStyle name="标题 1 2 2 8 2" xfId="21002"/>
    <cellStyle name="百分比 2 5 3" xfId="21003"/>
    <cellStyle name="警告文本 2 2 3 2 3" xfId="21004"/>
    <cellStyle name="20% - 强调文字颜色 4 2 2 2 3 5" xfId="21005"/>
    <cellStyle name="40% - 强调文字颜色 2 2 2 3 6" xfId="21006"/>
    <cellStyle name="60% - 强调文字颜色 5 3 2 2 2 2 2 2" xfId="21007"/>
    <cellStyle name="汇总 2 2 7 3 2 7" xfId="21008"/>
    <cellStyle name="20% - 强调文字颜色 3 2 3 3 2 2 2" xfId="21009"/>
    <cellStyle name="注释 2 4 2 4 2 4" xfId="21010"/>
    <cellStyle name="计算 2 5 2 4 4" xfId="21011"/>
    <cellStyle name="计算 2 4 4 5" xfId="21012"/>
    <cellStyle name="60% - 强调文字颜色 2 2 3 2 3 2" xfId="21013"/>
    <cellStyle name="输出 2 2 8 6" xfId="21014"/>
    <cellStyle name="60% - 强调文字颜色 3 2 4 3 2" xfId="21015"/>
    <cellStyle name="计算 2 2 4 4 2 3 3" xfId="21016"/>
    <cellStyle name="40% - 强调文字颜色 6 2 2 2 2 3 2 2" xfId="21017"/>
    <cellStyle name="常规 4 3 4 2 3 2 2" xfId="21018"/>
    <cellStyle name="计算 4 4 4" xfId="21019"/>
    <cellStyle name="汇总 2 4 2 2 2 6" xfId="21020"/>
    <cellStyle name="20% - 强调文字颜色 5 4 2 3 2 2" xfId="21021"/>
    <cellStyle name="计算 2 7 4 2 4 2" xfId="21022"/>
    <cellStyle name="注释 2 2 2 2 4 3" xfId="21023"/>
    <cellStyle name="链接单元格 2 2 3" xfId="21024"/>
    <cellStyle name="60% - 强调文字颜色 5 3 9" xfId="21025"/>
    <cellStyle name="差 2 2 3 2 2 2 3" xfId="21026"/>
    <cellStyle name="常规 5 2 5 3 3 2 2" xfId="21027"/>
    <cellStyle name="链接单元格 2 2 4 4 2 2" xfId="21028"/>
    <cellStyle name="常规 6 4 4" xfId="21029"/>
    <cellStyle name="40% - 强调文字颜色 6 4 3 2" xfId="21030"/>
    <cellStyle name="常规 5 2 2 2 5 2" xfId="21031"/>
    <cellStyle name="解释性文本 2 2 2 2 2 5" xfId="21032"/>
    <cellStyle name="60% - 强调文字颜色 6 2 6 2 2 3" xfId="21033"/>
    <cellStyle name="注释 2 4 7 2" xfId="21034"/>
    <cellStyle name="输入 2 6 4 5 2" xfId="21035"/>
    <cellStyle name="强调文字颜色 2 6 2" xfId="21036"/>
    <cellStyle name="60% - 强调文字颜色 2 3 3 2 2 2" xfId="21037"/>
    <cellStyle name="60% - 强调文字颜色 4 2 4 2 2" xfId="21038"/>
    <cellStyle name="计算 2 2 5 4 2 2 3" xfId="21039"/>
    <cellStyle name="常规 8 3 2 2 2 2" xfId="21040"/>
    <cellStyle name="计算 3 4 2 2" xfId="21041"/>
    <cellStyle name="输出 3 2 6 3" xfId="21042"/>
    <cellStyle name="计算 2 6 3 3 2 3" xfId="21043"/>
    <cellStyle name="60% - 强调文字颜色 5 2 2 4 5" xfId="21044"/>
    <cellStyle name="汇总 3 5 2" xfId="21045"/>
    <cellStyle name="60% - 强调文字颜色 6 2 2 5" xfId="21046"/>
    <cellStyle name="输入 2 6 4 7" xfId="21047"/>
    <cellStyle name="注释 2 4 9" xfId="21048"/>
    <cellStyle name="超链接 3 2" xfId="21049"/>
    <cellStyle name="20% - 强调文字颜色 5 4 2 4 2" xfId="21050"/>
    <cellStyle name="输出 2 4 5 3 3" xfId="21051"/>
    <cellStyle name="注释 2 6 6 2 2" xfId="21052"/>
    <cellStyle name="汇总 2 2 2 2 3 2 3" xfId="21053"/>
    <cellStyle name="汇总 2 2 6 3 2 3 2" xfId="21054"/>
    <cellStyle name="20% - 强调文字颜色 4 2 2 2 2 2 2 2 2 2 2" xfId="21055"/>
    <cellStyle name="汇总 2 2 2 2 2 3 2 2 2" xfId="21056"/>
    <cellStyle name="40% - 强调文字颜色 1 2 2 2 7" xfId="21057"/>
    <cellStyle name="解释性文本 3 2 2 2 2" xfId="21058"/>
    <cellStyle name="标题 6 2 2 2 3" xfId="21059"/>
    <cellStyle name="汇总 2 8 2 4 2 2" xfId="21060"/>
    <cellStyle name="注释 2 3 2 2 2 2" xfId="21061"/>
    <cellStyle name="60% - 强调文字颜色 1 2 2 5" xfId="21062"/>
    <cellStyle name="20% - 强调文字颜色 2 2 3 3 2" xfId="21063"/>
    <cellStyle name="标题 3 2 4 3 2" xfId="21064"/>
    <cellStyle name="计算 2 2 6 6 3 2" xfId="21065"/>
    <cellStyle name="超链接 2 2 2 3 2 2" xfId="21066"/>
    <cellStyle name="常规 9 5 4 2" xfId="21067"/>
    <cellStyle name="链接单元格 2 5 2 3" xfId="21068"/>
    <cellStyle name="强调文字颜色 5 2 3 2 2" xfId="21069"/>
    <cellStyle name="输入 3 2 2 6 2" xfId="21070"/>
    <cellStyle name="20% - 强调文字颜色 3 2 3 4 3 2" xfId="21071"/>
    <cellStyle name="40% - 强调文字颜色 4 2 2 2 2 2 4 2 2 2" xfId="21072"/>
    <cellStyle name="40% - 强调文字颜色 1 2 3 6" xfId="21073"/>
    <cellStyle name="适中 2 4 2 2 2 2 2" xfId="21074"/>
    <cellStyle name="汇总 2 6 4 2 3" xfId="21075"/>
    <cellStyle name="60% - 强调文字颜色 4 3 3" xfId="21076"/>
    <cellStyle name="计算 2 2 6 3 6" xfId="21077"/>
    <cellStyle name="常规 5 2 3 4" xfId="21078"/>
    <cellStyle name="解释性文本 4 6" xfId="21079"/>
    <cellStyle name="汇总 2 2 2 2 3 7" xfId="21080"/>
    <cellStyle name="60% - 强调文字颜色 6 5 2 3" xfId="21081"/>
    <cellStyle name="输出 2 4 5 8" xfId="21082"/>
    <cellStyle name="60% - 强调文字颜色 1 2 2 2 4 2 2" xfId="21083"/>
    <cellStyle name="输入 2 2 7 2 3" xfId="21084"/>
    <cellStyle name="注释 2 2 9 3" xfId="21085"/>
    <cellStyle name="输入 3 2 2 3 2 2" xfId="21086"/>
    <cellStyle name="40% - 强调文字颜色 2 2 4" xfId="21087"/>
    <cellStyle name="输出 2 4 5 3 2 2" xfId="21088"/>
    <cellStyle name="常规 2 3 3 3 2 2" xfId="21089"/>
    <cellStyle name="20% - 强调文字颜色 5 2 4 5 2 2" xfId="21090"/>
    <cellStyle name="汇总 2 3 7 3" xfId="21091"/>
    <cellStyle name="差 2 2 6 2 3" xfId="21092"/>
    <cellStyle name="计算 2 10 3 3 2 2" xfId="21093"/>
    <cellStyle name="20% - 强调文字颜色 2 2 2 4 2" xfId="21094"/>
    <cellStyle name="20% - 强调文字颜色 5 5 2" xfId="21095"/>
    <cellStyle name="标题 5 2 2 2 3 2 2" xfId="21096"/>
    <cellStyle name="警告文本 2 4 2 2" xfId="21097"/>
    <cellStyle name="40% - 强调文字颜色 6 2 3 2 2 3 3 2" xfId="21098"/>
    <cellStyle name="常规 6 4 2 2" xfId="21099"/>
    <cellStyle name="计算 2 2 2 5 2 2" xfId="21100"/>
    <cellStyle name="40% - 强调文字颜色 1 2 3 2 2 4 2 2 2" xfId="21101"/>
    <cellStyle name="汇总 2 3 4 2 4 2" xfId="21102"/>
    <cellStyle name="计算 2 2 6 2 2 4" xfId="21103"/>
    <cellStyle name="链接单元格 2 3 2" xfId="21104"/>
    <cellStyle name="汇总 2 5 2 2 2 3" xfId="21105"/>
    <cellStyle name="汇总 2 2 4 2 10" xfId="21106"/>
    <cellStyle name="计算 2 2 5 2 9" xfId="21107"/>
    <cellStyle name="计算 2 2 4 2 6 4" xfId="21108"/>
    <cellStyle name="60% - 强调文字颜色 2 2 3 4" xfId="21109"/>
    <cellStyle name="60% - 强调文字颜色 3 2 6" xfId="21110"/>
    <cellStyle name="60% - 强调文字颜色 2 3" xfId="21111"/>
    <cellStyle name="强调文字颜色 1 2 2 4 5 2" xfId="21112"/>
    <cellStyle name="60% - 强调文字颜色 4 3 9" xfId="21113"/>
    <cellStyle name="20% - 强调文字颜色 4 2 2 3 5 2 2" xfId="21114"/>
    <cellStyle name="差 2 5 3 3" xfId="21115"/>
    <cellStyle name="超链接 2 2 2 5" xfId="21116"/>
    <cellStyle name="汇总 2 7 2 2 6 2" xfId="21117"/>
    <cellStyle name="20% - 强调文字颜色 1 2 4 2 2" xfId="21118"/>
    <cellStyle name="警告文本 2 2 4 5 2" xfId="21119"/>
    <cellStyle name="汇总 2 3 3 5 2 2" xfId="21120"/>
    <cellStyle name="好 2 2 4 2" xfId="21121"/>
    <cellStyle name="标题 1 3 3 2 3" xfId="21122"/>
    <cellStyle name="输入 2 2 3 2 2 2 6" xfId="21123"/>
    <cellStyle name="40% - 强调文字颜色 1 2 4 3" xfId="21124"/>
    <cellStyle name="60% - 强调文字颜色 5 2 2 5 2" xfId="21125"/>
    <cellStyle name="超链接 3 2 5" xfId="21126"/>
    <cellStyle name="输入 2 6 6" xfId="21127"/>
    <cellStyle name="汇总 5 4" xfId="21128"/>
    <cellStyle name="40% - 强调文字颜色 1 2 3 2 2 3 3 2 2" xfId="21129"/>
    <cellStyle name="汇总 2 3 3 3 4 2" xfId="21130"/>
    <cellStyle name="20% - 强调文字颜色 6 2 4 2 2 2 2" xfId="21131"/>
    <cellStyle name="链接单元格 2 2 2 2 4 2 3" xfId="21132"/>
    <cellStyle name="60% - 强调文字颜色 2 2 2 4 3 2 2 2" xfId="21133"/>
    <cellStyle name="强调文字颜色 3 2 4 2 2 2 2 2" xfId="21134"/>
    <cellStyle name="输出 2 4 5 2" xfId="21135"/>
    <cellStyle name="常规 2 3 3 2" xfId="21136"/>
    <cellStyle name="解释性文本 2 4 4 2 2 2" xfId="21137"/>
    <cellStyle name="60% - 强调文字颜色 6 2 2 3 2 2 2 3" xfId="21138"/>
    <cellStyle name="链接单元格 2 2 4 2 2 2 2" xfId="21139"/>
    <cellStyle name="60% - 强调文字颜色 2 2 4 6" xfId="21140"/>
    <cellStyle name="60% - 强调文字颜色 3 3 8" xfId="21141"/>
    <cellStyle name="标题 4 2 4 3 2 2 2" xfId="21142"/>
    <cellStyle name="60% - 强调文字颜色 2 2 4 4 2 2" xfId="21143"/>
    <cellStyle name="标题 4 2 3 7 2" xfId="21144"/>
    <cellStyle name="汇总 2 6 3 4 3" xfId="21145"/>
    <cellStyle name="20% - 强调文字颜色 1 2 3 2 3 2" xfId="21146"/>
    <cellStyle name="20% - 强调文字颜色 5 2 2 3 5" xfId="21147"/>
    <cellStyle name="标题 1 6" xfId="21148"/>
    <cellStyle name="输出 2 2 5 2 6" xfId="21149"/>
    <cellStyle name="常规 5 2 2 2 2 2 3 3" xfId="21150"/>
    <cellStyle name="常规 8 6 2" xfId="21151"/>
    <cellStyle name="40% - 强调文字颜色 1 2 2 2 4 2 2 2" xfId="21152"/>
    <cellStyle name="60% - 强调文字颜色 6 6 2 2" xfId="21153"/>
    <cellStyle name="40% - 强调文字颜色 6 2 5 2 2" xfId="21154"/>
    <cellStyle name="常规 4 6 4 2" xfId="21155"/>
    <cellStyle name="60% - 强调文字颜色 6 2 2 4 5" xfId="21156"/>
    <cellStyle name="汇总 2 2 4 2 5 3" xfId="21157"/>
    <cellStyle name="输入 2 5 4 2 4" xfId="21158"/>
    <cellStyle name="20% - 强调文字颜色 6 2 3 2 5 2" xfId="21159"/>
    <cellStyle name="40% - 强调文字颜色 6 2 2 2 2 3 2" xfId="21160"/>
    <cellStyle name="常规 4 3 4 2 3 2" xfId="21161"/>
    <cellStyle name="汇总 2 2 8 3 5" xfId="21162"/>
    <cellStyle name="标题 5 7 3" xfId="21163"/>
    <cellStyle name="40% - 强调文字颜色 1 2 3 4 2" xfId="21164"/>
    <cellStyle name="好 2 2 3 6 2 2" xfId="21165"/>
    <cellStyle name="计算 2 7 11 2" xfId="21166"/>
    <cellStyle name="强调文字颜色 5 2 2 2 2 3 4" xfId="21167"/>
    <cellStyle name="汇总 2 2 5 2 4 2" xfId="21168"/>
    <cellStyle name="20% - 强调文字颜色 5 2 2 4 5 2 2" xfId="21169"/>
    <cellStyle name="标题 2 6 2 2" xfId="21170"/>
    <cellStyle name="标题 3 3 4 2 3" xfId="21171"/>
    <cellStyle name="汇总 2 5 3 6 2 2" xfId="21172"/>
    <cellStyle name="40% - 强调文字颜色 2 2 8 2 2" xfId="21173"/>
    <cellStyle name="输出 2 2 3 3 8" xfId="21174"/>
    <cellStyle name="20% - 强调文字颜色 5 2 4 2 2 2 2" xfId="21175"/>
    <cellStyle name="输出 2 4 3 2 4 2 2" xfId="21176"/>
    <cellStyle name="输出 2 3 3 6 2" xfId="21177"/>
    <cellStyle name="汇总 2 2 3 3 2 3" xfId="21178"/>
    <cellStyle name="20% - 强调文字颜色 4 2 2 2 3 3 2 2" xfId="21179"/>
    <cellStyle name="说明文本 2 2 3" xfId="21180"/>
    <cellStyle name="常规 10 2 2 2 2 3" xfId="21181"/>
    <cellStyle name="链接单元格 2 4 4 3" xfId="21182"/>
    <cellStyle name="强调文字颜色 5 2 2 4 2" xfId="21183"/>
    <cellStyle name="标题 2 2 4 3 4" xfId="21184"/>
    <cellStyle name="60% - 强调文字颜色 3 2 2 4 2 3" xfId="21185"/>
    <cellStyle name="计算 2 2 5 5 3" xfId="21186"/>
    <cellStyle name="20% - 强调文字颜色 3 3 2 2 2" xfId="21187"/>
    <cellStyle name="强调文字颜色 2 2 4 2 2 2 2" xfId="21188"/>
    <cellStyle name="60% - 强调文字颜色 1 2 2 4 3 2 2" xfId="21189"/>
    <cellStyle name="60% - 强调文字颜色 4 3 2 5 2" xfId="21190"/>
    <cellStyle name="汇总 2 11 2 2 2" xfId="21191"/>
    <cellStyle name="40% - 强调文字颜色 1 2 2 3 2" xfId="21192"/>
    <cellStyle name="60% - 强调文字颜色 5 2 2 3 2 2" xfId="21193"/>
    <cellStyle name="汇总 2 8 5 2 3" xfId="21194"/>
    <cellStyle name="百分比 2 3 3 2" xfId="21195"/>
    <cellStyle name="标题 1 2 2 6 2 2" xfId="21196"/>
    <cellStyle name="输入 2 3 3 2 5" xfId="21197"/>
    <cellStyle name="计算 2 3 3 2 4 2 2" xfId="21198"/>
    <cellStyle name="强调文字颜色 3 2 3 4 3 2" xfId="21199"/>
    <cellStyle name="60% - 强调文字颜色 4 5" xfId="21200"/>
    <cellStyle name="40% - 强调文字颜色 4 2 2 2 2 2" xfId="21201"/>
    <cellStyle name="计算 2 2 3 2 2 2 4" xfId="21202"/>
    <cellStyle name="强调文字颜色 2 2 3 2 3 4" xfId="21203"/>
    <cellStyle name="20% - 强调文字颜色 2 3 3 4" xfId="21204"/>
    <cellStyle name="输入 2 2 12 3" xfId="21205"/>
    <cellStyle name="解释性文本 2 2 4 5 3" xfId="21206"/>
    <cellStyle name="20% - 强调文字颜色 6 2 5 3 2" xfId="21207"/>
    <cellStyle name="汇总 2 2 5 8 2 2" xfId="21208"/>
    <cellStyle name="标题 2 2 4 4 2 2 2" xfId="21209"/>
    <cellStyle name="40% - 强调文字颜色 1 3 2 2 2 2 2" xfId="21210"/>
    <cellStyle name="计算 3 3 2 5" xfId="21211"/>
    <cellStyle name="汇总 2 2 6 3 6 2" xfId="21212"/>
    <cellStyle name="注释 2 2 3 4 3 3" xfId="21213"/>
    <cellStyle name="40% - 强调文字颜色 6 2 3 2 3 2 2" xfId="21214"/>
    <cellStyle name="常规 4 4 4 3 2 2" xfId="21215"/>
    <cellStyle name="40% - 强调文字颜色 4 2 2 3 4 3" xfId="21216"/>
    <cellStyle name="汇总 4 3 4 2 2" xfId="21217"/>
    <cellStyle name="汇总 2 2 5 4 3 2" xfId="21218"/>
    <cellStyle name="20% - 强调文字颜色 1 2 3 2 3" xfId="21219"/>
    <cellStyle name="注释 2 2 5 5 2 2" xfId="21220"/>
    <cellStyle name="20% - 强调文字颜色 5 2 5 3 2 2 2" xfId="21221"/>
    <cellStyle name="常规 13 3 2 5" xfId="21222"/>
    <cellStyle name="超链接 3 6 2 3" xfId="21223"/>
    <cellStyle name="强调文字颜色 4 2 7 2" xfId="21224"/>
    <cellStyle name="标题 3 2 2 2 4 4" xfId="21225"/>
    <cellStyle name="输入 2 2 6 6" xfId="21226"/>
    <cellStyle name="常规 4 9" xfId="21227"/>
    <cellStyle name="注释 2 2 6 3 3" xfId="21228"/>
    <cellStyle name="40% - 强调文字颜色 3 2 6 2 2" xfId="21229"/>
    <cellStyle name="输出 2 3 2 5" xfId="21230"/>
    <cellStyle name="60% - 强调文字颜色 5 2 6 3" xfId="21231"/>
    <cellStyle name="20% - 强调文字颜色 4 3 2 4 2 2" xfId="21232"/>
    <cellStyle name="标题 4 2 2 2 3 2 2 2 2 2" xfId="21233"/>
    <cellStyle name="解释性文本 2 2 3 2" xfId="21234"/>
    <cellStyle name="40% - 强调文字颜色 1 2 3 4 3 2" xfId="21235"/>
    <cellStyle name="60% - 强调文字颜色 5 2 2 3 3 3 2" xfId="21236"/>
    <cellStyle name="注释 2 2 3 2 2 6" xfId="21237"/>
    <cellStyle name="注释 2 5 2 6 2" xfId="21238"/>
    <cellStyle name="标题 2 4 2 4" xfId="21239"/>
    <cellStyle name="40% - 强调文字颜色 2 3 5" xfId="21240"/>
    <cellStyle name="汇总 2 2 8 2 2 6" xfId="21241"/>
    <cellStyle name="常规 9 3 2 3 3 2" xfId="21242"/>
    <cellStyle name="常规 10 5 4 2" xfId="21243"/>
    <cellStyle name="输入 2 5 11" xfId="21244"/>
    <cellStyle name="汇总 2 2 4 5 4 3" xfId="21245"/>
    <cellStyle name="60% - 强调文字颜色 2 2 3 3 2 2 2 2" xfId="21246"/>
    <cellStyle name="强调文字颜色 5 2 6 2 3" xfId="21247"/>
    <cellStyle name="计算 2 5 3 5 2 2" xfId="21248"/>
    <cellStyle name="强调文字颜色 1 2 2 2 2 3 2 3" xfId="21249"/>
    <cellStyle name="强调文字颜色 4 2 3 2 3 3 3" xfId="21250"/>
    <cellStyle name="警告文本 2 8" xfId="21251"/>
    <cellStyle name="计算 2 6 2 4 2 2" xfId="21252"/>
    <cellStyle name="适中 2 2 3 3 2 3" xfId="21253"/>
    <cellStyle name="强调文字颜色 5 2 2 4 3" xfId="21254"/>
    <cellStyle name="常规 10 2 2 2 2 4" xfId="21255"/>
    <cellStyle name="输出 2 2 5 2 5 2 2" xfId="21256"/>
    <cellStyle name="链接单元格 2 4 4 4" xfId="21257"/>
    <cellStyle name="标题 4 4 2 3 2" xfId="21258"/>
    <cellStyle name="输入 2 2 6 4 6" xfId="21259"/>
    <cellStyle name="40% - 强调文字颜色 3 2 2 2 4 2 2 2" xfId="21260"/>
    <cellStyle name="常规 5 4 2 2 3 2" xfId="21261"/>
    <cellStyle name="汇总 2 2 3 2 4" xfId="21262"/>
    <cellStyle name="20% - 强调文字颜色 5 2 2 2 5 2" xfId="21263"/>
    <cellStyle name="20% - 强调文字颜色 5 2 4 3 2 2" xfId="21264"/>
    <cellStyle name="差 2 2 4 2 3" xfId="21265"/>
    <cellStyle name="60% - 强调文字颜色 4 2 4 4" xfId="21266"/>
    <cellStyle name="标题 2 2 2 2" xfId="21267"/>
    <cellStyle name="解释性文本 2 2 2 4 4" xfId="21268"/>
    <cellStyle name="汇总 2 5 4 6 2" xfId="21269"/>
    <cellStyle name="计算 2 6 3 6 2 2" xfId="21270"/>
    <cellStyle name="强调文字颜色 6 2 7 2 3" xfId="21271"/>
    <cellStyle name="强调文字颜色 3 2 3 2 2 2 2 2" xfId="21272"/>
    <cellStyle name="计算 3 2 2 3 3 2" xfId="21273"/>
    <cellStyle name="输入 4 7 2" xfId="21274"/>
    <cellStyle name="常规 3 3 7 4 2 2" xfId="21275"/>
    <cellStyle name="汇总 2 3 2 2 2 5 3" xfId="21276"/>
    <cellStyle name="标题 5 3 3 2 2" xfId="21277"/>
    <cellStyle name="40% - 强调文字颜色 6 2 7" xfId="21278"/>
    <cellStyle name="40% - 强调文字颜色 2 2 2 2 2 3" xfId="21279"/>
    <cellStyle name="输出 2 3 2" xfId="21280"/>
    <cellStyle name="20% - 强调文字颜色 4 3 3 2 2 2" xfId="21281"/>
    <cellStyle name="注释 2 2 3 5 2 2" xfId="21282"/>
    <cellStyle name="60% - 强调文字颜色 6 2 3 5" xfId="21283"/>
    <cellStyle name="计算 2 3 10 3" xfId="21284"/>
    <cellStyle name="60% - 强调文字颜色 1 5 2 2 2 2" xfId="21285"/>
    <cellStyle name="注释 2 2 5 2" xfId="21286"/>
    <cellStyle name="输入 2 6 2 3 2" xfId="21287"/>
    <cellStyle name="汇总 4 2 2 5" xfId="21288"/>
    <cellStyle name="好 3 5 2 3" xfId="21289"/>
    <cellStyle name="40% - 强调文字颜色 1 2 4 4" xfId="21290"/>
    <cellStyle name="常规 12 2 2 2 3 2 2" xfId="21291"/>
    <cellStyle name="60% - 强调文字颜色 2 2 2 4 2 2 2" xfId="21292"/>
    <cellStyle name="60% - 强调文字颜色 3 2 6 3 2" xfId="21293"/>
    <cellStyle name="强调文字颜色 3 2 5 2 2 2" xfId="21294"/>
    <cellStyle name="60% - 强调文字颜色 2 2 3 4 3 2" xfId="21295"/>
    <cellStyle name="计算 2 6 4 5" xfId="21296"/>
    <cellStyle name="超链接 3 4" xfId="21297"/>
    <cellStyle name="计算 2 2 5 2 2 3 3" xfId="21298"/>
    <cellStyle name="60% - 强调文字颜色 5 2 2 4 2 3 2" xfId="21299"/>
    <cellStyle name="40% - 强调文字颜色 6 2 3 2 3 3" xfId="21300"/>
    <cellStyle name="常规 4 4 4 3 3" xfId="21301"/>
    <cellStyle name="60% - 强调文字颜色 4 3 2 3 2 2 2" xfId="21302"/>
    <cellStyle name="60% - 强调文字颜色 5 2 4 4" xfId="21303"/>
    <cellStyle name="差 2 3 4 2 3" xfId="21304"/>
    <cellStyle name="差 2 2 3 5 3" xfId="21305"/>
    <cellStyle name="计算 2 2 4 2 2 2 6" xfId="21306"/>
    <cellStyle name="输入 3 14" xfId="21307"/>
    <cellStyle name="40% - 强调文字颜色 1 2 3 2 2 3 2 2" xfId="21308"/>
    <cellStyle name="汇总 2 3 3 2 4" xfId="21309"/>
    <cellStyle name="20% - 强调文字颜色 5 2 3 2 5 2" xfId="21310"/>
    <cellStyle name="汇总 5 2 2 2" xfId="21311"/>
    <cellStyle name="注释 2 6 4 2 2" xfId="21312"/>
    <cellStyle name="标题 2 3 3 3 2 2" xfId="21313"/>
    <cellStyle name="强调文字颜色 4 2 2 4 2 3 2" xfId="21314"/>
    <cellStyle name="输入 2 10 5" xfId="21315"/>
    <cellStyle name="汇总 2 2 3 2 5 3" xfId="21316"/>
    <cellStyle name="计算 2 2 4 4 5 2 2" xfId="21317"/>
    <cellStyle name="60% - 强调文字颜色 2 4 2 2 2" xfId="21318"/>
    <cellStyle name="注释 2 2 3 5 2 2 3" xfId="21319"/>
    <cellStyle name="汇总 2 2 4 3 4" xfId="21320"/>
    <cellStyle name="40% - 强调文字颜色 3 2 3 3 2 2 2 2 2" xfId="21321"/>
    <cellStyle name="计算 2 2 4 3 2 4 3" xfId="21322"/>
    <cellStyle name="输出 2 3 2 2 2 4" xfId="21323"/>
    <cellStyle name="差 2 2 5 3 3" xfId="21324"/>
    <cellStyle name="标题 5 2 2 9" xfId="21325"/>
    <cellStyle name="20% - 强调文字颜色 5 2 4 4 3 2" xfId="21326"/>
    <cellStyle name="汇总 2 2 8 3" xfId="21327"/>
    <cellStyle name="警告文本 2 3 5 2 2" xfId="21328"/>
    <cellStyle name="40% - 强调文字颜色 5 4 3 2 2 2" xfId="21329"/>
    <cellStyle name="注释 2 2 7 2 3 3" xfId="21330"/>
    <cellStyle name="好 2 2 2 6" xfId="21331"/>
    <cellStyle name="汇总 2 2 6 2 2 2 2 2 2" xfId="21332"/>
    <cellStyle name="百分比 2 2 2 3 3" xfId="21333"/>
    <cellStyle name="警告文本 3 2" xfId="21334"/>
    <cellStyle name="标题 2 2 2 6 2 2" xfId="21335"/>
    <cellStyle name="输出 2 5 2 2 7" xfId="21336"/>
    <cellStyle name="超链接 3 4 3 2 3" xfId="21337"/>
    <cellStyle name="常规 5 2 3 4 3 2" xfId="21338"/>
    <cellStyle name="输入 2 2 4 3 3 3" xfId="21339"/>
    <cellStyle name="计算 2 3 2 7 3" xfId="21340"/>
    <cellStyle name="常规 5 3 4 3" xfId="21341"/>
    <cellStyle name="40% - 强调文字颜色 6 3 2 2 3" xfId="21342"/>
    <cellStyle name="标题 4 3 3 2 2 2 2" xfId="21343"/>
    <cellStyle name="计算 2 4 2 4 2 3" xfId="21344"/>
    <cellStyle name="60% - 强调文字颜色 2 2 2 2 4 2" xfId="21345"/>
    <cellStyle name="汇总 2 2 2 2 2 4 2" xfId="21346"/>
    <cellStyle name="20% - 强调文字颜色 4 2 2 2 2 2 2 3 2" xfId="21347"/>
    <cellStyle name="解释性文本 3 3 2" xfId="21348"/>
    <cellStyle name="60% - 强调文字颜色 3 2 6 2 2" xfId="21349"/>
    <cellStyle name="计算 2 6 3 5" xfId="21350"/>
    <cellStyle name="60% - 强调文字颜色 2 2 3 4 2 2" xfId="21351"/>
    <cellStyle name="检查单元格 3 2 2 2 2" xfId="21352"/>
    <cellStyle name="60% - 强调文字颜色 3 2 2 2 2 4 3" xfId="21353"/>
    <cellStyle name="计算 4 4 3 2 2" xfId="21354"/>
    <cellStyle name="Normal 4 2" xfId="21355"/>
    <cellStyle name="20% - 强调文字颜色 2 2 5 5 2 2" xfId="21356"/>
    <cellStyle name="输出 4 2 4 2 2" xfId="21357"/>
    <cellStyle name="警告文本 2 3 3" xfId="21358"/>
    <cellStyle name="计算 2 8 3 2 2" xfId="21359"/>
    <cellStyle name="60% - 强调文字颜色 6 2 2 2 2 4 2 2 2" xfId="21360"/>
    <cellStyle name="适中 2 2 5 2 2" xfId="21361"/>
    <cellStyle name="强调文字颜色 6 3 4 2" xfId="21362"/>
    <cellStyle name="20% - 强调文字颜色 3 2 2 2 3 3 2 2" xfId="21363"/>
    <cellStyle name="汇总 2 2 6 6 3" xfId="21364"/>
    <cellStyle name="20% - 强调文字颜色 6 3 3 4" xfId="21365"/>
    <cellStyle name="计算 3 2 2 8" xfId="21366"/>
    <cellStyle name="解释性文本 2 2 6 3 3" xfId="21367"/>
    <cellStyle name="百分比 2 2 2 3 2 2 2" xfId="21368"/>
    <cellStyle name="注释 2 2 6 2 2 2" xfId="21369"/>
    <cellStyle name="好 2 2 3 2 3" xfId="21370"/>
    <cellStyle name="20% - 强调文字颜色 1 4 2 4" xfId="21371"/>
    <cellStyle name="40% - 强调文字颜色 1 2 2 3 2 2" xfId="21372"/>
    <cellStyle name="计算 3 10 2" xfId="21373"/>
    <cellStyle name="标题 3 3 3 2 2 2" xfId="21374"/>
    <cellStyle name="计算 2 2 7 5 2 2 2" xfId="21375"/>
    <cellStyle name="注释 2 7 3 2 3" xfId="21376"/>
    <cellStyle name="20% - 强调文字颜色 4 2 2 2 3 3 2" xfId="21377"/>
    <cellStyle name="标题 2 2 2 2 3 3 3" xfId="21378"/>
    <cellStyle name="注释 2 8 4 2 2" xfId="21379"/>
    <cellStyle name="注释 2 5 2 9" xfId="21380"/>
    <cellStyle name="链接单元格 2 3 3 2 2 2" xfId="21381"/>
    <cellStyle name="好 3 2 3" xfId="21382"/>
    <cellStyle name="差 3 5 2 2" xfId="21383"/>
    <cellStyle name="输入 2 6 2 4" xfId="21384"/>
    <cellStyle name="链接单元格 2 2 2 4 3 2" xfId="21385"/>
    <cellStyle name="输入 2 2 3 3 2 2 2 2" xfId="21386"/>
    <cellStyle name="60% - 强调文字颜色 6 2 2 2 5 2 2 2" xfId="21387"/>
    <cellStyle name="汇总 2 2 4 2 3 3 2 2 2" xfId="21388"/>
    <cellStyle name="计算 2 2 2 3 2 2 2 2" xfId="21389"/>
    <cellStyle name="汇总 2 2 6 2 3" xfId="21390"/>
    <cellStyle name="20% - 强调文字颜色 3 5 2 2 2" xfId="21391"/>
    <cellStyle name="60% - 强调文字颜色 1 2 2 6 3 2 2" xfId="21392"/>
    <cellStyle name="强调文字颜色 2 2 4 4 2 2 2" xfId="21393"/>
    <cellStyle name="汇总 2 6 4 2" xfId="21394"/>
    <cellStyle name="常规 4 2 6 4" xfId="21395"/>
    <cellStyle name="40% - 强调文字颜色 2 2 3 2 4 2 2" xfId="21396"/>
    <cellStyle name="40% - 强调文字颜色 3 2 2 2 2 2 4 2 2 2" xfId="21397"/>
    <cellStyle name="汇总 2 2 3 3 2" xfId="21398"/>
    <cellStyle name="检查单元格 2 3" xfId="21399"/>
    <cellStyle name="20% - 强调文字颜色 2 2 3 4 2" xfId="21400"/>
    <cellStyle name="汇总 2 2 3 3 2 4 2" xfId="21401"/>
    <cellStyle name="标题 1 2 4 2 2 2 2" xfId="21402"/>
    <cellStyle name="强调文字颜色 4 2 2 3 2 2 2 2 2" xfId="21403"/>
    <cellStyle name="注释 2 2 3 2 3 4" xfId="21404"/>
    <cellStyle name="20% - 强调文字颜色 3 3 2 2 4" xfId="21405"/>
    <cellStyle name="常规 5 2 3 4 4 3" xfId="21406"/>
    <cellStyle name="计算 2 3 2 2 4" xfId="21407"/>
    <cellStyle name="标题 2 2 3 3 2 2" xfId="21408"/>
    <cellStyle name="计算 4 8 2" xfId="21409"/>
    <cellStyle name="链接单元格 3 4" xfId="21410"/>
    <cellStyle name="计算 2 2 4 4 2 2 3" xfId="21411"/>
    <cellStyle name="计算 4 3 4" xfId="21412"/>
    <cellStyle name="好 2" xfId="21413"/>
    <cellStyle name="20% - 强调文字颜色 1 2 3 2 5" xfId="21414"/>
    <cellStyle name="60% - 强调文字颜色 1 3 2 2 4 2" xfId="21415"/>
    <cellStyle name="输出 2 2 3 4 7" xfId="21416"/>
    <cellStyle name="标题 5 4 4 2 3" xfId="21417"/>
    <cellStyle name="注释 2 5 4 2 3 2" xfId="21418"/>
    <cellStyle name="输出 3 2 2 3 2" xfId="21419"/>
    <cellStyle name="常规 2 2 2 5 2 2 2" xfId="21420"/>
    <cellStyle name="20% - 强调文字颜色 5 4 4 2 2 2" xfId="21421"/>
    <cellStyle name="60% - 强调文字颜色 6 2 2 3 2 3" xfId="21422"/>
    <cellStyle name="输出 2 2 4 2 2 2 2" xfId="21423"/>
    <cellStyle name="40% - 强调文字颜色 4 2 2 2 4 2 2 2" xfId="21424"/>
    <cellStyle name="标题 4 2 2 4 5 3" xfId="21425"/>
    <cellStyle name="注释 2 3 2 2 3 2" xfId="21426"/>
    <cellStyle name="60% - 强调文字颜色 1 2 3 5" xfId="21427"/>
    <cellStyle name="常规 11 2 6" xfId="21428"/>
    <cellStyle name="60% - 强调文字颜色 4 2 3 6 2 2 2" xfId="21429"/>
    <cellStyle name="输入 3 2 2 5" xfId="21430"/>
    <cellStyle name="计算 2 6 2 2 3 3 2" xfId="21431"/>
    <cellStyle name="输入 2 2 6 2 4 2" xfId="21432"/>
    <cellStyle name="注释 2 2 4 2 2 2 6" xfId="21433"/>
    <cellStyle name="检查单元格 2 4 3" xfId="21434"/>
    <cellStyle name="40% - 强调文字颜色 4 2 2 2 2 2 4" xfId="21435"/>
    <cellStyle name="20% - 强调文字颜色 5 2 2 5 3 2" xfId="21436"/>
    <cellStyle name="标题 3 4 2" xfId="21437"/>
    <cellStyle name="计算 2 2 8 4" xfId="21438"/>
    <cellStyle name="汇总 2 2 4 2 2 2 4 2" xfId="21439"/>
    <cellStyle name="输出 2 3 2 2 5 3" xfId="21440"/>
    <cellStyle name="40% - 强调文字颜色 6 2" xfId="21441"/>
    <cellStyle name="差 2 3 2 3 3" xfId="21442"/>
    <cellStyle name="汇总 2 2 3 2 2 2 3 3" xfId="21443"/>
    <cellStyle name="汇总 2 5 6 2 2 2" xfId="21444"/>
    <cellStyle name="汇总 2 2 6 2 2 2 3" xfId="21445"/>
    <cellStyle name="常规 4" xfId="21446"/>
    <cellStyle name="60% - 强调文字颜色 1 2 2 3 6" xfId="21447"/>
    <cellStyle name="20% - 强调文字颜色 3 2 5" xfId="21448"/>
    <cellStyle name="标题 3 3 5 2 3" xfId="21449"/>
    <cellStyle name="20% - 强调文字颜色 2 3 2 3 2 2" xfId="21450"/>
    <cellStyle name="常规 5 2 3 2 3 2" xfId="21451"/>
    <cellStyle name="20% - 强调文字颜色 4 4 3 2 2 2" xfId="21452"/>
    <cellStyle name="注释 2 2 2 3 2 5" xfId="21453"/>
    <cellStyle name="注释 2 2 3 2 2 3 3" xfId="21454"/>
    <cellStyle name="汇总 2 5 5 5 2 2" xfId="21455"/>
    <cellStyle name="标题 1 2 2 4 3 2 2" xfId="21456"/>
    <cellStyle name="标题 4 3 10" xfId="21457"/>
    <cellStyle name="常规 11 4" xfId="21458"/>
    <cellStyle name="强调文字颜色 1 2 2 2 2 4 2 2 2" xfId="21459"/>
    <cellStyle name="标题 4 2 2 2 2 2 2 2 3" xfId="21460"/>
    <cellStyle name="汇总 2 6 3 7" xfId="21461"/>
    <cellStyle name="输入 2 5 4 4 2 2" xfId="21462"/>
    <cellStyle name="60% - 强调文字颜色 4 4 2 2 2 2 2" xfId="21463"/>
    <cellStyle name="计算 3 2 2 2 5 2" xfId="21464"/>
    <cellStyle name="标题 2 2 2 3 8" xfId="21465"/>
    <cellStyle name="输入 3 9 2" xfId="21466"/>
    <cellStyle name="计算 2 2 2 4 3 3" xfId="21467"/>
    <cellStyle name="注释 2 2 3 2 7 2" xfId="21468"/>
    <cellStyle name="检查单元格 2 4 3 3 2" xfId="21469"/>
    <cellStyle name="强调文字颜色 2 2 2 4 3 2 3" xfId="21470"/>
    <cellStyle name="常规 12 2 2 3 3 2" xfId="21471"/>
    <cellStyle name="20% - 强调文字颜色 3 3 8" xfId="21472"/>
    <cellStyle name="计算 2 2 3 3 2 7" xfId="21473"/>
    <cellStyle name="60% - 强调文字颜色 2 3 2 5" xfId="21474"/>
    <cellStyle name="注释 2 3 3 3 2 2" xfId="21475"/>
    <cellStyle name="汇总 2 2 4 2 2 5 2" xfId="21476"/>
    <cellStyle name="注释 3 3" xfId="21477"/>
    <cellStyle name="好 2 6 2 2 2" xfId="21478"/>
    <cellStyle name="检查单元格 2 2 2 2 6" xfId="21479"/>
    <cellStyle name="汇总 2 2 3 2 2 4 2 2" xfId="21480"/>
    <cellStyle name="输入 2 2 10 4" xfId="21481"/>
    <cellStyle name="汇总 2 8 6" xfId="21482"/>
    <cellStyle name="计算 2 19" xfId="21483"/>
    <cellStyle name="计算 2 2 3 2 2 3 2" xfId="21484"/>
    <cellStyle name="20% - 强调文字颜色 2 3 4 2" xfId="21485"/>
    <cellStyle name="强调文字颜色 2 2 3 2 4 2" xfId="21486"/>
    <cellStyle name="标题 6 2 2 3 2 2" xfId="21487"/>
    <cellStyle name="60% - 强调文字颜色 6 2 2 3 5" xfId="21488"/>
    <cellStyle name="汇总 2 2 4 2 4 3" xfId="21489"/>
    <cellStyle name="标题 1 6 2 3" xfId="21490"/>
    <cellStyle name="汇总 2 7 4 2 3 3" xfId="21491"/>
    <cellStyle name="好 3 2 3 2 2 2" xfId="21492"/>
    <cellStyle name="输入 2 2 2 2 5 3" xfId="21493"/>
    <cellStyle name="20% - 强调文字颜色 2 2 2 3 2 2 2 2 2" xfId="21494"/>
    <cellStyle name="常规 11 6 2 2" xfId="21495"/>
    <cellStyle name="计算 2 5 4" xfId="21496"/>
    <cellStyle name="强调文字颜色 2 2 2 3 4 2" xfId="21497"/>
    <cellStyle name="20% - 强调文字颜色 1 4 4 2" xfId="21498"/>
    <cellStyle name="输出 2 4 7 2" xfId="21499"/>
    <cellStyle name="常规 2 3 5 2" xfId="21500"/>
    <cellStyle name="汇总 2 2 6 3 4 2 2" xfId="21501"/>
    <cellStyle name="40% - 强调文字颜色 3 3 2 2 4" xfId="21502"/>
    <cellStyle name="注释 2 3 2 3 5" xfId="21503"/>
    <cellStyle name="强调文字颜色 5 2 3 2 4 3 2" xfId="21504"/>
    <cellStyle name="20% - 强调文字颜色 1 2 4 3 3" xfId="21505"/>
    <cellStyle name="40% - 强调文字颜色 3 2 5 5 2 2" xfId="21506"/>
    <cellStyle name="40% - 强调文字颜色 5 2 2 2 2 5 2 2 2" xfId="21507"/>
    <cellStyle name="链接单元格 4 2 2 2" xfId="21508"/>
    <cellStyle name="60% - 强调文字颜色 6 2 9" xfId="21509"/>
    <cellStyle name="计算 2 3 2 3 2 2 2" xfId="21510"/>
    <cellStyle name="注释 2 9 7" xfId="21511"/>
    <cellStyle name="解释性文本 2 4 2 4" xfId="21512"/>
    <cellStyle name="60% - 强调文字颜色 2 2 2 4 3 3 2" xfId="21513"/>
    <cellStyle name="标题 1 2 3 2 3 4" xfId="21514"/>
    <cellStyle name="60% - 强调文字颜色 6 2 3 7 2" xfId="21515"/>
    <cellStyle name="60% - 强调文字颜色 5 3 6" xfId="21516"/>
    <cellStyle name="输出 2 2 5 4 4" xfId="21517"/>
    <cellStyle name="20% - 强调文字颜色 5 2 2 5 3" xfId="21518"/>
    <cellStyle name="标题 3 4" xfId="21519"/>
    <cellStyle name="标题 5 2 3 4 3" xfId="21520"/>
    <cellStyle name="40% - 强调文字颜色 5 2 2 2 3 3 2" xfId="21521"/>
    <cellStyle name="标题 4 2 4 3 3 3" xfId="21522"/>
    <cellStyle name="20% - 强调文字颜色 3 3 3 3" xfId="21523"/>
    <cellStyle name="计算 2 2 3 3 2 2 3" xfId="21524"/>
    <cellStyle name="汇总 2 11 3 3" xfId="21525"/>
    <cellStyle name="标题 1 2 2 3 10" xfId="21526"/>
    <cellStyle name="适中 3 4 2" xfId="21527"/>
    <cellStyle name="警告文本 2 2 2 2 8" xfId="21528"/>
    <cellStyle name="40% - 强调文字颜色 3 2 10 2" xfId="21529"/>
    <cellStyle name="解释性文本 2 3 4 3" xfId="21530"/>
    <cellStyle name="标题 4 2 2 4 3 3 2" xfId="21531"/>
    <cellStyle name="注释 2 2 3 2 5 5" xfId="21532"/>
    <cellStyle name="40% - 强调文字颜色 1 2 2 4 3 2 2 2" xfId="21533"/>
    <cellStyle name="注释 2 4 3 2 2" xfId="21534"/>
    <cellStyle name="计算 2 3 5" xfId="21535"/>
    <cellStyle name="60% - 强调文字颜色 2 2 2 3 2 2 2 2" xfId="21536"/>
    <cellStyle name="60% - 强调文字颜色 2 2 2 4 2 2" xfId="21537"/>
    <cellStyle name="输出 3 2 2 6" xfId="21538"/>
    <cellStyle name="输入 2 6 2 2 3" xfId="21539"/>
    <cellStyle name="40% - 强调文字颜色 2 2" xfId="21540"/>
    <cellStyle name="汇总 2 2 5 6 2" xfId="21541"/>
    <cellStyle name="20% - 强调文字颜色 6 2 3 3" xfId="21542"/>
    <cellStyle name="链接单元格 2 3 2 3 3 3" xfId="21543"/>
    <cellStyle name="注释 3 2 2 3 2 2" xfId="21544"/>
    <cellStyle name="计算 2 3 2 2 4 2 2" xfId="21545"/>
    <cellStyle name="常规 3 3 2 2 2 2 2" xfId="21546"/>
    <cellStyle name="注释 2 2 2 4 4 2" xfId="21547"/>
    <cellStyle name="40% - 强调文字颜色 3 2 2 3 3 2" xfId="21548"/>
    <cellStyle name="标题 4 4 4 2 2 2" xfId="21549"/>
    <cellStyle name="强调文字颜色 5 2 4 3 3 2" xfId="21550"/>
    <cellStyle name="输入 2 2 4 2 3 2 2 3" xfId="21551"/>
    <cellStyle name="标题 1 2 2 2 5 2" xfId="21552"/>
    <cellStyle name="20% - 强调文字颜色 5 2 2 2 2 2 2 2 2 2" xfId="21553"/>
    <cellStyle name="20% - 强调文字颜色 4 3 2 2 2 2" xfId="21554"/>
    <cellStyle name="输入 2 6 2 2 3 3" xfId="21555"/>
    <cellStyle name="输入 2 2 4 2 2 2 8" xfId="21556"/>
    <cellStyle name="注释 2 6 3 5" xfId="21557"/>
    <cellStyle name="40% - 强调文字颜色 2 2 3" xfId="21558"/>
    <cellStyle name="20% - 强调文字颜色 6 5" xfId="21559"/>
    <cellStyle name="链接单元格 2 3 2 6" xfId="21560"/>
    <cellStyle name="标题 5 2 2 2 4 2" xfId="21561"/>
    <cellStyle name="常规 4 3 2 2" xfId="21562"/>
    <cellStyle name="60% - 强调文字颜色 3 3 3 3 2 2" xfId="21563"/>
    <cellStyle name="40% - 强调文字颜色 2 2 7 3 2" xfId="21564"/>
    <cellStyle name="输出 2 2 2 4 8" xfId="21565"/>
    <cellStyle name="标题 3 3 3 3 3" xfId="21566"/>
    <cellStyle name="计算 2 2 7 5 3 3" xfId="21567"/>
    <cellStyle name="Normal 4 4 2" xfId="21568"/>
    <cellStyle name="注释 2 7 2 2 2" xfId="21569"/>
    <cellStyle name="汇总 2 5 3 6 3" xfId="21570"/>
    <cellStyle name="20% - 强调文字颜色 1 2 2 2 5 2" xfId="21571"/>
    <cellStyle name="60% - 强调文字颜色 2 2 2 2 2 4" xfId="21572"/>
    <cellStyle name="计算 2 2 4 3 2 2 5" xfId="21573"/>
    <cellStyle name="20% - 强调文字颜色 6 4 4 2 2 2" xfId="21574"/>
    <cellStyle name="60% - 强调文字颜色 4 2 9" xfId="21575"/>
    <cellStyle name="强调文字颜色 1 2 2 4 4 2" xfId="21576"/>
    <cellStyle name="强调文字颜色 1 2 3 2 5 2" xfId="21577"/>
    <cellStyle name="60% - 强调文字颜色 2 2 2 2 7" xfId="21578"/>
    <cellStyle name="标题 4 4 2 2" xfId="21579"/>
    <cellStyle name="20% - 强调文字颜色 5 2 2 6 3 2 2" xfId="21580"/>
    <cellStyle name="40% - 强调文字颜色 2 2 2 3" xfId="21581"/>
    <cellStyle name="60% - 强调文字颜色 5 3 2 3 2" xfId="21582"/>
    <cellStyle name="计算 2 5 2 4 6" xfId="21583"/>
    <cellStyle name="计算 5 4 2" xfId="21584"/>
    <cellStyle name="常规 8 3 4 2 2" xfId="21585"/>
    <cellStyle name="汇总 2 6 2 6 2" xfId="21586"/>
    <cellStyle name="20% - 强调文字颜色 3 3 2 3 2 2" xfId="21587"/>
    <cellStyle name="汇总 2 5 2 5 2 2" xfId="21588"/>
    <cellStyle name="计算 2 2 6 5 2 3" xfId="21589"/>
    <cellStyle name="标题 3 2 3 2 3" xfId="21590"/>
    <cellStyle name="60% - 强调文字颜色 1 6" xfId="21591"/>
    <cellStyle name="输入 3 4 5" xfId="21592"/>
    <cellStyle name="超链接 3 3 2 4 2 2" xfId="21593"/>
    <cellStyle name="计算 2 2 5 2 6" xfId="21594"/>
    <cellStyle name="60% - 强调文字颜色 3 2 3" xfId="21595"/>
    <cellStyle name="计算 2 2 2 3 2 3" xfId="21596"/>
    <cellStyle name="强调文字颜色 4 2 6 2" xfId="21597"/>
    <cellStyle name="标题 3 2 2 2 3 4" xfId="21598"/>
    <cellStyle name="输入 2 2 5 6" xfId="21599"/>
    <cellStyle name="输出 2 6 9 2" xfId="21600"/>
    <cellStyle name="强调文字颜色 1 2 3 4 3 2" xfId="21601"/>
    <cellStyle name="60% - 强调文字颜色 3 2 2 2 2 4 3 2" xfId="21602"/>
    <cellStyle name="链接单元格 2 3 2 2 3" xfId="21603"/>
    <cellStyle name="标题 5 2 2 7" xfId="21604"/>
    <cellStyle name="60% - 强调文字颜色 4 3 5 2" xfId="21605"/>
    <cellStyle name="标题 5 8" xfId="21606"/>
    <cellStyle name="标题 5 2 4 4 2 2" xfId="21607"/>
    <cellStyle name="输入 2 4 4 8" xfId="21608"/>
    <cellStyle name="输出 2 2 4 3 4 2" xfId="21609"/>
    <cellStyle name="解释性文本 2 2 3 8" xfId="21610"/>
    <cellStyle name="汇总 2 2 6 5 2 2" xfId="21611"/>
    <cellStyle name="20% - 强调文字颜色 6 3 2 3 2" xfId="21612"/>
    <cellStyle name="60% - 强调文字颜色 1 2 2 2 6 2 2 2" xfId="21613"/>
    <cellStyle name="40% - 强调文字颜色 4 2 7" xfId="21614"/>
    <cellStyle name="40% - 强调文字颜色 5 2 2 2 3 2 2 2" xfId="21615"/>
    <cellStyle name="适中 3 2 3" xfId="21616"/>
    <cellStyle name="注释 2 12 2 2" xfId="21617"/>
    <cellStyle name="常规 4 4 2 2 3 2 2" xfId="21618"/>
    <cellStyle name="输出 5 2 2" xfId="21619"/>
    <cellStyle name="差 2 4 2 2 2" xfId="21620"/>
    <cellStyle name="汇总 2 2 4 3 2 4" xfId="21621"/>
    <cellStyle name="注释 2 6 2 4" xfId="21622"/>
    <cellStyle name="检查单元格 2 2 2 5" xfId="21623"/>
    <cellStyle name="注释 2 2 6 4 4" xfId="21624"/>
    <cellStyle name="超链接 2 2 2 4 2 2" xfId="21625"/>
    <cellStyle name="汇总 2 8 3 2 5" xfId="21626"/>
    <cellStyle name="标题 1 2 2 4 2 4" xfId="21627"/>
    <cellStyle name="常规 10 2 4 5" xfId="21628"/>
    <cellStyle name="输出 2 2 16" xfId="21629"/>
    <cellStyle name="标题 4 3 2 3 2 2" xfId="21630"/>
    <cellStyle name="输出 2 2 4 3 2" xfId="21631"/>
    <cellStyle name="常规 5 8 2" xfId="21632"/>
    <cellStyle name="汇总 2 2 5 5 3" xfId="21633"/>
    <cellStyle name="20% - 强调文字颜色 6 2 2 4" xfId="21634"/>
    <cellStyle name="计算 2 8 2 2 3" xfId="21635"/>
    <cellStyle name="适中 2 2 4 2 3" xfId="21636"/>
    <cellStyle name="强调文字颜色 6 2 4 3" xfId="21637"/>
    <cellStyle name="汇总 2 2 5 2 3 4 2" xfId="21638"/>
    <cellStyle name="标题 3 3 2 4 2 2 2" xfId="21639"/>
    <cellStyle name="计算 2 5 2 5 3" xfId="21640"/>
    <cellStyle name="常规 4 3 3 2 4" xfId="21641"/>
    <cellStyle name="输入 2 6 13" xfId="21642"/>
    <cellStyle name="汇总 2 2 4 2 4 2" xfId="21643"/>
    <cellStyle name="标题 1 6 2 2" xfId="21644"/>
    <cellStyle name="20% - 强调文字颜色 5 2 2 3 5 2 2" xfId="21645"/>
    <cellStyle name="60% - 强调文字颜色 6 2 2 3 4" xfId="21646"/>
    <cellStyle name="计算 2 2 11 2" xfId="21647"/>
    <cellStyle name="输出 4 7 2 2" xfId="21648"/>
    <cellStyle name="标题 5 2 4" xfId="21649"/>
    <cellStyle name="强调文字颜色 4 2 6 3 2" xfId="21650"/>
    <cellStyle name="输入 2 2 5 7 2" xfId="21651"/>
    <cellStyle name="适中 2 7 3 2" xfId="21652"/>
    <cellStyle name="60% - 强调文字颜色 1 3 3 4" xfId="21653"/>
    <cellStyle name="汇总 2 6 3 5 2 2" xfId="21654"/>
    <cellStyle name="标题 4 3 3 2 3" xfId="21655"/>
    <cellStyle name="汇总 5 5" xfId="21656"/>
    <cellStyle name="汇总 2 9 2 5" xfId="21657"/>
    <cellStyle name="20% - 强调文字颜色 6 2 3 5 2 2 2" xfId="21658"/>
    <cellStyle name="20% - 强调文字颜色 3 2 3 2 2 2 2 2 2 2" xfId="21659"/>
    <cellStyle name="常规 9 4 3 2 3" xfId="21660"/>
    <cellStyle name="标题 1 3 2 4 3" xfId="21661"/>
    <cellStyle name="标题 3 2 2 4 3 4" xfId="21662"/>
    <cellStyle name="常规 5 2 3 4 3" xfId="21663"/>
    <cellStyle name="输入 2 2 5 2 7" xfId="21664"/>
    <cellStyle name="40% - 强调文字颜色 5 4 5" xfId="21665"/>
    <cellStyle name="40% - 强调文字颜色 3 2 3 2 2 5" xfId="21666"/>
    <cellStyle name="输入 2 4 2 2 3 3" xfId="21667"/>
    <cellStyle name="检查单元格 2 2 2 2 4" xfId="21668"/>
    <cellStyle name="40% - 强调文字颜色 5 2 5 4 2" xfId="21669"/>
    <cellStyle name="汇总 2 8 4" xfId="21670"/>
    <cellStyle name="强调文字颜色 6 2 3 6" xfId="21671"/>
    <cellStyle name="百分比 2 2 2" xfId="21672"/>
    <cellStyle name="常规 2 2 4" xfId="21673"/>
    <cellStyle name="输出 2 3 6" xfId="21674"/>
    <cellStyle name="40% - 强调文字颜色 4 2 3 2 4 2" xfId="21675"/>
    <cellStyle name="注释 2 3 5 2" xfId="21676"/>
    <cellStyle name="超链接 2 3 2 2 2 3" xfId="21677"/>
    <cellStyle name="输入 2 6 3 3 2" xfId="21678"/>
    <cellStyle name="注释 2 6 2 2 3 3" xfId="21679"/>
    <cellStyle name="超链接 3 2 2 3 2" xfId="21680"/>
    <cellStyle name="40% - 强调文字颜色 4 2 3 2 2 5 2" xfId="21681"/>
    <cellStyle name="标题 4 3 2 3" xfId="21682"/>
    <cellStyle name="40% - 强调文字颜色 4 2 3 2" xfId="21683"/>
    <cellStyle name="适中 2 2 2 3 2 2 2" xfId="21684"/>
    <cellStyle name="计算 4 3 3 2" xfId="21685"/>
    <cellStyle name="计算 2 2 4 4 2 2 2 2" xfId="21686"/>
    <cellStyle name="20% - 强调文字颜色 3 2 6 3 2" xfId="21687"/>
    <cellStyle name="计算 2 5 3 4 2" xfId="21688"/>
    <cellStyle name="注释 2 4 2 5 2 2" xfId="21689"/>
    <cellStyle name="常规 5 2 3 6 2" xfId="21690"/>
    <cellStyle name="输入 2 2 9 3" xfId="21691"/>
    <cellStyle name="好 2 2 4 2 2 3" xfId="21692"/>
    <cellStyle name="强调文字颜色 3 2 2 9" xfId="21693"/>
    <cellStyle name="60% - 强调文字颜色 5 3 3 3 2" xfId="21694"/>
    <cellStyle name="适中 2 7 2 2 2" xfId="21695"/>
    <cellStyle name="60% - 强调文字颜色 1 3 2 4 2" xfId="21696"/>
    <cellStyle name="汇总 2 2 8 2 2 3 3" xfId="21697"/>
    <cellStyle name="60% - 强调文字颜色 5 2 2 2 3 4" xfId="21698"/>
    <cellStyle name="标题 4 2 2 2 2 2 4" xfId="21699"/>
    <cellStyle name="常规 5 8 2 2" xfId="21700"/>
    <cellStyle name="40% - 强调文字颜色 2 3 2 3" xfId="21701"/>
    <cellStyle name="解释性文本 2" xfId="21702"/>
    <cellStyle name="60% - 强调文字颜色 2 2 2 2 3 5" xfId="21703"/>
    <cellStyle name="40% - 强调文字颜色 4 2 2 2 4" xfId="21704"/>
    <cellStyle name="40% - 强调文字颜色 5 2 5 2 2 2" xfId="21705"/>
    <cellStyle name="计算 2 10 2 7" xfId="21706"/>
    <cellStyle name="标题 1 2 2 2 3 2 2 2 2" xfId="21707"/>
    <cellStyle name="输出 2 2 3 2 2 2 3 2 2" xfId="21708"/>
    <cellStyle name="常规 4 2 3 2 2 4" xfId="21709"/>
    <cellStyle name="强调文字颜色 2 2 2 2 4" xfId="21710"/>
    <cellStyle name="计算 2 4 12" xfId="21711"/>
    <cellStyle name="20% - 强调文字颜色 1 3 4" xfId="21712"/>
    <cellStyle name="强调文字颜色 5 2 4 3 2 2 2" xfId="21713"/>
    <cellStyle name="60% - 强调文字颜色 4 2 2 5 3 2 2" xfId="21714"/>
    <cellStyle name="计算 2 2 12 3" xfId="21715"/>
    <cellStyle name="60% - 强调文字颜色 6 2 3 3 2 2 2 2 2" xfId="21716"/>
    <cellStyle name="适中 3 3" xfId="21717"/>
    <cellStyle name="标题 1 2 4 2 2" xfId="21718"/>
    <cellStyle name="强调文字颜色 4 2 2 3 2 2 2" xfId="21719"/>
    <cellStyle name="适中 2 3 3 2 2 2" xfId="21720"/>
    <cellStyle name="汇总 2 2 10 2 2 2" xfId="21721"/>
    <cellStyle name="标题 2 2 2 2 3 6" xfId="21722"/>
    <cellStyle name="60% - 强调文字颜色 1 2 3 2 4 2 2" xfId="21723"/>
    <cellStyle name="标题 8 2 2 3" xfId="21724"/>
    <cellStyle name="汇总 2 2 7 3 6" xfId="21725"/>
    <cellStyle name="60% - 强调文字颜色 5 2 2 2 2 2 2 2 2" xfId="21726"/>
    <cellStyle name="输入 2 4 3 3 2 2" xfId="21727"/>
    <cellStyle name="汇总 2 3 2 5 2" xfId="21728"/>
    <cellStyle name="20% - 强调文字颜色 6 2 2 2 2 3 2 2" xfId="21729"/>
    <cellStyle name="说明文本 3" xfId="21730"/>
    <cellStyle name="输入 2 3 3 8" xfId="21731"/>
    <cellStyle name="20% - 强调文字颜色 2 2 2 2 2 5 2 2" xfId="21732"/>
    <cellStyle name="60% - 强调文字颜色 1 4 5 2" xfId="21733"/>
    <cellStyle name="注释 2 5 8" xfId="21734"/>
    <cellStyle name="输入 2 6 2 5" xfId="21735"/>
    <cellStyle name="差 3 5 2 3" xfId="21736"/>
    <cellStyle name="标题 3 2 4 3 3 2" xfId="21737"/>
    <cellStyle name="汇总 2 5 2 6 3 2 2" xfId="21738"/>
    <cellStyle name="输出 2 4 4 6 2" xfId="21739"/>
    <cellStyle name="强调文字颜色 5 2 2 2 5 2 3" xfId="21740"/>
    <cellStyle name="输入 2 5 2 9 2 2" xfId="21741"/>
    <cellStyle name="汇总 2 2 7 3 2 3 2" xfId="21742"/>
    <cellStyle name="输出 2 6 2 2 4 2" xfId="21743"/>
    <cellStyle name="20% - 强调文字颜色 5 4 3 2 2 2" xfId="21744"/>
    <cellStyle name="20% - 强调文字颜色 6 3 3 3 2 2 2" xfId="21745"/>
    <cellStyle name="汇总 2 8 5 2 2 2" xfId="21746"/>
    <cellStyle name="汇总 2 2 4 2 5 6" xfId="21747"/>
    <cellStyle name="40% - 强调文字颜色 4 3 3 3 2" xfId="21748"/>
    <cellStyle name="常规 5 2 3 2 5 2 2" xfId="21749"/>
    <cellStyle name="汇总 2 4 2 4" xfId="21750"/>
    <cellStyle name="40% - 强调文字颜色 1 3 2 3 2 2 2" xfId="21751"/>
    <cellStyle name="警告文本 2 4 2 2 2" xfId="21752"/>
    <cellStyle name="20% - 强调文字颜色 1 2 2 2 6 2" xfId="21753"/>
    <cellStyle name="强调文字颜色 3 2 2 3 5 2" xfId="21754"/>
    <cellStyle name="20% - 强调文字颜色 5 2 2 2 2 2 3 2 2 2" xfId="21755"/>
    <cellStyle name="常规 5 2 3 3 4" xfId="21756"/>
    <cellStyle name="60% - 强调文字颜色 4 3 2 4" xfId="21757"/>
    <cellStyle name="汇总 2 5 2 3 5 3" xfId="21758"/>
    <cellStyle name="差 2 4 6" xfId="21759"/>
    <cellStyle name="标题 3 2 3 2 4 2 3" xfId="21760"/>
    <cellStyle name="汇总 2 2 8 3 2 3 3" xfId="21761"/>
    <cellStyle name="标题 4 2 2 4 2 2 3" xfId="21762"/>
    <cellStyle name="解释性文本 2 2 3 4" xfId="21763"/>
    <cellStyle name="40% - 强调文字颜色 4 3 2 2" xfId="21764"/>
    <cellStyle name="注释 3 5" xfId="21765"/>
    <cellStyle name="解释性文本 2 2 2 4 3 2" xfId="21766"/>
    <cellStyle name="计算 2 4 3 6 2" xfId="21767"/>
    <cellStyle name="60% - 强调文字颜色 1 2 2 2 3 6" xfId="21768"/>
    <cellStyle name="60% - 强调文字颜色 2 2 3 2 2 3 2" xfId="21769"/>
    <cellStyle name="输出 2 2 7 7 2" xfId="21770"/>
    <cellStyle name="标题 3 2 2 2 3 2 2 2" xfId="21771"/>
    <cellStyle name="输入 2 2 5 4 2 2" xfId="21772"/>
    <cellStyle name="40% - 强调文字颜色 2 4 5" xfId="21773"/>
    <cellStyle name="汇总 2 7 4 2 5" xfId="21774"/>
    <cellStyle name="输入 2 2 2 2 7" xfId="21775"/>
    <cellStyle name="60% - 强调文字颜色 5 3 3 4 2" xfId="21776"/>
    <cellStyle name="标题 4 2 2 2 2 3 4" xfId="21777"/>
    <cellStyle name="40% - 强调文字颜色 2 3 3 3" xfId="21778"/>
    <cellStyle name="20% - 强调文字颜色 5 2 3 3 2 2 2 2 2" xfId="21779"/>
    <cellStyle name="20% - 强调文字颜色 1 2 3 2 4 3 2" xfId="21780"/>
    <cellStyle name="40% - 强调文字颜色 1 4 4 2 2 2" xfId="21781"/>
    <cellStyle name="汇总 2 5 2 3" xfId="21782"/>
    <cellStyle name="标题 7 3 2 3" xfId="21783"/>
    <cellStyle name="40% - 强调文字颜色 2 3 2 2 4 2" xfId="21784"/>
    <cellStyle name="解释性文本 3 12" xfId="21785"/>
    <cellStyle name="汇总 2 2 2 2 2 6 2 2" xfId="21786"/>
    <cellStyle name="40% - 强调文字颜色 3 2 6" xfId="21787"/>
    <cellStyle name="输入 2 6 2 6 2" xfId="21788"/>
    <cellStyle name="适中 2 2 2 2 2 5" xfId="21789"/>
    <cellStyle name="强调文字颜色 3 2 2 2 2 4 4" xfId="21790"/>
    <cellStyle name="适中 3 5 2" xfId="21791"/>
    <cellStyle name="标题 6 2 2 4" xfId="21792"/>
    <cellStyle name="40% - 强调文字颜色 1 2 3 6 2" xfId="21793"/>
    <cellStyle name="汇总 2 6 4 2 3 2" xfId="21794"/>
    <cellStyle name="60% - 强调文字颜色 5 2 2 4 5 2" xfId="21795"/>
    <cellStyle name="计算 2 2 2 2 4 4" xfId="21796"/>
    <cellStyle name="好 2 3 5 2 3" xfId="21797"/>
    <cellStyle name="汇总 2 5 5 2 4 2 2" xfId="21798"/>
    <cellStyle name="计算 2 2 4 4 7" xfId="21799"/>
    <cellStyle name="警告文本 2 4 6 2 2" xfId="21800"/>
    <cellStyle name="60% - 强调文字颜色 2 4 4" xfId="21801"/>
    <cellStyle name="常规 8 4 3 2 2" xfId="21802"/>
    <cellStyle name="注释 2 2 8 2" xfId="21803"/>
    <cellStyle name="60% - 强调文字颜色 1 4 2 2 2" xfId="21804"/>
    <cellStyle name="计算 2 2 3 4 5 2 2" xfId="21805"/>
    <cellStyle name="标题 2 3 2 2 4 2" xfId="21806"/>
    <cellStyle name="汇总 2 2 6 2 3 5" xfId="21807"/>
    <cellStyle name="注释 2 5 3 4 2" xfId="21808"/>
    <cellStyle name="注释 2 2 7 7" xfId="21809"/>
    <cellStyle name="40% - 强调文字颜色 5 2 2 6 2" xfId="21810"/>
    <cellStyle name="输出 2 6 2 8" xfId="21811"/>
    <cellStyle name="强调文字颜色 6 2 2 2" xfId="21812"/>
    <cellStyle name="强调文字颜色 2 2 4 5 2 2" xfId="21813"/>
    <cellStyle name="计算 2 2 6 10 3" xfId="21814"/>
    <cellStyle name="20% - 强调文字颜色 3 6 2 2" xfId="21815"/>
    <cellStyle name="60% - 强调文字颜色 6 2 5 2 3" xfId="21816"/>
    <cellStyle name="标题 1 2 2 6 3 2 2" xfId="21817"/>
    <cellStyle name="百分比 2 3 4 2 2" xfId="21818"/>
    <cellStyle name="汇总 2 7 3 4 2" xfId="21819"/>
    <cellStyle name="计算 2 2 7 3 3" xfId="21820"/>
    <cellStyle name="40% - 强调文字颜色 1 6 2" xfId="21821"/>
    <cellStyle name="常规 4 2 5 3 2" xfId="21822"/>
    <cellStyle name="20% - 强调文字颜色 3 2 2 2 2 3 2 2 2 2" xfId="21823"/>
    <cellStyle name="计算 2 4 2 2 5 2" xfId="21824"/>
    <cellStyle name="汇总 2 3 6 3" xfId="21825"/>
    <cellStyle name="常规 9 3 4" xfId="21826"/>
    <cellStyle name="60% - 强调文字颜色 1 2 6 2" xfId="21827"/>
    <cellStyle name="计算 2 2 3 2 9 2" xfId="21828"/>
    <cellStyle name="汇总 2 10 3 2 3" xfId="21829"/>
    <cellStyle name="60% - 强调文字颜色 1 2 3 3 2 2 2 2 2" xfId="21830"/>
    <cellStyle name="计算 2 5 2 3 2 4 2" xfId="21831"/>
    <cellStyle name="常规 10 2" xfId="21832"/>
    <cellStyle name="常规 6 2 4 3" xfId="21833"/>
    <cellStyle name="40% - 强调文字颜色 4 2 5 2" xfId="21834"/>
    <cellStyle name="汇总 2 3 4 2 3 2" xfId="21835"/>
    <cellStyle name="差 2 2 6 3 2 2" xfId="21836"/>
    <cellStyle name="汇总 2 2 5 3 3 2" xfId="21837"/>
    <cellStyle name="40% - 强调文字颜色 6 2 3 2 2 2 2" xfId="21838"/>
    <cellStyle name="强调文字颜色 5 2 7 3" xfId="21839"/>
    <cellStyle name="40% - 强调文字颜色 4 2 2 2 4 3" xfId="21840"/>
    <cellStyle name="汇总 4 3 3 2 2" xfId="21841"/>
    <cellStyle name="常规 6 3 2 3 3 2" xfId="21842"/>
    <cellStyle name="超链接 2 6 2 3" xfId="21843"/>
    <cellStyle name="常规 12 3 2 5" xfId="21844"/>
    <cellStyle name="汇总 2 2 6 2 6 2" xfId="21845"/>
    <cellStyle name="40% - 强调文字颜色 3 2 3 2 2 3" xfId="21846"/>
    <cellStyle name="注释 2 2 3 3 3 3" xfId="21847"/>
    <cellStyle name="汇总 2 2 3 2 2 6 3" xfId="21848"/>
    <cellStyle name="20% - 强调文字颜色 3 2 2 4 3 2 2 2" xfId="21849"/>
    <cellStyle name="计算 2 4 7 2 2" xfId="21850"/>
    <cellStyle name="20% - 强调文字颜色 5 2 2 2 3 3 2" xfId="21851"/>
    <cellStyle name="常规 2 4 4 2 2 2" xfId="21852"/>
    <cellStyle name="好 2 3 2 3 2 2" xfId="21853"/>
    <cellStyle name="40% - 强调文字颜色 6 2 3 3 2 2 2" xfId="21854"/>
    <cellStyle name="常规 10 3 2 2 3 2 2" xfId="21855"/>
    <cellStyle name="适中 2 2 4 5 3" xfId="21856"/>
    <cellStyle name="强调文字颜色 6 2 7 3" xfId="21857"/>
    <cellStyle name="汇总 2 2 6 7 2 2" xfId="21858"/>
    <cellStyle name="40% - 强调文字颜色 4 2 3 2 4 3" xfId="21859"/>
    <cellStyle name="汇总 4 4 3 2 2" xfId="21860"/>
    <cellStyle name="输出 2 2 6 2 2 2 2" xfId="21861"/>
    <cellStyle name="60% - 强调文字颜色 6 4 2 3 2 3" xfId="21862"/>
    <cellStyle name="解释性文本 2 2 4 2 2 2" xfId="21863"/>
    <cellStyle name="输入 2 4 2 9" xfId="21864"/>
    <cellStyle name="输入 2 2 12 2" xfId="21865"/>
    <cellStyle name="20% - 强调文字颜色 5 3 9" xfId="21866"/>
    <cellStyle name="常规 5 2 5" xfId="21867"/>
    <cellStyle name="60% - 强调文字颜色 3 3 10" xfId="21868"/>
    <cellStyle name="汇总 2 2 3 2 3" xfId="21869"/>
    <cellStyle name="适中 2 3 2 3" xfId="21870"/>
    <cellStyle name="40% - 强调文字颜色 4 3 4" xfId="21871"/>
    <cellStyle name="输入 2 3 2 3 6" xfId="21872"/>
    <cellStyle name="强调文字颜色 2 5" xfId="21873"/>
    <cellStyle name="常规 8 2 3 2" xfId="21874"/>
    <cellStyle name="60% - 强调文字颜色 6 2 2 5 2 2 3" xfId="21875"/>
    <cellStyle name="输出 2 2 3 8 2" xfId="21876"/>
    <cellStyle name="汇总 2 2 5 8 3" xfId="21877"/>
    <cellStyle name="20% - 强调文字颜色 6 2 5 4" xfId="21878"/>
    <cellStyle name="Normal 4 2 3 2" xfId="21879"/>
    <cellStyle name="检查单元格 2 2 3 7" xfId="21880"/>
    <cellStyle name="20% - 强调文字颜色 6 2 2 3 5 2 2" xfId="21881"/>
    <cellStyle name="40% - 强调文字颜色 6 4 3" xfId="21882"/>
    <cellStyle name="输入 2 2 6 2 5" xfId="21883"/>
    <cellStyle name="标题 5 4 3 4" xfId="21884"/>
    <cellStyle name="计算 2 6 2 2 3 2 2 2" xfId="21885"/>
    <cellStyle name="汇总 2 4 2 3 8" xfId="21886"/>
    <cellStyle name="汇总 2 5 2 2 3 2 3" xfId="21887"/>
    <cellStyle name="40% - 强调文字颜色 1 2 3 4 3" xfId="21888"/>
    <cellStyle name="输出 2 4 10" xfId="21889"/>
    <cellStyle name="计算 2 2 4 3 3 2 2 2" xfId="21890"/>
    <cellStyle name="输入 2 2 2 2 2 3 3" xfId="21891"/>
    <cellStyle name="计算 2 4 4 2 3 2" xfId="21892"/>
    <cellStyle name="强调文字颜色 6 2" xfId="21893"/>
    <cellStyle name="输入 2 2 4 2 8 2" xfId="21894"/>
    <cellStyle name="好 2 2 2 4 2" xfId="21895"/>
    <cellStyle name="计算 2 9 2 8" xfId="21896"/>
    <cellStyle name="强调文字颜色 3 2 2 3 3 3" xfId="21897"/>
    <cellStyle name="标题 2 4 2 2 2 3" xfId="21898"/>
    <cellStyle name="20% - 强调文字颜色 4 2 2 5 3 2" xfId="21899"/>
    <cellStyle name="解释性文本 2 2 2 4 3" xfId="21900"/>
    <cellStyle name="20% - 强调文字颜色 6 2 3 2 2" xfId="21901"/>
    <cellStyle name="链接单元格 2 3 2 3 3 2 2" xfId="21902"/>
    <cellStyle name="常规 6 3 2 2 3 2 2 2" xfId="21903"/>
    <cellStyle name="40% - 强调文字颜色 6 2 3 2 2 4 2 2" xfId="21904"/>
    <cellStyle name="解释性文本 2 2 2 5 3" xfId="21905"/>
    <cellStyle name="注释 2 7 2 2 2 2" xfId="21906"/>
    <cellStyle name="40% - 强调文字颜色 3 2 7 2 2" xfId="21907"/>
    <cellStyle name="注释 2 2 7 3 3" xfId="21908"/>
    <cellStyle name="40% - 强调文字颜色 6 2 3 2 2 3 2 2" xfId="21909"/>
    <cellStyle name="20% - 强调文字颜色 5 4 2" xfId="21910"/>
    <cellStyle name="强调文字颜色 2 2 6 3 2" xfId="21911"/>
    <cellStyle name="汇总 2 5 2 2 2 2 5 2" xfId="21912"/>
    <cellStyle name="计算 3 2 5 3" xfId="21913"/>
    <cellStyle name="20% - 强调文字颜色 4 2 2 3 5" xfId="21914"/>
    <cellStyle name="计算 2 6 3 7 2" xfId="21915"/>
    <cellStyle name="常规 5 2 3 9" xfId="21916"/>
    <cellStyle name="60% - 强调文字颜色 4 3 8" xfId="21917"/>
    <cellStyle name="60% - 强调文字颜色 2 3 2 2 2 2 2" xfId="21918"/>
    <cellStyle name="输入 2 5 4 5 3" xfId="21919"/>
    <cellStyle name="标题 3 2 2 2 7 2" xfId="21920"/>
    <cellStyle name="输入 2 2 9 4" xfId="21921"/>
    <cellStyle name="标题 4 2 2 6 3 3" xfId="21922"/>
    <cellStyle name="20% - 强调文字颜色 6 2 8" xfId="21923"/>
    <cellStyle name="好 4 2 3 3" xfId="21924"/>
    <cellStyle name="常规 16 2 2 2" xfId="21925"/>
    <cellStyle name="标题 8 2" xfId="21926"/>
    <cellStyle name="输出 2 2 12 2 2" xfId="21927"/>
    <cellStyle name="输入 2 2 8 4" xfId="21928"/>
    <cellStyle name="标题 3 2 2 2 6 2" xfId="21929"/>
    <cellStyle name="20% - 强调文字颜色 5 3 2 2 4 2" xfId="21930"/>
    <cellStyle name="好 2 2 2 2 3 3" xfId="21931"/>
    <cellStyle name="输出 2 2 2 2 2 2 2" xfId="21932"/>
    <cellStyle name="常规 7 2 3 3 2 2" xfId="21933"/>
    <cellStyle name="强调文字颜色 3 3 2 2" xfId="21934"/>
    <cellStyle name="20% - 强调文字颜色 2 2 3 2 2 3 3" xfId="21935"/>
    <cellStyle name="检查单元格 3 2 4" xfId="21936"/>
    <cellStyle name="强调文字颜色 1 2 2 7 2" xfId="21937"/>
    <cellStyle name="汇总 2 2 6 2 8" xfId="21938"/>
    <cellStyle name="强调文字颜色 6 2 2 2 2 2 5" xfId="21939"/>
    <cellStyle name="20% - 强调文字颜色 2 2 2 2 2 5 2" xfId="21940"/>
    <cellStyle name="输出 2 2 3 2 4 2 3" xfId="21941"/>
    <cellStyle name="标题 4 2 2 2 2 6" xfId="21942"/>
    <cellStyle name="20% - 强调文字颜色 2 2 3 2 2 4 3 2" xfId="21943"/>
    <cellStyle name="标题 6 2 4 2 2 2" xfId="21944"/>
    <cellStyle name="20% - 强调文字颜色 4 2 3 5 2" xfId="21945"/>
    <cellStyle name="注释 2 5 2 2 4 2" xfId="21946"/>
    <cellStyle name="60% - 强调文字颜色 2 6 2 2 2" xfId="21947"/>
    <cellStyle name="常规 5 2 7 2" xfId="21948"/>
    <cellStyle name="注释 2 4 2 2 2 4" xfId="21949"/>
    <cellStyle name="汇总 2 2 9 4 3" xfId="21950"/>
    <cellStyle name="20% - 强调文字颜色 6 2 2 2 4 2" xfId="21951"/>
    <cellStyle name="20% - 强调文字颜色 5 4 4 2" xfId="21952"/>
    <cellStyle name="60% - 强调文字颜色 3 2 2 2 2 3 3 2" xfId="21953"/>
    <cellStyle name="适中 2 3 2 2 4" xfId="21954"/>
    <cellStyle name="20% - 强调文字颜色 2 2 2 2 5 2 2 2" xfId="21955"/>
    <cellStyle name="常规 9 2 5 2" xfId="21956"/>
    <cellStyle name="60% - 强调文字颜色 1 3 4 2 2" xfId="21957"/>
    <cellStyle name="40% - 强调文字颜色 1 2 3 2 3 3" xfId="21958"/>
    <cellStyle name="60% - 强调文字颜色 4 2 4 3 3 2" xfId="21959"/>
    <cellStyle name="标题 3 2 3 2 3 3 2 2" xfId="21960"/>
    <cellStyle name="标题 1 2 2 2 2 3 2 2" xfId="21961"/>
    <cellStyle name="汇总 2 2 3 4 4 2" xfId="21962"/>
    <cellStyle name="20% - 强调文字颜色 5 2 2 2 2 2 4 3" xfId="21963"/>
    <cellStyle name="标题 2 2 3 2 6 3" xfId="21964"/>
    <cellStyle name="计算 2 5 3 3 4" xfId="21965"/>
    <cellStyle name="60% - 强调文字颜色 1 3 2 4 2 2 2" xfId="21966"/>
    <cellStyle name="标题 2 2 2 3 2 2" xfId="21967"/>
    <cellStyle name="常规 13 3 2 4 3" xfId="21968"/>
    <cellStyle name="汇总 2 2 3 2 11" xfId="21969"/>
    <cellStyle name="注释 2 4 2 12" xfId="21970"/>
    <cellStyle name="60% - 强调文字颜色 1 2 3 3 2 2" xfId="21971"/>
    <cellStyle name="标题 2 2 3 4 2" xfId="21972"/>
    <cellStyle name="输出 2 2 3 3 2" xfId="21973"/>
    <cellStyle name="常规 7 3 4 3" xfId="21974"/>
    <cellStyle name="常规 4 8 2" xfId="21975"/>
    <cellStyle name="标题 1 2 3 3 3" xfId="21976"/>
    <cellStyle name="输入 2 3 3 2 6" xfId="21977"/>
    <cellStyle name="常规 12 2 5 2" xfId="21978"/>
    <cellStyle name="常规 3 2 3 4" xfId="21979"/>
    <cellStyle name="60% - 强调文字颜色 6 2 9 2" xfId="21980"/>
    <cellStyle name="20% - 强调文字颜色 5 2 2 2 2 3 3 2" xfId="21981"/>
    <cellStyle name="注释 2 4 11" xfId="21982"/>
    <cellStyle name="适中 2 2 2 2 2 3 2" xfId="21983"/>
    <cellStyle name="40% - 强调文字颜色 3 2 4 2" xfId="21984"/>
    <cellStyle name="汇总 2 6 2 6 2 2" xfId="21985"/>
    <cellStyle name="标题 4 2 4 2 3" xfId="21986"/>
    <cellStyle name="20% - 强调文字颜色 3 3 2 3 2 2 2" xfId="21987"/>
    <cellStyle name="计算 2 2 3 3 5 2 2" xfId="21988"/>
    <cellStyle name="60% - 强调文字颜色 1 3 2 2 2" xfId="21989"/>
    <cellStyle name="常规 13 2 2 3" xfId="21990"/>
    <cellStyle name="常规 2 2 2 2 3 2 2" xfId="21991"/>
    <cellStyle name="适中 2 4 4 3" xfId="21992"/>
    <cellStyle name="标题 4 2 2 3 2 2 3" xfId="21993"/>
    <cellStyle name="40% - 强调文字颜色 5 2 2 4 2 2 2 2" xfId="21994"/>
    <cellStyle name="20% - 强调文字颜色 1 2 5 2 3 2" xfId="21995"/>
    <cellStyle name="40% - 强调文字颜色 5 2 5 3 2" xfId="21996"/>
    <cellStyle name="汇总 2 2 9 3 3 3" xfId="21997"/>
    <cellStyle name="注释 2 5 4 7" xfId="21998"/>
    <cellStyle name="注释 2 2 2 4 2 2 2" xfId="21999"/>
    <cellStyle name="20% - 强调文字颜色 4 4 2 2 2 2 2" xfId="22000"/>
    <cellStyle name="汇总 2 2 4 2 5 4 2" xfId="22001"/>
    <cellStyle name="输入 2 3 2 3 5" xfId="22002"/>
    <cellStyle name="强调文字颜色 2 4" xfId="22003"/>
    <cellStyle name="汇总 2 8 4 3 3" xfId="22004"/>
    <cellStyle name="40% - 强调文字颜色 3 2 4 6" xfId="22005"/>
    <cellStyle name="百分比 2 2 4 2" xfId="22006"/>
    <cellStyle name="标题 1 2 2 5 3 2" xfId="22007"/>
    <cellStyle name="40% - 强调文字颜色 6 2 7 3 2" xfId="22008"/>
    <cellStyle name="20% - 强调文字颜色 1 2 5 3 2 2" xfId="22009"/>
    <cellStyle name="60% - 强调文字颜色 1 2 2 2 3" xfId="22010"/>
    <cellStyle name="常规 5 2 2 4 5" xfId="22011"/>
    <cellStyle name="计算 2 2 4 3 2 2 3 2" xfId="22012"/>
    <cellStyle name="常规 5 2 4 3" xfId="22013"/>
    <cellStyle name="60% - 强调文字颜色 1 2 9" xfId="22014"/>
    <cellStyle name="警告文本 2 2 4 4 3" xfId="22015"/>
    <cellStyle name="60% - 强调文字颜色 1 2 7 2 2" xfId="22016"/>
    <cellStyle name="计算 2 5 3 2 6 2" xfId="22017"/>
    <cellStyle name="好 2 4 3 2" xfId="22018"/>
    <cellStyle name="60% - 强调文字颜色 1 2 6" xfId="22019"/>
    <cellStyle name="计算 2 2 3 2 9" xfId="22020"/>
    <cellStyle name="汇总 2 5 2" xfId="22021"/>
    <cellStyle name="计算 2 2 4 2 15" xfId="22022"/>
    <cellStyle name="20% - 强调文字颜色 6 2 2 4 5 2" xfId="22023"/>
    <cellStyle name="强调文字颜色 2 2 4 2 2 2 3" xfId="22024"/>
    <cellStyle name="20% - 强调文字颜色 3 3 2 2 3" xfId="22025"/>
    <cellStyle name="计算 2 6 4 6" xfId="22026"/>
    <cellStyle name="输入 2 2 7 5 2" xfId="22027"/>
    <cellStyle name="常规 5 2 3 4 4 2" xfId="22028"/>
    <cellStyle name="计算 2 3 2 2 3" xfId="22029"/>
    <cellStyle name="输入 2 2 4 3 4 3" xfId="22030"/>
    <cellStyle name="注释 3 2 3 4" xfId="22031"/>
    <cellStyle name="常规 6 2 2 4 2 2" xfId="22032"/>
    <cellStyle name="计算 2 3 2 2 2 7" xfId="22033"/>
    <cellStyle name="60% - 强调文字颜色 6 2 2 4 2 2 2 2" xfId="22034"/>
    <cellStyle name="20% - 强调文字颜色 1 2 2 4 5 2 2" xfId="22035"/>
    <cellStyle name="强调文字颜色 3 2 4 4 2 2 2" xfId="22036"/>
    <cellStyle name="60% - 强调文字颜色 2 2 2 6 3 2 2" xfId="22037"/>
    <cellStyle name="20% - 强调文字颜色 3 2 9" xfId="22038"/>
    <cellStyle name="适中 2 2 3 6 3" xfId="22039"/>
    <cellStyle name="强调文字颜色 6 2 2 4 2 2" xfId="22040"/>
    <cellStyle name="计算 2 6 4 5 2" xfId="22041"/>
    <cellStyle name="60% - 强调文字颜色 2 2 3 4 3 2 2" xfId="22042"/>
    <cellStyle name="60% - 强调文字颜色 3 2 6 3 2 2" xfId="22043"/>
    <cellStyle name="链接单元格 2 4 3 4" xfId="22044"/>
    <cellStyle name="强调文字颜色 5 2 2 3 3" xfId="22045"/>
    <cellStyle name="20% - 强调文字颜色 4 2 2 4 5 2 2" xfId="22046"/>
    <cellStyle name="常规 6 2 3 5 2" xfId="22047"/>
    <cellStyle name="汇总 2 5 2 14" xfId="22048"/>
    <cellStyle name="输入 2 5 3 2 2 4" xfId="22049"/>
    <cellStyle name="好 2 2 2 2 4 3 2" xfId="22050"/>
    <cellStyle name="计算 2 2 4 3 2 2 5 2" xfId="22051"/>
    <cellStyle name="标题 4 4 2 2 2" xfId="22052"/>
    <cellStyle name="输入 2 2 5 2 2 2 2 2" xfId="22053"/>
    <cellStyle name="20% - 强调文字颜色 6 2 3 5" xfId="22054"/>
    <cellStyle name="20% - 强调文字颜色 3 2 3 2 2 2 2" xfId="22055"/>
    <cellStyle name="适中 2 3 2 4 4" xfId="22056"/>
    <cellStyle name="标题 4 2 3 3 2 2 2 2 2" xfId="22057"/>
    <cellStyle name="输入 5 3 2 2" xfId="22058"/>
    <cellStyle name="注释 4 2" xfId="22059"/>
    <cellStyle name="注释 2 2 4 3 6" xfId="22060"/>
    <cellStyle name="汇总 2 6 3 3 3 2 2" xfId="22061"/>
    <cellStyle name="汇总 2 2 3 4 2 4 2" xfId="22062"/>
    <cellStyle name="差 2 3 2 3 4" xfId="22063"/>
    <cellStyle name="40% - 强调文字颜色 6 3" xfId="22064"/>
    <cellStyle name="标题 1 2 4 3 2 2 2" xfId="22065"/>
    <cellStyle name="注释 2 2 4 2 3 4" xfId="22066"/>
    <cellStyle name="注释 6 3" xfId="22067"/>
    <cellStyle name="汇总 2 2 5 2 2 2 4 2 2" xfId="22068"/>
    <cellStyle name="20% - 强调文字颜色 1 2 2 4 3 2 2" xfId="22069"/>
    <cellStyle name="60% - 强调文字颜色 1 3 2 2 3 2 2 2" xfId="22070"/>
    <cellStyle name="差 2 2 3 6 3" xfId="22071"/>
    <cellStyle name="60% - 强调文字颜色 1 3 4 2" xfId="22072"/>
    <cellStyle name="计算 2 2 3 3 7 2" xfId="22073"/>
    <cellStyle name="计算 6 3" xfId="22074"/>
    <cellStyle name="汇总 2 2 3 2 3 3" xfId="22075"/>
    <cellStyle name="40% - 强调文字颜色 4 2 3 2 4 2 2" xfId="22076"/>
    <cellStyle name="60% - 强调文字颜色 6 3 3 2 3" xfId="22077"/>
    <cellStyle name="输出 2 2 6 7 3" xfId="22078"/>
    <cellStyle name="输入 2 2 5 3 2 3" xfId="22079"/>
    <cellStyle name="计算 2 4 2 6 3" xfId="22080"/>
    <cellStyle name="注释 2 2 3 2 2 2 3 3" xfId="22081"/>
    <cellStyle name="20% - 强调文字颜色 6 2 3" xfId="22082"/>
    <cellStyle name="链接单元格 2 3 2 3 3" xfId="22083"/>
    <cellStyle name="40% - 强调文字颜色 5 2 3 3 2" xfId="22084"/>
    <cellStyle name="注释 2 3 4 7" xfId="22085"/>
    <cellStyle name="注释 2 2 8 2 4" xfId="22086"/>
    <cellStyle name="检查单元格 2 4 4 2 3" xfId="22087"/>
    <cellStyle name="标题 3 2 2 2 2 4 2" xfId="22088"/>
    <cellStyle name="强调文字颜色 4 2 5 2 2" xfId="22089"/>
    <cellStyle name="输入 2 2 4 6 2" xfId="22090"/>
    <cellStyle name="60% - 强调文字颜色 3 2 3 4 3" xfId="22091"/>
    <cellStyle name="60% - 强调文字颜色 5 2 2 2 2 5 2 2" xfId="22092"/>
    <cellStyle name="常规 7 3 4 2 2" xfId="22093"/>
    <cellStyle name="40% - 强调文字颜色 6 5 2 2 2 2" xfId="22094"/>
    <cellStyle name="60% - 强调文字颜色 2 2 2 2 2 2 2 2" xfId="22095"/>
    <cellStyle name="强调文字颜色 6 2 3 2 4" xfId="22096"/>
    <cellStyle name="计算 2 6 3 2 2 3" xfId="22097"/>
    <cellStyle name="输出 2 6 8 2 2" xfId="22098"/>
    <cellStyle name="强调文字颜色 1 2 3 4 2 2 2" xfId="22099"/>
    <cellStyle name="注释 2 6 2 2 3 2" xfId="22100"/>
    <cellStyle name="60% - 强调文字颜色 6 2 5" xfId="22101"/>
    <cellStyle name="计算 2 2 8 2 8" xfId="22102"/>
    <cellStyle name="常规 10 2 3 3 5" xfId="22103"/>
    <cellStyle name="40% - 强调文字颜色 4 2 3 5 2 2" xfId="22104"/>
    <cellStyle name="常规 10 2 2 2 3" xfId="22105"/>
    <cellStyle name="链接单元格 2 4 5" xfId="22106"/>
    <cellStyle name="汇总 2 5 2 2 3 6" xfId="22107"/>
    <cellStyle name="标题 5 5 2" xfId="22108"/>
    <cellStyle name="标题 5 2 2 4 2" xfId="22109"/>
    <cellStyle name="计算 2 5 2 2 4 2" xfId="22110"/>
    <cellStyle name="计算 2 2 5 9 2" xfId="22111"/>
    <cellStyle name="输出 2 4 2 2 4 3" xfId="22112"/>
    <cellStyle name="汇总 2 2 4 3 2 2 3 2" xfId="22113"/>
    <cellStyle name="20% - 强调文字颜色 5 2 3 2 2 3" xfId="22114"/>
    <cellStyle name="40% - 强调文字颜色 5 2 2 8" xfId="22115"/>
    <cellStyle name="计算 3 3 5 2 2" xfId="22116"/>
    <cellStyle name="20% - 强调文字颜色 6 2 3 2 2 3 3 2" xfId="22117"/>
    <cellStyle name="强调文字颜色 2 3 3 3" xfId="22118"/>
    <cellStyle name="注释 2 2 5 10" xfId="22119"/>
    <cellStyle name="输出 2 2 3 4 4 2 2" xfId="22120"/>
    <cellStyle name="汇总 3 2 3 4 3" xfId="22121"/>
    <cellStyle name="好 2 2 2 2 6 2" xfId="22122"/>
    <cellStyle name="输出 2 5 2 2 9" xfId="22123"/>
    <cellStyle name="标题 3 2 3 3 2 2" xfId="22124"/>
    <cellStyle name="计算 2 2 6 5 3 2 2" xfId="22125"/>
    <cellStyle name="差 4 2 4 2" xfId="22126"/>
    <cellStyle name="汇总 2 7 2 2 7" xfId="22127"/>
    <cellStyle name="计算 2 8 10" xfId="22128"/>
    <cellStyle name="汇总 2 2 5 7 3" xfId="22129"/>
    <cellStyle name="20% - 强调文字颜色 6 2 4 4" xfId="22130"/>
    <cellStyle name="输入 2 2 4 4 5 2 2" xfId="22131"/>
    <cellStyle name="Normal 4 2 2 2" xfId="22132"/>
    <cellStyle name="汇总 2 7 4 7" xfId="22133"/>
    <cellStyle name="注释 2 5 2 5 3" xfId="22134"/>
    <cellStyle name="常规 5 9" xfId="22135"/>
    <cellStyle name="注释 2 2 5 5 2" xfId="22136"/>
    <cellStyle name="输出 2 2 4 4" xfId="22137"/>
    <cellStyle name="常规 6 3 2 4 3 2" xfId="22138"/>
    <cellStyle name="超链接 3 3 3 3 3" xfId="22139"/>
    <cellStyle name="输出 2 2 6 2 6" xfId="22140"/>
    <cellStyle name="60% - 强调文字颜色 2 2 6 3" xfId="22141"/>
    <cellStyle name="计算 2 2 4 2 9 3" xfId="22142"/>
    <cellStyle name="汇总 2 2 4 2 7 2 2" xfId="22143"/>
    <cellStyle name="计算 2 2 14 2 2" xfId="22144"/>
    <cellStyle name="20% - 强调文字颜色 6 2 4 3 3 2" xfId="22145"/>
    <cellStyle name="强调文字颜色 4 2 5 2" xfId="22146"/>
    <cellStyle name="标题 3 2 2 2 2 4" xfId="22147"/>
    <cellStyle name="输入 2 2 4 6" xfId="22148"/>
    <cellStyle name="输出 2 2 3 3 2 4 2" xfId="22149"/>
    <cellStyle name="汇总 2 2 2 9 2 2" xfId="22150"/>
    <cellStyle name="计算 2 9 2" xfId="22151"/>
    <cellStyle name="60% - 强调文字颜色 3 2 2 2 2 2 4" xfId="22152"/>
    <cellStyle name="20% - 强调文字颜色 5 3 5" xfId="22153"/>
    <cellStyle name="输出 4 3 3" xfId="22154"/>
    <cellStyle name="输出 2 7 4 4" xfId="22155"/>
    <cellStyle name="20% - 强调文字颜色 6 2 2 3 4 2 2" xfId="22156"/>
    <cellStyle name="标题 5 4 3 2 2" xfId="22157"/>
    <cellStyle name="常规 5 4 4" xfId="22158"/>
    <cellStyle name="40% - 强调文字颜色 6 3 3 2" xfId="22159"/>
    <cellStyle name="常规 10 2 2 6 3" xfId="22160"/>
    <cellStyle name="60% - 强调文字颜色 4 2 4 7" xfId="22161"/>
    <cellStyle name="60% - 强调文字颜色 6 3 2 2 2 2" xfId="22162"/>
    <cellStyle name="汇总 2 2 12 2" xfId="22163"/>
    <cellStyle name="注释 2 2 2 3" xfId="22164"/>
    <cellStyle name="适中 2 3 5 2" xfId="22165"/>
    <cellStyle name="20% - 强调文字颜色 3 2 2 2 4 3 2" xfId="22166"/>
    <cellStyle name="60% - 强调文字颜色 6 2 2 2 7 2" xfId="22167"/>
    <cellStyle name="汇总 2 2 4 2 3 5 2" xfId="22168"/>
    <cellStyle name="注释 2 3 3 4 2 2" xfId="22169"/>
    <cellStyle name="注释 2 2 4 2 5 2 2" xfId="22170"/>
    <cellStyle name="20% - 强调文字颜色 4 2 4 2" xfId="22171"/>
    <cellStyle name="常规 3 4 4" xfId="22172"/>
    <cellStyle name="40% - 强调文字颜色 5 3 2 3 2" xfId="22173"/>
    <cellStyle name="标题 5 2 5 2 2 3" xfId="22174"/>
    <cellStyle name="40% - 强调文字颜色 5 3 2 3 2 2 2" xfId="22175"/>
    <cellStyle name="汇总 2 2 10 3 2 2" xfId="22176"/>
    <cellStyle name="60% - 强调文字颜色 1 2 3 2 5 2 2" xfId="22177"/>
    <cellStyle name="强调文字颜色 3 2 3 3 2" xfId="22178"/>
    <cellStyle name="标题 2 2 2 2 6 2 3" xfId="22179"/>
    <cellStyle name="汇总 2 2 10 2 3 2" xfId="22180"/>
    <cellStyle name="60% - 强调文字颜色 1 2 3 2 4 3 2" xfId="22181"/>
    <cellStyle name="40% - 强调文字颜色 3 2 2 2 2 2 2 2 2 2 2" xfId="22182"/>
    <cellStyle name="解释性文本 2 5" xfId="22183"/>
    <cellStyle name="标题 5 5 3" xfId="22184"/>
    <cellStyle name="计算 2 7 7 2 2" xfId="22185"/>
    <cellStyle name="计算 2 5 2 2 4 3" xfId="22186"/>
    <cellStyle name="20% - 强调文字颜色 4 2 2 6 3 2 2" xfId="22187"/>
    <cellStyle name="链接单元格 2 4 6" xfId="22188"/>
    <cellStyle name="常规 10 2 2 2 4" xfId="22189"/>
    <cellStyle name="常规 5 2 3 2 5 2" xfId="22190"/>
    <cellStyle name="40% - 强调文字颜色 4 3 3 3" xfId="22191"/>
    <cellStyle name="60% - 强调文字颜色 2 3 2 2 4" xfId="22192"/>
    <cellStyle name="差 2 2 3 2 3" xfId="22193"/>
    <cellStyle name="常规 7 2 4 3 2 2" xfId="22194"/>
    <cellStyle name="输出 2 2 2 3 2 2 2" xfId="22195"/>
    <cellStyle name="40% - 强调文字颜色 4 2 2 3 2 2 2 2 2" xfId="22196"/>
    <cellStyle name="计算 3 2 2 6 2" xfId="22197"/>
    <cellStyle name="输入 2 3 3 3 2 2" xfId="22198"/>
    <cellStyle name="注释 2 6 2 2 2 2 2" xfId="22199"/>
    <cellStyle name="输出 2 2 6 2 3 2" xfId="22200"/>
    <cellStyle name="20% - 强调文字颜色 5 2 3 3 2 2" xfId="22201"/>
    <cellStyle name="输出 2 4 2 3 4 2" xfId="22202"/>
    <cellStyle name="40% - 强调文字颜色 2 6 2 2 2" xfId="22203"/>
    <cellStyle name="计算 2 2 2 10 2" xfId="22204"/>
    <cellStyle name="计算 2 5 2 2 2 6 2" xfId="22205"/>
    <cellStyle name="40% - 强调文字颜色 1 2 2 5 2 2" xfId="22206"/>
    <cellStyle name="输入 2 2 2 4 4 2 2" xfId="22207"/>
    <cellStyle name="输入 2 7 9 2" xfId="22208"/>
    <cellStyle name="输出 2 2 4 4 3" xfId="22209"/>
    <cellStyle name="40% - 强调文字颜色 6 3 4 2 2 2" xfId="22210"/>
    <cellStyle name="常规 5 5 4 2 2" xfId="22211"/>
    <cellStyle name="60% - 强调文字颜色 4 2 3 2 2 3" xfId="22212"/>
    <cellStyle name="解释性文本 2 2 2 2 4 2 2 2" xfId="22213"/>
    <cellStyle name="强调文字颜色 1 4 2 4" xfId="22214"/>
    <cellStyle name="汇总 2 7 2 6 2" xfId="22215"/>
    <cellStyle name="20% - 强调文字颜色 3 3 3 3 2 2" xfId="22216"/>
    <cellStyle name="40% - 强调文字颜色 2 2 3 3" xfId="22217"/>
    <cellStyle name="60% - 强调文字颜色 5 3 2 4 2" xfId="22218"/>
    <cellStyle name="60% - 强调文字颜色 6 2 3 2 2 2 2 2 3" xfId="22219"/>
    <cellStyle name="计算 2 2 10 5 2" xfId="22220"/>
    <cellStyle name="计算 2 2 2 5 3 3" xfId="22221"/>
    <cellStyle name="输出 2 5 4 4" xfId="22222"/>
    <cellStyle name="输入 4 2 2 3 2" xfId="22223"/>
    <cellStyle name="40% - 强调文字颜色 4 2 2 2 2 2 2 2 2 2" xfId="22224"/>
    <cellStyle name="汇总 2 2 2" xfId="22225"/>
    <cellStyle name="计算 2 3 5 3 3" xfId="22226"/>
    <cellStyle name="输入 2 2 7 2 5" xfId="22227"/>
    <cellStyle name="输入 2 2 2 2 8 2" xfId="22228"/>
    <cellStyle name="60% - 强调文字颜色 1 2 2 9 2" xfId="22229"/>
    <cellStyle name="20% - 强调文字颜色 1 6 2 2" xfId="22230"/>
    <cellStyle name="强调文字颜色 2 2 2 5 2 2" xfId="22231"/>
    <cellStyle name="输出 2 2 4 3 2 3 2" xfId="22232"/>
    <cellStyle name="输出 2 6 4 2 4" xfId="22233"/>
    <cellStyle name="60% - 强调文字颜色 6 2 3 3 3 3" xfId="22234"/>
    <cellStyle name="60% - 强调文字颜色 1 2 3 2 3 3 2" xfId="22235"/>
    <cellStyle name="60% - 强调文字颜色 1 2 2 7 2 2" xfId="22236"/>
    <cellStyle name="警告文本 2 2 2 2 2 3" xfId="22237"/>
    <cellStyle name="标题 7 2 2 2 2 2" xfId="22238"/>
    <cellStyle name="标题 4 2 2 6 2 3" xfId="22239"/>
    <cellStyle name="链接单元格 2 2 2 2 2 2 3" xfId="22240"/>
    <cellStyle name="输入 2 2 4 3 2 2 2" xfId="22241"/>
    <cellStyle name="计算 2 3 2 6 2 2" xfId="22242"/>
    <cellStyle name="警告文本 2 5" xfId="22243"/>
    <cellStyle name="常规 5 5 2 2 2 2" xfId="22244"/>
    <cellStyle name="输入 2 2 2 2 6 2" xfId="22245"/>
    <cellStyle name="40% - 强调文字颜色 2 4 4 2" xfId="22246"/>
    <cellStyle name="60% - 强调文字颜色 1 2 2 7" xfId="22247"/>
    <cellStyle name="注释 2 3 2 2 2 4" xfId="22248"/>
    <cellStyle name="20% - 强调文字颜色 1 2 3 2 3 2 2 2" xfId="22249"/>
    <cellStyle name="60% - 强调文字颜色 6 2 2 3 8" xfId="22250"/>
    <cellStyle name="40% - 强调文字颜色 3 3 3 4 2" xfId="22251"/>
    <cellStyle name="汇总 2 2 4 2 4 6" xfId="22252"/>
    <cellStyle name="60% - 强调文字颜色 5 2 6 3 2 2" xfId="22253"/>
    <cellStyle name="输出 2 3 2 5 2 2" xfId="22254"/>
    <cellStyle name="计算 2 2 2 9 3" xfId="22255"/>
    <cellStyle name="输入 2 2 3 3 5 3" xfId="22256"/>
    <cellStyle name="60% - 强调文字颜色 3 2 2 2 2 2 2 2" xfId="22257"/>
    <cellStyle name="20% - 强调文字颜色 5 3 3 2" xfId="22258"/>
    <cellStyle name="汇总 2 2 2 3 3 2 2 2" xfId="22259"/>
    <cellStyle name="输入 2 5 2 3 2 6" xfId="22260"/>
    <cellStyle name="40% - 强调文字颜色 1 3 3 4" xfId="22261"/>
    <cellStyle name="常规 10 2 2 2 2 7" xfId="22262"/>
    <cellStyle name="强调文字颜色 5 2 2 4 6" xfId="22263"/>
    <cellStyle name="超链接 3 2 4 2 3" xfId="22264"/>
    <cellStyle name="60% - 强调文字颜色 1 2 2 6 2 2 2" xfId="22265"/>
    <cellStyle name="汇总 2 5 4 2" xfId="22266"/>
    <cellStyle name="40% - 强调文字颜色 2 2 3 2 3 2 2" xfId="22267"/>
    <cellStyle name="40% - 强调文字颜色 5 3 2 2 4 2" xfId="22268"/>
    <cellStyle name="常规 3 3 6 2" xfId="22269"/>
    <cellStyle name="强调文字颜色 1 2 4 2 2 2" xfId="22270"/>
    <cellStyle name="检查单元格 2 4 2 2 2 2" xfId="22271"/>
    <cellStyle name="常规 5 5 2 3 3" xfId="22272"/>
    <cellStyle name="40% - 强调文字颜色 3 2 2 3 4 3 2" xfId="22273"/>
    <cellStyle name="20% - 强调文字颜色 4 2 3 2 2" xfId="22274"/>
    <cellStyle name="汇总 2 9 5 2 2" xfId="22275"/>
    <cellStyle name="60% - 强调文字颜色 4 2 3 2 2 2 2 2 2" xfId="22276"/>
    <cellStyle name="输入 2 4 3 2 4" xfId="22277"/>
    <cellStyle name="40% - 强调文字颜色 5 3 3" xfId="22278"/>
    <cellStyle name="适中 2 2 2 4 3 2" xfId="22279"/>
    <cellStyle name="注释 2 3 2 2 4 2" xfId="22280"/>
    <cellStyle name="60% - 强调文字颜色 1 2 4 5" xfId="22281"/>
    <cellStyle name="警告文本 2 2 5 3 3" xfId="22282"/>
    <cellStyle name="60% - 强调文字颜色 5 2 2 2 2 4" xfId="22283"/>
    <cellStyle name="注释 2 3 2 2 2 2 2 2" xfId="22284"/>
    <cellStyle name="60% - 强调文字颜色 1 2 2 5 2 2" xfId="22285"/>
    <cellStyle name="20% - 强调文字颜色 5 2 2 2 2 2 4" xfId="22286"/>
    <cellStyle name="40% - 强调文字颜色 2 2 4 5 2 2" xfId="22287"/>
    <cellStyle name="计算 8" xfId="22288"/>
    <cellStyle name="适中 2 12" xfId="22289"/>
    <cellStyle name="标题 5 2 2 5 3" xfId="22290"/>
    <cellStyle name="差 2 7 2 3" xfId="22291"/>
    <cellStyle name="40% - 强调文字颜色 5 2 2 2 2 4 2" xfId="22292"/>
    <cellStyle name="60% - 强调文字颜色 1 3" xfId="22293"/>
    <cellStyle name="差 2 3 5 2 2 2" xfId="22294"/>
    <cellStyle name="汇总 4 2 2 2 2" xfId="22295"/>
    <cellStyle name="注释 2 3 2 2 6" xfId="22296"/>
    <cellStyle name="标题 1 2 2 3 3" xfId="22297"/>
    <cellStyle name="汇总 2 3 2 4 3 2" xfId="22298"/>
    <cellStyle name="检查单元格 5" xfId="22299"/>
    <cellStyle name="好 2 4 3 4" xfId="22300"/>
    <cellStyle name="输出 2 8 2 2 3" xfId="22301"/>
    <cellStyle name="60% - 强调文字颜色 1 2 8" xfId="22302"/>
    <cellStyle name="说明文本 3 2 2" xfId="22303"/>
    <cellStyle name="标题 2 2 3 2 4 3" xfId="22304"/>
    <cellStyle name="40% - 强调文字颜色 1 2 2 6 3 2" xfId="22305"/>
    <cellStyle name="汇总 2 2 3 4 2 2" xfId="22306"/>
    <cellStyle name="20% - 强调文字颜色 5 2 2 2 2 2 2 3" xfId="22307"/>
    <cellStyle name="注释 2 2 3 5 2 4" xfId="22308"/>
    <cellStyle name="60% - 强调文字颜色 6 2 3 7" xfId="22309"/>
    <cellStyle name="注释 2 2 7 2 3" xfId="22310"/>
    <cellStyle name="20% - 强调文字颜色 3 2 3 3 2 2" xfId="22311"/>
    <cellStyle name="警告文本 2 2 4 3 3" xfId="22312"/>
    <cellStyle name="60% - 强调文字颜色 4 2 3 6 2 2" xfId="22313"/>
    <cellStyle name="汇总 2 10 3 3 2 2" xfId="22314"/>
    <cellStyle name="注释 2 3 2 2 2 7" xfId="22315"/>
    <cellStyle name="输入 2 2 2 2 2 2 2 2" xfId="22316"/>
    <cellStyle name="20% - 强调文字颜色 2 2 2 2 3 2 2 2 2 2" xfId="22317"/>
    <cellStyle name="40% - 强调文字颜色 4 2 3 3 2 2" xfId="22318"/>
    <cellStyle name="20% - 强调文字颜色 1 2 4 2 2 2 2 2" xfId="22319"/>
    <cellStyle name="20% - 强调文字颜色 5 2 9" xfId="22320"/>
    <cellStyle name="输入 2 2 11 2" xfId="22321"/>
    <cellStyle name="输出 2 2 9 2 3" xfId="22322"/>
    <cellStyle name="20% - 强调文字颜色 5 2 6 3 2" xfId="22323"/>
    <cellStyle name="计算 2 2 8 3 6" xfId="22324"/>
    <cellStyle name="60% - 强调文字颜色 6 3 3" xfId="22325"/>
    <cellStyle name="输入 2 2 2 4 7" xfId="22326"/>
    <cellStyle name="标题 6 4 2 3" xfId="22327"/>
    <cellStyle name="注释 2 2 5 7" xfId="22328"/>
    <cellStyle name="40% - 强调文字颜色 5 2 2 4 2" xfId="22329"/>
    <cellStyle name="汇总 2 6 10 2 2" xfId="22330"/>
    <cellStyle name="40% - 强调文字颜色 5 2 7 2 2 2" xfId="22331"/>
    <cellStyle name="标题 5 3 2 2 2 2 2 2" xfId="22332"/>
    <cellStyle name="20% - 强调文字颜色 6 2 3 2 2 3 2" xfId="22333"/>
    <cellStyle name="检查单元格 2 2 2 2 3 3 3" xfId="22334"/>
    <cellStyle name="20% - 强调文字颜色 6 2 3 2 2 4 2 2 2" xfId="22335"/>
    <cellStyle name="强调文字颜色 2 4 2 3 2" xfId="22336"/>
    <cellStyle name="输出 2 2 3 3 3 4" xfId="22337"/>
    <cellStyle name="40% - 强调文字颜色 1 2 3 2 4" xfId="22338"/>
    <cellStyle name="40% - 强调文字颜色 2 2 2 2 2 2 3 2" xfId="22339"/>
    <cellStyle name="输入 2 2 7 2" xfId="22340"/>
    <cellStyle name="40% - 强调文字颜色 2 2 3 2 2 4 2 2 2" xfId="22341"/>
    <cellStyle name="汇总 2 2 5 2 2 2 3" xfId="22342"/>
    <cellStyle name="常规 5 4 4 2" xfId="22343"/>
    <cellStyle name="汇总 2 2 5 2 2 2 3 3" xfId="22344"/>
    <cellStyle name="40% - 强调文字颜色 6 3 3 2 2" xfId="22345"/>
    <cellStyle name="计算 2 2 8 2 2 7" xfId="22346"/>
    <cellStyle name="注释 2 2 3 2 4 2 4" xfId="22347"/>
    <cellStyle name="计算 2 6 2 7" xfId="22348"/>
    <cellStyle name="输入 2 2 7 3 3" xfId="22349"/>
    <cellStyle name="60% - 强调文字颜色 1 2 2 2 4 3 2" xfId="22350"/>
    <cellStyle name="常规 3" xfId="22351"/>
    <cellStyle name="输入 2 2 4 3 2 4" xfId="22352"/>
    <cellStyle name="常规 5 2 3 4 2 3" xfId="22353"/>
    <cellStyle name="汇总 2 2 3 4 2 2 3" xfId="22354"/>
    <cellStyle name="汇总 2 2 8 2 2 2" xfId="22355"/>
    <cellStyle name="输入 2 2 8" xfId="22356"/>
    <cellStyle name="常规 5 2 2 3 3 3 2" xfId="22357"/>
    <cellStyle name="输出 2 7 2 2 2" xfId="22358"/>
    <cellStyle name="标题 4 2 2 3 4 2 2 2" xfId="22359"/>
    <cellStyle name="注释 5 2 3 2" xfId="22360"/>
    <cellStyle name="20% - 强调文字颜色 5 2 4 3 2 2 2" xfId="22361"/>
    <cellStyle name="标题 5 3 2 6 3" xfId="22362"/>
    <cellStyle name="输入 2 8 3 5" xfId="22363"/>
    <cellStyle name="汇总 3 4 4 2 2" xfId="22364"/>
    <cellStyle name="40% - 强调文字颜色 2 2 3 3 2 2 2 2" xfId="22365"/>
    <cellStyle name="百分比 2 2 2 2 2 3" xfId="22366"/>
    <cellStyle name="标题 4 2 3 2 3 4" xfId="22367"/>
    <cellStyle name="20% - 强调文字颜色 6 2 3 7 2" xfId="22368"/>
    <cellStyle name="强调文字颜色 2 2 2 6 2 2" xfId="22369"/>
    <cellStyle name="20% - 强调文字颜色 4 2 7" xfId="22370"/>
    <cellStyle name="标题 5 3 5 3" xfId="22371"/>
    <cellStyle name="40% - 强调文字颜色 6 2 2 6 2 2 2" xfId="22372"/>
    <cellStyle name="标题 5 2 2 2 5 3" xfId="22373"/>
    <cellStyle name="链接单元格 2 3 3 7" xfId="22374"/>
    <cellStyle name="计算 2 7 4 2 2 2" xfId="22375"/>
    <cellStyle name="注释 2 2 2 2 2 3" xfId="22376"/>
    <cellStyle name="注释 4 6 3" xfId="22377"/>
    <cellStyle name="超链接 2 2 4 2 2 2" xfId="22378"/>
    <cellStyle name="40% - 强调文字颜色 4 4 4 2 2" xfId="22379"/>
    <cellStyle name="输入 2 2 4 2 6 2 2" xfId="22380"/>
    <cellStyle name="计算 2 5 5 3 3" xfId="22381"/>
    <cellStyle name="强调文字颜色 2 2 2 3 2 2 2 2 2" xfId="22382"/>
    <cellStyle name="20% - 强调文字颜色 1 4 2 2 2 2 2" xfId="22383"/>
    <cellStyle name="汇总 2 3 3 2" xfId="22384"/>
    <cellStyle name="计算 4 2 3 3" xfId="22385"/>
    <cellStyle name="输出 2 6 3 2 2 2" xfId="22386"/>
    <cellStyle name="标题 3 2 2 3 4 4" xfId="22387"/>
    <cellStyle name="强调文字颜色 1 2 2 2 2 2 5" xfId="22388"/>
    <cellStyle name="计算 2 3 2 2 5 3" xfId="22389"/>
    <cellStyle name="输入 2 7 4 2 5" xfId="22390"/>
    <cellStyle name="标题 4 3 4 3" xfId="22391"/>
    <cellStyle name="40% - 强调文字颜色 6 2 2 2 2 5 2 2" xfId="22392"/>
    <cellStyle name="输入 3 3 2 2 2 2" xfId="22393"/>
    <cellStyle name="差 2 3 2 3 2" xfId="22394"/>
    <cellStyle name="汇总 2 9 3 3 2" xfId="22395"/>
    <cellStyle name="强调文字颜色 1 3 2 3" xfId="22396"/>
    <cellStyle name="标题 1 2 3 2 6" xfId="22397"/>
    <cellStyle name="强调文字颜色 6 2 2 2 2 3 2 3" xfId="22398"/>
    <cellStyle name="20% - 强调文字颜色 3 2 8 2 2" xfId="22399"/>
    <cellStyle name="差 2 4 3 3" xfId="22400"/>
    <cellStyle name="常规 6 7 2 2" xfId="22401"/>
    <cellStyle name="输出 2 2 5 2 2 2" xfId="22402"/>
    <cellStyle name="40% - 强调文字颜色 3 2 7 3 2 2" xfId="22403"/>
    <cellStyle name="检查单元格 2 3 2 4 2" xfId="22404"/>
    <cellStyle name="40% - 强调文字颜色 1 2 2 4 5" xfId="22405"/>
    <cellStyle name="40% - 强调文字颜色 5 5 2 2" xfId="22406"/>
    <cellStyle name="输入 2 2 5 3 4 2" xfId="22407"/>
    <cellStyle name="标题 4 2 3 2 2 3 3" xfId="22408"/>
    <cellStyle name="60% - 强调文字颜色 1 2 2 2 2 3 3 2" xfId="22409"/>
    <cellStyle name="计算 2 4 2 8 2" xfId="22410"/>
    <cellStyle name="输入 2 2 5 10" xfId="22411"/>
    <cellStyle name="计算 2 9 4 3" xfId="22412"/>
    <cellStyle name="差 2 6" xfId="22413"/>
    <cellStyle name="适中 2 8 2 3" xfId="22414"/>
    <cellStyle name="输出 2 2 2 3 2 3 2" xfId="22415"/>
    <cellStyle name="强调文字颜色 2 2 2 6 3 2" xfId="22416"/>
    <cellStyle name="20% - 强调文字颜色 5 2 5 4 2" xfId="22417"/>
    <cellStyle name="标题 3 3 2 2 4 2" xfId="22418"/>
    <cellStyle name="输入 2 6 3 8" xfId="22419"/>
    <cellStyle name="常规 7 4 3 2 3" xfId="22420"/>
    <cellStyle name="20% - 强调文字颜色 5 3 4 2" xfId="22421"/>
    <cellStyle name="60% - 强调文字颜色 3 2 2 2 2 2 3 2" xfId="22422"/>
    <cellStyle name="计算 2 3 2 14" xfId="22423"/>
    <cellStyle name="输入 2 2 5 3 5 3" xfId="22424"/>
    <cellStyle name="标题 6 2" xfId="22425"/>
    <cellStyle name="标题 3 3 3 2 2 2 2" xfId="22426"/>
    <cellStyle name="好 4" xfId="22427"/>
    <cellStyle name="常规 3 2 2 4 2" xfId="22428"/>
    <cellStyle name="输入 2 5 2 11" xfId="22429"/>
    <cellStyle name="输出 2 2 5 8 2 2" xfId="22430"/>
    <cellStyle name="输入 2 2 5 2 3 2 2" xfId="22431"/>
    <cellStyle name="强调文字颜色 3 2 3 2 3 4" xfId="22432"/>
    <cellStyle name="60% - 强调文字颜色 1 2 2 2 2 2 2 2 2" xfId="22433"/>
    <cellStyle name="强调文字颜色 4 3 3 4" xfId="22434"/>
    <cellStyle name="输入 2 3 2 8" xfId="22435"/>
    <cellStyle name="汇总 2 6 7 2 2" xfId="22436"/>
    <cellStyle name="计算 2 2 4 3" xfId="22437"/>
    <cellStyle name="常规 3 3 4 3 2" xfId="22438"/>
    <cellStyle name="汇总 2 4 4 2 3 3" xfId="22439"/>
    <cellStyle name="60% - 强调文字颜色 3 2 2 4 4 2" xfId="22440"/>
    <cellStyle name="计算 2 4 3 3 2 2 2" xfId="22441"/>
    <cellStyle name="计算 2 2 5 7 2" xfId="22442"/>
    <cellStyle name="强调文字颜色 2 2 2 2 3 6" xfId="22443"/>
    <cellStyle name="20% - 强调文字颜色 5 2 2 5" xfId="22444"/>
    <cellStyle name="计算 2 2 4 2 2 2 3 2" xfId="22445"/>
    <cellStyle name="超链接 3 3 4 2 3" xfId="22446"/>
    <cellStyle name="60% - 强调文字颜色 6 2 3 2 3 3 3" xfId="22447"/>
    <cellStyle name="检查单元格 3 2 2 2" xfId="22448"/>
    <cellStyle name="40% - 强调文字颜色 3 2 2 2 2 2 2 2" xfId="22449"/>
    <cellStyle name="汇总 2 2 2 3 6 3" xfId="22450"/>
    <cellStyle name="注释 2 2 3 2 3 2" xfId="22451"/>
    <cellStyle name="强调文字颜色 5 2 8" xfId="22452"/>
    <cellStyle name="20% - 强调文字颜色 2 2 2 2 2 2 3 2 2" xfId="22453"/>
    <cellStyle name="20% - 强调文字颜色 1 3 3 4 2" xfId="22454"/>
    <cellStyle name="标题 1 2 3 2 4 2 2 2" xfId="22455"/>
    <cellStyle name="汇总 2 2 10 2 4" xfId="22456"/>
    <cellStyle name="计算 2 10 7" xfId="22457"/>
    <cellStyle name="百分比 2 3 2 3 3" xfId="22458"/>
    <cellStyle name="汇总 2 2 5 2 3 2 2" xfId="22459"/>
    <cellStyle name="60% - 强调文字颜色 6 3 2 2 4 2" xfId="22460"/>
    <cellStyle name="计算 2 7 10 2 2" xfId="22461"/>
    <cellStyle name="适中 2 5 2 3" xfId="22462"/>
    <cellStyle name="注释 2 3 2 2 2 6" xfId="22463"/>
    <cellStyle name="60% - 强调文字颜色 1 2 2 9" xfId="22464"/>
    <cellStyle name="注释 2 3 2 2 3 3" xfId="22465"/>
    <cellStyle name="60% - 强调文字颜色 1 2 3 6" xfId="22466"/>
    <cellStyle name="常规 4 2 2 4 2 2" xfId="22467"/>
    <cellStyle name="差 2 2 2 4 4" xfId="22468"/>
    <cellStyle name="计算 2 3 4 2 2 3" xfId="22469"/>
    <cellStyle name="40% - 强调文字颜色 2 2 6 3" xfId="22470"/>
    <cellStyle name="20% - 强调文字颜色 1 4 3 2" xfId="22471"/>
    <cellStyle name="强调文字颜色 2 2 2 3 3 2" xfId="22472"/>
    <cellStyle name="输出 2 5 3 5 3" xfId="22473"/>
    <cellStyle name="注释 2 2 7 2 5" xfId="22474"/>
    <cellStyle name="标题 7 2 2 3" xfId="22475"/>
    <cellStyle name="60% - 强调文字颜色 2 2 3 3 5" xfId="22476"/>
    <cellStyle name="输入 2 2 4 7 2 2" xfId="22477"/>
    <cellStyle name="标题 4 2 4 2" xfId="22478"/>
    <cellStyle name="标题 3 2 2 2 2 5 2 2" xfId="22479"/>
    <cellStyle name="强调文字颜色 4 2 5 3 2 2" xfId="22480"/>
    <cellStyle name="20% - 强调文字颜色 2 2 2 3 2 2" xfId="22481"/>
    <cellStyle name="标题 2 3 5 2 3" xfId="22482"/>
    <cellStyle name="注释 2 8 3 3" xfId="22483"/>
    <cellStyle name="60% - 强调文字颜色 1 2 2 2 2 2" xfId="22484"/>
    <cellStyle name="注释 2 2 8 5" xfId="22485"/>
    <cellStyle name="输入 4 2 2 3" xfId="22486"/>
    <cellStyle name="40% - 强调文字颜色 4 2 2 2 2 2 2 2 2" xfId="22487"/>
    <cellStyle name="标题 1 2 2 2 2 4 2 2" xfId="22488"/>
    <cellStyle name="输入 2 2 2 2 2 6" xfId="22489"/>
    <cellStyle name="20% - 强调文字颜色 6 3 2 4 2" xfId="22490"/>
    <cellStyle name="汇总 2 2 6 5 3 2" xfId="22491"/>
    <cellStyle name="20% - 强调文字颜色 6 2 3 2 2 2 3" xfId="22492"/>
    <cellStyle name="计算 2 2 7 7 2 2" xfId="22493"/>
    <cellStyle name="标题 3 3 5 2 2" xfId="22494"/>
    <cellStyle name="20% - 强调文字颜色 5 2 2 2 2 4 3" xfId="22495"/>
    <cellStyle name="标题 1 2 3 2 3 2 3" xfId="22496"/>
    <cellStyle name="好 2 2 5 2 3" xfId="22497"/>
    <cellStyle name="常规 10 10" xfId="22498"/>
    <cellStyle name="常规 10 4 3" xfId="22499"/>
    <cellStyle name="汇总 2 3 4 2 3 2 2" xfId="22500"/>
    <cellStyle name="20% - 强调文字颜色 4 2 2 2 4 2 2" xfId="22501"/>
    <cellStyle name="60% - 强调文字颜色 5 2 3 4 3 2 2" xfId="22502"/>
    <cellStyle name="计算 2 2 2 10 3" xfId="22503"/>
    <cellStyle name="60% - 强调文字颜色 4 2 3 2 2 4" xfId="22504"/>
    <cellStyle name="输出 2 2 3 3 4" xfId="22505"/>
    <cellStyle name="输出 3 13" xfId="22506"/>
    <cellStyle name="注释 2 2 6" xfId="22507"/>
    <cellStyle name="60% - 强调文字颜色 1 2 3 7 2" xfId="22508"/>
    <cellStyle name="计算 3 4 2" xfId="22509"/>
    <cellStyle name="常规 8 3 2 2 2" xfId="22510"/>
    <cellStyle name="20% - 强调文字颜色 5 2 2 2" xfId="22511"/>
    <cellStyle name="60% - 强调文字颜色 1 2 4 3 3 2" xfId="22512"/>
    <cellStyle name="汇总 2 5 2 2 2 2 3 2 2" xfId="22513"/>
    <cellStyle name="检查单元格 2 2 3 6 2" xfId="22514"/>
    <cellStyle name="常规 8 3 5 2" xfId="22515"/>
    <cellStyle name="超链接 3 3 3 2 2 2 2" xfId="22516"/>
    <cellStyle name="适中 2" xfId="22517"/>
    <cellStyle name="常规 3 3 2 5 2 2 2" xfId="22518"/>
    <cellStyle name="常规 12 4" xfId="22519"/>
    <cellStyle name="60% - 强调文字颜色 5 2 2 3" xfId="22520"/>
    <cellStyle name="计算 2 2 7 2 5 3" xfId="22521"/>
    <cellStyle name="汇总 2 5 3 2 5 2" xfId="22522"/>
    <cellStyle name="常规 12 2 2 3" xfId="22523"/>
    <cellStyle name="计算 2 2 3 2 5 2 2" xfId="22524"/>
    <cellStyle name="60% - 强调文字颜色 1 2 2 2 2" xfId="22525"/>
    <cellStyle name="汇总 2 5 3 2 5" xfId="22526"/>
    <cellStyle name="计算 2 2 2 6 2" xfId="22527"/>
    <cellStyle name="输入 2 2 3 3 2 2" xfId="22528"/>
    <cellStyle name="汇总 2 2 4 2 2 2 3" xfId="22529"/>
    <cellStyle name="汇总 2 3 6 2 2 2" xfId="22530"/>
    <cellStyle name="计算 2 2 4 3 2 6" xfId="22531"/>
    <cellStyle name="输入 4 2 6" xfId="22532"/>
    <cellStyle name="常规 11 4 4 3" xfId="22533"/>
    <cellStyle name="注释 2 2 4 3 3 2" xfId="22534"/>
    <cellStyle name="40% - 强调文字颜色 3 2 4 2 2 2" xfId="22535"/>
    <cellStyle name="20% - 强调文字颜色 5 2 2 7 2" xfId="22536"/>
    <cellStyle name="标题 5 3" xfId="22537"/>
    <cellStyle name="输出 2 2 5 6 3" xfId="22538"/>
    <cellStyle name="常规 12 4 4 2 2" xfId="22539"/>
    <cellStyle name="40% - 强调文字颜色 2 2 2 2 2 2 2 2 2" xfId="22540"/>
    <cellStyle name="计算 2 2 4 2 2 7 2" xfId="22541"/>
    <cellStyle name="警告文本 2 4 4 2" xfId="22542"/>
    <cellStyle name="20% - 强调文字颜色 5 2 5 3 3" xfId="22543"/>
    <cellStyle name="60% - 强调文字颜色 4 2 3 3 2 2 2" xfId="22544"/>
    <cellStyle name="解释性文本 2 2 2 4" xfId="22545"/>
    <cellStyle name="警告文本 2 4 4 2 2" xfId="22546"/>
    <cellStyle name="计算 2 2 2 4 7" xfId="22547"/>
    <cellStyle name="汇总 2 4 2 2 4" xfId="22548"/>
    <cellStyle name="40% - 强调文字颜色 1 2 3 2 3 2 2 2" xfId="22549"/>
    <cellStyle name="差 2 3 4 3 3" xfId="22550"/>
    <cellStyle name="差 2 4 3 2 3" xfId="22551"/>
    <cellStyle name="20% - 强调文字颜色 5 2 6 2 2 2" xfId="22552"/>
    <cellStyle name="40% - 强调文字颜色 1 4 4" xfId="22553"/>
    <cellStyle name="20% - 强调文字颜色 4 2 3 2 5 2 2 2" xfId="22554"/>
    <cellStyle name="40% - 强调文字颜色 1 2 2 2 2 3 2 2 2 2" xfId="22555"/>
    <cellStyle name="40% - 强调文字颜色 6 2 2 2 6 2 2" xfId="22556"/>
    <cellStyle name="汇总 2 7 2 4 2 2" xfId="22557"/>
    <cellStyle name="标题 5 2 2 2 3" xfId="22558"/>
    <cellStyle name="输入 2 2 4 7" xfId="22559"/>
    <cellStyle name="标题 3 2 2 2 2 5" xfId="22560"/>
    <cellStyle name="强调文字颜色 4 2 5 3" xfId="22561"/>
    <cellStyle name="汇总 2 2 3" xfId="22562"/>
    <cellStyle name="强调文字颜色 2 2 2 3 2 2 2 3" xfId="22563"/>
    <cellStyle name="汇总 2 3 4" xfId="22564"/>
    <cellStyle name="超链接 2 2 2 7" xfId="22565"/>
    <cellStyle name="60% - 强调文字颜色 2 2 2 2 2 3 3" xfId="22566"/>
    <cellStyle name="汇总 2 2 2 4 6 2" xfId="22567"/>
    <cellStyle name="警告文本 3 4" xfId="22568"/>
    <cellStyle name="输出 2 4 2 2 4 2 2" xfId="22569"/>
    <cellStyle name="20% - 强调文字颜色 5 2 3 2 2 2 2" xfId="22570"/>
    <cellStyle name="标题 6 8" xfId="22571"/>
    <cellStyle name="常规 10 5 3 2" xfId="22572"/>
    <cellStyle name="标题 1 2 8 3" xfId="22573"/>
    <cellStyle name="20% - 强调文字颜色 4 2 2 2 4 3 2 2" xfId="22574"/>
    <cellStyle name="汇总 2 2 4 3 2 3" xfId="22575"/>
    <cellStyle name="注释 2" xfId="22576"/>
    <cellStyle name="常规 9 5 4 2 2" xfId="22577"/>
    <cellStyle name="强调文字颜色 2 2 3 5 3" xfId="22578"/>
    <cellStyle name="计算 2 2 3 2 5 2" xfId="22579"/>
    <cellStyle name="60% - 强调文字颜色 1 2 2 2" xfId="22580"/>
    <cellStyle name="20% - 强调文字颜色 6 2 2 6 2 2 2" xfId="22581"/>
    <cellStyle name="强调文字颜色 5 2 3" xfId="22582"/>
    <cellStyle name="超链接 2 2 2 6" xfId="22583"/>
    <cellStyle name="输出 2 4 3 2 2 2 2 2" xfId="22584"/>
    <cellStyle name="40% - 强调文字颜色 6 5 2 2 2" xfId="22585"/>
    <cellStyle name="常规 7 3 4 2" xfId="22586"/>
    <cellStyle name="汇总 2 5 5 2 3 3" xfId="22587"/>
    <cellStyle name="汇总 2 2 4 4 4 2 2" xfId="22588"/>
    <cellStyle name="标题 3 2 3 2 5" xfId="22589"/>
    <cellStyle name="强调文字颜色 6 2 3 3 2" xfId="22590"/>
    <cellStyle name="常规 12 2 3 3" xfId="22591"/>
    <cellStyle name="60% - 强调文字颜色 6 2 2 3 3 2 2 2" xfId="22592"/>
    <cellStyle name="60% - 强调文字颜色 2 2 2 2 6 2" xfId="22593"/>
    <cellStyle name="解释性文本 2 4 4 2 3" xfId="22594"/>
    <cellStyle name="40% - 强调文字颜色 4 2 3 2 5 2" xfId="22595"/>
    <cellStyle name="常规 2 3 4" xfId="22596"/>
    <cellStyle name="输出 2 4 6" xfId="22597"/>
    <cellStyle name="40% - 强调文字颜色 1 2 3 2 3 2 2 2 2" xfId="22598"/>
    <cellStyle name="汇总 2 4 2 2 4 2" xfId="22599"/>
    <cellStyle name="标题 2 2 3 2 2 2 2 2" xfId="22600"/>
    <cellStyle name="标题 1 4 2 2 2" xfId="22601"/>
    <cellStyle name="20% - 强调文字颜色 5 2 2 3 3 2 2 2" xfId="22602"/>
    <cellStyle name="强调文字颜色 2 2 2 3 3" xfId="22603"/>
    <cellStyle name="20% - 强调文字颜色 1 4 3" xfId="22604"/>
    <cellStyle name="计算 2 6 2 2 8" xfId="22605"/>
    <cellStyle name="汇总 4 2 4 2 2" xfId="22606"/>
    <cellStyle name="汇总 2 8 2 5 3" xfId="22607"/>
    <cellStyle name="标题 1 2 2 3 5 2" xfId="22608"/>
    <cellStyle name="40% - 强调文字颜色 6 2 5 5 2" xfId="22609"/>
    <cellStyle name="40% - 强调文字颜色 6 3 2 5 2" xfId="22610"/>
    <cellStyle name="注释 2 8 2 5" xfId="22611"/>
    <cellStyle name="40% - 强调文字颜色 2 2 2 2 6 2" xfId="22612"/>
    <cellStyle name="40% - 强调文字颜色 1 2 10" xfId="22613"/>
    <cellStyle name="输出 2 2 7 2 2 5" xfId="22614"/>
    <cellStyle name="强调文字颜色 4 2 2 2 6" xfId="22615"/>
    <cellStyle name="输入 4 4 2" xfId="22616"/>
    <cellStyle name="60% - 强调文字颜色 3 3 2 5" xfId="22617"/>
    <cellStyle name="注释 2 3 4 3 2 2" xfId="22618"/>
    <cellStyle name="汇总 2 2 4 3 2 5 2" xfId="22619"/>
    <cellStyle name="输入 2 5 2 3 8" xfId="22620"/>
    <cellStyle name="强调文字颜色 6 2 3 2 2 2 2" xfId="22621"/>
    <cellStyle name="常规 6 2 6 2 2" xfId="22622"/>
    <cellStyle name="计算 2 2 3 2 3 3 3" xfId="22623"/>
    <cellStyle name="20% - 强调文字颜色 1 2 2" xfId="22624"/>
    <cellStyle name="60% - 强调文字颜色 6 2 3 2 3 3" xfId="22625"/>
    <cellStyle name="计算 3 2 2 2 3 3" xfId="22626"/>
    <cellStyle name="注释 2 7 4 2 2" xfId="22627"/>
    <cellStyle name="60% - 强调文字颜色 2 2 2 3 3 3" xfId="22628"/>
    <cellStyle name="20% - 强调文字颜色 5 2 3 4" xfId="22629"/>
    <cellStyle name="计算 2 5 4 2 3 2 2" xfId="22630"/>
    <cellStyle name="输出 2 6 2 5" xfId="22631"/>
    <cellStyle name="输入 2 2 4 3 2 2 2 3" xfId="22632"/>
    <cellStyle name="注释 2 6 2 2 3" xfId="22633"/>
    <cellStyle name="计算 2 5 3 2 2 5 2" xfId="22634"/>
    <cellStyle name="常规 5 4 6 3" xfId="22635"/>
    <cellStyle name="计算 2 5 2 3 5" xfId="22636"/>
    <cellStyle name="计算 2 2 6 3 3 2" xfId="22637"/>
    <cellStyle name="差 2 2 4" xfId="22638"/>
    <cellStyle name="20% - 强调文字颜色 2 2 7" xfId="22639"/>
    <cellStyle name="计算 2 5 3 2 9" xfId="22640"/>
    <cellStyle name="40% - 强调文字颜色 4 2" xfId="22641"/>
    <cellStyle name="40% - 强调文字颜色 5 2 4 2 2 2 2 2" xfId="22642"/>
    <cellStyle name="40% - 强调文字颜色 5 4 2 2 2" xfId="22643"/>
    <cellStyle name="输入 2 2 5 2 4 2 2" xfId="22644"/>
    <cellStyle name="输出 2 2 6 3 4" xfId="22645"/>
    <cellStyle name="计算 2 4 2 2 4" xfId="22646"/>
    <cellStyle name="20% - 强调文字颜色 5 2 3 4 3" xfId="22647"/>
    <cellStyle name="输出 2 4 2 4 5" xfId="22648"/>
    <cellStyle name="20% - 强调文字颜色 4 2 3 2 3 2 2 2" xfId="22649"/>
    <cellStyle name="输入 2 2 2 5 2" xfId="22650"/>
    <cellStyle name="计算 2 2 5 2 4 3 3" xfId="22651"/>
    <cellStyle name="20% - 强调文字颜色 5 3 2 5" xfId="22652"/>
    <cellStyle name="标题 4 2 2 2 4 2 2 3" xfId="22653"/>
    <cellStyle name="输入 2 2 2 4 2 3 2" xfId="22654"/>
    <cellStyle name="标题 2 2 2 2 6" xfId="22655"/>
    <cellStyle name="汇总 2 2 8 3 2 2" xfId="22656"/>
    <cellStyle name="输出 2 6 15" xfId="22657"/>
    <cellStyle name="常规 13 3 2 4 2 2" xfId="22658"/>
    <cellStyle name="计算 2 5 2 8 2 2" xfId="22659"/>
    <cellStyle name="适中 2 3 2 2 2" xfId="22660"/>
    <cellStyle name="注释 2 8 2 3" xfId="22661"/>
    <cellStyle name="汇总 2 2 2 2 2 2 2" xfId="22662"/>
    <cellStyle name="标题 2 2 2 4 5 3" xfId="22663"/>
    <cellStyle name="输入 2 5 2 2 4 2" xfId="22664"/>
    <cellStyle name="汇总 2 2 2 6 3 2" xfId="22665"/>
    <cellStyle name="60% - 强调文字颜色 5 2 3 2 2 2 2 2" xfId="22666"/>
    <cellStyle name="常规 9 3 4 2 3 2" xfId="22667"/>
    <cellStyle name="标题 1 2 3 4 3 2" xfId="22668"/>
    <cellStyle name="汇总 2 9 3 3 3" xfId="22669"/>
    <cellStyle name="强调文字颜色 4 3 2 5" xfId="22670"/>
    <cellStyle name="20% - 强调文字颜色 5 2 5 3 2 2" xfId="22671"/>
    <cellStyle name="计算 2 2 14 2" xfId="22672"/>
    <cellStyle name="20% - 强调文字颜色 6 2 4 3 3" xfId="22673"/>
    <cellStyle name="标题 4 2 2 2 4 4" xfId="22674"/>
    <cellStyle name="20% - 强调文字颜色 4 2 2 6 3" xfId="22675"/>
    <cellStyle name="汇总 5 2 4 2 2" xfId="22676"/>
    <cellStyle name="检查单元格 2 4 3 2 3" xfId="22677"/>
    <cellStyle name="60% - 强调文字颜色 5 2 2 2 2 4 2 2" xfId="22678"/>
    <cellStyle name="标题 3 2 3 2 3 2 2 2" xfId="22679"/>
    <cellStyle name="60% - 强调文字颜色 2 2 2 2 3 6" xfId="22680"/>
    <cellStyle name="输入 2 5 4 6" xfId="22681"/>
    <cellStyle name="标题 1 2 4 6 2" xfId="22682"/>
    <cellStyle name="60% - 强调文字颜色 5 2 2 5 3 2 2" xfId="22683"/>
    <cellStyle name="强调文字颜色 6 2 4 3 2 2 2" xfId="22684"/>
    <cellStyle name="60% - 强调文字颜色 5 4 2 2 2 2" xfId="22685"/>
    <cellStyle name="计算 2 6 2 5 3" xfId="22686"/>
    <cellStyle name="20% - 强调文字颜色 1 2 6 2 2 2" xfId="22687"/>
    <cellStyle name="好 2 4 4 2" xfId="22688"/>
    <cellStyle name="标题 1 3 5 2 3" xfId="22689"/>
    <cellStyle name="强调文字颜色 4 2 2 4 3 2 3" xfId="22690"/>
    <cellStyle name="60% - 强调文字颜色 1 3 6" xfId="22691"/>
    <cellStyle name="计算 2 2 3 3 9" xfId="22692"/>
    <cellStyle name="输入 2 2 7 4 2 2" xfId="22693"/>
    <cellStyle name="标题 3 2 2 2 5 2 2 2" xfId="22694"/>
    <cellStyle name="计算 2 6 3 6 2" xfId="22695"/>
    <cellStyle name="40% - 强调文字颜色 1 2 10 2" xfId="22696"/>
    <cellStyle name="40% - 强调文字颜色 6 3 5 2" xfId="22697"/>
    <cellStyle name="常规 5 6 4" xfId="22698"/>
    <cellStyle name="标题 1 2 3 2 2 5" xfId="22699"/>
    <cellStyle name="40% - 强调文字颜色 5 2 4 5 2 2" xfId="22700"/>
    <cellStyle name="20% - 强调文字颜色 1 5 2 2" xfId="22701"/>
    <cellStyle name="强调文字颜色 2 2 2 4 2 2" xfId="22702"/>
    <cellStyle name="20% - 强调文字颜色 5 2 3 6 2 2 2" xfId="22703"/>
    <cellStyle name="60% - 强调文字颜色 2 2 2 2 2 4 3" xfId="22704"/>
    <cellStyle name="计算 2 3 2 2 3 2" xfId="22705"/>
    <cellStyle name="常规 5 2 3 4 4 2 2" xfId="22706"/>
    <cellStyle name="40% - 强调文字颜色 1 4 2 2 2 2 2" xfId="22707"/>
    <cellStyle name="输出 2 2 6 5 2" xfId="22708"/>
    <cellStyle name="计算 2 4 2 4 2" xfId="22709"/>
    <cellStyle name="输出 2 5 4 3 2 2" xfId="22710"/>
    <cellStyle name="汇总 2 2 10 3 2" xfId="22711"/>
    <cellStyle name="适中 2 3 3 3 2" xfId="22712"/>
    <cellStyle name="40% - 强调文字颜色 1 3 2 2 3 2 2" xfId="22713"/>
    <cellStyle name="强调文字颜色 2 2 2 4 5 2 2" xfId="22714"/>
    <cellStyle name="检查单元格 2 5 3 2" xfId="22715"/>
    <cellStyle name="常规 9 2 2 2 2" xfId="22716"/>
    <cellStyle name="40% - 强调文字颜色 3 2 2 2 3" xfId="22717"/>
    <cellStyle name="输入 2 2 3 2 2 6 2" xfId="22718"/>
    <cellStyle name="注释 2 2 2 3 4" xfId="22719"/>
    <cellStyle name="常规 10 4 2 4" xfId="22720"/>
    <cellStyle name="汇总 2 2 5 2 2 2 6" xfId="22721"/>
    <cellStyle name="常规 5 4 2 2 4 2" xfId="22722"/>
    <cellStyle name="强调文字颜色 4 2 2 2 4 2 2" xfId="22723"/>
    <cellStyle name="强调文字颜色 3 2 3 3 2 2 2" xfId="22724"/>
    <cellStyle name="20% - 强调文字颜色 6 3 2 2 3 2 2 2" xfId="22725"/>
    <cellStyle name="40% - 强调文字颜色 1 3 6 2" xfId="22726"/>
    <cellStyle name="输入 2 2 10 3 2" xfId="22727"/>
    <cellStyle name="20% - 强调文字颜色 1 2 8 2" xfId="22728"/>
    <cellStyle name="60% - 强调文字颜色 4 2 2 2 2 5 2" xfId="22729"/>
    <cellStyle name="输入 2 2 3 4 8" xfId="22730"/>
    <cellStyle name="计算 2 3 4 5 2 2" xfId="22731"/>
    <cellStyle name="标题 5 2 3 9" xfId="22732"/>
    <cellStyle name="60% - 强调文字颜色 3 2 3 3 2 2 2" xfId="22733"/>
    <cellStyle name="计算 2 12" xfId="22734"/>
    <cellStyle name="输出 2 3 2 7 2" xfId="22735"/>
    <cellStyle name="标题 2 2 2 6 3 2" xfId="22736"/>
    <cellStyle name="20% - 强调文字颜色 1 3 2 2 2" xfId="22737"/>
    <cellStyle name="强调文字颜色 2 2 2 2 2 2 2" xfId="22738"/>
    <cellStyle name="常规 10 2 2 3" xfId="22739"/>
    <cellStyle name="60% - 强调文字颜色 6 2 2 2 3 2 3" xfId="22740"/>
    <cellStyle name="40% - 强调文字颜色 6 2 2 2 2 2 4 2" xfId="22741"/>
    <cellStyle name="常规 5 3 3 2" xfId="22742"/>
    <cellStyle name="常规 10 2 3 5 2 2" xfId="22743"/>
    <cellStyle name="汇总 2 2 2 2 7 3" xfId="22744"/>
    <cellStyle name="常规 5 3 4 4 2 2" xfId="22745"/>
    <cellStyle name="60% - 强调文字颜色 4 3 2 4 2" xfId="22746"/>
    <cellStyle name="差 2 4 6 2" xfId="22747"/>
    <cellStyle name="计算 2 2 10 2 5" xfId="22748"/>
    <cellStyle name="注释 2 2 3 2 3 4 3" xfId="22749"/>
    <cellStyle name="汇总 2 11 3 2 2" xfId="22750"/>
    <cellStyle name="汇总 2 5 2 15" xfId="22751"/>
    <cellStyle name="常规 4 6 2 3 3" xfId="22752"/>
    <cellStyle name="20% - 强调文字颜色 3 3 3 2 2" xfId="22753"/>
    <cellStyle name="60% - 强调文字颜色 1 2 2 4 4 2 2" xfId="22754"/>
    <cellStyle name="计算 2 2 3 3 2 2 2 2" xfId="22755"/>
    <cellStyle name="20% - 强调文字颜色 6 5 2 2 2 2" xfId="22756"/>
    <cellStyle name="输出 2 2 3 2 3 2 2 3" xfId="22757"/>
    <cellStyle name="60% - 强调文字颜色 4 2 2 3 8" xfId="22758"/>
    <cellStyle name="40% - 强调文字颜色 1 3 3 4 2" xfId="22759"/>
    <cellStyle name="标题 8 2 3" xfId="22760"/>
    <cellStyle name="计算 2 7 6 5" xfId="22761"/>
    <cellStyle name="强调文字颜色 4 4 2 3" xfId="22762"/>
    <cellStyle name="差 2 2 3 6 2 2" xfId="22763"/>
    <cellStyle name="60% - 强调文字颜色 6 5 2 2" xfId="22764"/>
    <cellStyle name="计算 2 2 2 4 2 4 3" xfId="22765"/>
    <cellStyle name="20% - 强调文字颜色 3 2 3 2 2 3 3 2 2" xfId="22766"/>
    <cellStyle name="常规 27" xfId="22767"/>
    <cellStyle name="汇总 2 2 2 2 2 2 8" xfId="22768"/>
    <cellStyle name="标题 2 2 2 2 3 4" xfId="22769"/>
    <cellStyle name="60% - 强调文字颜色 5 2 3 4 3 2" xfId="22770"/>
    <cellStyle name="强调文字颜色 6 2 5 2 2 2" xfId="22771"/>
    <cellStyle name="适中 2 2 4 3 2 2 2" xfId="22772"/>
    <cellStyle name="60% - 强调文字颜色 6 2 2 4 3 4" xfId="22773"/>
    <cellStyle name="常规 11 2 2 3 2 2" xfId="22774"/>
    <cellStyle name="百分比 2 2 2 5" xfId="22775"/>
    <cellStyle name="汇总 2 2 2 3 2 2" xfId="22776"/>
    <cellStyle name="40% - 强调文字颜色 3 2 2 9" xfId="22777"/>
    <cellStyle name="20% - 强调文字颜色 3 2 5 4 2 2" xfId="22778"/>
    <cellStyle name="计算 2 8 4 3 3" xfId="22779"/>
    <cellStyle name="汇总 2 2 6 10 3" xfId="22780"/>
    <cellStyle name="40% - 强调文字颜色 3 2 5" xfId="22781"/>
    <cellStyle name="适中 2 2 2 2 2 4" xfId="22782"/>
    <cellStyle name="40% - 强调文字颜色 5 2 2 2 2 2" xfId="22783"/>
    <cellStyle name="注释 2 2 3 7 2" xfId="22784"/>
    <cellStyle name="输出 2 7 7 2 2" xfId="22785"/>
    <cellStyle name="注释 2 2 7 6" xfId="22786"/>
    <cellStyle name="强调文字颜色 1 2 2 6 2 2 2" xfId="22787"/>
    <cellStyle name="检查单元格 2 2 5 3 2 2" xfId="22788"/>
    <cellStyle name="60% - 强调文字颜色 6 2 4 5 2 2" xfId="22789"/>
    <cellStyle name="输出 2 2 6 2 4 2" xfId="22790"/>
    <cellStyle name="20% - 强调文字颜色 5 2 3 3 3 2" xfId="22791"/>
    <cellStyle name="输出 2 4 2 3 5 2" xfId="22792"/>
    <cellStyle name="警告文本 2 2 4 2 2" xfId="22793"/>
    <cellStyle name="常规 5 2 2 8" xfId="22794"/>
    <cellStyle name="输入 2 5 4 4 2" xfId="22795"/>
    <cellStyle name="标题 3 2 2 5 2 2 2" xfId="22796"/>
    <cellStyle name="计算 2 2 8 10" xfId="22797"/>
    <cellStyle name="60% - 强调文字颜色 4 4 2 2 2 2" xfId="22798"/>
    <cellStyle name="输入 2 2 3 2 2 2 2 2" xfId="22799"/>
    <cellStyle name="60% - 强调文字颜色 6 2 2 6 3" xfId="22800"/>
    <cellStyle name="强调文字颜色 2 3 2 4" xfId="22801"/>
    <cellStyle name="40% - 强调文字颜色 1 2 4 2 2 2" xfId="22802"/>
    <cellStyle name="20% - 强调文字颜色 3 3 2 4" xfId="22803"/>
    <cellStyle name="标题 4 2 2 2 2 2 2 2" xfId="22804"/>
    <cellStyle name="注释 2 2 3 2 4 6" xfId="22805"/>
    <cellStyle name="计算 2 7 2 2 2 5" xfId="22806"/>
    <cellStyle name="注释 4 2 2 2 2 2" xfId="22807"/>
    <cellStyle name="注释 2 2 2 6 2" xfId="22808"/>
    <cellStyle name="60% - 强调文字颜色 6 2 2 2 3 3 2" xfId="22809"/>
    <cellStyle name="计算 3 7 3" xfId="22810"/>
    <cellStyle name="注释 2 2 6 2 4" xfId="22811"/>
    <cellStyle name="强调文字颜色 5 2 3 2 2 2 2 3" xfId="22812"/>
    <cellStyle name="20% - 强调文字颜色 1 2 7 3" xfId="22813"/>
    <cellStyle name="20% - 强调文字颜色 3 2 2 5 2 2" xfId="22814"/>
    <cellStyle name="计算 3 3 7" xfId="22815"/>
    <cellStyle name="注释 4 2 8" xfId="22816"/>
    <cellStyle name="60% - 强调文字颜色 1 6 2 2" xfId="22817"/>
    <cellStyle name="注释 2 4 2 2 4" xfId="22818"/>
    <cellStyle name="输入 2 8 2 6" xfId="22819"/>
    <cellStyle name="60% - 强调文字颜色 1 2 3 4 3 2 2" xfId="22820"/>
    <cellStyle name="20% - 强调文字颜色 4 3 2 2 2" xfId="22821"/>
    <cellStyle name="计算 2 7 2 2 3 2" xfId="22822"/>
    <cellStyle name="检查单元格 3 2 3 2" xfId="22823"/>
    <cellStyle name="20% - 强调文字颜色 2 2 3 2 2 3 2 2" xfId="22824"/>
    <cellStyle name="标题 1 2 2 9 2" xfId="22825"/>
    <cellStyle name="百分比 2 6 3" xfId="22826"/>
    <cellStyle name="20% - 强调文字颜色 4 2 2 2 3 2 2 2 2 2" xfId="22827"/>
    <cellStyle name="汇总 2 2 3 2 2 3 2 2" xfId="22828"/>
    <cellStyle name="输入 2 7 2 5" xfId="22829"/>
    <cellStyle name="输出 2 6 11" xfId="22830"/>
    <cellStyle name="20% - 强调文字颜色 5 2 2 2 3 5" xfId="22831"/>
    <cellStyle name="注释 2 2 2 3 5 2" xfId="22832"/>
    <cellStyle name="40% - 强调文字颜色 3 2 2 2 4 2" xfId="22833"/>
    <cellStyle name="60% - 强调文字颜色 4 3 3 3 2 2" xfId="22834"/>
    <cellStyle name="强调文字颜色 2 3 10" xfId="22835"/>
    <cellStyle name="常规 12 2 6 2 2" xfId="22836"/>
    <cellStyle name="40% - 强调文字颜色 3 2 9 2" xfId="22837"/>
    <cellStyle name="注释 2 2 3 2 3 2 3" xfId="22838"/>
    <cellStyle name="解释性文本 2 2 3 4 3 2" xfId="22839"/>
    <cellStyle name="60% - 强调文字颜色 4 3 2 2 2" xfId="22840"/>
    <cellStyle name="计算 2 2 6 3 5 2 2" xfId="22841"/>
    <cellStyle name="差 2 4 4 2" xfId="22842"/>
    <cellStyle name="汇总 2 5 4 2 7" xfId="22843"/>
    <cellStyle name="20% - 强调文字颜色 4 6 2 2 2" xfId="22844"/>
    <cellStyle name="注释 2 2 7 2 2" xfId="22845"/>
    <cellStyle name="汇总 2 2 4 2 9 2" xfId="22846"/>
    <cellStyle name="标题 4 2 2 3 9" xfId="22847"/>
    <cellStyle name="计算 2 2 16 2" xfId="22848"/>
    <cellStyle name="60% - 强调文字颜色 6 2 2 3 2" xfId="22849"/>
    <cellStyle name="超链接 2 2 4 3 2 2" xfId="22850"/>
    <cellStyle name="60% - 强调文字颜色 5 2 3 2 3 3" xfId="22851"/>
    <cellStyle name="汇总 2 2 8 3 2 3 2" xfId="22852"/>
    <cellStyle name="标题 2 2 2 2 7 2" xfId="22853"/>
    <cellStyle name="汇总 2 2 5 9" xfId="22854"/>
    <cellStyle name="汇总 2 6 5 4 2" xfId="22855"/>
    <cellStyle name="40% - 强调文字颜色 3 2 2 2 2 4 3" xfId="22856"/>
    <cellStyle name="输出 2 8 6 2" xfId="22857"/>
    <cellStyle name="40% - 强调文字颜色 5 2 6 2 2 2" xfId="22858"/>
    <cellStyle name="注释 2 3 2 7" xfId="22859"/>
    <cellStyle name="标题 2 3 2 2 2 2 3" xfId="22860"/>
    <cellStyle name="注释 2 5 3 2 2 3" xfId="22861"/>
    <cellStyle name="超链接 2 3 2 2 2" xfId="22862"/>
    <cellStyle name="检查单元格 2 2 6 2" xfId="22863"/>
    <cellStyle name="输入 2 2 14 2 2" xfId="22864"/>
    <cellStyle name="输入 2 2 4 2 10 2" xfId="22865"/>
    <cellStyle name="标题 6 3 3 2 2" xfId="22866"/>
    <cellStyle name="常规 11 2 2 2 3" xfId="22867"/>
    <cellStyle name="常规 12 3 3 2" xfId="22868"/>
    <cellStyle name="计算 2 2 2 7" xfId="22869"/>
    <cellStyle name="输入 2 2 3 3 3" xfId="22870"/>
    <cellStyle name="40% - 强调文字颜色 6 2 5 2 3" xfId="22871"/>
    <cellStyle name="汇总 2 8 2 2 4" xfId="22872"/>
    <cellStyle name="标题 1 2 2 3 2 3" xfId="22873"/>
    <cellStyle name="适中 2 4 2 3" xfId="22874"/>
    <cellStyle name="好 3 4 2" xfId="22875"/>
    <cellStyle name="强调文字颜色 6 2 2 4 3 2 2 2" xfId="22876"/>
    <cellStyle name="计算 2 2 6 2 3 2 2" xfId="22877"/>
    <cellStyle name="汇总 2 4 2 2 7" xfId="22878"/>
    <cellStyle name="强调文字颜色 2 2 3 4 3" xfId="22879"/>
    <cellStyle name="计算 2 2 3 2 4 2" xfId="22880"/>
    <cellStyle name="输出 2 2 2 2 6 2 2" xfId="22881"/>
    <cellStyle name="标题 3 2 3 5 2 3" xfId="22882"/>
    <cellStyle name="注释 2 6 4 2 2 2" xfId="22883"/>
    <cellStyle name="标题 2 3 3 3 2 2 2" xfId="22884"/>
    <cellStyle name="标题 1 2 2 2 2 4 4" xfId="22885"/>
    <cellStyle name="输入 2 2 6 9" xfId="22886"/>
    <cellStyle name="计算 2 2 3 4 2 3" xfId="22887"/>
    <cellStyle name="注释 2 2 4 2 6 2" xfId="22888"/>
    <cellStyle name="20% - 强调文字颜色 4 3 4" xfId="22889"/>
    <cellStyle name="汇总 2 2 4 3 2 4 2" xfId="22890"/>
    <cellStyle name="输出 2 9 2 3" xfId="22891"/>
    <cellStyle name="检查单元格 2 2 2 3 7" xfId="22892"/>
    <cellStyle name="20% - 强调文字颜色 3 2 2 6 2" xfId="22893"/>
    <cellStyle name="60% - 强调文字颜色 2 2 3 2 3 3 2 2" xfId="22894"/>
    <cellStyle name="汇总 2 9 7" xfId="22895"/>
    <cellStyle name="强调文字颜色 6 2 4 9" xfId="22896"/>
    <cellStyle name="百分比 2 3 5" xfId="22897"/>
    <cellStyle name="标题 1 2 2 6 4" xfId="22898"/>
    <cellStyle name="40% - 强调文字颜色 4 3 2 2 2" xfId="22899"/>
    <cellStyle name="汇总 2 5 2 2 6 2" xfId="22900"/>
    <cellStyle name="60% - 强调文字颜色 4 2 3 3" xfId="22901"/>
    <cellStyle name="计算 2 5 2 2 5" xfId="22902"/>
    <cellStyle name="20% - 强调文字颜色 6 2 9 2" xfId="22903"/>
    <cellStyle name="输入 2 2 17" xfId="22904"/>
    <cellStyle name="差 2 5 3 2 2" xfId="22905"/>
    <cellStyle name="超链接 2 2 2 4 2" xfId="22906"/>
    <cellStyle name="注释 2 5 2 2 4 3" xfId="22907"/>
    <cellStyle name="60% - 强调文字颜色 3 2 3 2 2 3" xfId="22908"/>
    <cellStyle name="计算 2 3 3 5 3" xfId="22909"/>
    <cellStyle name="标题 3 3 2 2 3 2 2" xfId="22910"/>
    <cellStyle name="输出 2 6 2 2 6" xfId="22911"/>
    <cellStyle name="60% - 强调文字颜色 4 2 3 3 2 2 2 2 2" xfId="22912"/>
    <cellStyle name="超链接 3 5 3 2 2" xfId="22913"/>
    <cellStyle name="输入 2 9 4 2 2" xfId="22914"/>
    <cellStyle name="常规 9 6 4" xfId="22915"/>
    <cellStyle name="检查单元格 2 2 3 3 2 2" xfId="22916"/>
    <cellStyle name="强调文字颜色 1 2 2 4 2 2 2" xfId="22917"/>
    <cellStyle name="标题 6 2 2 3 2 2 2" xfId="22918"/>
    <cellStyle name="40% - 强调文字颜色 6 2 4 3 3 2" xfId="22919"/>
    <cellStyle name="适中 2 3" xfId="22920"/>
    <cellStyle name="标题 5 2 4 5 3" xfId="22921"/>
    <cellStyle name="注释 3 10 2" xfId="22922"/>
    <cellStyle name="计算 2 8 3 4 2 2" xfId="22923"/>
    <cellStyle name="标题 5 4 4" xfId="22924"/>
    <cellStyle name="输入 2 2 5 9 2" xfId="22925"/>
    <cellStyle name="40% - 强调文字颜色 4 2 3 6 2 2 2" xfId="22926"/>
    <cellStyle name="汇总 2 2 8 9 2" xfId="22927"/>
    <cellStyle name="注释 2 5 4 2 2 2 2" xfId="22928"/>
    <cellStyle name="汇总 2 2 4 2 15" xfId="22929"/>
    <cellStyle name="汇总 2 2 3 4 3 3" xfId="22930"/>
    <cellStyle name="汇总 2 3 2 2 2 7" xfId="22931"/>
    <cellStyle name="差 2 2 2 2 5 2 2" xfId="22932"/>
    <cellStyle name="40% - 强调文字颜色 5 2 2 2 2 4 3" xfId="22933"/>
    <cellStyle name="强调文字颜色 5 2 2 4" xfId="22934"/>
    <cellStyle name="40% - 强调文字颜色 5 2 2 5 3 2 2" xfId="22935"/>
    <cellStyle name="检查单元格 2 2 6 3 2" xfId="22936"/>
    <cellStyle name="计算 2 4 2 5 2" xfId="22937"/>
    <cellStyle name="输出 2 2 6 6 2" xfId="22938"/>
    <cellStyle name="超链接 2 2 2 4 3" xfId="22939"/>
    <cellStyle name="汇总 2 8 3 2 3 3" xfId="22940"/>
    <cellStyle name="标题 1 2 2 4 2 2 3" xfId="22941"/>
    <cellStyle name="好 3 3 2 2 2 2" xfId="22942"/>
    <cellStyle name="60% - 强调文字颜色 6 2 4 4 2" xfId="22943"/>
    <cellStyle name="警告文本 2 2 3 2" xfId="22944"/>
    <cellStyle name="20% - 强调文字颜色 3 2 5 5" xfId="22945"/>
    <cellStyle name="强调文字颜色 3 3 2 2 3 2" xfId="22946"/>
    <cellStyle name="汇总 2 12 2" xfId="22947"/>
    <cellStyle name="20% - 强调文字颜色 5 2 2 2 2 3 2 2 2" xfId="22948"/>
    <cellStyle name="注释 2 4 2 5" xfId="22949"/>
    <cellStyle name="常规 6 3 2 2 4 3 2" xfId="22950"/>
    <cellStyle name="20% - 强调文字颜色 6 3 4 2" xfId="22951"/>
    <cellStyle name="20% - 强调文字颜色 6 2 2 2 4 3 2 2" xfId="22952"/>
    <cellStyle name="汇总 2 7 7 2 2" xfId="22953"/>
    <cellStyle name="40% - 强调文字颜色 5 4 2" xfId="22954"/>
    <cellStyle name="汇总 2 2 8 5 3 3" xfId="22955"/>
    <cellStyle name="计算 3 2 3 2" xfId="22956"/>
    <cellStyle name="汇总 2 2 4 3 2 3 2 2" xfId="22957"/>
    <cellStyle name="输出 2 4 2 3 3 3" xfId="22958"/>
    <cellStyle name="计算 2 2 4 3 3 2 2" xfId="22959"/>
    <cellStyle name="计算 2 4 2 3 7" xfId="22960"/>
    <cellStyle name="强调文字颜色 6 2 2 2 4 2 2 2" xfId="22961"/>
    <cellStyle name="输入 2 8 3 2 2 2" xfId="22962"/>
    <cellStyle name="超链接 3 4 2 2 2 2" xfId="22963"/>
    <cellStyle name="输出 2 2 11 2 2" xfId="22964"/>
    <cellStyle name="20% - 强调文字颜色 4 2 2 5 3" xfId="22965"/>
    <cellStyle name="60% - 强调文字颜色 5 2 3 7 2" xfId="22966"/>
    <cellStyle name="40% - 强调文字颜色 6 2 3 6 2 2" xfId="22967"/>
    <cellStyle name="40% - 强调文字颜色 3 2 9" xfId="22968"/>
    <cellStyle name="汇总 2 7 3 2 2 3" xfId="22969"/>
    <cellStyle name="20% - 强调文字颜色 2 2 4" xfId="22970"/>
    <cellStyle name="20% - 强调文字颜色 4 2 2 3 2 2" xfId="22971"/>
    <cellStyle name="40% - 强调文字颜色 1 2 2 2 2 2 3" xfId="22972"/>
    <cellStyle name="40% - 强调文字颜色 3 2 2 2 2 2 3 2 2 2" xfId="22973"/>
    <cellStyle name="计算 2 2 4 4 6" xfId="22974"/>
    <cellStyle name="60% - 强调文字颜色 2 4 3" xfId="22975"/>
    <cellStyle name="输出 2 2 5 2 2 2 2 2" xfId="22976"/>
    <cellStyle name="强调文字颜色 2 2 4 2" xfId="22977"/>
    <cellStyle name="20% - 强调文字颜色 3 3" xfId="22978"/>
    <cellStyle name="注释 2 2 7 2 3 2" xfId="22979"/>
    <cellStyle name="好 2 2 2 5" xfId="22980"/>
    <cellStyle name="注释 2 4 2 3 8" xfId="22981"/>
    <cellStyle name="汇总 2 6 2 3 3 2" xfId="22982"/>
    <cellStyle name="汇总 2 3 2 2 3 2 2 2" xfId="22983"/>
    <cellStyle name="汇总 3 3 5" xfId="22984"/>
    <cellStyle name="标题 4 2 2 2 7 2" xfId="22985"/>
    <cellStyle name="60% - 强调文字颜色 2 4 2 2 2 2 2" xfId="22986"/>
    <cellStyle name="计算 2 2 4 3 2 2" xfId="22987"/>
    <cellStyle name="60% - 强调文字颜色 5 2 2 7" xfId="22988"/>
    <cellStyle name="40% - 强调文字颜色 6 2 3 5 2" xfId="22989"/>
    <cellStyle name="输出 2 2 5 4 2 2 2" xfId="22990"/>
    <cellStyle name="计算 2 9 3 3" xfId="22991"/>
    <cellStyle name="输入 2 2 3 2 7" xfId="22992"/>
    <cellStyle name="40% - 强调文字颜色 5 2 2 2 4 2" xfId="22993"/>
    <cellStyle name="注释 2 2 3 9 2" xfId="22994"/>
    <cellStyle name="检查单元格 2 3 2 2 2 2" xfId="22995"/>
    <cellStyle name="20% - 强调文字颜色 4 2 2 3 2 2 2" xfId="22996"/>
    <cellStyle name="40% - 强调文字颜色 1 2 2 2 2 2 3 2" xfId="22997"/>
    <cellStyle name="标题 1 2 3 2 4" xfId="22998"/>
    <cellStyle name="汇总 2 2 16" xfId="22999"/>
    <cellStyle name="汇总 2 2 21" xfId="23000"/>
    <cellStyle name="计算 2 9 2 2 2" xfId="23001"/>
    <cellStyle name="40% - 强调文字颜色 2 3 2 2 3 2 2" xfId="23002"/>
    <cellStyle name="汇总 4 2 8" xfId="23003"/>
    <cellStyle name="适中 2 2 2 2 5" xfId="23004"/>
    <cellStyle name="常规 9 2 2 2 4" xfId="23005"/>
    <cellStyle name="差 2 2 2 6 2" xfId="23006"/>
    <cellStyle name="差 2 3 3 2 2" xfId="23007"/>
    <cellStyle name="40% - 强调文字颜色 4 2 3 7 2" xfId="23008"/>
    <cellStyle name="输入 2 7 11" xfId="23009"/>
    <cellStyle name="解释性文本 3 7 3" xfId="23010"/>
    <cellStyle name="20% - 强调文字颜色 4 2 10" xfId="23011"/>
    <cellStyle name="注释 2 6 2 2 2 2" xfId="23012"/>
    <cellStyle name="60% - 强调文字颜色 2 2 2 2 3 2 2 2 2 2" xfId="23013"/>
    <cellStyle name="强调文字颜色 3 2 2 2 2 2 2 2" xfId="23014"/>
    <cellStyle name="输入 2 5 12" xfId="23015"/>
    <cellStyle name="60% - 强调文字颜色 6 3 3 3 2 2" xfId="23016"/>
    <cellStyle name="60% - 强调文字颜色 6 4 4 2" xfId="23017"/>
    <cellStyle name="输入 2 2 2 4 8" xfId="23018"/>
    <cellStyle name="计算 2 2 8 3 7" xfId="23019"/>
    <cellStyle name="60% - 强调文字颜色 6 3 4" xfId="23020"/>
    <cellStyle name="标题 2 2 2 7" xfId="23021"/>
    <cellStyle name="60% - 强调文字颜色 1 3 5 2" xfId="23022"/>
    <cellStyle name="汇总 2 2 2 2 9 2" xfId="23023"/>
    <cellStyle name="注释 2 2 8 2 5" xfId="23024"/>
    <cellStyle name="注释 2 2 2 2 11" xfId="23025"/>
    <cellStyle name="好 3 3 3 2" xfId="23026"/>
    <cellStyle name="常规 6 2 2 4" xfId="23027"/>
    <cellStyle name="注释 2 3 10" xfId="23028"/>
    <cellStyle name="计算 2 6 4 4 2 2" xfId="23029"/>
    <cellStyle name="适中 2 2 2 5 2 2 2" xfId="23030"/>
    <cellStyle name="常规 4 4 4" xfId="23031"/>
    <cellStyle name="40% - 强调文字颜色 6 2 3 2" xfId="23032"/>
    <cellStyle name="汇总 2 7 2 2 4 2 2" xfId="23033"/>
    <cellStyle name="计算 2 4 3 2 2" xfId="23034"/>
    <cellStyle name="输出 2 2 7 3 2" xfId="23035"/>
    <cellStyle name="差 2 3 2 3 2 3" xfId="23036"/>
    <cellStyle name="40% - 强调文字颜色 2 2 3 4 3 2 2" xfId="23037"/>
    <cellStyle name="20% - 强调文字颜色 5 2 2 3 2 2 2" xfId="23038"/>
    <cellStyle name="标题 1 3 2 2" xfId="23039"/>
    <cellStyle name="计算 2 4 4 2 4 2 2" xfId="23040"/>
    <cellStyle name="说明文本 4 3" xfId="23041"/>
    <cellStyle name="汇总 2 2 3 5 3" xfId="23042"/>
    <cellStyle name="汇总 2 4 6 3" xfId="23043"/>
    <cellStyle name="40% - 强调文字颜色 2 2 3 2 2 4 3" xfId="23044"/>
    <cellStyle name="20% - 强调文字颜色 6 2 2 8 2" xfId="23045"/>
    <cellStyle name="输出 3 4 3 2" xfId="23046"/>
    <cellStyle name="汇总 2 3 2 2 4 2" xfId="23047"/>
    <cellStyle name="40% - 强调文字颜色 1 2 3 2 2 2 2 2 2" xfId="23048"/>
    <cellStyle name="差 2 2 4 3 3 2" xfId="23049"/>
    <cellStyle name="说明文本 2 4 2" xfId="23050"/>
    <cellStyle name="警告文本 2 3 4 2 2 2" xfId="23051"/>
    <cellStyle name="常规 4 2 2 2 2 4" xfId="23052"/>
    <cellStyle name="强调文字颜色 4 2 2 2 4 3 3" xfId="23053"/>
    <cellStyle name="适中 2 3 2 5" xfId="23054"/>
    <cellStyle name="计算 2 2 9 2 2 2 2" xfId="23055"/>
    <cellStyle name="标题 4 2 2 8 2" xfId="23056"/>
    <cellStyle name="60% - 强调文字颜色 2 2 4 3 3 2" xfId="23057"/>
    <cellStyle name="计算 2 2 4 5 2 3 2 2" xfId="23058"/>
    <cellStyle name="40% - 强调文字颜色 1 4 2 2" xfId="23059"/>
    <cellStyle name="汇总 2 7 3 2 2 2" xfId="23060"/>
    <cellStyle name="40% - 强调文字颜色 6 2 2 3 4 2 2" xfId="23061"/>
    <cellStyle name="40% - 强调文字颜色 3 2 8" xfId="23062"/>
    <cellStyle name="强调文字颜色 6 2 2 5 2 2 2" xfId="23063"/>
    <cellStyle name="标题 8 2 2 2 2" xfId="23064"/>
    <cellStyle name="汇总 2 2 7 3 5 2" xfId="23065"/>
    <cellStyle name="注释 2 2 4 4 2 3" xfId="23066"/>
    <cellStyle name="常规 10 5 4 3" xfId="23067"/>
    <cellStyle name="汇总 2 2 6 3" xfId="23068"/>
    <cellStyle name="输入 3 4 2" xfId="23069"/>
    <cellStyle name="常规 3 3 6" xfId="23070"/>
    <cellStyle name="强调文字颜色 1 2 4 2 2" xfId="23071"/>
    <cellStyle name="汇总 2 2 6 4 4 3" xfId="23072"/>
    <cellStyle name="检查单元格 2 4 2 2 2" xfId="23073"/>
    <cellStyle name="40% - 强调文字颜色 5 3 2 2 4" xfId="23074"/>
    <cellStyle name="Normal 4 2 2 2 2" xfId="23075"/>
    <cellStyle name="40% - 强调文字颜色 6 2 2 2 2 2 5" xfId="23076"/>
    <cellStyle name="20% - 强调文字颜色 4 2 2 5 3 2 2" xfId="23077"/>
    <cellStyle name="汇总 2 2 5 3 5 2 2" xfId="23078"/>
    <cellStyle name="注释 2 2 2 4 2 3 2" xfId="23079"/>
    <cellStyle name="输出 2 5 2 9" xfId="23080"/>
    <cellStyle name="强调文字颜色 2 2 9" xfId="23081"/>
    <cellStyle name="输出 2 2 5 2 4 2" xfId="23082"/>
    <cellStyle name="链接单元格 2 6" xfId="23083"/>
    <cellStyle name="20% - 强调文字颜色 5 2 2 3 3 2" xfId="23084"/>
    <cellStyle name="标题 1 4 2" xfId="23085"/>
    <cellStyle name="超链接 3 2 2 2 3 2 2 2" xfId="23086"/>
    <cellStyle name="20% - 强调文字颜色 1 2 2 3 3 3 2" xfId="23087"/>
    <cellStyle name="20% - 强调文字颜色 5 2 5 2 3" xfId="23088"/>
    <cellStyle name="输出 2 4 4 2 5" xfId="23089"/>
    <cellStyle name="常规 2 3 2 2 5" xfId="23090"/>
    <cellStyle name="40% - 强调文字颜色 5 2 4 7" xfId="23091"/>
    <cellStyle name="60% - 强调文字颜色 6 2 3 3 2" xfId="23092"/>
    <cellStyle name="标题 4 2 3 2 2" xfId="23093"/>
    <cellStyle name="60% - 强调文字颜色 3 2 3 5 2 2 2" xfId="23094"/>
    <cellStyle name="40% - 强调文字颜色 5 2 3 2 2 2 2" xfId="23095"/>
    <cellStyle name="20% - 强调文字颜色 2 2 6 2 2" xfId="23096"/>
    <cellStyle name="汇总 3" xfId="23097"/>
    <cellStyle name="计算 2 2 4 2 3 3 2 2" xfId="23098"/>
    <cellStyle name="标题 3 2 5 2 2 2" xfId="23099"/>
    <cellStyle name="20% - 强调文字颜色 1 4 2 4 2" xfId="23100"/>
    <cellStyle name="60% - 强调文字颜色 4 2 2 4 2 3" xfId="23101"/>
    <cellStyle name="40% - 强调文字颜色 6 2 3 6 2 2 2" xfId="23102"/>
    <cellStyle name="常规 11 2 4 3" xfId="23103"/>
    <cellStyle name="汇总 2 3 8 2" xfId="23104"/>
    <cellStyle name="输入 2 5 2 6 3" xfId="23105"/>
    <cellStyle name="20% - 强调文字颜色 3 2 3 2 4 2 2 2" xfId="23106"/>
    <cellStyle name="差 4 2 2 2" xfId="23107"/>
    <cellStyle name="输入 3 3 2 4" xfId="23108"/>
    <cellStyle name="计算 2 7 3 5" xfId="23109"/>
    <cellStyle name="60% - 强调文字颜色 2 2 3 5 2 2" xfId="23110"/>
    <cellStyle name="60% - 强调文字颜色 3 2 7 2 2" xfId="23111"/>
    <cellStyle name="标题 1 2 2 3 3 2 2" xfId="23112"/>
    <cellStyle name="强调文字颜色 3 2 2 5 2" xfId="23113"/>
    <cellStyle name="20% - 强调文字颜色 1 2 5 3 3 2" xfId="23114"/>
    <cellStyle name="标题 4 2 2 2 3 7" xfId="23115"/>
    <cellStyle name="40% - 强调文字颜色 5 2 3 6 2 2" xfId="23116"/>
    <cellStyle name="计算 2 5 4 2 2 2 2" xfId="23117"/>
    <cellStyle name="输出 2 5 2 5" xfId="23118"/>
    <cellStyle name="解释性文本 2 4 3 3" xfId="23119"/>
    <cellStyle name="标题 4 2 2 4 4 2 2" xfId="23120"/>
    <cellStyle name="20% - 强调文字颜色 5 2 5 5 2 2" xfId="23121"/>
    <cellStyle name="差 2 3 6 2 3" xfId="23122"/>
    <cellStyle name="20% - 强调文字颜色 2 3 2 4 2" xfId="23123"/>
    <cellStyle name="注释 2 2 8 3 3" xfId="23124"/>
    <cellStyle name="40% - 强调文字颜色 3 2 8 2 2" xfId="23125"/>
    <cellStyle name="好 3 3 2" xfId="23126"/>
    <cellStyle name="60% - 强调文字颜色 1 2 2 2 2 5" xfId="23127"/>
    <cellStyle name="60% - 强调文字颜色 5 2 3 2 4 2 2 2" xfId="23128"/>
    <cellStyle name="60% - 强调文字颜色 6 3 4 2" xfId="23129"/>
    <cellStyle name="标题 6 7" xfId="23130"/>
    <cellStyle name="20% - 强调文字颜色 1 2 2 2 4 2 2" xfId="23131"/>
    <cellStyle name="40% - 强调文字颜色 5 3 2 4 2 2 2" xfId="23132"/>
    <cellStyle name="20% - 强调文字颜色 5 4 2 2 2 2" xfId="23133"/>
    <cellStyle name="强调文字颜色 3 2 2 2 2 3 4" xfId="23134"/>
    <cellStyle name="链接单元格 2 2 2 4 2 2 2" xfId="23135"/>
    <cellStyle name="适中 2 2 3 2 2 2 3" xfId="23136"/>
    <cellStyle name="常规 2 4 2 2 2" xfId="23137"/>
    <cellStyle name="输出 2 5 4 2 2" xfId="23138"/>
    <cellStyle name="20% - 强调文字颜色 1 3 7" xfId="23139"/>
    <cellStyle name="强调文字颜色 2 2 2 2 7" xfId="23140"/>
    <cellStyle name="输出 2 4 6 2" xfId="23141"/>
    <cellStyle name="常规 2 3 4 2" xfId="23142"/>
    <cellStyle name="标题 2 2 3 2 2 2 2 2 2" xfId="23143"/>
    <cellStyle name="标题 1 4 2 2 2 2" xfId="23144"/>
    <cellStyle name="40% - 强调文字颜色 3 2 3 2 4 3 2 2" xfId="23145"/>
    <cellStyle name="输入 2 2 5 8 3" xfId="23146"/>
    <cellStyle name="标题 5 3 5" xfId="23147"/>
    <cellStyle name="40% - 强调文字颜色 5 4 2 2 2 2 2" xfId="23148"/>
    <cellStyle name="标题 4 2 2 2 2 7" xfId="23149"/>
    <cellStyle name="输出 2 2 3 2 4 2 4" xfId="23150"/>
    <cellStyle name="40% - 强调文字颜色 3 2 2 2 2 4 2 2 2" xfId="23151"/>
    <cellStyle name="40% - 强调文字颜色 2 2 4 7" xfId="23152"/>
    <cellStyle name="60% - 强调文字颜色 6 2 4 2 2" xfId="23153"/>
    <cellStyle name="常规 5 4 2 5 2 2" xfId="23154"/>
    <cellStyle name="常规 5 2 2 2 2 3 2 2" xfId="23155"/>
    <cellStyle name="强调文字颜色 6 2 2 2 8" xfId="23156"/>
    <cellStyle name="输入 2 2 6 2 5 2" xfId="23157"/>
    <cellStyle name="常规 4 2 2 2 4" xfId="23158"/>
    <cellStyle name="输入 2 4 2 7" xfId="23159"/>
    <cellStyle name="差 3 3 2 2 3" xfId="23160"/>
    <cellStyle name="汇总 2 2 3 6" xfId="23161"/>
    <cellStyle name="输入 2 4 2 4 3" xfId="23162"/>
    <cellStyle name="汇总 2 4 3 4" xfId="23163"/>
    <cellStyle name="60% - 强调文字颜色 3 4 3 2 2" xfId="23164"/>
    <cellStyle name="40% - 强调文字颜色 4 3 3 4 2" xfId="23165"/>
    <cellStyle name="20% - 强调文字颜色 2 2 2 2 6 2 2 2" xfId="23166"/>
    <cellStyle name="计算 2 2 2 3 6 2" xfId="23167"/>
    <cellStyle name="汇总 2 2 5 2 2 2 8" xfId="23168"/>
    <cellStyle name="40% - 强调文字颜色 3 2 3 2 3 3 2" xfId="23169"/>
    <cellStyle name="警告文本 2 2 2 3 5" xfId="23170"/>
    <cellStyle name="20% - 强调文字颜色 4 3 3 2 2" xfId="23171"/>
    <cellStyle name="计算 2 2 3 4 2 2 2 2" xfId="23172"/>
    <cellStyle name="输入 2 9 2 6" xfId="23173"/>
    <cellStyle name="输入 2 3 2 8 2" xfId="23174"/>
    <cellStyle name="60% - 强调文字颜色 6 2 2 2 7" xfId="23175"/>
    <cellStyle name="注释 2 3 3 4 2" xfId="23176"/>
    <cellStyle name="汇总 2 2 4 2 3 5" xfId="23177"/>
    <cellStyle name="常规 12 2 2 4 2" xfId="23178"/>
    <cellStyle name="超链接 2 5 2 2 2" xfId="23179"/>
    <cellStyle name="好 2 3 2 2 2 2 2" xfId="23180"/>
    <cellStyle name="标题 3 2 3 2 2 5" xfId="23181"/>
    <cellStyle name="强调文字颜色 5 2 5 3" xfId="23182"/>
    <cellStyle name="20% - 强调文字颜色 3 2 2 2 2 2 3 3" xfId="23183"/>
    <cellStyle name="标题 5 2 2 3 3" xfId="23184"/>
    <cellStyle name="强调文字颜色 1 3 4 2" xfId="23185"/>
    <cellStyle name="好 2 2" xfId="23186"/>
    <cellStyle name="60% - 强调文字颜色 6 2 5 4" xfId="23187"/>
    <cellStyle name="40% - 强调文字颜色 2 2 2 8 2" xfId="23188"/>
    <cellStyle name="差 4 4 2 3" xfId="23189"/>
    <cellStyle name="汇总 2 7 6" xfId="23190"/>
    <cellStyle name="输入 2 4 2 2 2 5" xfId="23191"/>
    <cellStyle name="60% - 强调文字颜色 1 2 2 2 5 2 2 2" xfId="23192"/>
    <cellStyle name="汇总 2 2 2 6 5" xfId="23193"/>
    <cellStyle name="输入 2 2 8 2 3 2" xfId="23194"/>
    <cellStyle name="40% - 强调文字颜色 5 2 3 2 2 4 2" xfId="23195"/>
    <cellStyle name="20% - 强调文字颜色 2 3 5" xfId="23196"/>
    <cellStyle name="计算 2 2 3 2 2 4" xfId="23197"/>
    <cellStyle name="强调文字颜色 2 2 3 2 5" xfId="23198"/>
    <cellStyle name="输出 2 4 3 2 4 2" xfId="23199"/>
    <cellStyle name="20% - 强调文字颜色 5 2 4 2 2 2" xfId="23200"/>
    <cellStyle name="汇总 2 2 5 2 2 4 2" xfId="23201"/>
    <cellStyle name="好 3 2 2 2 2 3" xfId="23202"/>
    <cellStyle name="20% - 强调文字颜色 6 3 2 2 3 2" xfId="23203"/>
    <cellStyle name="60% - 强调文字颜色 4 2 2 7 2 2" xfId="23204"/>
    <cellStyle name="20% - 强调文字颜色 5 2 2 2 3 3 2 2" xfId="23205"/>
    <cellStyle name="计算 2 2 4 3 2 4 2" xfId="23206"/>
    <cellStyle name="输出 2 3 2 2 2 3" xfId="23207"/>
    <cellStyle name="强调文字颜色 5 2 6 4" xfId="23208"/>
    <cellStyle name="常规 6 2 2" xfId="23209"/>
    <cellStyle name="注释 2 10 3 2" xfId="23210"/>
    <cellStyle name="常规 3 9" xfId="23211"/>
    <cellStyle name="汇总 2 6 3 7 2" xfId="23212"/>
    <cellStyle name="好 2 2 2 6 3" xfId="23213"/>
    <cellStyle name="常规 6 3 3 2 2" xfId="23214"/>
    <cellStyle name="标题 2 2 3 4 3 2" xfId="23215"/>
    <cellStyle name="40% - 强调文字颜色 1 2 2 2 3 3 2" xfId="23216"/>
    <cellStyle name="60% - 强调文字颜色 1 2 4 2 2 2" xfId="23217"/>
    <cellStyle name="40% - 强调文字颜色 4 2 2 2 2 2 5" xfId="23218"/>
    <cellStyle name="常规 6 6 2" xfId="23219"/>
    <cellStyle name="计算 4 4 2" xfId="23220"/>
    <cellStyle name="常规 8 3 3 2 2" xfId="23221"/>
    <cellStyle name="警告文本 2 3 2 2 3" xfId="23222"/>
    <cellStyle name="汇总 2 8 4 7" xfId="23223"/>
    <cellStyle name="汇总 2 6 3 2 3 2 2" xfId="23224"/>
    <cellStyle name="计算 2 5 2 2 2 2 4 3" xfId="23225"/>
    <cellStyle name="60% - 强调文字颜色 6 6 3" xfId="23226"/>
    <cellStyle name="好 2 2 5 3 2 2" xfId="23227"/>
    <cellStyle name="常规 9" xfId="23228"/>
    <cellStyle name="40% - 强调文字颜色 3 2 2 3 5 2" xfId="23229"/>
    <cellStyle name="输入 2 2 3 2 2 2 3" xfId="23230"/>
    <cellStyle name="40% - 强调文字颜色 3 4 2 2 2" xfId="23231"/>
    <cellStyle name="注释 2 4 2 3 3" xfId="23232"/>
    <cellStyle name="输入 2 2 3 2 4 2 2" xfId="23233"/>
    <cellStyle name="汇总 2 8 3 2 7" xfId="23234"/>
    <cellStyle name="标题 3 2 4 4 2 2" xfId="23235"/>
    <cellStyle name="汇总 2 2 2 2 3 3" xfId="23236"/>
    <cellStyle name="20% - 强调文字颜色 4 2 2 2 2 2 3 2" xfId="23237"/>
    <cellStyle name="40% - 强调文字颜色 5 2 2 2 2 2 2 2 2 2 2" xfId="23238"/>
    <cellStyle name="强调文字颜色 2 3 2 4 2" xfId="23239"/>
    <cellStyle name="输入 2 2 4 2 2 2 2" xfId="23240"/>
    <cellStyle name="输出 3 2 3 2" xfId="23241"/>
    <cellStyle name="20% - 强调文字颜色 5 2 2 9" xfId="23242"/>
    <cellStyle name="标题 3 2 3 4 3 2 2" xfId="23243"/>
    <cellStyle name="输入 2 7 4 5" xfId="23244"/>
    <cellStyle name="超链接 3 3 3 5" xfId="23245"/>
    <cellStyle name="强调文字颜色 6 2 3 4 3 3" xfId="23246"/>
    <cellStyle name="注释 2 2 3 4 2 2 2" xfId="23247"/>
    <cellStyle name="40% - 强调文字颜色 6 2 5 3 2" xfId="23248"/>
    <cellStyle name="40% - 强调文字颜色 3 2 3 2 2 4 2 2" xfId="23249"/>
    <cellStyle name="常规 4 2 4 3 3 3" xfId="23250"/>
    <cellStyle name="超链接 2 4 2 2 2" xfId="23251"/>
    <cellStyle name="注释 2 5 4 2 2 3" xfId="23252"/>
    <cellStyle name="输入 2 5 5 2 2" xfId="23253"/>
    <cellStyle name="计算 2 2 2 2 3 3 2 2" xfId="23254"/>
    <cellStyle name="强调文字颜色 6 2 2 2 2 2 2 2" xfId="23255"/>
    <cellStyle name="20% - 强调文字颜色 6 2 4 2 2" xfId="23256"/>
    <cellStyle name="解释性文本 2 2 3 4 3" xfId="23257"/>
    <cellStyle name="常规 6 3 2 2 3 3 2 2" xfId="23258"/>
    <cellStyle name="常规 4 8 2 2" xfId="23259"/>
    <cellStyle name="40% - 强调文字颜色 3 3 2 3 2" xfId="23260"/>
    <cellStyle name="注释 2 3 2 4 3" xfId="23261"/>
    <cellStyle name="汇总 4 5 2 2" xfId="23262"/>
    <cellStyle name="计算 2 2 6 6 2 3" xfId="23263"/>
    <cellStyle name="汇总 2 5 2 6 2 2" xfId="23264"/>
    <cellStyle name="标题 3 2 4 2 3" xfId="23265"/>
    <cellStyle name="40% - 强调文字颜色 4 2 2 3 7" xfId="23266"/>
    <cellStyle name="链接单元格 2 5 3 2 2" xfId="23267"/>
    <cellStyle name="40% - 强调文字颜色 5 2 2 4" xfId="23268"/>
    <cellStyle name="20% - 强调文字颜色 6 3 6 2" xfId="23269"/>
    <cellStyle name="输出 2 2 5 2 3 3" xfId="23270"/>
    <cellStyle name="20% - 强调文字颜色 6 3 2 2 2 2" xfId="23271"/>
    <cellStyle name="链接单元格 2 3 2 4 2 2" xfId="23272"/>
    <cellStyle name="20% - 强调文字颜色 6 3 2 2" xfId="23273"/>
    <cellStyle name="强调文字颜色 2 2 7 2 2 2" xfId="23274"/>
    <cellStyle name="汇总 2 8 3 4" xfId="23275"/>
    <cellStyle name="40% - 强调文字颜色 6 2 3 3 6" xfId="23276"/>
    <cellStyle name="40% - 强调文字颜色 5 2 2 4 3 3 2" xfId="23277"/>
    <cellStyle name="计算 2 3 2 6 2" xfId="23278"/>
    <cellStyle name="输入 2 2 4 3 2 2" xfId="23279"/>
    <cellStyle name="40% - 强调文字颜色 6 2 2 2 2 5 2" xfId="23280"/>
    <cellStyle name="输入 3 3 2 2 2" xfId="23281"/>
    <cellStyle name="差 2 3 2 3" xfId="23282"/>
    <cellStyle name="40% - 强调文字颜色 6 2 2 2 7" xfId="23283"/>
    <cellStyle name="汇总 2 7 2 5" xfId="23284"/>
    <cellStyle name="40% - 强调文字颜色 5 2 3 2 2 2 3" xfId="23285"/>
    <cellStyle name="好 3 2 2 3 2" xfId="23286"/>
    <cellStyle name="汇总 2 14" xfId="23287"/>
    <cellStyle name="40% - 强调文字颜色 5 2 2 2 7" xfId="23288"/>
    <cellStyle name="检查单元格 2 3 2 2 5" xfId="23289"/>
    <cellStyle name="标题 5 4 4 3" xfId="23290"/>
    <cellStyle name="20% - 强调文字颜色 1 2 3 2 2 3 3" xfId="23291"/>
    <cellStyle name="汇总 2 8 4 3 2" xfId="23292"/>
    <cellStyle name="40% - 强调文字颜色 3 2 4 5" xfId="23293"/>
    <cellStyle name="20% - 强调文字颜色 3 2 3 4 3" xfId="23294"/>
    <cellStyle name="强调文字颜色 1 2 2 2 2 3 3 2 2" xfId="23295"/>
    <cellStyle name="汇总 2 2 4 4 2 6" xfId="23296"/>
    <cellStyle name="40% - 强调文字颜色 3 3 5 2 2" xfId="23297"/>
    <cellStyle name="注释 2 4 2 2 3 3" xfId="23298"/>
    <cellStyle name="汇总 2 2 9 5 2" xfId="23299"/>
    <cellStyle name="常规 9 5 4" xfId="23300"/>
    <cellStyle name="检查单元格 2 3 2 2 4" xfId="23301"/>
    <cellStyle name="40% - 强调文字颜色 2 2 3 2 2 2 2 2" xfId="23302"/>
    <cellStyle name="汇总 2 4 4 2 2" xfId="23303"/>
    <cellStyle name="40% - 强调文字颜色 5 2 2 2 6" xfId="23304"/>
    <cellStyle name="标题 5 4 3 3" xfId="23305"/>
    <cellStyle name="计算 3 2 9 2" xfId="23306"/>
    <cellStyle name="计算 4 2 6 2 2" xfId="23307"/>
    <cellStyle name="汇总 2 2 2 2 3 2 2" xfId="23308"/>
    <cellStyle name="链接单元格 2 2 2" xfId="23309"/>
    <cellStyle name="标题 2 2 3 2 2 2 2 3" xfId="23310"/>
    <cellStyle name="百分比 2 6" xfId="23311"/>
    <cellStyle name="常规 20 2" xfId="23312"/>
    <cellStyle name="常规 15 2" xfId="23313"/>
    <cellStyle name="输入 2 6 2" xfId="23314"/>
    <cellStyle name="标题 1 2 3 2 8" xfId="23315"/>
    <cellStyle name="强调文字颜色 4 3 3 3 2" xfId="23316"/>
    <cellStyle name="输入 2 3 2 7 2" xfId="23317"/>
    <cellStyle name="汇总 2 2 5 3 2 4 2 2" xfId="23318"/>
    <cellStyle name="输入 2 4 11" xfId="23319"/>
    <cellStyle name="标题 1 2 3 4 3 3" xfId="23320"/>
    <cellStyle name="60% - 强调文字颜色 6 2 2 2 3 2 2 2" xfId="23321"/>
    <cellStyle name="常规 3 3 5 3" xfId="23322"/>
    <cellStyle name="输入 2 5 2 3 2" xfId="23323"/>
    <cellStyle name="汇总 3 2 2 5" xfId="23324"/>
    <cellStyle name="常规 8 2 2 4 2 2 2" xfId="23325"/>
    <cellStyle name="计算 2 5 5 2 2 2 2" xfId="23326"/>
    <cellStyle name="汇总 2 6 5 5" xfId="23327"/>
    <cellStyle name="标题 1 2 2 4 3 3" xfId="23328"/>
    <cellStyle name="20% - 强调文字颜色 1 2 3 2 2 4 3" xfId="23329"/>
    <cellStyle name="汇总 2 8 4 4 2" xfId="23330"/>
    <cellStyle name="40% - 强调文字颜色 3 2 5 5" xfId="23331"/>
    <cellStyle name="输入 2 2 4 2 3 3 3" xfId="23332"/>
    <cellStyle name="注释 2 2 3 3 4 3" xfId="23333"/>
    <cellStyle name="40% - 强调文字颜色 3 2 3 2 3 3" xfId="23334"/>
    <cellStyle name="汇总 2 2 6 2 7 2" xfId="23335"/>
    <cellStyle name="注释 2 2 2 7 2" xfId="23336"/>
    <cellStyle name="20% - 强调文字颜色 2 4 2 2 2 2" xfId="23337"/>
    <cellStyle name="60% - 强调文字颜色 6 4 2 4 2" xfId="23338"/>
    <cellStyle name="20% - 强调文字颜色 6 2 2 2 2 2 2 2 2" xfId="23339"/>
    <cellStyle name="输出 2 5 4 3" xfId="23340"/>
    <cellStyle name="强调文字颜色 1 2 2 2 5" xfId="23341"/>
    <cellStyle name="输出 2 2 5 2 2 3" xfId="23342"/>
    <cellStyle name="20% - 强调文字颜色 6 3 5 2" xfId="23343"/>
    <cellStyle name="汇总 2 2 7 3 5" xfId="23344"/>
    <cellStyle name="标题 8 2 2 2" xfId="23345"/>
    <cellStyle name="计算 2 7 6 4 2" xfId="23346"/>
    <cellStyle name="标题 1 2 2 2 2 2 2 2 3" xfId="23347"/>
    <cellStyle name="常规 3 7 4 2 2" xfId="23348"/>
    <cellStyle name="强调文字颜色 3 5 2 2" xfId="23349"/>
    <cellStyle name="输出 2 2 2 2 4 2 2" xfId="23350"/>
    <cellStyle name="计算 2 7 4 2 4" xfId="23351"/>
    <cellStyle name="40% - 强调文字颜色 5 2 2 2 4" xfId="23352"/>
    <cellStyle name="注释 2 2 3 9" xfId="23353"/>
    <cellStyle name="汇总 2 2 5 4 4 3" xfId="23354"/>
    <cellStyle name="检查单元格 2 3 2 2 2" xfId="23355"/>
    <cellStyle name="40% - 强调文字颜色 2 6" xfId="23356"/>
    <cellStyle name="常规 4 2 6 3" xfId="23357"/>
    <cellStyle name="汇总 2 7 4 4" xfId="23358"/>
    <cellStyle name="强调文字颜色 3 2 7 2 2 2" xfId="23359"/>
    <cellStyle name="强调文字颜色 6 2 2 6 4" xfId="23360"/>
    <cellStyle name="40% - 强调文字颜色 1 3" xfId="23361"/>
    <cellStyle name="检查单元格 2 2 4 3 2" xfId="23362"/>
    <cellStyle name="强调文字颜色 2 2 2 2 4 2 3" xfId="23363"/>
    <cellStyle name="注释 2 2 6 6 2 2" xfId="23364"/>
    <cellStyle name="强调文字颜色 1 2 2 5 2 2" xfId="23365"/>
    <cellStyle name="40% - 强调文字颜色 5 2 4 3 3" xfId="23366"/>
    <cellStyle name="汇总 2 2 4 2 2 2 4 2 2" xfId="23367"/>
    <cellStyle name="注释 2 4 4 8" xfId="23368"/>
    <cellStyle name="标题 1 2 2 2 2 2 2 3" xfId="23369"/>
    <cellStyle name="标题 3 2 2 2 2 4 2 3" xfId="23370"/>
    <cellStyle name="百分比 2 3 2 2 2" xfId="23371"/>
    <cellStyle name="汇总 3 5 2 3" xfId="23372"/>
    <cellStyle name="40% - 强调文字颜色 5 2 2 2 3 2 2 2 2 2" xfId="23373"/>
    <cellStyle name="注释 2 2 2 5 2" xfId="23374"/>
    <cellStyle name="汇总 2 2 12 4 2" xfId="23375"/>
    <cellStyle name="20% - 强调文字颜色 1 2 6 3" xfId="23376"/>
    <cellStyle name="标题 4 2 6 3 3" xfId="23377"/>
    <cellStyle name="40% - 强调文字颜色 5 2 2 2 2 2 3 3 2" xfId="23378"/>
    <cellStyle name="输入 2 10 2 5" xfId="23379"/>
    <cellStyle name="常规 10 4 4 2" xfId="23380"/>
    <cellStyle name="超链接 2 2 2 5 3" xfId="23381"/>
    <cellStyle name="20% - 强调文字颜色 6 2 3 2 2 2 2 2 2" xfId="23382"/>
    <cellStyle name="强调文字颜色 2 2 2 3 2" xfId="23383"/>
    <cellStyle name="20% - 强调文字颜色 1 4 2" xfId="23384"/>
    <cellStyle name="计算 2 2 4 4 2 4 3" xfId="23385"/>
    <cellStyle name="40% - 强调文字颜色 6 2 2 2 2 3 3 2" xfId="23386"/>
    <cellStyle name="20% - 强调文字颜色 3 2 6 2 2" xfId="23387"/>
    <cellStyle name="常规 7 2 2 4 3 2" xfId="23388"/>
    <cellStyle name="输入 2 2 3 2 2 2 5" xfId="23389"/>
    <cellStyle name="标题 1 3 3 2 2" xfId="23390"/>
    <cellStyle name="常规 8 2 4 3" xfId="23391"/>
    <cellStyle name="输出 2 3 2 3 2" xfId="23392"/>
    <cellStyle name="40% - 强调文字颜色 2 2 2 2 2 3 3 2" xfId="23393"/>
    <cellStyle name="输入 2 4 3 7" xfId="23394"/>
    <cellStyle name="汇总 4 2 2 2 2 2" xfId="23395"/>
    <cellStyle name="40% - 强调文字颜色 4 3 3" xfId="23396"/>
    <cellStyle name="适中 2 2 2 3 3 2" xfId="23397"/>
    <cellStyle name="20% - 强调文字颜色 1 2 3 3 3 2" xfId="23398"/>
    <cellStyle name="输入 2 2 4 2 4 2 2" xfId="23399"/>
    <cellStyle name="40% - 强调文字颜色 4 4 2 2 2" xfId="23400"/>
    <cellStyle name="60% - 强调文字颜色 6 2 2 2 2 2 3" xfId="23401"/>
    <cellStyle name="计算 2 6 4" xfId="23402"/>
    <cellStyle name="常规 5 2 3 2" xfId="23403"/>
    <cellStyle name="计算 3 9 2" xfId="23404"/>
    <cellStyle name="输出 5 3 3" xfId="23405"/>
    <cellStyle name="20% - 强调文字颜色 5 4 2 2 2 2 2" xfId="23406"/>
    <cellStyle name="警告文本 2 5 2 2 2" xfId="23407"/>
    <cellStyle name="汇总 2 2 2 6 4" xfId="23408"/>
    <cellStyle name="常规 3 3 3 5 2 2" xfId="23409"/>
    <cellStyle name="60% - 强调文字颜色 2 4" xfId="23410"/>
    <cellStyle name="汇总 2 3 4 2 4 3" xfId="23411"/>
    <cellStyle name="60% - 强调文字颜色 5 2 2 2 2 2 4" xfId="23412"/>
    <cellStyle name="汇总 2 9 4 2 2" xfId="23413"/>
    <cellStyle name="40% - 强调文字颜色 4 2 3 5" xfId="23414"/>
    <cellStyle name="好 4 2 2 2" xfId="23415"/>
    <cellStyle name="20% - 强调文字颜色 5 2 4 6" xfId="23416"/>
    <cellStyle name="60% - 强调文字颜色 6 2 2 2 3 5" xfId="23417"/>
    <cellStyle name="汇总 2 4 4 2 3 2 2" xfId="23418"/>
    <cellStyle name="强调文字颜色 6 2 6 2 2 2" xfId="23419"/>
    <cellStyle name="60% - 强调文字颜色 5 2 4 4 3 2" xfId="23420"/>
    <cellStyle name="输入 2 2 4 2 2 2 2 2 3" xfId="23421"/>
    <cellStyle name="40% - 强调文字颜色 4 3 5 2" xfId="23422"/>
    <cellStyle name="40% - 强调文字颜色 5 2 2 9" xfId="23423"/>
    <cellStyle name="汇总 2 2 4 3 2 2" xfId="23424"/>
    <cellStyle name="标题 4 2 2 3 7" xfId="23425"/>
    <cellStyle name="汇总 2 2 4 4 4" xfId="23426"/>
    <cellStyle name="汇总 2 2 4 4 6 2 2" xfId="23427"/>
    <cellStyle name="20% - 强调文字颜色 2 2 2 4 4" xfId="23428"/>
    <cellStyle name="差 2 2 3 4 2 2 2" xfId="23429"/>
    <cellStyle name="20% - 强调文字颜色 6 2 2 2 2 4 2 2 2" xfId="23430"/>
    <cellStyle name="注释 3 2 2 4" xfId="23431"/>
    <cellStyle name="计算 2 8 2 2 3 3" xfId="23432"/>
    <cellStyle name="计算 2 2 7 3 5" xfId="23433"/>
    <cellStyle name="60% - 强调文字颜色 5 3 2" xfId="23434"/>
    <cellStyle name="计算 2 2 2 5 3 2" xfId="23435"/>
    <cellStyle name="60% - 强调文字颜色 5 2 3 2" xfId="23436"/>
    <cellStyle name="计算 2 2 7 2 6 2" xfId="23437"/>
    <cellStyle name="标题 1 2 2 3 4 3 2" xfId="23438"/>
    <cellStyle name="汇总 2 2 5 2 6 3" xfId="23439"/>
    <cellStyle name="40% - 强调文字颜色 3 2 2 2 2 4" xfId="23440"/>
    <cellStyle name="强调文字颜色 3 2 3 6 2" xfId="23441"/>
    <cellStyle name="常规 9 6 3 2" xfId="23442"/>
    <cellStyle name="常规 3 3 3 3 2" xfId="23443"/>
    <cellStyle name="计算 2 2 3 2 3 5" xfId="23444"/>
    <cellStyle name="强调文字颜色 2 2 3 3 6" xfId="23445"/>
    <cellStyle name="20% - 强调文字颜色 6 2 3 2 5 2 2" xfId="23446"/>
    <cellStyle name="注释 2 2 5 6" xfId="23447"/>
    <cellStyle name="标题 6 4 2 2" xfId="23448"/>
    <cellStyle name="输入 2 6 2 3 6" xfId="23449"/>
    <cellStyle name="20% - 强调文字颜色 1 2 2 2 2 2 3 2" xfId="23450"/>
    <cellStyle name="标题 3 2 2 2 3 3 3" xfId="23451"/>
    <cellStyle name="计算 2 4 4 7" xfId="23452"/>
    <cellStyle name="输入 2 2 5 5 3" xfId="23453"/>
    <cellStyle name="60% - 强调文字颜色 1 2 2 2 2 5 2" xfId="23454"/>
    <cellStyle name="输出 2 4 4 7" xfId="23455"/>
    <cellStyle name="计算 2 3 4 2 5" xfId="23456"/>
    <cellStyle name="强调文字颜色 6 2 3 2 3 4" xfId="23457"/>
    <cellStyle name="计算 2 4 2 4 4" xfId="23458"/>
    <cellStyle name="计算 2 2 2 2 2 3" xfId="23459"/>
    <cellStyle name="输入 2 10 4 2" xfId="23460"/>
    <cellStyle name="20% - 强调文字颜色 1 2 2 3 6" xfId="23461"/>
    <cellStyle name="标题 5 2 6 2 3" xfId="23462"/>
    <cellStyle name="警告文本 2 2 5 3 2" xfId="23463"/>
    <cellStyle name="60% - 强调文字颜色 5 2 2 2 2 3" xfId="23464"/>
    <cellStyle name="计算 2 2 4 2 4 4 2 2" xfId="23465"/>
    <cellStyle name="输入 4 2 5" xfId="23466"/>
    <cellStyle name="40% - 强调文字颜色 1 2 2 2 2 2 5 2 2" xfId="23467"/>
    <cellStyle name="汇总 2 2 4 2 2 2 2" xfId="23468"/>
    <cellStyle name="计算 2 2 4 3 2 5" xfId="23469"/>
    <cellStyle name="60% - 强调文字颜色 3 2 5 3 2 2" xfId="23470"/>
    <cellStyle name="计算 2 5 4 5 2" xfId="23471"/>
    <cellStyle name="常规 8 5 3" xfId="23472"/>
    <cellStyle name="注释 2 2 11" xfId="23473"/>
    <cellStyle name="20% - 强调文字颜色 3 2 2 4 2" xfId="23474"/>
    <cellStyle name="标题 3 2 2 3 4 2 3" xfId="23475"/>
    <cellStyle name="解释性文本 2 9" xfId="23476"/>
    <cellStyle name="常规 3 2 2 2 2 3" xfId="23477"/>
    <cellStyle name="40% - 强调文字颜色 3 2 2 2 7 2" xfId="23478"/>
    <cellStyle name="汇总 5 3 2 2" xfId="23479"/>
    <cellStyle name="注释 2 5 3 7" xfId="23480"/>
    <cellStyle name="40% - 强调文字颜色 5 2 5 2 2" xfId="23481"/>
    <cellStyle name="汇总 2 2 9 3 2 3" xfId="23482"/>
    <cellStyle name="常规 2 7" xfId="23483"/>
    <cellStyle name="百分比 2 2 4 3" xfId="23484"/>
    <cellStyle name="40% - 强调文字颜色 3 2 4 7" xfId="23485"/>
    <cellStyle name="标题 1 2 2 5 3 3" xfId="23486"/>
    <cellStyle name="常规 4 6 2 2" xfId="23487"/>
    <cellStyle name="汇总 3 5 5" xfId="23488"/>
    <cellStyle name="计算 2 2 4 2 4 2 3 2 2" xfId="23489"/>
    <cellStyle name="标题 2 2" xfId="23490"/>
    <cellStyle name="计算 2 5 2 4 3 2" xfId="23491"/>
    <cellStyle name="汇总 2 4 5 4 2" xfId="23492"/>
    <cellStyle name="计算 2 8 9" xfId="23493"/>
    <cellStyle name="计算 4 3 6" xfId="23494"/>
    <cellStyle name="60% - 强调文字颜色 5 4" xfId="23495"/>
    <cellStyle name="标题 6 2 2 4 2" xfId="23496"/>
    <cellStyle name="20% - 强调文字颜色 5 2 3 2 2 3 2 2 2" xfId="23497"/>
    <cellStyle name="汇总 2 2 13 2 2" xfId="23498"/>
    <cellStyle name="汇总 2 2 3 2 2 5" xfId="23499"/>
    <cellStyle name="注释 2 2 3 3 2" xfId="23500"/>
    <cellStyle name="计算 2 2 4 3 2 2 4 3" xfId="23501"/>
    <cellStyle name="40% - 强调文字颜色 2 2 2 2 2 3 2" xfId="23502"/>
    <cellStyle name="输出 2 3 2 2" xfId="23503"/>
    <cellStyle name="20% - 强调文字颜色 4 3 3 2 2 2 2" xfId="23504"/>
    <cellStyle name="汇总 4 3 4 3" xfId="23505"/>
    <cellStyle name="60% - 强调文字颜色 4 2 2 3 7" xfId="23506"/>
    <cellStyle name="40% - 强调文字颜色 3 4 2 3 2 2" xfId="23507"/>
    <cellStyle name="注释 2 4 2 4 3 2" xfId="23508"/>
    <cellStyle name="40% - 强调文字颜色 1 2" xfId="23509"/>
    <cellStyle name="计算 2 5 5 2 4 2 2" xfId="23510"/>
    <cellStyle name="汇总 2 8 5 5" xfId="23511"/>
    <cellStyle name="输入 2 5 4 3 2" xfId="23512"/>
    <cellStyle name="60% - 强调文字颜色 6 2 2 5 3" xfId="23513"/>
    <cellStyle name="好 2 7 2 3" xfId="23514"/>
    <cellStyle name="汇总 2 2 5 3 3 2 2 2" xfId="23515"/>
    <cellStyle name="20% - 强调文字颜色 5 2 2 2 2 4 2 2 2" xfId="23516"/>
    <cellStyle name="注释 2 3 3" xfId="23517"/>
    <cellStyle name="标题 1 4 4" xfId="23518"/>
    <cellStyle name="强调文字颜色 4 2 2 5 2" xfId="23519"/>
    <cellStyle name="计算 2 9 3 2" xfId="23520"/>
    <cellStyle name="60% - 强调文字颜色 6 2 2 2 2 5 2 2" xfId="23521"/>
    <cellStyle name="输出 2 7 7 3" xfId="23522"/>
    <cellStyle name="汇总 2 7 7 2" xfId="23523"/>
    <cellStyle name="标题 1 3 3 2 2 2" xfId="23524"/>
    <cellStyle name="常规 9 2 2 2 3" xfId="23525"/>
    <cellStyle name="检查单元格 2 5 3 3" xfId="23526"/>
    <cellStyle name="标题 4 2 4 4 2 2" xfId="23527"/>
    <cellStyle name="20% - 强调文字颜色 4 2 3 2 2 2 3 2" xfId="23528"/>
    <cellStyle name="汇总 3 2 2 2 3 3" xfId="23529"/>
    <cellStyle name="计算 2 2 5 2 4 2 2" xfId="23530"/>
    <cellStyle name="注释 2 2 7 2 3 2 2" xfId="23531"/>
    <cellStyle name="好 2 2 2 5 2" xfId="23532"/>
    <cellStyle name="40% - 强调文字颜色 2 3 2 3 2 2 2" xfId="23533"/>
    <cellStyle name="解释性文本 2 2 2 2" xfId="23534"/>
    <cellStyle name="好 2 2 2 2 3 2 3" xfId="23535"/>
    <cellStyle name="标题 4 2 5 3 2 2" xfId="23536"/>
    <cellStyle name="好 2 7 3" xfId="23537"/>
    <cellStyle name="60% - 强调文字颜色 6 2 2 6" xfId="23538"/>
    <cellStyle name="常规 10 4 2 4 2" xfId="23539"/>
    <cellStyle name="60% - 强调文字颜色 4 4 5" xfId="23540"/>
    <cellStyle name="标题 3 2 2 8" xfId="23541"/>
    <cellStyle name="计算 2 2 6 4 8" xfId="23542"/>
    <cellStyle name="常规 5 2 4 6" xfId="23543"/>
    <cellStyle name="注释 2 4 2 5 2" xfId="23544"/>
    <cellStyle name="20% - 强调文字颜色 5 2 2 2 2 3 2 2 2 2" xfId="23545"/>
    <cellStyle name="计算 2 5 3 4" xfId="23546"/>
    <cellStyle name="20% - 强调文字颜色 3 2 6 3" xfId="23547"/>
    <cellStyle name="标题 4 2 2 4 2 3 3" xfId="23548"/>
    <cellStyle name="解释性文本 2 2 4 4" xfId="23549"/>
    <cellStyle name="40% - 强调文字颜色 4 3 3 2" xfId="23550"/>
    <cellStyle name="常规 3 3 3 3 2 2" xfId="23551"/>
    <cellStyle name="输入 2 9 3 3" xfId="23552"/>
    <cellStyle name="常规 13 2 2 5" xfId="23553"/>
    <cellStyle name="超链接 3 5 2 3" xfId="23554"/>
    <cellStyle name="汇总 2 6 3 6" xfId="23555"/>
    <cellStyle name="标题 4 2 2 2 2 2 2 2 2" xfId="23556"/>
    <cellStyle name="20% - 强调文字颜色 3 3 2 4 2" xfId="23557"/>
    <cellStyle name="好 2 2 9" xfId="23558"/>
    <cellStyle name="适中 2 7 2 2" xfId="23559"/>
    <cellStyle name="60% - 强调文字颜色 1 3 2 4" xfId="23560"/>
    <cellStyle name="超链接 2 2 4 2 3 2" xfId="23561"/>
    <cellStyle name="20% - 强调文字颜色 3 2 4 4 3 2" xfId="23562"/>
    <cellStyle name="20% - 强调文字颜色 1 2 2 2 2 5 2 2" xfId="23563"/>
    <cellStyle name="输入 2 2 3 4 4 3" xfId="23564"/>
    <cellStyle name="计算 2 2 3 8 3" xfId="23565"/>
    <cellStyle name="好 2 2 2 2 2 3" xfId="23566"/>
    <cellStyle name="20% - 强调文字颜色 5 3 2 2 3 2" xfId="23567"/>
    <cellStyle name="常规 4 5 3 4" xfId="23568"/>
    <cellStyle name="汇总 2 6 7" xfId="23569"/>
    <cellStyle name="计算 2 10 3 3 2" xfId="23570"/>
    <cellStyle name="20% - 强调文字颜色 2 2 2 4" xfId="23571"/>
    <cellStyle name="20% - 强调文字颜色 6 2 2 2 2 2 4 2 2 2" xfId="23572"/>
    <cellStyle name="标题 2 3 6" xfId="23573"/>
    <cellStyle name="强调文字颜色 4 2 3 4 4" xfId="23574"/>
    <cellStyle name="计算 2 4 3 2 4 3" xfId="23575"/>
    <cellStyle name="适中 2 4 4 4" xfId="23576"/>
    <cellStyle name="标题 4 2 7 2 3" xfId="23577"/>
    <cellStyle name="强调文字颜色 2 2 2 2 5 3" xfId="23578"/>
    <cellStyle name="标题 1 2 2 4 5 2 2" xfId="23579"/>
    <cellStyle name="20% - 强调文字颜色 1 2 2 2" xfId="23580"/>
    <cellStyle name="注释 2 2 5 6 3" xfId="23581"/>
    <cellStyle name="20% - 强调文字颜色 1 2 3 2 2 4 3 2" xfId="23582"/>
    <cellStyle name="40% - 强调文字颜色 3 2 5 5 2" xfId="23583"/>
    <cellStyle name="输出 2 2 5 5" xfId="23584"/>
    <cellStyle name="20% - 强调文字颜色 1 2 8" xfId="23585"/>
    <cellStyle name="标题 2 2 3 3" xfId="23586"/>
    <cellStyle name="计算 2 2 5 2 2 5 2" xfId="23587"/>
    <cellStyle name="汇总 2 2 8 6" xfId="23588"/>
    <cellStyle name="注释 3 2 2 6 2" xfId="23589"/>
    <cellStyle name="强调文字颜色 2 2 2 3 2 2 2" xfId="23590"/>
    <cellStyle name="20% - 强调文字颜色 1 4 2 2 2" xfId="23591"/>
    <cellStyle name="汇总 2 2 3 3 3 2 2 2" xfId="23592"/>
    <cellStyle name="强调文字颜色 6 2 2 2 2 2 2 2 2" xfId="23593"/>
    <cellStyle name="20% - 强调文字颜色 5 2 3 2 2 4" xfId="23594"/>
    <cellStyle name="汇总 2 2 4 3 2 2 3 3" xfId="23595"/>
    <cellStyle name="常规 10 4 5 2" xfId="23596"/>
    <cellStyle name="40% - 强调文字颜色 6 2 2 5 2 2 2" xfId="23597"/>
    <cellStyle name="强调文字颜色 3 2 2 2 5 2 3" xfId="23598"/>
    <cellStyle name="强调文字颜色 6 2 2 2 7" xfId="23599"/>
    <cellStyle name="输入 2 2 3 2 9" xfId="23600"/>
    <cellStyle name="60% - 强调文字颜色 4 2 2 2 2 3 3" xfId="23601"/>
    <cellStyle name="汇总 2 2 4 3 3 2" xfId="23602"/>
    <cellStyle name="60% - 强调文字颜色 6 2 3 2 4" xfId="23603"/>
    <cellStyle name="强调文字颜色 2 2 4 4 2 3" xfId="23604"/>
    <cellStyle name="汇总 2 3 3 2 3 2" xfId="23605"/>
    <cellStyle name="差 2 2 5 3 2 2" xfId="23606"/>
    <cellStyle name="40% - 强调文字颜色 4 2 3 3 2" xfId="23607"/>
    <cellStyle name="汇总 2 4 2 6 2" xfId="23608"/>
    <cellStyle name="60% - 强调文字颜色 2 2 2 3 4 3" xfId="23609"/>
    <cellStyle name="输出 2 5 2 5 2" xfId="23610"/>
    <cellStyle name="20% - 强调文字颜色 2 3 2 4 2 2" xfId="23611"/>
    <cellStyle name="60% - 强调文字颜色 2 4 2 3 2 2 2" xfId="23612"/>
    <cellStyle name="计算 4 2 2 2 3" xfId="23613"/>
    <cellStyle name="常规 5 2 2 2 2 2 4 2" xfId="23614"/>
    <cellStyle name="40% - 强调文字颜色 4 2 3 6 2" xfId="23615"/>
    <cellStyle name="标题 1 2 3 5 2 2 2" xfId="23616"/>
    <cellStyle name="40% - 强调文字颜色 2 2 5 4" xfId="23617"/>
    <cellStyle name="解释性文本 2 4 2 2 3" xfId="23618"/>
    <cellStyle name="输入 2 3 3 9" xfId="23619"/>
    <cellStyle name="说明文本 4" xfId="23620"/>
    <cellStyle name="汇总 2 2 8 3 2 6" xfId="23621"/>
    <cellStyle name="40% - 强调文字颜色 5 2 2 2 3 2" xfId="23622"/>
    <cellStyle name="注释 2 2 3 8 2" xfId="23623"/>
    <cellStyle name="40% - 强调文字颜色 4 2 3 4 3 2" xfId="23624"/>
    <cellStyle name="注释 2 5 2 3 6" xfId="23625"/>
    <cellStyle name="好 2 2 3 3 4" xfId="23626"/>
    <cellStyle name="20% - 强调文字颜色 6 2 5 3" xfId="23627"/>
    <cellStyle name="汇总 2 2 5 8 2" xfId="23628"/>
    <cellStyle name="汇总 2 2 5 2 10" xfId="23629"/>
    <cellStyle name="输出 2 5 2 3 3 2" xfId="23630"/>
    <cellStyle name="汇总 2 5 2 5 6" xfId="23631"/>
    <cellStyle name="差 2 2 2 2 2 2 2 2 2" xfId="23632"/>
    <cellStyle name="链接单元格 2 2 2 2 5 2 2" xfId="23633"/>
    <cellStyle name="40% - 强调文字颜色 1 3 9" xfId="23634"/>
    <cellStyle name="注释 2 7 2 4 2" xfId="23635"/>
    <cellStyle name="计算 2 2 6 10" xfId="23636"/>
    <cellStyle name="Normal 2 2 2 2" xfId="23637"/>
    <cellStyle name="20% - 强调文字颜色 6 2 5 5 2" xfId="23638"/>
    <cellStyle name="20% - 强调文字颜色 3 2 3 2 2 4 2 2" xfId="23639"/>
    <cellStyle name="60% - 强调文字颜色 6 2 3 2 2 3 3" xfId="23640"/>
    <cellStyle name="20% - 强调文字颜色 6 2 2 6 3 2 2" xfId="23641"/>
    <cellStyle name="40% - 强调文字颜色 6 2 8 2 2" xfId="23642"/>
    <cellStyle name="常规 5 3 3 3" xfId="23643"/>
    <cellStyle name="输入 2 2 3 4 5 2" xfId="23644"/>
    <cellStyle name="计算 2 2 3 9 2" xfId="23645"/>
    <cellStyle name="60% - 强调文字颜色 3 2 2 2 6 2" xfId="23646"/>
    <cellStyle name="计算 2 2 9 3 4 2" xfId="23647"/>
    <cellStyle name="标题 4 3 8" xfId="23648"/>
    <cellStyle name="60% - 强调文字颜色 1 2 3 5 2" xfId="23649"/>
    <cellStyle name="注释 2 3 2 2 3 2 2" xfId="23650"/>
    <cellStyle name="输入 2 2 4 8 3" xfId="23651"/>
    <cellStyle name="标题 4 3 5" xfId="23652"/>
    <cellStyle name="链接单元格 2 2 3 4 4" xfId="23653"/>
    <cellStyle name="20% - 强调文字颜色 6 2 2 3 2 2 2 2" xfId="23654"/>
    <cellStyle name="标题 2 2 8 3" xfId="23655"/>
    <cellStyle name="计算 6 2 2" xfId="23656"/>
    <cellStyle name="计算 2 5 3 2 6" xfId="23657"/>
    <cellStyle name="汇总 2 6 3 4 2" xfId="23658"/>
    <cellStyle name="40% - 强调文字颜色 2 3 2 4 2 2" xfId="23659"/>
    <cellStyle name="解释性文本 3 2 2" xfId="23660"/>
    <cellStyle name="标题 7 2 3 2 2" xfId="23661"/>
    <cellStyle name="40% - 强调文字颜色 4 2 2 2 5" xfId="23662"/>
    <cellStyle name="40% - 强调文字颜色 1 2 4 4 2 2" xfId="23663"/>
    <cellStyle name="输入 2 3 3 2 3 2" xfId="23664"/>
    <cellStyle name="解释性文本 2 2 6 2 2 2" xfId="23665"/>
    <cellStyle name="注释 2 12" xfId="23666"/>
    <cellStyle name="常规 4 4 2 2 3" xfId="23667"/>
    <cellStyle name="检查单元格 4 5" xfId="23668"/>
    <cellStyle name="输入 2 6 3 2 3" xfId="23669"/>
    <cellStyle name="超链接 3 2 2 2 3" xfId="23670"/>
    <cellStyle name="40% - 强调文字颜色 2 2 2 2 2" xfId="23671"/>
    <cellStyle name="注释 2 3 4 3" xfId="23672"/>
    <cellStyle name="汇总 2 4 3 2 3 2" xfId="23673"/>
    <cellStyle name="60% - 强调文字颜色 1 2 2 7 2" xfId="23674"/>
    <cellStyle name="注释 2 3 2 2 2 4 2" xfId="23675"/>
    <cellStyle name="输出 2 2 4 3 2 2 2" xfId="23676"/>
    <cellStyle name="40% - 强调文字颜色 4 2 2 2 5 2 2 2" xfId="23677"/>
    <cellStyle name="警告文本 4 3 2" xfId="23678"/>
    <cellStyle name="60% - 强调文字颜色 6 2 3 3 2 3" xfId="23679"/>
    <cellStyle name="警告文本 4 2 3 2" xfId="23680"/>
    <cellStyle name="20% - 强调文字颜色 5 2 5 5" xfId="23681"/>
    <cellStyle name="40% - 强调文字颜色 2 2 2 2 4 2 2" xfId="23682"/>
    <cellStyle name="汇总 2 6 2 2 2 2 2" xfId="23683"/>
    <cellStyle name="40% - 强调文字颜色 4 2 10 2" xfId="23684"/>
    <cellStyle name="计算 2 8 3" xfId="23685"/>
    <cellStyle name="60% - 强调文字颜色 6 2 2 2 2 4 2" xfId="23686"/>
    <cellStyle name="输出 4 2 4" xfId="23687"/>
    <cellStyle name="40% - 强调文字颜色 2 2 5 3" xfId="23688"/>
    <cellStyle name="解释性文本 2 4 2 2 2" xfId="23689"/>
    <cellStyle name="输出 2 2 7 3 2 4" xfId="23690"/>
    <cellStyle name="强调文字颜色 4 2 3 2 5" xfId="23691"/>
    <cellStyle name="汇总 2 6 2 9 2" xfId="23692"/>
    <cellStyle name="标题 2 2 4 10" xfId="23693"/>
    <cellStyle name="40% - 强调文字颜色 6 2 4 5" xfId="23694"/>
    <cellStyle name="60% - 强调文字颜色 1 2 3 5 2 2 2" xfId="23695"/>
    <cellStyle name="常规 2 2 2 5 3 2 2" xfId="23696"/>
    <cellStyle name="输出 3 2 3 3 2" xfId="23697"/>
    <cellStyle name="标题 8 3" xfId="23698"/>
    <cellStyle name="汇总 2 4 8 2" xfId="23699"/>
    <cellStyle name="40% - 强调文字颜色 4 2 5 2 2 2 2" xfId="23700"/>
    <cellStyle name="计算 2 5 2 5 2" xfId="23701"/>
    <cellStyle name="40% - 强调文字颜色 5 2 2 6 3 2 2" xfId="23702"/>
    <cellStyle name="40% - 强调文字颜色 4 2 3 2 4" xfId="23703"/>
    <cellStyle name="计算 2 2 7 2 2 3 2" xfId="23704"/>
    <cellStyle name="汇总 2 5 3 2 2 2 2" xfId="23705"/>
    <cellStyle name="Normal 5 2 2 2" xfId="23706"/>
    <cellStyle name="40% - 强调文字颜色 6 3 3 3" xfId="23707"/>
    <cellStyle name="常规 5 4 5" xfId="23708"/>
    <cellStyle name="链接单元格 2 2 3 6 2" xfId="23709"/>
    <cellStyle name="注释 2 2 2 3 4 2 2" xfId="23710"/>
    <cellStyle name="40% - 强调文字颜色 3 2 2 2 3 2 2" xfId="23711"/>
    <cellStyle name="40% - 强调文字颜色 5 2 3 2 3 2 2" xfId="23712"/>
    <cellStyle name="计算 2 2 2 4 5 2 2" xfId="23713"/>
    <cellStyle name="常规 3 2 2 4 3 2 2" xfId="23714"/>
    <cellStyle name="好 5 2 2" xfId="23715"/>
    <cellStyle name="标题 3 4 4 2 3" xfId="23716"/>
    <cellStyle name="汇总 2 5 4 6 2 2" xfId="23717"/>
    <cellStyle name="汇总 2 3 11 2" xfId="23718"/>
    <cellStyle name="差 4 5" xfId="23719"/>
    <cellStyle name="适中 3 2 2 3 2" xfId="23720"/>
    <cellStyle name="链接单元格 2 2 2 4 3 3" xfId="23721"/>
    <cellStyle name="强调文字颜色 6 2 2" xfId="23722"/>
    <cellStyle name="计算 2 4 4 2 3 2 2" xfId="23723"/>
    <cellStyle name="60% - 强调文字颜色 6 2 2 2 5 2 2 3" xfId="23724"/>
    <cellStyle name="标题 5 3 3" xfId="23725"/>
    <cellStyle name="计算 2 5 2 2 2 3" xfId="23726"/>
    <cellStyle name="链接单元格 2 2 6" xfId="23727"/>
    <cellStyle name="强调文字颜色 5 2 3 4 3 2 2" xfId="23728"/>
    <cellStyle name="标题 5 2 4 3 3 2" xfId="23729"/>
    <cellStyle name="输入 2 2 6 3 5" xfId="23730"/>
    <cellStyle name="计算 2 5 2 9" xfId="23731"/>
    <cellStyle name="差 2 2 2 3 2 2 3" xfId="23732"/>
    <cellStyle name="注释 2 2 3 2 3 2 6" xfId="23733"/>
    <cellStyle name="40% - 强调文字颜色 2 3 6" xfId="23734"/>
    <cellStyle name="汇总 2 2 7 3 2 2 2 2" xfId="23735"/>
    <cellStyle name="汇总 2 5 3 3" xfId="23736"/>
    <cellStyle name="Normal 6" xfId="23737"/>
    <cellStyle name="60% - 强调文字颜色 5 2 2 2 5 2 2 2" xfId="23738"/>
    <cellStyle name="标题 1 2 2 2 3 2 2 2" xfId="23739"/>
    <cellStyle name="计算 2 2 4 2 3 7 2" xfId="23740"/>
    <cellStyle name="40% - 强调文字颜色 2 2 2 2 2 2 3 2 2" xfId="23741"/>
    <cellStyle name="20% - 强调文字颜色 6 2 3 5 2" xfId="23742"/>
    <cellStyle name="20% - 强调文字颜色 3 2 3 2 2 2 2 2" xfId="23743"/>
    <cellStyle name="60% - 强调文字颜色 2 2 2 2 2 2 4" xfId="23744"/>
    <cellStyle name="输出 2 2 6 11" xfId="23745"/>
    <cellStyle name="输出 2 8 4 2" xfId="23746"/>
    <cellStyle name="常规 2 7 2 2" xfId="23747"/>
    <cellStyle name="60% - 强调文字颜色 5 2 4 4 2 2" xfId="23748"/>
    <cellStyle name="汇总 2 6 2 2 4 2 2" xfId="23749"/>
    <cellStyle name="40% - 强调文字颜色 2 2 2 2 6 2 2" xfId="23750"/>
    <cellStyle name="40% - 强调文字颜色 2 3 4" xfId="23751"/>
    <cellStyle name="20% - 强调文字颜色 6 2 4 7" xfId="23752"/>
    <cellStyle name="强调文字颜色 1 2 2 2 2 5" xfId="23753"/>
    <cellStyle name="60% - 强调文字颜色 5 2 2 2 2 4 3 2" xfId="23754"/>
    <cellStyle name="40% - 强调文字颜色 1 3 2 3 2 2" xfId="23755"/>
    <cellStyle name="输出 2 2 5 2 9" xfId="23756"/>
    <cellStyle name="输出 2 3 2 3 5" xfId="23757"/>
    <cellStyle name="60% - 强调文字颜色 2 2 2 4 5 2 2" xfId="23758"/>
    <cellStyle name="标题 3 2 2 6" xfId="23759"/>
    <cellStyle name="60% - 强调文字颜色 4 4 3" xfId="23760"/>
    <cellStyle name="计算 2 2 6 4 6" xfId="23761"/>
    <cellStyle name="40% - 强调文字颜色 6 2 2 2 3 3 2" xfId="23762"/>
    <cellStyle name="常规 10 2 4 3 2" xfId="23763"/>
    <cellStyle name="标题 3 2 2 4 6" xfId="23764"/>
    <cellStyle name="20% - 强调文字颜色 1 3 2 4 2 2" xfId="23765"/>
    <cellStyle name="强调文字颜色 2 2 2 2 2 4 2 2" xfId="23766"/>
    <cellStyle name="20% - 强调文字颜色 6 2 2 4 2 2 2" xfId="23767"/>
    <cellStyle name="计算 2 9 5" xfId="23768"/>
    <cellStyle name="适中 2 3 7" xfId="23769"/>
    <cellStyle name="汇总 2 2 14" xfId="23770"/>
    <cellStyle name="计算 2 10 2 4" xfId="23771"/>
    <cellStyle name="20% - 强调文字颜色 1 2 2 3 4 2 2 2" xfId="23772"/>
    <cellStyle name="输出 3 2 3 4" xfId="23773"/>
    <cellStyle name="40% - 强调文字颜色 2 2 2 3 3 2" xfId="23774"/>
    <cellStyle name="警告文本 3 2 3" xfId="23775"/>
    <cellStyle name="百分比 2 2 2 3 3 3" xfId="23776"/>
    <cellStyle name="标题 5 2 3 3 4" xfId="23777"/>
    <cellStyle name="强调文字颜色 2 2 3 2 3 3" xfId="23778"/>
    <cellStyle name="20% - 强调文字颜色 2 3 3 3" xfId="23779"/>
    <cellStyle name="计算 2 2 3 2 2 2 3" xfId="23780"/>
    <cellStyle name="无色 3" xfId="23781"/>
    <cellStyle name="检查单元格 2 3 4 3" xfId="23782"/>
    <cellStyle name="注释 2 2 7 6 2" xfId="23783"/>
    <cellStyle name="检查单元格 5 3" xfId="23784"/>
    <cellStyle name="20% - 强调文字颜色 2 2 3 7 2" xfId="23785"/>
    <cellStyle name="计算 2 7 4 3" xfId="23786"/>
    <cellStyle name="60% - 强调文字颜色 6 2 2 2 2 3 3 3" xfId="23787"/>
    <cellStyle name="20% - 强调文字颜色 1 2 5 5 2 2" xfId="23788"/>
    <cellStyle name="强调文字颜色 3 2 5 3" xfId="23789"/>
    <cellStyle name="标题 5 2 3 5" xfId="23790"/>
    <cellStyle name="差 2 8 2" xfId="23791"/>
    <cellStyle name="输入 2 5 3 3 2 2" xfId="23792"/>
    <cellStyle name="汇总 3 3 2 5 2" xfId="23793"/>
    <cellStyle name="强调文字颜色 4 2 6 3 3" xfId="23794"/>
    <cellStyle name="输入 2 2 5 7 3" xfId="23795"/>
    <cellStyle name="标题 5 2 5" xfId="23796"/>
    <cellStyle name="百分比 2 2 2 2 2" xfId="23797"/>
    <cellStyle name="注释 2 2 2 7 3" xfId="23798"/>
    <cellStyle name="40% - 强调文字颜色 3 2 2 6 2" xfId="23799"/>
    <cellStyle name="20% - 强调文字颜色 5 2 2 3" xfId="23800"/>
    <cellStyle name="计算 2 2 3 5 2" xfId="23801"/>
    <cellStyle name="60% - 强调文字颜色 3 2 2 2 2 2" xfId="23802"/>
    <cellStyle name="计算 4 2 2 4 2" xfId="23803"/>
    <cellStyle name="汇总 2 3 2 3 2" xfId="23804"/>
    <cellStyle name="20% - 强调文字颜色 6 2 3 6 2 2" xfId="23805"/>
    <cellStyle name="计算 2 3 2 12" xfId="23806"/>
    <cellStyle name="输入 2 2 2 5 3" xfId="23807"/>
    <cellStyle name="汇总 2 2 7 4 4 2" xfId="23808"/>
    <cellStyle name="40% - 强调文字颜色 4 2 3 2 2 3 2 2" xfId="23809"/>
    <cellStyle name="标题 4 3 4" xfId="23810"/>
    <cellStyle name="20% - 强调文字颜色 2 2 2 2 2 4 3 2 2" xfId="23811"/>
    <cellStyle name="标题 5 2 4 2 2 2 2" xfId="23812"/>
    <cellStyle name="输入 2 2 4 8 2" xfId="23813"/>
    <cellStyle name="强调文字颜色 4 2 2 9" xfId="23814"/>
    <cellStyle name="标题 4 2 3 6 2 2" xfId="23815"/>
    <cellStyle name="链接单元格 2 2 2 3 2 2 2" xfId="23816"/>
    <cellStyle name="计算 2 2 5 3 4 3" xfId="23817"/>
    <cellStyle name="60% - 强调文字颜色 6 2 4 8" xfId="23818"/>
    <cellStyle name="警告文本 2 2 7" xfId="23819"/>
    <cellStyle name="40% - 强调文字颜色 5 4 2 4" xfId="23820"/>
    <cellStyle name="40% - 强调文字颜色 6 4 2 2 2 2 2" xfId="23821"/>
    <cellStyle name="常规 6 3 4 2 2 2" xfId="23822"/>
    <cellStyle name="汇总 2 5 2 5 3 3" xfId="23823"/>
    <cellStyle name="标题 3 2 3 3 4" xfId="23824"/>
    <cellStyle name="20% - 强调文字颜色 6 2 3 3 3 2" xfId="23825"/>
    <cellStyle name="计算 2 3 3 4 2" xfId="23826"/>
    <cellStyle name="汇总 2 7 3 2 2 2 2" xfId="23827"/>
    <cellStyle name="40% - 强调文字颜色 6 2 2 3 4 2 2 2" xfId="23828"/>
    <cellStyle name="40% - 强调文字颜色 3 2 8 2" xfId="23829"/>
    <cellStyle name="40% - 强调文字颜色 1 4 2 2 2" xfId="23830"/>
    <cellStyle name="汇总 2 6 2 2 3 3" xfId="23831"/>
    <cellStyle name="40% - 强调文字颜色 3 2 3 2 2 5 2 2" xfId="23832"/>
    <cellStyle name="20% - 强调文字颜色 5 2 3 3 2 2 2 2" xfId="23833"/>
    <cellStyle name="汇总 2 4 2 2 5 2" xfId="23834"/>
    <cellStyle name="常规 2 2 2 6" xfId="23835"/>
    <cellStyle name="输出 2 3 4 6" xfId="23836"/>
    <cellStyle name="输出 2 3 6 2 2" xfId="23837"/>
    <cellStyle name="常规 2 2 4 2 2" xfId="23838"/>
    <cellStyle name="强调文字颜色 1 3 7" xfId="23839"/>
    <cellStyle name="输出 5 4" xfId="23840"/>
    <cellStyle name="常规 10 3 4 2" xfId="23841"/>
    <cellStyle name="注释 2 4 2 2 8" xfId="23842"/>
    <cellStyle name="汇总 2 2 3 2 4 4 2" xfId="23843"/>
    <cellStyle name="强调文字颜色 2 2 3 2" xfId="23844"/>
    <cellStyle name="20% - 强调文字颜色 2 3" xfId="23845"/>
    <cellStyle name="汇总 2 2 4 3 3 4" xfId="23846"/>
    <cellStyle name="60% - 强调文字颜色 6 2 3 2 6" xfId="23847"/>
    <cellStyle name="计算 2 4 2 2 7" xfId="23848"/>
    <cellStyle name="计算 2 2 3 3 6 2 2" xfId="23849"/>
    <cellStyle name="60% - 强调文字颜色 1 3 3 2 2" xfId="23850"/>
    <cellStyle name="标题 4 3 2 2 4 2" xfId="23851"/>
    <cellStyle name="汇总 2 2 4 2 3 9" xfId="23852"/>
    <cellStyle name="60% - 强调文字颜色 1 4 2 3 2 2" xfId="23853"/>
    <cellStyle name="注释 2 2 9 2 2" xfId="23854"/>
    <cellStyle name="40% - 强调文字颜色 4 2 2 2 2 5 2" xfId="23855"/>
    <cellStyle name="汇总 2 2 3 2 9 2" xfId="23856"/>
    <cellStyle name="20% - 强调文字颜色 4 5 2 2 2" xfId="23857"/>
    <cellStyle name="标题 5 2 2 2 2 2 2 2 2" xfId="23858"/>
    <cellStyle name="标题 6 2 4 2 2" xfId="23859"/>
    <cellStyle name="检查单元格 3 3 4" xfId="23860"/>
    <cellStyle name="20% - 强调文字颜色 2 2 3 2 2 4 3" xfId="23861"/>
    <cellStyle name="标题 5 3 2 2 2 2 2" xfId="23862"/>
    <cellStyle name="40% - 强调文字颜色 5 2 7 2 2" xfId="23863"/>
    <cellStyle name="40% - 强调文字颜色 2 2 5 2 3 2" xfId="23864"/>
    <cellStyle name="解释性文本 2 3 3" xfId="23865"/>
    <cellStyle name="20% - 强调文字颜色 4 3 2 5 2" xfId="23866"/>
    <cellStyle name="40% - 强调文字颜色 5 2 3 4 3 2" xfId="23867"/>
    <cellStyle name="强调文字颜色 5 3 4 2" xfId="23868"/>
    <cellStyle name="20% - 强调文字颜色 3 2 2 2 2 3 2 2" xfId="23869"/>
    <cellStyle name="输入 2 5 2 6 2" xfId="23870"/>
    <cellStyle name="20% - 强调文字颜色 6 2 4 2 2 2 2 2" xfId="23871"/>
    <cellStyle name="汇总 2 2 2 6 2 3" xfId="23872"/>
    <cellStyle name="计算 2 18" xfId="23873"/>
    <cellStyle name="输入 2 5 3 2 4 2 2" xfId="23874"/>
    <cellStyle name="超链接 2 5 3" xfId="23875"/>
    <cellStyle name="计算 2 2 5 2 2 2 4 3" xfId="23876"/>
    <cellStyle name="适中 3 6" xfId="23877"/>
    <cellStyle name="输入 2 2 3 2 5 2 2" xfId="23878"/>
    <cellStyle name="40% - 强调文字颜色 3 2 2 4 5 2" xfId="23879"/>
    <cellStyle name="输入 2 2 3 2 3 2 3" xfId="23880"/>
    <cellStyle name="汇总 5 2 4 2" xfId="23881"/>
    <cellStyle name="20% - 强调文字颜色 3 2 5 4 2" xfId="23882"/>
    <cellStyle name="20% - 强调文字颜色 3 2 5 4" xfId="23883"/>
    <cellStyle name="注释 2 2 3 2 3 2 2 2 2" xfId="23884"/>
    <cellStyle name="注释 2 2 9 6" xfId="23885"/>
    <cellStyle name="40% - 强调文字颜色 2 2 2 2 3 3" xfId="23886"/>
    <cellStyle name="输出 2 4 2" xfId="23887"/>
    <cellStyle name="常规 6 2 4 2" xfId="23888"/>
    <cellStyle name="常规 4 3 9" xfId="23889"/>
    <cellStyle name="40% - 强调文字颜色 6 2 2 7" xfId="23890"/>
    <cellStyle name="汇总 2 2 4 3 3 2 2" xfId="23891"/>
    <cellStyle name="60% - 强调文字颜色 6 2 3 2 4 2" xfId="23892"/>
    <cellStyle name="计算 2 2 5 4 2 5" xfId="23893"/>
    <cellStyle name="标题 3 2 6 2 3" xfId="23894"/>
    <cellStyle name="汇总 2 5 2 8 2 2" xfId="23895"/>
    <cellStyle name="标题 4 2 2 2 4 2" xfId="23896"/>
    <cellStyle name="40% - 强调文字颜色 1 3 8" xfId="23897"/>
    <cellStyle name="60% - 强调文字颜色 6 2 3 3 5" xfId="23898"/>
    <cellStyle name="汇总 2 2 4 3 4 3" xfId="23899"/>
    <cellStyle name="输入 2 2 6 8 2 2" xfId="23900"/>
    <cellStyle name="标题 6 3 4 2" xfId="23901"/>
    <cellStyle name="检查单元格 2 2 4 2 3 2" xfId="23902"/>
    <cellStyle name="20% - 强调文字颜色 3 2 2 3 4 2 2 2" xfId="23903"/>
    <cellStyle name="警告文本 2 4" xfId="23904"/>
    <cellStyle name="百分比 2 2 2 2 5" xfId="23905"/>
    <cellStyle name="计算 3 2 10" xfId="23906"/>
    <cellStyle name="汇总 2 2 9 2 3" xfId="23907"/>
    <cellStyle name="常规 6 2 3 4 3 2" xfId="23908"/>
    <cellStyle name="常规 3 3 3 7" xfId="23909"/>
    <cellStyle name="标题 4 2 3 5 3" xfId="23910"/>
    <cellStyle name="输入 2 3 7 2 2" xfId="23911"/>
    <cellStyle name="60% - 强调文字颜色 3 2 2 4 2 2 2" xfId="23912"/>
    <cellStyle name="计算 2 2 5 5 2 2" xfId="23913"/>
    <cellStyle name="强调文字颜色 5 2 2 3 6" xfId="23914"/>
    <cellStyle name="常规 5 2 2 2 2 2 4" xfId="23915"/>
    <cellStyle name="强调文字颜色 4 2 2 2 6 2" xfId="23916"/>
    <cellStyle name="输出 2 5 2 4 2 2" xfId="23917"/>
    <cellStyle name="强调文字颜色 2 2 2 2 2 3 2 2 2" xfId="23918"/>
    <cellStyle name="20% - 强调文字颜色 1 3 2 3 2 2 2" xfId="23919"/>
    <cellStyle name="20% - 强调文字颜色 2 2 2 5 3 2 2" xfId="23920"/>
    <cellStyle name="计算 2 3 2" xfId="23921"/>
    <cellStyle name="计算 2 5 9" xfId="23922"/>
    <cellStyle name="好 2 4 6" xfId="23923"/>
    <cellStyle name="注释 2 2 6 8" xfId="23924"/>
    <cellStyle name="汇总 2 2 4 2 2 2 2 4 2" xfId="23925"/>
    <cellStyle name="40% - 强调文字颜色 5 2 2 5 3" xfId="23926"/>
    <cellStyle name="差 2 2 4 5 2 2" xfId="23927"/>
    <cellStyle name="计算 2 2 4 2 3 2 5 2" xfId="23928"/>
    <cellStyle name="常规 2 2 2 2 4 2 2 2" xfId="23929"/>
    <cellStyle name="常规 13 3 2 3 2" xfId="23930"/>
    <cellStyle name="20% - 强调文字颜色 6 2 2 2 2 5 2" xfId="23931"/>
    <cellStyle name="20% - 强调文字颜色 4 2 2 4 4 2 2" xfId="23932"/>
    <cellStyle name="常规 6 2 2 5 2" xfId="23933"/>
    <cellStyle name="链接单元格 2 3 3 4" xfId="23934"/>
    <cellStyle name="20% - 强调文字颜色 4 2 2 2 2 5 2 2 2" xfId="23935"/>
    <cellStyle name="60% - 强调文字颜色 6 2 3 2 3 2 3" xfId="23936"/>
    <cellStyle name="注释 2 3 13" xfId="23937"/>
    <cellStyle name="汇总 2 2 8 2 3 2 2" xfId="23938"/>
    <cellStyle name="输出 2 2 5 2 7" xfId="23939"/>
    <cellStyle name="60% - 强调文字颜色 1 3 2 4 2 2" xfId="23940"/>
    <cellStyle name="20% - 强调文字颜色 5 2 2 3 6" xfId="23941"/>
    <cellStyle name="汇总 3 2 5" xfId="23942"/>
    <cellStyle name="计算 2 3 6 2" xfId="23943"/>
    <cellStyle name="汇总 2 2 8 4 2 3" xfId="23944"/>
    <cellStyle name="标题 2 2 3 2 7" xfId="23945"/>
    <cellStyle name="40% - 强调文字颜色 4 3 2" xfId="23946"/>
    <cellStyle name="差 3 11" xfId="23947"/>
    <cellStyle name="60% - 强调文字颜色 2 2 2 4 5" xfId="23948"/>
    <cellStyle name="计算 2 3 3 3 2 3" xfId="23949"/>
    <cellStyle name="60% - 强调文字颜色 2 3 3 3 2" xfId="23950"/>
    <cellStyle name="60% - 强调文字颜色 4 2 5 2" xfId="23951"/>
    <cellStyle name="常规 3 3 2 2 3 3 2 2" xfId="23952"/>
    <cellStyle name="常规 3 3 7 5 2" xfId="23953"/>
    <cellStyle name="强调文字颜色 5 2 2 2 4 2 2 2" xfId="23954"/>
    <cellStyle name="强调文字颜色 1 2 2 6 2 2" xfId="23955"/>
    <cellStyle name="检查单元格 2 2 5 3 2" xfId="23956"/>
    <cellStyle name="40% - 强调文字颜色 5 2 2 5 2 2 2" xfId="23957"/>
    <cellStyle name="强调文字颜色 2 2 2 2 5 2 3" xfId="23958"/>
    <cellStyle name="标题 2 2 2 2 2 4 3" xfId="23959"/>
    <cellStyle name="40% - 强调文字颜色 1 3 2 2 3 2 2 2" xfId="23960"/>
    <cellStyle name="输入 2 2 4 3" xfId="23961"/>
    <cellStyle name="40% - 强调文字颜色 3 2 2 2 3 2 2 2 2" xfId="23962"/>
    <cellStyle name="40% - 强调文字颜色 2 3 9" xfId="23963"/>
    <cellStyle name="链接单元格 2 2 2 2 6 2 2" xfId="23964"/>
    <cellStyle name="常规 2 3 2 2" xfId="23965"/>
    <cellStyle name="输出 2 4 4 2" xfId="23966"/>
    <cellStyle name="计算 2 2 16 2 2" xfId="23967"/>
    <cellStyle name="汇总 2 2 4 2 9 2 2" xfId="23968"/>
    <cellStyle name="40% - 强调文字颜色 1 2 3 3 2 2 2" xfId="23969"/>
    <cellStyle name="40% - 强调文字颜色 2 2 2 3 2 2" xfId="23970"/>
    <cellStyle name="输出 3 2 2 4" xfId="23971"/>
    <cellStyle name="标题 4 2 4 2 2 2 2 2" xfId="23972"/>
    <cellStyle name="标题 2 2 2 2 2 6 2 2" xfId="23973"/>
    <cellStyle name="输出 2 2 2 3 4 2 2" xfId="23974"/>
    <cellStyle name="强调文字颜色 4 5 2 2" xfId="23975"/>
    <cellStyle name="60% - 强调文字颜色 1 3 2 2 2 2" xfId="23976"/>
    <cellStyle name="输出 2 2 3 2 7" xfId="23977"/>
    <cellStyle name="标题 7 2 3 2 2 2" xfId="23978"/>
    <cellStyle name="警告文本 2 2 3 2 2 3" xfId="23979"/>
    <cellStyle name="链接单元格 2 2 3 4 3 2" xfId="23980"/>
    <cellStyle name="60% - 强调文字颜色 6 2 2 2 6 2 2 2" xfId="23981"/>
    <cellStyle name="汇总 4 3 2 3" xfId="23982"/>
    <cellStyle name="20% - 强调文字颜色 1 2 2 3 3 3" xfId="23983"/>
    <cellStyle name="输出 2 2 2 2 2 2 3 2 2" xfId="23984"/>
    <cellStyle name="常规 6 3 2 2 4" xfId="23985"/>
    <cellStyle name="标题 2 2 2 3 3" xfId="23986"/>
    <cellStyle name="汇总 2 4 2 4 3 2" xfId="23987"/>
    <cellStyle name="强调文字颜色 1 2 2 5 2" xfId="23988"/>
    <cellStyle name="20% - 强调文字颜色 5 2 3 2 2 4 2 2 2" xfId="23989"/>
    <cellStyle name="汇总 2 5 2 11 2 2" xfId="23990"/>
    <cellStyle name="链接单元格 2 2 2 3" xfId="23991"/>
    <cellStyle name="计算 2 2 3 14" xfId="23992"/>
    <cellStyle name="60% - 强调文字颜色 3 3 3 4 2" xfId="23993"/>
    <cellStyle name="计算 2 2 3 2 2 3 3 3" xfId="23994"/>
    <cellStyle name="适中 2 7 3 2 2" xfId="23995"/>
    <cellStyle name="标题 5 2 4 2" xfId="23996"/>
    <cellStyle name="强调文字颜色 4 2 6 3 2 2" xfId="23997"/>
    <cellStyle name="输入 2 2 5 7 2 2" xfId="23998"/>
    <cellStyle name="40% - 强调文字颜色 4 2 2 2 2 3 3 2" xfId="23999"/>
    <cellStyle name="40% - 强调文字颜色 3 3 2 4 2 2 2" xfId="24000"/>
    <cellStyle name="差 3 2 2" xfId="24001"/>
    <cellStyle name="60% - 强调文字颜色 2 4 2 4" xfId="24002"/>
    <cellStyle name="计算 2 2 4 2 3 3 4" xfId="24003"/>
    <cellStyle name="40% - 强调文字颜色 3 3 2 2 3 2" xfId="24004"/>
    <cellStyle name="常规 3 3 2 3 3" xfId="24005"/>
    <cellStyle name="计算 2 7 2 2 5 2 2" xfId="24006"/>
    <cellStyle name="计算 2 3 2 3 5" xfId="24007"/>
    <cellStyle name="标题 2 2 2 2 2 5 3" xfId="24008"/>
    <cellStyle name="20% - 强调文字颜色 2 2 4 4" xfId="24009"/>
    <cellStyle name="注释 2 3 2 3 3" xfId="24010"/>
    <cellStyle name="40% - 强调文字颜色 3 3 2 2 2" xfId="24011"/>
    <cellStyle name="汇总 2 2 8 3 2 3 2 2" xfId="24012"/>
    <cellStyle name="20% - 强调文字颜色 5 2 2 2 2 2 4 2 2 2" xfId="24013"/>
    <cellStyle name="40% - 强调文字颜色 1 2 3 2 2 2 3" xfId="24014"/>
    <cellStyle name="20% - 强调文字颜色 4 3 2 3 2 2" xfId="24015"/>
    <cellStyle name="注释 2 2 5 3 3" xfId="24016"/>
    <cellStyle name="汇总 2 2 3 4 2 6" xfId="24017"/>
    <cellStyle name="40% - 强调文字颜色 3 2 5 2 2" xfId="24018"/>
    <cellStyle name="输出 2 2 2 5" xfId="24019"/>
    <cellStyle name="20% - 强调文字颜色 6 2 3 4 3 2" xfId="24020"/>
    <cellStyle name="常规 6 3 2 2 3 2 2" xfId="24021"/>
    <cellStyle name="20% - 强调文字颜色 6 4" xfId="24022"/>
    <cellStyle name="链接单元格 2 3 2 5" xfId="24023"/>
    <cellStyle name="强调文字颜色 2 2 7 3" xfId="24024"/>
    <cellStyle name="20% - 强调文字颜色 6 2 3 2" xfId="24025"/>
    <cellStyle name="链接单元格 2 3 2 3 3 2" xfId="24026"/>
    <cellStyle name="40% - 强调文字颜色 1 2 2 4 4 2" xfId="24027"/>
    <cellStyle name="20% - 强调文字颜色 5 2 3 2 4 2 2 2" xfId="24028"/>
    <cellStyle name="60% - 强调文字颜色 1 2 3 2" xfId="24029"/>
    <cellStyle name="计算 2 2 3 2 6 2" xfId="24030"/>
    <cellStyle name="20% - 强调文字颜色 4 2 2 3 6" xfId="24031"/>
    <cellStyle name="常规 8 2 4 3 2" xfId="24032"/>
    <cellStyle name="输出 2 3 2 3 2 2" xfId="24033"/>
    <cellStyle name="计算 3 4 7" xfId="24034"/>
    <cellStyle name="20% - 强调文字颜色 3 2 2 5 3 2" xfId="24035"/>
    <cellStyle name="汇总 2 4 4 5 3" xfId="24036"/>
    <cellStyle name="常规 7 2 2 2 4 2 2" xfId="24037"/>
    <cellStyle name="20% - 强调文字颜色 3 2 4 3 2 2" xfId="24038"/>
    <cellStyle name="标题 5 2 4 2 2" xfId="24039"/>
    <cellStyle name="20% - 强调文字颜色 2 2 2 2 2 4 3" xfId="24040"/>
    <cellStyle name="标题 7 3 2" xfId="24041"/>
    <cellStyle name="输出 3 2 3 2 2 2" xfId="24042"/>
    <cellStyle name="汇总 2 2 4 2 2 3 2 3" xfId="24043"/>
    <cellStyle name="强调文字颜色 3 3 2 3 2" xfId="24044"/>
    <cellStyle name="60% - 强调文字颜色 6 2 2 2 3 2" xfId="24045"/>
    <cellStyle name="汇总 2 2 4 2 5 2 2 2" xfId="24046"/>
    <cellStyle name="60% - 强调文字颜色 6 2 2 4 4 2 2" xfId="24047"/>
    <cellStyle name="40% - 强调文字颜色 5 2 2 2 2 2 4 3 2" xfId="24048"/>
    <cellStyle name="计算 2 6 2 2 3 5" xfId="24049"/>
    <cellStyle name="20% - 强调文字颜色 3 2 8 2" xfId="24050"/>
    <cellStyle name="60% - 强调文字颜色 4 2 7 2 2 2" xfId="24051"/>
    <cellStyle name="汇总 2 5 3 8" xfId="24052"/>
    <cellStyle name="适中 2 3 2 4 3" xfId="24053"/>
    <cellStyle name="常规 4 2 2 2 2 3 3" xfId="24054"/>
    <cellStyle name="常规 2 4 2 2" xfId="24055"/>
    <cellStyle name="输出 2 5 4 2" xfId="24056"/>
    <cellStyle name="40% - 强调文字颜色 4 3 3 2 2 2 2" xfId="24057"/>
    <cellStyle name="60% - 强调文字颜色 2 2 2 2 2 3 2" xfId="24058"/>
    <cellStyle name="汇总 2 2 3 2 4 2" xfId="24059"/>
    <cellStyle name="20% - 强调文字颜色 5 2 2 2 5 2 2" xfId="24060"/>
    <cellStyle name="链接单元格 2 2 2 2 5" xfId="24061"/>
    <cellStyle name="注释 2 2 3 4 4 3" xfId="24062"/>
    <cellStyle name="差 2 2 2 2 2 2 2" xfId="24063"/>
    <cellStyle name="标题 4 2 2 9" xfId="24064"/>
    <cellStyle name="计算 2 3 4 5" xfId="24065"/>
    <cellStyle name="60% - 强调文字颜色 3 2 3 3 2" xfId="24066"/>
    <cellStyle name="计算 2 5 4 6 2 2" xfId="24067"/>
    <cellStyle name="20% - 强调文字颜色 4 2 2 6 2" xfId="24068"/>
    <cellStyle name="20% - 强调文字颜色 5 2 2 2 2 2" xfId="24069"/>
    <cellStyle name="汇总 2 2 6 2 6 3" xfId="24070"/>
    <cellStyle name="40% - 强调文字颜色 3 2 3 2 2 4" xfId="24071"/>
    <cellStyle name="注释 2 2 3 3 3 4" xfId="24072"/>
    <cellStyle name="60% - 强调文字颜色 4 3 3 3 2 2 2" xfId="24073"/>
    <cellStyle name="60% - 强调文字颜色 4 2 2 2 3 4" xfId="24074"/>
    <cellStyle name="标题 3 3 2 2 3 3" xfId="24075"/>
    <cellStyle name="输入 2 6 2 9" xfId="24076"/>
    <cellStyle name="解释性文本 2 2 4 4 2 2" xfId="24077"/>
    <cellStyle name="好 2 2 2 2 3" xfId="24078"/>
    <cellStyle name="注释 2 3 2 8 2" xfId="24079"/>
    <cellStyle name="标题 3 2 4 2 2 2 2 2" xfId="24080"/>
    <cellStyle name="标题 1 2 2 2 2 6 2 2" xfId="24081"/>
    <cellStyle name="60% - 强调文字颜色 5 2 3 2 3 2" xfId="24082"/>
    <cellStyle name="注释 2 2 4 2 7" xfId="24083"/>
    <cellStyle name="输出 2 2 3 5 7" xfId="24084"/>
    <cellStyle name="40% - 强调文字颜色 3 3 2 2 3 2 2 2" xfId="24085"/>
    <cellStyle name="输入 2 11 2" xfId="24086"/>
    <cellStyle name="常规 9 3 2 2" xfId="24087"/>
    <cellStyle name="20% - 强调文字颜色 4 2 5 2 2 2 2" xfId="24088"/>
    <cellStyle name="20% - 强调文字颜色 4 2 6 3 2" xfId="24089"/>
    <cellStyle name="注释 2 5 2 5 2 2" xfId="24090"/>
    <cellStyle name="标题 5 4 8" xfId="24091"/>
    <cellStyle name="常规 3 7 4" xfId="24092"/>
    <cellStyle name="强调文字颜色 3 5" xfId="24093"/>
    <cellStyle name="输出 2 2 2 2 4" xfId="24094"/>
    <cellStyle name="40% - 强调文字颜色 1 2 2 2 2 5 2 2" xfId="24095"/>
    <cellStyle name="标题 5 3 2 4 2 3" xfId="24096"/>
    <cellStyle name="标题 4 3 2 2 3" xfId="24097"/>
    <cellStyle name="汇总 2 6 3 4 2 2" xfId="24098"/>
    <cellStyle name="强调文字颜色 2 2 3 2 2 4" xfId="24099"/>
    <cellStyle name="20% - 强调文字颜色 2 3 2 4" xfId="24100"/>
    <cellStyle name="输出 2 2 3 4 5 2" xfId="24101"/>
    <cellStyle name="警告文本 2 4 2 2 3" xfId="24102"/>
    <cellStyle name="强调文字颜色 4 3 5" xfId="24103"/>
    <cellStyle name="输出 2 2 2 3 2 5" xfId="24104"/>
    <cellStyle name="强调文字颜色 2 3 2 2 3" xfId="24105"/>
    <cellStyle name="输出 2 2 3 5 2 2" xfId="24106"/>
    <cellStyle name="计算 2 2 3 2 8" xfId="24107"/>
    <cellStyle name="60% - 强调文字颜色 1 2 5" xfId="24108"/>
    <cellStyle name="60% - 强调文字颜色 6 2 2 3 3 3 3" xfId="24109"/>
    <cellStyle name="超链接 2 2 3 2 3 2" xfId="24110"/>
    <cellStyle name="常规 11 3 3 4" xfId="24111"/>
    <cellStyle name="注释 2 2 2 2 2 2 4 2" xfId="24112"/>
    <cellStyle name="标题 4 2 7 2 2" xfId="24113"/>
    <cellStyle name="20% - 强调文字颜色 1 3 5 2" xfId="24114"/>
    <cellStyle name="强调文字颜色 2 2 2 2 5 2" xfId="24115"/>
    <cellStyle name="20% - 强调文字颜色 3 2 3 2 2 5 2" xfId="24116"/>
    <cellStyle name="Normal 2 3 2" xfId="24117"/>
    <cellStyle name="计算 2 5 13" xfId="24118"/>
    <cellStyle name="计算 2 2 4 2 3 2" xfId="24119"/>
    <cellStyle name="强调文字颜色 6 2 2 2 3 2 2" xfId="24120"/>
    <cellStyle name="汇总 2 2 7 2 5" xfId="24121"/>
    <cellStyle name="标题 4 6 3" xfId="24122"/>
    <cellStyle name="计算 2 7 6 3 2" xfId="24123"/>
    <cellStyle name="20% - 强调文字颜色 6 2 2 6 2 2" xfId="24124"/>
    <cellStyle name="差 2 3 2 5 2 2" xfId="24125"/>
    <cellStyle name="强调文字颜色 2 2 3 2 2 3" xfId="24126"/>
    <cellStyle name="20% - 强调文字颜色 2 3 2 3" xfId="24127"/>
    <cellStyle name="常规 10 3 3 3" xfId="24128"/>
    <cellStyle name="注释 2 2 3 2 2 2" xfId="24129"/>
    <cellStyle name="输出 2 4 3 2 2" xfId="24130"/>
    <cellStyle name="常规 9 3 3 3" xfId="24131"/>
    <cellStyle name="好 2 3 4 2 2 2" xfId="24132"/>
    <cellStyle name="40% - 强调文字颜色 4 2 3 2 2 4" xfId="24133"/>
    <cellStyle name="计算 2 2 6 2 2 2 4" xfId="24134"/>
    <cellStyle name="强调文字颜色 2 2 5 2" xfId="24135"/>
    <cellStyle name="20% - 强调文字颜色 4 3" xfId="24136"/>
    <cellStyle name="40% - 强调文字颜色 4 5 2 2 2 2" xfId="24137"/>
    <cellStyle name="标题 1 2 2 5" xfId="24138"/>
    <cellStyle name="60% - 强调文字颜色 2 2 2 6 3" xfId="24139"/>
    <cellStyle name="强调文字颜色 3 2 4 4 2" xfId="24140"/>
    <cellStyle name="输出 3 3 2 2" xfId="24141"/>
    <cellStyle name="检查单元格 2 2 9" xfId="24142"/>
    <cellStyle name="常规 3 2 4 3 3" xfId="24143"/>
    <cellStyle name="40% - 强调文字颜色 6 2 4 4 3 2" xfId="24144"/>
    <cellStyle name="40% - 强调文字颜色 4 2 2 5" xfId="24145"/>
    <cellStyle name="标题 5 2 4 5" xfId="24146"/>
    <cellStyle name="差 2 9 2" xfId="24147"/>
    <cellStyle name="20% - 强调文字颜色 6 2 8 2" xfId="24148"/>
    <cellStyle name="标题 7 6" xfId="24149"/>
    <cellStyle name="计算 2 3 3 2 2" xfId="24150"/>
    <cellStyle name="输出 2 2 4 4 2 2 3" xfId="24151"/>
    <cellStyle name="20% - 强调文字颜色 1 2" xfId="24152"/>
    <cellStyle name="汇总 2 6 12" xfId="24153"/>
    <cellStyle name="20% - 强调文字颜色 3 2 2 3 2 2 2 2" xfId="24154"/>
    <cellStyle name="60% - 强调文字颜色 6 2 3 2 7" xfId="24155"/>
    <cellStyle name="注释 2 3 4 4 2" xfId="24156"/>
    <cellStyle name="汇总 2 2 4 3 3 5" xfId="24157"/>
    <cellStyle name="标题 1 2 2 2" xfId="24158"/>
    <cellStyle name="超链接 2 3 7 2 2" xfId="24159"/>
    <cellStyle name="20% - 强调文字颜色 4 4 2 3" xfId="24160"/>
    <cellStyle name="40% - 强调文字颜色 4 2 2 2 2 4 3 2 2" xfId="24161"/>
    <cellStyle name="40% - 强调文字颜色 2 2 2 2 3 2" xfId="24162"/>
    <cellStyle name="差 2 5 3" xfId="24163"/>
    <cellStyle name="40% - 强调文字颜色 1 3 3 2 2 2" xfId="24164"/>
    <cellStyle name="20% - 强调文字颜色 6 2 2 2 3 3 2" xfId="24165"/>
    <cellStyle name="输出 2 8 3 3" xfId="24166"/>
    <cellStyle name="常规 9 2 3 2 2 2" xfId="24167"/>
    <cellStyle name="检查单元格 2 6 3 2 2" xfId="24168"/>
    <cellStyle name="40% - 强调文字颜色 5 5 2" xfId="24169"/>
    <cellStyle name="标题 4 2 2 6 2" xfId="24170"/>
    <cellStyle name="计算 2 7 3 6 2" xfId="24171"/>
    <cellStyle name="输入 2 2 8 4 2 2" xfId="24172"/>
    <cellStyle name="标题 3 2 2 2 6 2 2 2" xfId="24173"/>
    <cellStyle name="汇总 2 2 4 5 5" xfId="24174"/>
    <cellStyle name="60% - 强调文字颜色 6 2 7 2" xfId="24175"/>
    <cellStyle name="检查单元格 2 2 3 8" xfId="24176"/>
    <cellStyle name="20% - 强调文字颜色 5 2 2 6 2 2 2" xfId="24177"/>
    <cellStyle name="标题 4 3 2 2" xfId="24178"/>
    <cellStyle name="适中 3 8" xfId="24179"/>
    <cellStyle name="输入 3 2 2 2 2 3" xfId="24180"/>
    <cellStyle name="40% - 强调文字颜色 6 2 3 2 2 3 2 2 2" xfId="24181"/>
    <cellStyle name="警告文本 2 2 2 2 4" xfId="24182"/>
    <cellStyle name="60% - 强调文字颜色 2 2 2 3 3 2 2" xfId="24183"/>
    <cellStyle name="汇总 3 3 2 5" xfId="24184"/>
    <cellStyle name="40% - 强调文字颜色 1 2 2 9 2" xfId="24185"/>
    <cellStyle name="输入 2 5 3 3 2" xfId="24186"/>
    <cellStyle name="注释 3 6" xfId="24187"/>
    <cellStyle name="20% - 强调文字颜色 1 2 3 2 4 3 2 2" xfId="24188"/>
    <cellStyle name="标题 1 5 2 2" xfId="24189"/>
    <cellStyle name="20% - 强调文字颜色 5 2 2 3 4 2 2" xfId="24190"/>
    <cellStyle name="20% - 强调文字颜色 1 2 2 2 3 2 2 2" xfId="24191"/>
    <cellStyle name="40% - 强调文字颜色 4 2 2 2 2 2 3 2 2 2" xfId="24192"/>
    <cellStyle name="输出 9 2" xfId="24193"/>
    <cellStyle name="强调文字颜色 3 2 2 3 5 2 2" xfId="24194"/>
    <cellStyle name="60% - 强调文字颜色 2 3 6 2" xfId="24195"/>
    <cellStyle name="标题 3 2 3 7" xfId="24196"/>
    <cellStyle name="计算 2 2 6 5 7" xfId="24197"/>
    <cellStyle name="汇总 2 2 8 7 2" xfId="24198"/>
    <cellStyle name="注释 4 2 4 2" xfId="24199"/>
    <cellStyle name="强调文字颜色 3 2 3 3 6" xfId="24200"/>
    <cellStyle name="输入 2 8 2 2 2" xfId="24201"/>
    <cellStyle name="注释 2 2 2 3 5" xfId="24202"/>
    <cellStyle name="40% - 强调文字颜色 3 2 2 2 4" xfId="24203"/>
    <cellStyle name="注释 2 2 12 2 2" xfId="24204"/>
    <cellStyle name="汇总 2 2 3 3 9" xfId="24205"/>
    <cellStyle name="40% - 强调文字颜色 1 2 3 2 2 3" xfId="24206"/>
    <cellStyle name="强调文字颜色 2 2 2 2 2 3 2" xfId="24207"/>
    <cellStyle name="20% - 强调文字颜色 1 3 2 3 2" xfId="24208"/>
    <cellStyle name="常规 10 2 3 3" xfId="24209"/>
    <cellStyle name="20% - 强调文字颜色 5 3 3 4" xfId="24210"/>
    <cellStyle name="20% - 强调文字颜色 2 2 6 2" xfId="24211"/>
    <cellStyle name="标题 5 3 3 5" xfId="24212"/>
    <cellStyle name="输出 2 5 2 2 8" xfId="24213"/>
    <cellStyle name="汇总 3 2 3 4 2" xfId="24214"/>
    <cellStyle name="标题 2 2 2 6 2 3" xfId="24215"/>
    <cellStyle name="60% - 强调文字颜色 5 2 4 3 2" xfId="24216"/>
    <cellStyle name="差 2 3 4 2 2 2" xfId="24217"/>
    <cellStyle name="40% - 强调文字颜色 1 4 2 3" xfId="24218"/>
    <cellStyle name="警告文本 2 2 2 2 4 2" xfId="24219"/>
    <cellStyle name="输出 2 2 4 4 2" xfId="24220"/>
    <cellStyle name="输出 2 5 2 6 3" xfId="24221"/>
    <cellStyle name="60% - 强调文字颜色 4 2 3 2 3 3 2 2" xfId="24222"/>
    <cellStyle name="计算 2 2 2 5 3" xfId="24223"/>
    <cellStyle name="常规 5 9 2" xfId="24224"/>
    <cellStyle name="40% - 强调文字颜色 1 2 2 3 6" xfId="24225"/>
    <cellStyle name="40% - 强调文字颜色 6 3 2 2 3 2 2 2" xfId="24226"/>
    <cellStyle name="汇总 2 6 8 3" xfId="24227"/>
    <cellStyle name="汇总 3 3 3 2 2" xfId="24228"/>
    <cellStyle name="常规 6 2 2 3 3 2" xfId="24229"/>
    <cellStyle name="标题 1 2 2 2 2 3 2 2 3" xfId="24230"/>
    <cellStyle name="计算 5" xfId="24231"/>
    <cellStyle name="40% - 强调文字颜色 6 6 2" xfId="24232"/>
    <cellStyle name="输入 2 2 6 4 4" xfId="24233"/>
    <cellStyle name="强调文字颜色 1 2 2 2 2 2 2 2 2" xfId="24234"/>
    <cellStyle name="计算 2 5 3 8" xfId="24235"/>
    <cellStyle name="40% - 强调文字颜色 3 2 2 5 2 2" xfId="24236"/>
    <cellStyle name="链接单元格 2 2 2 3 3 2" xfId="24237"/>
    <cellStyle name="20% - 强调文字颜色 2 4 3 2 2 2" xfId="24238"/>
    <cellStyle name="60% - 强调文字颜色 3 2 2 3 7" xfId="24239"/>
    <cellStyle name="标题 3 2 3 2 6" xfId="24240"/>
    <cellStyle name="输出 3 5 2 2" xfId="24241"/>
    <cellStyle name="40% - 强调文字颜色 2 2 2 3 4 3 2" xfId="24242"/>
    <cellStyle name="标题 5 2 3 5 2 2" xfId="24243"/>
    <cellStyle name="20% - 强调文字颜色 1 2 3 2 4 3" xfId="24244"/>
    <cellStyle name="汇总 2 7 4 8" xfId="24245"/>
    <cellStyle name="强调文字颜色 5 4 2 3 2" xfId="24246"/>
    <cellStyle name="标题 3 2 2 3 5 3" xfId="24247"/>
    <cellStyle name="计算 2 3 2 2 2 2 3 2 2" xfId="24248"/>
    <cellStyle name="注释 6" xfId="24249"/>
    <cellStyle name="注释 2 2 5 13" xfId="24250"/>
    <cellStyle name="常规 14 2 2 2 2 2" xfId="24251"/>
    <cellStyle name="常规 6 5 3 2 2" xfId="24252"/>
    <cellStyle name="解释性文本 2 4 3 2 3" xfId="24253"/>
    <cellStyle name="常规 9 2 5 2 2" xfId="24254"/>
    <cellStyle name="20% - 强调文字颜色 5 2 3 2 2 5 2" xfId="24255"/>
    <cellStyle name="差 2 2 2 4 3 2 2" xfId="24256"/>
    <cellStyle name="40% - 强调文字颜色 6 2 2 2 3 2" xfId="24257"/>
    <cellStyle name="常规 4 3 4 3 2" xfId="24258"/>
    <cellStyle name="计算 2 7 10 3" xfId="24259"/>
    <cellStyle name="20% - 强调文字颜色 1 2 2 2 2 5 2" xfId="24260"/>
    <cellStyle name="强调文字颜色 5 2 2 2 2 2 5" xfId="24261"/>
    <cellStyle name="强调文字颜色 5 2 2 2 3 7" xfId="24262"/>
    <cellStyle name="60% - 强调文字颜色 6 2 2 4 4 3" xfId="24263"/>
    <cellStyle name="汇总 2 2 4 2 5 2 3" xfId="24264"/>
    <cellStyle name="汇总 2 2 5 2 3 3" xfId="24265"/>
    <cellStyle name="60% - 强调文字颜色 6 3 2 2 5" xfId="24266"/>
    <cellStyle name="计算 2 2 6 2 2 3 3" xfId="24267"/>
    <cellStyle name="20% - 强调文字颜色 5 2" xfId="24268"/>
    <cellStyle name="汇总 2 5 2 2 2 2 3" xfId="24269"/>
    <cellStyle name="汇总 2 2 6 4 5 2" xfId="24270"/>
    <cellStyle name="注释 2 2 3 5 2 3" xfId="24271"/>
    <cellStyle name="常规 3 4 5" xfId="24272"/>
    <cellStyle name="20% - 强调文字颜色 5 2 8" xfId="24273"/>
    <cellStyle name="注释 2 2 5 2 7" xfId="24274"/>
    <cellStyle name="常规 12 2 2 5 2 2" xfId="24275"/>
    <cellStyle name="20% - 强调文字颜色 1 3 4 2 2" xfId="24276"/>
    <cellStyle name="强调文字颜色 2 2 2 2 4 2 2" xfId="24277"/>
    <cellStyle name="40% - 强调文字颜色 4 2 4 2 2" xfId="24278"/>
    <cellStyle name="汇总 2 2 4 5 2 3 3" xfId="24279"/>
    <cellStyle name="常规 10 3 3 2 2" xfId="24280"/>
    <cellStyle name="注释 3 13" xfId="24281"/>
    <cellStyle name="40% - 强调文字颜色 3 2 3 3 2 2 2 2" xfId="24282"/>
    <cellStyle name="20% - 强调文字颜色 3 2 4 4 3" xfId="24283"/>
    <cellStyle name="常规 5 2 2 2 2 2 5" xfId="24284"/>
    <cellStyle name="好 2 2 2 5 2 2 2" xfId="24285"/>
    <cellStyle name="60% - 强调文字颜色 2 2 2 3 4 2" xfId="24286"/>
    <cellStyle name="汇总 2 4 2 6 3" xfId="24287"/>
    <cellStyle name="强调文字颜色 1 2 4 3 4" xfId="24288"/>
    <cellStyle name="计算 2 8 3 2 2 3" xfId="24289"/>
    <cellStyle name="标题 2 2 2 10" xfId="24290"/>
    <cellStyle name="常规 5 3 3 5" xfId="24291"/>
    <cellStyle name="解释性文本 2 2 2 4 3 2 2" xfId="24292"/>
    <cellStyle name="标题 4 2 3 2 3 3 2 2" xfId="24293"/>
    <cellStyle name="计算 2 7 4 7" xfId="24294"/>
    <cellStyle name="百分比 2 2 2 2 2 2 2 2" xfId="24295"/>
    <cellStyle name="输入 2 2 8 5 3" xfId="24296"/>
    <cellStyle name="20% - 强调文字颜色 5 2 2 2 3" xfId="24297"/>
    <cellStyle name="60% - 强调文字颜色 6 2 3 4 2" xfId="24298"/>
    <cellStyle name="计算 2 3 10 2 2" xfId="24299"/>
    <cellStyle name="常规 5 3 5 2" xfId="24300"/>
    <cellStyle name="40% - 强调文字颜色 6 3 2 3 2" xfId="24301"/>
    <cellStyle name="汇总 2 2 12 3 3" xfId="24302"/>
    <cellStyle name="40% - 强调文字颜色 3 2 2 3 2" xfId="24303"/>
    <cellStyle name="注释 2 2 2 4 3" xfId="24304"/>
    <cellStyle name="20% - 强调文字颜色 2 5" xfId="24305"/>
    <cellStyle name="强调文字颜色 2 2 3 4" xfId="24306"/>
    <cellStyle name="计算 2 4 2 2 9" xfId="24307"/>
    <cellStyle name="适中 3 2 2 3" xfId="24308"/>
    <cellStyle name="链接单元格 2 2 3 5 2 2" xfId="24309"/>
    <cellStyle name="60% - 强调文字颜色 1 2 7" xfId="24310"/>
    <cellStyle name="汇总 2 5 12 2" xfId="24311"/>
    <cellStyle name="超链接 2 5 4 2" xfId="24312"/>
    <cellStyle name="60% - 强调文字颜色 2 2 2 3 4 2 2 2" xfId="24313"/>
    <cellStyle name="20% - 强调文字颜色 2 2 4 5 2" xfId="24314"/>
    <cellStyle name="计算 2 2 3 2 3 2 2" xfId="24315"/>
    <cellStyle name="20% - 强调文字颜色 2 4 3 2" xfId="24316"/>
    <cellStyle name="强调文字颜色 2 2 3 3 3 2" xfId="24317"/>
    <cellStyle name="计算 2 10 9" xfId="24318"/>
    <cellStyle name="常规 4 3 8 2 2" xfId="24319"/>
    <cellStyle name="40% - 强调文字颜色 6 2 2 6 2 2" xfId="24320"/>
    <cellStyle name="20% - 强调文字颜色 6 2 2 2 2 2 2 2 2 2 2" xfId="24321"/>
    <cellStyle name="常规 9 3 2 2 2 3" xfId="24322"/>
    <cellStyle name="标题 7 2 2 2 2" xfId="24323"/>
    <cellStyle name="20% - 强调文字颜色 1 2 4 2 2 2" xfId="24324"/>
    <cellStyle name="输入 2 2 8 2 2 4" xfId="24325"/>
    <cellStyle name="20% - 强调文字颜色 2 2 4 2 2 2 2" xfId="24326"/>
    <cellStyle name="20% - 强调文字颜色 3 2 3 5 2" xfId="24327"/>
    <cellStyle name="标题 4 2 3 2 4 2 2 2" xfId="24328"/>
    <cellStyle name="常规 9 6 3" xfId="24329"/>
    <cellStyle name="40% - 强调文字颜色 3 2 7 2" xfId="24330"/>
    <cellStyle name="强调文字颜色 2 3 2 2 2" xfId="24331"/>
    <cellStyle name="输出 2 2 2 3 2 4" xfId="24332"/>
    <cellStyle name="60% - 强调文字颜色 6 2 3 2 2 2" xfId="24333"/>
    <cellStyle name="40% - 强调文字颜色 5 2 3 7 2" xfId="24334"/>
    <cellStyle name="60% - 强调文字颜色 6 2 2 3 7" xfId="24335"/>
    <cellStyle name="汇总 2 2 4 2 4 5" xfId="24336"/>
    <cellStyle name="注释 2 3 3 5 2" xfId="24337"/>
    <cellStyle name="40% - 强调文字颜色 1 2 2 3 4 2" xfId="24338"/>
    <cellStyle name="20% - 强调文字颜色 2 2 2 2 3 4" xfId="24339"/>
    <cellStyle name="差 2 3 2 2 2" xfId="24340"/>
    <cellStyle name="计算 2 2 3 2 2 6" xfId="24341"/>
    <cellStyle name="强调文字颜色 2 2 3 2 7" xfId="24342"/>
    <cellStyle name="20% - 强调文字颜色 2 3 7" xfId="24343"/>
    <cellStyle name="计算 2 5 3 2 3" xfId="24344"/>
    <cellStyle name="60% - 强调文字颜色 6 3 2 4 2 2" xfId="24345"/>
    <cellStyle name="20% - 强调文字颜色 2 2 2 4 5" xfId="24346"/>
    <cellStyle name="强调文字颜色 5 2 2 2 3 4" xfId="24347"/>
    <cellStyle name="20% - 强调文字颜色 1 2 2 6 3" xfId="24348"/>
    <cellStyle name="计算 2 2 8 3 2 3 2 2" xfId="24349"/>
    <cellStyle name="40% - 强调文字颜色 3 2 2 2 2 4 3 2 2" xfId="24350"/>
    <cellStyle name="20% - 强调文字颜色 1 2 2 2 2 2 2 3" xfId="24351"/>
    <cellStyle name="警告文本 2 2 2 4 2 2 2" xfId="24352"/>
    <cellStyle name="常规 12 2 4 2 2" xfId="24353"/>
    <cellStyle name="标题 5 2 2 3 6" xfId="24354"/>
    <cellStyle name="常规 5 2 3 2 6" xfId="24355"/>
    <cellStyle name="输入 2 2 5 7" xfId="24356"/>
    <cellStyle name="标题 3 2 2 2 3 5" xfId="24357"/>
    <cellStyle name="强调文字颜色 4 2 6 3" xfId="24358"/>
    <cellStyle name="计算 2 5 2 4 4 2" xfId="24359"/>
    <cellStyle name="20% - 强调文字颜色 3 2 3 3 2 2 2 2" xfId="24360"/>
    <cellStyle name="60% - 强调文字颜色 2 2 2 6 2 2 2" xfId="24361"/>
    <cellStyle name="输出 2 2 2 2 13" xfId="24362"/>
    <cellStyle name="40% - 强调文字颜色 6 2 2 2 3 3" xfId="24363"/>
    <cellStyle name="计算 2 5 11 2" xfId="24364"/>
    <cellStyle name="20% - 强调文字颜色 5 3 3 3 2 2 2" xfId="24365"/>
    <cellStyle name="60% - 强调文字颜色 5 2 2 4 3 3 2" xfId="24366"/>
    <cellStyle name="40% - 强调文字颜色 6 2 2 2 4 3 2 2" xfId="24367"/>
    <cellStyle name="汇总 2 7 2 2 3 2 2" xfId="24368"/>
    <cellStyle name="差 2 2 4 4 3" xfId="24369"/>
    <cellStyle name="计算 2 3 4 4 2 2" xfId="24370"/>
    <cellStyle name="汇总 2 3 2 3 4" xfId="24371"/>
    <cellStyle name="40% - 强调文字颜色 1 2 3 2 2 2 3 2" xfId="24372"/>
    <cellStyle name="40% - 强调文字颜色 5 2 2 2 2 2 5" xfId="24373"/>
    <cellStyle name="20% - 强调文字颜色 4 3 2 3 2 2 2" xfId="24374"/>
    <cellStyle name="60% - 强调文字颜色 6 2 3 3 2 2 2" xfId="24375"/>
    <cellStyle name="超链接 3 2 4 3 3" xfId="24376"/>
    <cellStyle name="常规 4 2 2 2 3 4" xfId="24377"/>
    <cellStyle name="输入 2 2 8 5 2 2" xfId="24378"/>
    <cellStyle name="20% - 强调文字颜色 6 2 2 6" xfId="24379"/>
    <cellStyle name="汇总 2 2 5 5 5" xfId="24380"/>
    <cellStyle name="60% - 强调文字颜色 2 2 2 2 3 2 2 2 2" xfId="24381"/>
    <cellStyle name="计算 2 5 2 2 2 5" xfId="24382"/>
    <cellStyle name="链接单元格 2 2 8" xfId="24383"/>
    <cellStyle name="20% - 强调文字颜色 4 2 3 2 2 3 2" xfId="24384"/>
    <cellStyle name="汇总 2 2 7 2 2 2 2 2" xfId="24385"/>
    <cellStyle name="60% - 强调文字颜色 4 2 3 4 2 2 2" xfId="24386"/>
    <cellStyle name="计算 2 5 5 2 4" xfId="24387"/>
    <cellStyle name="注释 4 2 6" xfId="24388"/>
    <cellStyle name="注释 2 4 2 2 2" xfId="24389"/>
    <cellStyle name="强调文字颜色 1 2 4 8" xfId="24390"/>
    <cellStyle name="标题 4 2 3 2 4 2" xfId="24391"/>
    <cellStyle name="60% - 强调文字颜色 1 4 2 3" xfId="24392"/>
    <cellStyle name="注释 2 2 9" xfId="24393"/>
    <cellStyle name="计算 2 2 3 4 5 3" xfId="24394"/>
    <cellStyle name="60% - 强调文字颜色 6 2 2 2 2" xfId="24395"/>
    <cellStyle name="计算 2 2 8 2 5 2 2" xfId="24396"/>
    <cellStyle name="标题 1 2 4 4 2 3" xfId="24397"/>
    <cellStyle name="解释性文本 2 2 2 2 3 2" xfId="24398"/>
    <cellStyle name="注释 2 2 3 2 2 4 3" xfId="24399"/>
    <cellStyle name="40% - 强调文字颜色 4 3 2 3" xfId="24400"/>
    <cellStyle name="常规 5 2 3 2 4 2" xfId="24401"/>
    <cellStyle name="输出 4 3 2 2 2" xfId="24402"/>
    <cellStyle name="差 2 2 2 2 3 3 2" xfId="24403"/>
    <cellStyle name="警告文本 2 2 3 7" xfId="24404"/>
    <cellStyle name="计算 2 2 4 2 4 2 6" xfId="24405"/>
    <cellStyle name="40% - 强调文字颜色 6 2 3" xfId="24406"/>
    <cellStyle name="差 2 3 2 3 3 3" xfId="24407"/>
    <cellStyle name="适中 2 2 2 5 2 2" xfId="24408"/>
    <cellStyle name="输入 2 6 2 7" xfId="24409"/>
    <cellStyle name="百分比 2 3 5 2" xfId="24410"/>
    <cellStyle name="计算 2 2 3 3 4 3" xfId="24411"/>
    <cellStyle name="强调文字颜色 2 2 4 4 4" xfId="24412"/>
    <cellStyle name="好 2 4 6 2 2" xfId="24413"/>
    <cellStyle name="60% - 强调文字颜色 4 2 4 8" xfId="24414"/>
    <cellStyle name="60% - 强调文字颜色 6 3 2 2 2 3" xfId="24415"/>
    <cellStyle name="40% - 强调文字颜色 4 2 3 2 2 4 2 2" xfId="24416"/>
    <cellStyle name="检查单元格 2 2 2 4 3 2 2" xfId="24417"/>
    <cellStyle name="注释 2 2 3 2 6" xfId="24418"/>
    <cellStyle name="40% - 强调文字颜色 1 2 2 2 3 5" xfId="24419"/>
    <cellStyle name="汇总 2 5 2 2 2 2 2 3" xfId="24420"/>
    <cellStyle name="计算 2 2 4 2 2 2 2 4 2" xfId="24421"/>
    <cellStyle name="计算 2 2 4 4 4 3" xfId="24422"/>
    <cellStyle name="注释 2 6 2 2 4" xfId="24423"/>
    <cellStyle name="60% - 强调文字颜色 3 6 2 2" xfId="24424"/>
    <cellStyle name="适中 3" xfId="24425"/>
    <cellStyle name="差 2 3 4 4" xfId="24426"/>
    <cellStyle name="差 4 2 2 2 3" xfId="24427"/>
    <cellStyle name="强调文字颜色 1 2 3 2 4 2 3" xfId="24428"/>
    <cellStyle name="40% - 强调文字颜色 6 3 6 2" xfId="24429"/>
    <cellStyle name="20% - 强调文字颜色 4 2 3 3 2 2" xfId="24430"/>
    <cellStyle name="注释 2 5 2 2 2 2 2" xfId="24431"/>
    <cellStyle name="20% - 强调文字颜色 4 3 3 4" xfId="24432"/>
    <cellStyle name="60% - 强调文字颜色 2 2 2 2 2 4 2 2" xfId="24433"/>
    <cellStyle name="40% - 强调文字颜色 3 2 2 2 2 2 5 2 2" xfId="24434"/>
    <cellStyle name="汇总 2 3 3 3" xfId="24435"/>
    <cellStyle name="计算 4 2 3 4" xfId="24436"/>
    <cellStyle name="汇总 3 5 3" xfId="24437"/>
    <cellStyle name="检查单元格 2 3 2 4 3 2" xfId="24438"/>
    <cellStyle name="计算 2 5 5 2 2" xfId="24439"/>
    <cellStyle name="常规 8 2 2 4 2" xfId="24440"/>
    <cellStyle name="40% - 强调文字颜色 1 2 2 2 2 2 4" xfId="24441"/>
    <cellStyle name="60% - 强调文字颜色 5 2 3 2 5 2 2" xfId="24442"/>
    <cellStyle name="汇总 2 2 2 2 2 2 6 2" xfId="24443"/>
    <cellStyle name="标题 2 2 2 2 3 2 2" xfId="24444"/>
    <cellStyle name="20% - 强调文字颜色 3 2 3 6 2 2 2" xfId="24445"/>
    <cellStyle name="警告文本 4 4 2" xfId="24446"/>
    <cellStyle name="检查单元格 2 4 2 2 2 3" xfId="24447"/>
    <cellStyle name="20% - 强调文字颜色 4 2 3 3 2 2 2 2" xfId="24448"/>
    <cellStyle name="汇总 2 2 2 2 2 3 2" xfId="24449"/>
    <cellStyle name="20% - 强调文字颜色 4 2 2 2 2 2 2 2 2" xfId="24450"/>
    <cellStyle name="20% - 强调文字颜色 4 2 4 2 2 2" xfId="24451"/>
    <cellStyle name="检查单元格 2 2 2 4 4" xfId="24452"/>
    <cellStyle name="60% - 强调文字颜色 6 2 2 4 5 2 2" xfId="24453"/>
    <cellStyle name="汇总 2 2 4 2 5 3 2 2" xfId="24454"/>
    <cellStyle name="40% - 强调文字颜色 1 2 7" xfId="24455"/>
    <cellStyle name="60% - 强调文字颜色 5 2 4 4 3" xfId="24456"/>
    <cellStyle name="适中 2 2 4 4 2 2" xfId="24457"/>
    <cellStyle name="强调文字颜色 6 2 6 2 2" xfId="24458"/>
    <cellStyle name="计算 2 8 2 4 2 2" xfId="24459"/>
    <cellStyle name="60% - 强调文字颜色 1 4 2 3 2" xfId="24460"/>
    <cellStyle name="注释 2 2 9 2" xfId="24461"/>
    <cellStyle name="警告文本 2 3 2 3" xfId="24462"/>
    <cellStyle name="强调文字颜色 5 2 3 3 2 2 2" xfId="24463"/>
    <cellStyle name="60% - 强调文字颜色 6 2 5 3 3" xfId="24464"/>
    <cellStyle name="适中 3 6 2" xfId="24465"/>
    <cellStyle name="注释 5 4 2" xfId="24466"/>
    <cellStyle name="60% - 强调文字颜色 6 3 2 2 3" xfId="24467"/>
    <cellStyle name="20% - 强调文字颜色 3 2 2 2 2 2 2 3" xfId="24468"/>
    <cellStyle name="强调文字颜色 5 2 4 3" xfId="24469"/>
    <cellStyle name="40% - 强调文字颜色 2 2 2 6" xfId="24470"/>
    <cellStyle name="40% - 强调文字颜色 6 2 2 4 3 3" xfId="24471"/>
    <cellStyle name="60% - 强调文字颜色 6 3 2 2 2 2 2 2" xfId="24472"/>
    <cellStyle name="注释 2 2 3 3 9" xfId="24473"/>
    <cellStyle name="计算 2 2 8 2 2 4 2" xfId="24474"/>
    <cellStyle name="常规 6 3 2 5 2 2 2" xfId="24475"/>
    <cellStyle name="40% - 强调文字颜色 6 2 3 2 2 5" xfId="24476"/>
    <cellStyle name="输入 4 3 2 2" xfId="24477"/>
    <cellStyle name="20% - 强调文字颜色 1 2 2 2 2 2 4" xfId="24478"/>
    <cellStyle name="40% - 强调文字颜色 6 2 9" xfId="24479"/>
    <cellStyle name="好 3 3 3 2 2 2" xfId="24480"/>
    <cellStyle name="百分比 2 2 3 2 3" xfId="24481"/>
    <cellStyle name="40% - 强调文字颜色 5 2 2 2 2 4" xfId="24482"/>
    <cellStyle name="标题 1 2 2 5 2 2 3" xfId="24483"/>
    <cellStyle name="标题 4 4 3 2 3" xfId="24484"/>
    <cellStyle name="汇总 2 6 4 5 2 2" xfId="24485"/>
    <cellStyle name="强调文字颜色 5 2 3 3 4" xfId="24486"/>
    <cellStyle name="计算 2 5 3 2 3 3" xfId="24487"/>
    <cellStyle name="标题 2 2 6 2" xfId="24488"/>
    <cellStyle name="计算 2 10 3 2 2 2" xfId="24489"/>
    <cellStyle name="差 2 2 5 2 3" xfId="24490"/>
    <cellStyle name="40% - 强调文字颜色 3 2 7" xfId="24491"/>
    <cellStyle name="常规 3 3 2 2 5 2" xfId="24492"/>
    <cellStyle name="20% - 强调文字颜色 6 2 5 2 3 2" xfId="24493"/>
    <cellStyle name="计算 2 2 6 2 9" xfId="24494"/>
    <cellStyle name="60% - 强调文字颜色 4 2 6" xfId="24495"/>
    <cellStyle name="60% - 强调文字颜色 2 3 3 4" xfId="24496"/>
    <cellStyle name="60% - 强调文字颜色 2 2 7 2 2" xfId="24497"/>
    <cellStyle name="40% - 强调文字颜色 1 2 2 2 7 2" xfId="24498"/>
    <cellStyle name="计算 4 2 3 3 2" xfId="24499"/>
    <cellStyle name="汇总 2 3 3 2 2" xfId="24500"/>
    <cellStyle name="好 3 9" xfId="24501"/>
    <cellStyle name="20% - 强调文字颜色 5 2 6 3" xfId="24502"/>
    <cellStyle name="常规 5 2" xfId="24503"/>
    <cellStyle name="20% - 强调文字颜色 2 3 2 2 2 2 2 2" xfId="24504"/>
    <cellStyle name="40% - 强调文字颜色 3 2 2 5 3 2 2" xfId="24505"/>
    <cellStyle name="20% - 强调文字颜色 2 2 4 5" xfId="24506"/>
    <cellStyle name="注释 2 3 2 3 4" xfId="24507"/>
    <cellStyle name="40% - 强调文字颜色 3 3 2 2 3" xfId="24508"/>
    <cellStyle name="20% - 强调文字颜色 1 3 2 3" xfId="24509"/>
    <cellStyle name="强调文字颜色 2 2 2 2 2 3" xfId="24510"/>
    <cellStyle name="常规 4 6 3 3 3" xfId="24511"/>
    <cellStyle name="汇总 2 5 5 2 4" xfId="24512"/>
    <cellStyle name="40% - 强调文字颜色 4 2 4 2 2 2 2 2" xfId="24513"/>
    <cellStyle name="输出 2 3 5 2 2" xfId="24514"/>
    <cellStyle name="注释 2 2 11 3" xfId="24515"/>
    <cellStyle name="常规 2 2 3 2 2" xfId="24516"/>
    <cellStyle name="常规 3 2 4 2 2 2 2 2" xfId="24517"/>
    <cellStyle name="标题 5 2 4 2 3" xfId="24518"/>
    <cellStyle name="汇总 2 7 2 6 2 2" xfId="24519"/>
    <cellStyle name="20% - 强调文字颜色 3 3 3 3 2 2 2" xfId="24520"/>
    <cellStyle name="常规 10 3 2 3 3 2" xfId="24521"/>
    <cellStyle name="40% - 强调文字颜色 6 2 3 4 2 2" xfId="24522"/>
    <cellStyle name="60% - 强调文字颜色 1 2 3 2 2 2 2 2 2" xfId="24523"/>
    <cellStyle name="标题 1 2 2 3 2 2 3" xfId="24524"/>
    <cellStyle name="常规 8 4 2" xfId="24525"/>
    <cellStyle name="汇总 2 8 2 2 3 3" xfId="24526"/>
    <cellStyle name="输出 2 2 3 2 4 4" xfId="24527"/>
    <cellStyle name="40% - 强调文字颜色 6 3 4" xfId="24528"/>
    <cellStyle name="汇总 2 2 2 2 2 2 2 2 2" xfId="24529"/>
    <cellStyle name="输入 2 3 4 2 2 3" xfId="24530"/>
    <cellStyle name="常规 5 3 3 3 2 2" xfId="24531"/>
    <cellStyle name="注释 2 2 4 2 3 2 3" xfId="24532"/>
    <cellStyle name="计算 2 2 9" xfId="24533"/>
    <cellStyle name="标题 3 2 2 3 5 2" xfId="24534"/>
    <cellStyle name="汇总 2 2 4 4 3 3 2 2" xfId="24535"/>
    <cellStyle name="20% - 强调文字颜色 4 2 8 2 2" xfId="24536"/>
    <cellStyle name="20% - 强调文字颜色 3 2 2 9 2" xfId="24537"/>
    <cellStyle name="输出 2 3 5" xfId="24538"/>
    <cellStyle name="常规 2 2 3" xfId="24539"/>
    <cellStyle name="40% - 强调文字颜色 4 2 4 2 2 2" xfId="24540"/>
    <cellStyle name="强调文字颜色 6 2 3 2 5 2 2" xfId="24541"/>
    <cellStyle name="输入 2 3 3 2 2 3" xfId="24542"/>
    <cellStyle name="输入 2 2 8 2 5" xfId="24543"/>
    <cellStyle name="20% - 强调文字颜色 2 2 7 2" xfId="24544"/>
    <cellStyle name="标题 6 3 3 2 3" xfId="24545"/>
    <cellStyle name="标题 4 3 2 2 3 2 3" xfId="24546"/>
    <cellStyle name="20% - 强调文字颜色 5 3 2 5 2" xfId="24547"/>
    <cellStyle name="常规 10 3 3" xfId="24548"/>
    <cellStyle name="40% - 强调文字颜色 4 2 5 3 3" xfId="24549"/>
    <cellStyle name="40% - 强调文字颜色 4 3" xfId="24550"/>
    <cellStyle name="输入 2 2 5 11" xfId="24551"/>
    <cellStyle name="输入 2 2 5 3 4 3" xfId="24552"/>
    <cellStyle name="输入 2 2 7 7 3" xfId="24553"/>
    <cellStyle name="标题 7 2 5" xfId="24554"/>
    <cellStyle name="20% - 强调文字颜色 5 2 2 2 2 2 3 2 2" xfId="24555"/>
    <cellStyle name="40% - 强调文字颜色 6 4 4 2" xfId="24556"/>
    <cellStyle name="汇总 2 2 2 2 2 2 2 3 2 2" xfId="24557"/>
    <cellStyle name="标题 1 2 3 2 4 2 3" xfId="24558"/>
    <cellStyle name="输入 2 2 4 2 2 2 2 2 2" xfId="24559"/>
    <cellStyle name="注释 2 2 3 3 2 4 2" xfId="24560"/>
    <cellStyle name="40% - 强调文字颜色 1 2 4 4 2" xfId="24561"/>
    <cellStyle name="汇总 3 3 2 3 3" xfId="24562"/>
    <cellStyle name="常规 6 2 2 2 4 3" xfId="24563"/>
    <cellStyle name="40% - 强调文字颜色 5 2 3 4 2 2" xfId="24564"/>
    <cellStyle name="Normal 4 2 3" xfId="24565"/>
    <cellStyle name="计算 2 2 3 3 7" xfId="24566"/>
    <cellStyle name="60% - 强调文字颜色 1 3 4" xfId="24567"/>
    <cellStyle name="60% - 强调文字颜色 2 2 2 2 3 4" xfId="24568"/>
    <cellStyle name="40% - 强调文字颜色 4 2 2 2 3" xfId="24569"/>
    <cellStyle name="输入 2 2 4 2 2 6 2" xfId="24570"/>
    <cellStyle name="警告文本 2 2 6 3 2 2" xfId="24571"/>
    <cellStyle name="好 2 2 7 3" xfId="24572"/>
    <cellStyle name="注释 2 2 2 2 9" xfId="24573"/>
    <cellStyle name="标题 6 3 2 2" xfId="24574"/>
    <cellStyle name="标题 5 2 3 2 2 2" xfId="24575"/>
    <cellStyle name="强调文字颜色 3 2 5 4" xfId="24576"/>
    <cellStyle name="60% - 强调文字颜色 6 3 3 2 2 2 2" xfId="24577"/>
    <cellStyle name="标题 7 2 3 2 3" xfId="24578"/>
    <cellStyle name="60% - 强调文字颜色 1 3 2 2 3" xfId="24579"/>
    <cellStyle name="注释 2 2 4 5 3" xfId="24580"/>
    <cellStyle name="20% - 强调文字颜色 1 2 3 2 2 3 2 2" xfId="24581"/>
    <cellStyle name="40% - 强调文字颜色 3 2 4 4 2" xfId="24582"/>
    <cellStyle name="输入 2 6 2 2 5 3" xfId="24583"/>
    <cellStyle name="检查单元格 2 2 2 2 3 4" xfId="24584"/>
    <cellStyle name="常规_New Follow" xfId="24585"/>
    <cellStyle name="20% - 强调文字颜色 4 3 2 2 4 2" xfId="24586"/>
    <cellStyle name="计算 4 2 4 2 2" xfId="24587"/>
    <cellStyle name="60% - 强调文字颜色 4 2 2 2 3 5" xfId="24588"/>
    <cellStyle name="链接单元格 4 2 2" xfId="24589"/>
    <cellStyle name="百分比 2 2 3 4" xfId="24590"/>
    <cellStyle name="汇总 2 2 4 2 3 2 2" xfId="24591"/>
    <cellStyle name="计算 2 2 4 4 2 5" xfId="24592"/>
    <cellStyle name="60% - 强调文字颜色 6 2 2 2 4 2" xfId="24593"/>
    <cellStyle name="计算 2 2 2 4 2 4" xfId="24594"/>
    <cellStyle name="注释 2 2 3 2 6 3" xfId="24595"/>
    <cellStyle name="输出 2 8 2 2 2" xfId="24596"/>
    <cellStyle name="好 2 4 3 3" xfId="24597"/>
    <cellStyle name="汇总 2 2 4 2 2 4 3" xfId="24598"/>
    <cellStyle name="20% - 强调文字颜色 5 2 3 3 2 2 2" xfId="24599"/>
    <cellStyle name="输出 2 4 2 3 4 2 2" xfId="24600"/>
    <cellStyle name="40% - 强调文字颜色 3 2 2 2 3 2 2 2" xfId="24601"/>
    <cellStyle name="40% - 强调文字颜色 3 2 2 3 4 3" xfId="24602"/>
    <cellStyle name="百分比 2 3 2 3 2 2" xfId="24603"/>
    <cellStyle name="20% - 强调文字颜色 6 3 4 2 2" xfId="24604"/>
    <cellStyle name="适中 2 2 2 2 2 3" xfId="24605"/>
    <cellStyle name="40% - 强调文字颜色 3 2 4" xfId="24606"/>
    <cellStyle name="汇总 4 2 5 3" xfId="24607"/>
    <cellStyle name="输出 2 4 5 4 2 2" xfId="24608"/>
    <cellStyle name="20% - 强调文字颜色 5 2 2 2 2 3 3" xfId="24609"/>
    <cellStyle name="百分比 2 2 5 2 2 3" xfId="24610"/>
    <cellStyle name="注释 2 4 3 2 2 3 2" xfId="24611"/>
    <cellStyle name="计算 3 14" xfId="24612"/>
    <cellStyle name="输入 3 2 2 4 2 2" xfId="24613"/>
    <cellStyle name="检查单元格 2 2 3 5 2" xfId="24614"/>
    <cellStyle name="输入 2 9 6 2" xfId="24615"/>
    <cellStyle name="20% - 强调文字颜色 4 2 2 4 2" xfId="24616"/>
    <cellStyle name="40% - 强调文字颜色 5 2 5" xfId="24617"/>
    <cellStyle name="差 2 2 4 5" xfId="24618"/>
    <cellStyle name="40% - 强调文字颜色 2 2 5 2 3" xfId="24619"/>
    <cellStyle name="注释 2 6 4 4" xfId="24620"/>
    <cellStyle name="好 2 3 5" xfId="24621"/>
    <cellStyle name="汇总 2 3 3 6 3" xfId="24622"/>
    <cellStyle name="60% - 强调文字颜色 6 2 3 6" xfId="24623"/>
    <cellStyle name="计算 3 2 5" xfId="24624"/>
    <cellStyle name="40% - 强调文字颜色 4 2 2 2 2 4 2 2 2" xfId="24625"/>
    <cellStyle name="注释 2 2 6 5 3" xfId="24626"/>
    <cellStyle name="检查单元格 2 2 3 4" xfId="24627"/>
    <cellStyle name="20% - 强调文字颜色 1 2 3 2 2 5 2 2" xfId="24628"/>
    <cellStyle name="标题 1 2 2 2 2 2 3" xfId="24629"/>
    <cellStyle name="解释性文本 2 4 3 4" xfId="24630"/>
    <cellStyle name="标题 4 2 3 2 2 2 2 2 2" xfId="24631"/>
    <cellStyle name="汇总 2 4 2 3 6" xfId="24632"/>
    <cellStyle name="强调文字颜色 2 2 6 2 2" xfId="24633"/>
    <cellStyle name="60% - 强调文字颜色 1 2 4 4 3" xfId="24634"/>
    <cellStyle name="20% - 强调文字颜色 5 3 2" xfId="24635"/>
    <cellStyle name="汇总 2 5 2 2 2 2 4 2" xfId="24636"/>
    <cellStyle name="强调文字颜色 5 2 4 3 3" xfId="24637"/>
    <cellStyle name="计算 2 5 3 3 3 2" xfId="24638"/>
    <cellStyle name="标题 4 4 4 2 2" xfId="24639"/>
    <cellStyle name="常规 12 3 3" xfId="24640"/>
    <cellStyle name="强调文字颜色 6 2 2 2 2 6" xfId="24641"/>
    <cellStyle name="40% - 强调文字颜色 5 2 2 4 5 2 2" xfId="24642"/>
    <cellStyle name="注释 3 2 2" xfId="24643"/>
    <cellStyle name="20% - 强调文字颜色 2 2 5 3 3 2" xfId="24644"/>
    <cellStyle name="链接单元格 3 7" xfId="24645"/>
    <cellStyle name="40% - 强调文字颜色 4 3 2 3 2 2 2" xfId="24646"/>
    <cellStyle name="20% - 强调文字颜色 5 2 2 3 4 3" xfId="24647"/>
    <cellStyle name="60% - 强调文字颜色 6 2 2 2 2 3 2 2 2" xfId="24648"/>
    <cellStyle name="计算 2 7 3 2 2" xfId="24649"/>
    <cellStyle name="标题 1 5 3" xfId="24650"/>
    <cellStyle name="输出 2 2 5 2 5 3" xfId="24651"/>
    <cellStyle name="60% - 强调文字颜色 1 4 3" xfId="24652"/>
    <cellStyle name="计算 2 2 3 4 6" xfId="24653"/>
    <cellStyle name="Normal 4 3 2" xfId="24654"/>
    <cellStyle name="60% - 强调文字颜色 3 2 2 2 6 2 2" xfId="24655"/>
    <cellStyle name="计算 2 2 3 9 2 2" xfId="24656"/>
    <cellStyle name="40% - 强调文字颜色 5 2 3 3 5" xfId="24657"/>
    <cellStyle name="检查单元格 2 2 2 2 5" xfId="24658"/>
    <cellStyle name="60% - 强调文字颜色 6 2 7 2 2 2" xfId="24659"/>
    <cellStyle name="40% - 强调文字颜色 5 2 5 2" xfId="24660"/>
    <cellStyle name="常规 6 2 2 2 3 3 2 2" xfId="24661"/>
    <cellStyle name="40% - 强调文字颜色 1 2 2 2 2 5" xfId="24662"/>
    <cellStyle name="20% - 强调文字颜色 6 3 2 4 2 2 2" xfId="24663"/>
    <cellStyle name="标题 4 2 2 4 3 2 3" xfId="24664"/>
    <cellStyle name="解释性文本 2 3 3 4" xfId="24665"/>
    <cellStyle name="输入 2 2 4 2 4 2" xfId="24666"/>
    <cellStyle name="注释 2 4 4 2 2 2 2" xfId="24667"/>
    <cellStyle name="汇总 2 7 6 2 2 2" xfId="24668"/>
    <cellStyle name="汇总 2 2 8 2 2 2 3" xfId="24669"/>
    <cellStyle name="20% - 强调文字颜色 2 2 2 2 3 2 2" xfId="24670"/>
    <cellStyle name="60% - 强调文字颜色 3 2 3 4 2 2 2" xfId="24671"/>
    <cellStyle name="输出 2 4 2 6" xfId="24672"/>
    <cellStyle name="40% - 强调文字颜色 2 3 2 2 4" xfId="24673"/>
    <cellStyle name="输入 2 7 3 2 5" xfId="24674"/>
    <cellStyle name="计算 2 6 2" xfId="24675"/>
    <cellStyle name="标题 1 2 2 2 6 2 2 2" xfId="24676"/>
    <cellStyle name="计算 2 2 3 5 3" xfId="24677"/>
    <cellStyle name="60% - 强调文字颜色 3 2 2 2 2 3" xfId="24678"/>
    <cellStyle name="20% - 强调文字颜色 2 2 2 2 2 2 3" xfId="24679"/>
    <cellStyle name="标题 4 2 2 2 2 3 2 2 2" xfId="24680"/>
    <cellStyle name="20% - 强调文字颜色 3 4 2 4 2" xfId="24681"/>
    <cellStyle name="40% - 强调文字颜色 4 3 2 2 4" xfId="24682"/>
    <cellStyle name="40% - 强调文字颜色 5 3 3 2 2 2" xfId="24683"/>
    <cellStyle name="注释 2 2 2 2 2 7" xfId="24684"/>
    <cellStyle name="注释 2 4 2 6 3" xfId="24685"/>
    <cellStyle name="20% - 强调文字颜色 6 2 3 3 3 2 2" xfId="24686"/>
    <cellStyle name="计算 3 2 2 2 3 2" xfId="24687"/>
    <cellStyle name="输入 3 7 2" xfId="24688"/>
    <cellStyle name="输出 2 2 2 2 2 3 3" xfId="24689"/>
    <cellStyle name="60% - 强调文字颜色 6 2 7 2 3" xfId="24690"/>
    <cellStyle name="20% - 强调文字颜色 4 2 5 2 2 2" xfId="24691"/>
    <cellStyle name="常规 9 3 2" xfId="24692"/>
    <cellStyle name="强调文字颜色 6 2 2 5 2 2" xfId="24693"/>
    <cellStyle name="汇总 2 7 3 2 2" xfId="24694"/>
    <cellStyle name="40% - 强调文字颜色 6 2 2 3 4 2" xfId="24695"/>
    <cellStyle name="40% - 强调文字颜色 1 4 2" xfId="24696"/>
    <cellStyle name="60% - 强调文字颜色 5 2 2 3 5 2 2" xfId="24697"/>
    <cellStyle name="常规 6 2 3" xfId="24698"/>
    <cellStyle name="常规 5 3 4 3 2" xfId="24699"/>
    <cellStyle name="40% - 强调文字颜色 6 3 2 2 3 2" xfId="24700"/>
    <cellStyle name="注释 2 2 3 2 3 3 2 2" xfId="24701"/>
    <cellStyle name="20% - 强调文字颜色 3 2 2 2 2 5 2" xfId="24702"/>
    <cellStyle name="常规 3 7 2 4" xfId="24703"/>
    <cellStyle name="输入 2 5 2 2 2 7" xfId="24704"/>
    <cellStyle name="20% - 强调文字颜色 6 2 2 2 2 4 3 2" xfId="24705"/>
    <cellStyle name="好 3" xfId="24706"/>
    <cellStyle name="20% - 强调文字颜色 4 4 5 2" xfId="24707"/>
    <cellStyle name="输出 2 2 3 3 2 3" xfId="24708"/>
    <cellStyle name="60% - 强调文字颜色 2 2 2" xfId="24709"/>
    <cellStyle name="计算 2 2 4 2 5" xfId="24710"/>
    <cellStyle name="40% - 强调文字颜色 4 3 4 2 2 2" xfId="24711"/>
    <cellStyle name="60% - 强调文字颜色 2 2 2 4 2 2 2 2" xfId="24712"/>
    <cellStyle name="好 2 4 5 3" xfId="24713"/>
    <cellStyle name="标题 1 2 2 3" xfId="24714"/>
    <cellStyle name="60% - 强调文字颜色 6 2 2 6 3 2 2" xfId="24715"/>
    <cellStyle name="链接单元格 2 3 3 5" xfId="24716"/>
    <cellStyle name="注释 2 2 4 7 2" xfId="24717"/>
    <cellStyle name="40% - 强调文字颜色 5 2 2 3 2 2" xfId="24718"/>
    <cellStyle name="注释 2 2 3 5 3 3" xfId="24719"/>
    <cellStyle name="60% - 强调文字颜色 5 2 4 4 2 2 2" xfId="24720"/>
    <cellStyle name="警告文本 2 2 5" xfId="24721"/>
    <cellStyle name="好 2 5 2 2" xfId="24722"/>
    <cellStyle name="60% - 强调文字颜色 6 2 4 6" xfId="24723"/>
    <cellStyle name="20% - 强调文字颜色 4 2 3 2 3 2 2" xfId="24724"/>
    <cellStyle name="检查单元格 2 2 2 2 2 2 2 2 2" xfId="24725"/>
    <cellStyle name="汇总 2 7 3 2 4" xfId="24726"/>
    <cellStyle name="汇总 2 2 4 3 6 2 2" xfId="24727"/>
    <cellStyle name="60% - 强调文字颜色 4 4 4 2 2 2" xfId="24728"/>
    <cellStyle name="超链接 3 3 3 4 2" xfId="24729"/>
    <cellStyle name="计算 2 6 2 2 3 2 2" xfId="24730"/>
    <cellStyle name="20% - 强调文字颜色 3 2 2 2 2 4 2 2 2" xfId="24731"/>
    <cellStyle name="20% - 强调文字颜色 2 2 2 2 2 3" xfId="24732"/>
    <cellStyle name="20% - 强调文字颜色 4 2 3 2 2 2 2 2 2" xfId="24733"/>
    <cellStyle name="输出 2 4 2 4 6" xfId="24734"/>
    <cellStyle name="20% - 强调文字颜色 2 2 2 6 2 2 2" xfId="24735"/>
    <cellStyle name="20% - 强调文字颜色 2 3 2 2 3 2" xfId="24736"/>
    <cellStyle name="60% - 强调文字颜色 1 3 3 4 2" xfId="24737"/>
    <cellStyle name="输出 4 2 2" xfId="24738"/>
    <cellStyle name="适中 2 2 3" xfId="24739"/>
    <cellStyle name="60% - 强调文字颜色 6 2 6 3 2" xfId="24740"/>
    <cellStyle name="20% - 强调文字颜色 6 2 2 2 2 2 4 3" xfId="24741"/>
    <cellStyle name="40% - 强调文字颜色 3 2 3 2 2 2 2 2" xfId="24742"/>
    <cellStyle name="注释 2 2 3 3 3 2 2 2" xfId="24743"/>
    <cellStyle name="常规 13 4 6" xfId="24744"/>
    <cellStyle name="常规 4 2 2 2 3 3 2" xfId="24745"/>
    <cellStyle name="输出 2 4 2 2 4 2" xfId="24746"/>
    <cellStyle name="20% - 强调文字颜色 5 2 3 2 2 2" xfId="24747"/>
    <cellStyle name="20% - 强调文字颜色 4 2 3 2 2 4 2 2 2" xfId="24748"/>
    <cellStyle name="20% - 强调文字颜色 1 2 3 2 2 5" xfId="24749"/>
    <cellStyle name="常规 9 3 3 2 2" xfId="24750"/>
    <cellStyle name="40% - 强调文字颜色 3 2 2 2 2 2 2 3 2" xfId="24751"/>
    <cellStyle name="标题 1 2 2 4 2" xfId="24752"/>
    <cellStyle name="强调文字颜色 6 2 2 7" xfId="24753"/>
    <cellStyle name="差 2 3 5 2 3" xfId="24754"/>
    <cellStyle name="20% - 强调文字颜色 5 2 5 4 2 2" xfId="24755"/>
    <cellStyle name="汇总 3 2 7 3" xfId="24756"/>
    <cellStyle name="差 2 2 6 3 3" xfId="24757"/>
    <cellStyle name="20% - 强调文字颜色 2 2 2 5 2" xfId="24758"/>
    <cellStyle name="汇总 2 3 4 2 4" xfId="24759"/>
    <cellStyle name="40% - 强调文字颜色 1 2 3 2 2 4 2 2" xfId="24760"/>
    <cellStyle name="20% - 强调文字颜色 5 2 2 2 2 2 4 2" xfId="24761"/>
    <cellStyle name="汇总 2 7 9 2 2" xfId="24762"/>
    <cellStyle name="常规 11 4 2 2 2" xfId="24763"/>
    <cellStyle name="20% - 强调文字颜色 6 2 3 2 3 3" xfId="24764"/>
    <cellStyle name="输入 2 2 7 2 4" xfId="24765"/>
    <cellStyle name="输入 2 4 2 2 5 2" xfId="24766"/>
    <cellStyle name="输入 2 5 2 7 2" xfId="24767"/>
    <cellStyle name="汇总 2 2 5 2 2 4" xfId="24768"/>
    <cellStyle name="标题 6 3 4" xfId="24769"/>
    <cellStyle name="输入 2 2 6 8 2" xfId="24770"/>
    <cellStyle name="40% - 强调文字颜色 4 2 3 2 2 5 2 2" xfId="24771"/>
    <cellStyle name="标题 4 3 2 3 2" xfId="24772"/>
    <cellStyle name="链接单元格 5 2" xfId="24773"/>
    <cellStyle name="汇总 2 2 5 3 4" xfId="24774"/>
    <cellStyle name="输出 2 2 3 2 2 2 8" xfId="24775"/>
    <cellStyle name="标题 4 2 2 2 4 2 2" xfId="24776"/>
    <cellStyle name="汇总 2 2 3 2 2 3" xfId="24777"/>
    <cellStyle name="20% - 强调文字颜色 4 2 2 2 3 2 2 2" xfId="24778"/>
    <cellStyle name="60% - 强调文字颜色 5 2 2 4 5 2 2" xfId="24779"/>
    <cellStyle name="汇总 2 2 4 3 7 2" xfId="24780"/>
    <cellStyle name="20% - 强调文字颜色 6 2 5 3 3" xfId="24781"/>
    <cellStyle name="超链接 2 3 2 3 3 2" xfId="24782"/>
    <cellStyle name="解释性文本 2 4 5 2 2" xfId="24783"/>
    <cellStyle name="输入 2 5 2 2 3" xfId="24784"/>
    <cellStyle name="输出 2 5 4 4 2" xfId="24785"/>
    <cellStyle name="输出 2 2 3 3 9" xfId="24786"/>
    <cellStyle name="输出 2 2 4 2 2 2" xfId="24787"/>
    <cellStyle name="常规 5 7 2 2" xfId="24788"/>
    <cellStyle name="汇总 2 5 3 2 6 2" xfId="24789"/>
    <cellStyle name="60% - 强调文字颜色 5 2 3 3" xfId="24790"/>
    <cellStyle name="注释 2 4 6" xfId="24791"/>
    <cellStyle name="汇总 2 2 6 4 2 2" xfId="24792"/>
    <cellStyle name="汇总 2 2 3 2 4 2 3" xfId="24793"/>
    <cellStyle name="汇总 2 2 2 2 4 4 2" xfId="24794"/>
    <cellStyle name="20% - 强调文字颜色 4 2 2 2 2 2 4 3 2" xfId="24795"/>
    <cellStyle name="40% - 强调文字颜色 1 2 3 2 2 4" xfId="24796"/>
    <cellStyle name="标题 1 2 3 2 2" xfId="24797"/>
    <cellStyle name="60% - 强调文字颜色 6 2 2 2 3 4" xfId="24798"/>
    <cellStyle name="汇总 2 2 2 2 4" xfId="24799"/>
    <cellStyle name="警告文本 5 3" xfId="24800"/>
    <cellStyle name="40% - 强调文字颜色 3 2 2 4 3" xfId="24801"/>
    <cellStyle name="标题 4 2 3 4 3" xfId="24802"/>
    <cellStyle name="计算 2 6 2 2 2 7" xfId="24803"/>
    <cellStyle name="40% - 强调文字颜色 2 2 2 5 3" xfId="24804"/>
    <cellStyle name="输入 2 3 4 8" xfId="24805"/>
    <cellStyle name="标题 5 2 4 3 2 2" xfId="24806"/>
    <cellStyle name="汇总 2 6 2 3 3 2 2" xfId="24807"/>
    <cellStyle name="40% - 强调文字颜色 2 2 2 3 5 2 2" xfId="24808"/>
    <cellStyle name="20% - 强调文字颜色 6 2 3 3 3" xfId="24809"/>
    <cellStyle name="40% - 强调文字颜色 4 2 3 3 2 2 2 2" xfId="24810"/>
    <cellStyle name="40% - 强调文字颜色 2 3 7" xfId="24811"/>
    <cellStyle name="输出 3 5" xfId="24812"/>
    <cellStyle name="60% - 强调文字颜色 4 2 2 2 2 3 3 2" xfId="24813"/>
    <cellStyle name="常规 3 8 2" xfId="24814"/>
    <cellStyle name="60% - 强调文字颜色 5 4 2 3 2" xfId="24815"/>
    <cellStyle name="40% - 强调文字颜色 3 2 2 3" xfId="24816"/>
    <cellStyle name="好 2 3 2 4 3 2" xfId="24817"/>
    <cellStyle name="常规 9 2 2 2 2 2 3" xfId="24818"/>
    <cellStyle name="60% - 强调文字颜色 4 2 2 3 3 2 2 2" xfId="24819"/>
    <cellStyle name="输出 3 2 2 2 2 3" xfId="24820"/>
    <cellStyle name="标题 4 2 3 2 3 3 2" xfId="24821"/>
    <cellStyle name="百分比 2 2 2 2 2 2 2" xfId="24822"/>
    <cellStyle name="40% - 强调文字颜色 3 2 2 6 2 2 2" xfId="24823"/>
    <cellStyle name="输出 2 4 2 13" xfId="24824"/>
    <cellStyle name="计算 3 2 3 4 2 2" xfId="24825"/>
    <cellStyle name="40% - 强调文字颜色 3 2 4 3" xfId="24826"/>
    <cellStyle name="输出 2 2" xfId="24827"/>
    <cellStyle name="常规 2 3 2 2 4 2" xfId="24828"/>
    <cellStyle name="Normal 2 4" xfId="24829"/>
    <cellStyle name="20% - 强调文字颜色 5 2 5 2 2 2" xfId="24830"/>
    <cellStyle name="链接单元格 4 4" xfId="24831"/>
    <cellStyle name="计算 2 4 2 2 2 3 2 2" xfId="24832"/>
    <cellStyle name="注释 3 2" xfId="24833"/>
    <cellStyle name="输入 7 2 2" xfId="24834"/>
    <cellStyle name="标题 3 2 2 4 5 2" xfId="24835"/>
    <cellStyle name="输出 4 6 3" xfId="24836"/>
    <cellStyle name="20% - 强调文字颜色 6 4 2 2 2 2 2" xfId="24837"/>
    <cellStyle name="注释 5 3 2" xfId="24838"/>
    <cellStyle name="输入 2 2 3 4 6" xfId="24839"/>
    <cellStyle name="60% - 强调文字颜色 3 2 2 2 7" xfId="24840"/>
    <cellStyle name="注释 2 2 2 2 5 2" xfId="24841"/>
    <cellStyle name="强调文字颜色 5 2 4 4" xfId="24842"/>
    <cellStyle name="输入 2 2 5 3 2 3 2" xfId="24843"/>
    <cellStyle name="20% - 强调文字颜色 3 2 3 2 3 2 2 2" xfId="24844"/>
    <cellStyle name="汇总 2 2 6 6 4 2" xfId="24845"/>
    <cellStyle name="汇总 3 5 4 2" xfId="24846"/>
    <cellStyle name="40% - 强调文字颜色 2 2 3 3 3 2 2" xfId="24847"/>
    <cellStyle name="链接单元格 2 3 2 2 2 2" xfId="24848"/>
    <cellStyle name="常规 5 12" xfId="24849"/>
    <cellStyle name="20% - 强调文字颜色 5 3 2 3 2 2 2" xfId="24850"/>
    <cellStyle name="标题 2 2 4 6 3" xfId="24851"/>
    <cellStyle name="输出 2 2 4 3 6 2" xfId="24852"/>
    <cellStyle name="计算 2 4 4 2 4" xfId="24853"/>
    <cellStyle name="输出 2 2 2 2 2 2 3 2" xfId="24854"/>
    <cellStyle name="40% - 强调文字颜色 3 2 2 2 2 2 5 2" xfId="24855"/>
    <cellStyle name="常规 12 2 2 3 5" xfId="24856"/>
    <cellStyle name="计算 2 7 2 2 5 2" xfId="24857"/>
    <cellStyle name="链接单元格 2 2 3 3 4" xfId="24858"/>
    <cellStyle name="强调文字颜色 5 2 5 2 3" xfId="24859"/>
    <cellStyle name="计算 2 5 3 4 2 2" xfId="24860"/>
    <cellStyle name="输入 2 2 11 2 2" xfId="24861"/>
    <cellStyle name="输出 2 2 3 2 2 2 2 2 2" xfId="24862"/>
    <cellStyle name="输出 2 7 3 2 5" xfId="24863"/>
    <cellStyle name="常规 10 3 6 2" xfId="24864"/>
    <cellStyle name="输出 2 2 3 2 2 5 2 2" xfId="24865"/>
    <cellStyle name="好 2 7 2 2" xfId="24866"/>
    <cellStyle name="20% - 强调文字颜色 1 3 2 5" xfId="24867"/>
    <cellStyle name="强调文字颜色 2 2 2 2 2 5" xfId="24868"/>
    <cellStyle name="60% - 强调文字颜色 6 2 2 5 2" xfId="24869"/>
    <cellStyle name="汇总 2 5 7 3" xfId="24870"/>
    <cellStyle name="20% - 强调文字颜色 5 2 10 2" xfId="24871"/>
    <cellStyle name="计算 3 2 2 5 2" xfId="24872"/>
    <cellStyle name="检查单元格 2 3 2 2 2 2 2 2" xfId="24873"/>
    <cellStyle name="计算 3 3 3 3 2" xfId="24874"/>
    <cellStyle name="差 2 2 2 2 2 3" xfId="24875"/>
    <cellStyle name="40% - 强调文字颜色 2 2 2 4 2 2 2" xfId="24876"/>
    <cellStyle name="汇总 2 2 6 3 8" xfId="24877"/>
    <cellStyle name="输出 2 2 3 5 4 2" xfId="24878"/>
    <cellStyle name="计算 2 11 7" xfId="24879"/>
    <cellStyle name="输出 2 2 9 4 2" xfId="24880"/>
    <cellStyle name="20% - 强调文字颜色 6 2 2 4 2" xfId="24881"/>
    <cellStyle name="汇总 2 2 5 5 3 2" xfId="24882"/>
    <cellStyle name="计算 2 7 2 2 2 3 3" xfId="24883"/>
    <cellStyle name="输入 2 6 2 2 4 3" xfId="24884"/>
    <cellStyle name="检查单元格 2 2 2 2 2 4" xfId="24885"/>
    <cellStyle name="注释 2 2 4 4 3" xfId="24886"/>
    <cellStyle name="40% - 强调文字颜色 3 2 4 3 2" xfId="24887"/>
    <cellStyle name="40% - 强调文字颜色 1 2 2 3 5 2" xfId="24888"/>
    <cellStyle name="常规 5 3 2 3 2 2" xfId="24889"/>
    <cellStyle name="60% - 强调文字颜色 5 2 2 2 2" xfId="24890"/>
    <cellStyle name="强调文字颜色 4 2 2 2 2 4 2 3" xfId="24891"/>
    <cellStyle name="计算 2 2 7 2 5 2 2" xfId="24892"/>
    <cellStyle name="汇总 2 2 2 16" xfId="24893"/>
    <cellStyle name="链接单元格 2 2 3 4 2 2" xfId="24894"/>
    <cellStyle name="40% - 强调文字颜色 5 2 2 6 2 2 2" xfId="24895"/>
    <cellStyle name="20% - 强调文字颜色 4 4 4 2 2 2" xfId="24896"/>
    <cellStyle name="注释 2 2 3 3 2 5" xfId="24897"/>
    <cellStyle name="60% - 强调文字颜色 3 2 2 2 6 2 2 2" xfId="24898"/>
    <cellStyle name="解释性文本 2 2 4 4 3" xfId="24899"/>
    <cellStyle name="40% - 强调文字颜色 5 3 3 4" xfId="24900"/>
    <cellStyle name="20% - 强调文字颜色 1 2 3 4 3 2 2" xfId="24901"/>
    <cellStyle name="20% - 强调文字颜色 6 2 5 2 2" xfId="24902"/>
    <cellStyle name="常规 3 3 2 2 4" xfId="24903"/>
    <cellStyle name="40% - 强调文字颜色 4 3 2 5" xfId="24904"/>
    <cellStyle name="计算 2 3 2 2 6" xfId="24905"/>
    <cellStyle name="强调文字颜色 6 2 2 2 2 3 2 2" xfId="24906"/>
    <cellStyle name="40% - 强调文字颜色 6 2 2 2 2 2 3" xfId="24907"/>
    <cellStyle name="注释 4 6 2" xfId="24908"/>
    <cellStyle name="注释 2 2 2 2 2 2" xfId="24909"/>
    <cellStyle name="40% - 强调文字颜色 6 2 2 2 3 2 2 2" xfId="24910"/>
    <cellStyle name="40% - 强调文字颜色 1 2 2 4 3 2 2" xfId="24911"/>
    <cellStyle name="注释 2 2 5 2 3" xfId="24912"/>
    <cellStyle name="输入 2 6 2 3 2 3" xfId="24913"/>
    <cellStyle name="常规 3 3 3 3" xfId="24914"/>
    <cellStyle name="汇总 2 2 5 3 2" xfId="24915"/>
    <cellStyle name="输出 2 2 3 2 2 2 6" xfId="24916"/>
    <cellStyle name="40% - 强调文字颜色 4 2 2 4 2 2 2" xfId="24917"/>
    <cellStyle name="40% - 强调文字颜色 2 2 2 2 2 2 2 2 2 2 2" xfId="24918"/>
    <cellStyle name="输入 2 2 2 2 11" xfId="24919"/>
    <cellStyle name="注释 2 4 2 8" xfId="24920"/>
    <cellStyle name="标题 7 3 2 2 2" xfId="24921"/>
    <cellStyle name="百分比 2 2 7" xfId="24922"/>
    <cellStyle name="百分比 2 3 4 2 3" xfId="24923"/>
    <cellStyle name="标题 2 2 2 2 2 3" xfId="24924"/>
    <cellStyle name="标题 2 2 2 8" xfId="24925"/>
    <cellStyle name="汇总 2 2 6 2 2 2 4" xfId="24926"/>
    <cellStyle name="输入 2 4 2 3 4" xfId="24927"/>
    <cellStyle name="汇总 2 2 2 7" xfId="24928"/>
    <cellStyle name="常规 20 3" xfId="24929"/>
    <cellStyle name="常规 15 3" xfId="24930"/>
    <cellStyle name="百分比 2 7" xfId="24931"/>
    <cellStyle name="常规 3 2 2 2 2 4" xfId="24932"/>
    <cellStyle name="常规 7 4 2 2" xfId="24933"/>
    <cellStyle name="输入 2 2 7 7 2 2" xfId="24934"/>
    <cellStyle name="标题 7 2 4 2" xfId="24935"/>
    <cellStyle name="60% - 强调文字颜色 6 2 2 4 3 2 2" xfId="24936"/>
    <cellStyle name="汇总 2 5 14" xfId="24937"/>
    <cellStyle name="汇总 2 2 6 5 2 2 2" xfId="24938"/>
    <cellStyle name="汇总 2 13 3" xfId="24939"/>
    <cellStyle name="20% - 强调文字颜色 6 3 2 3 2 2" xfId="24940"/>
    <cellStyle name="20% - 强调文字颜色 6 2 2 4 2 2 2 2" xfId="24941"/>
    <cellStyle name="输入 2 2 4 3 3 2 3" xfId="24942"/>
    <cellStyle name="40% - 强调文字颜色 2 2 2 3 2 2 2" xfId="24943"/>
    <cellStyle name="40% - 强调文字颜色 1 2 3 3 2 2 2 2" xfId="24944"/>
    <cellStyle name="常规 7 2 2 3" xfId="24945"/>
    <cellStyle name="40% - 强调文字颜色 3 3 2 2 2 2" xfId="24946"/>
    <cellStyle name="注释 2 3 2 3 3 2" xfId="24947"/>
    <cellStyle name="20% - 强调文字颜色 2 2 2 2 2 3 2 2" xfId="24948"/>
    <cellStyle name="常规 13 4 5 3" xfId="24949"/>
    <cellStyle name="常规 4 3" xfId="24950"/>
    <cellStyle name="警告文本 4 2 2 2" xfId="24951"/>
    <cellStyle name="20% - 强调文字颜色 5 2 4 5" xfId="24952"/>
    <cellStyle name="20% - 强调文字颜色 4 3 6" xfId="24953"/>
    <cellStyle name="计算 2 2 3 4 2 5" xfId="24954"/>
    <cellStyle name="20% - 强调文字颜色 1 2 3 2 4 2 2" xfId="24955"/>
    <cellStyle name="链接单元格 2 2" xfId="24956"/>
    <cellStyle name="汇总 2 2 6 12 2" xfId="24957"/>
    <cellStyle name="汇总 3 2 2 2 4" xfId="24958"/>
    <cellStyle name="20% - 强调文字颜色 5 3 4 2 2 2" xfId="24959"/>
    <cellStyle name="输入 2 2 8 3" xfId="24960"/>
    <cellStyle name="计算 2 5 2 5 2 2 2" xfId="24961"/>
    <cellStyle name="标题 5 3 4 2" xfId="24962"/>
    <cellStyle name="输入 2 2 5 8 2 2" xfId="24963"/>
    <cellStyle name="强调文字颜色 3 2 3 4 2" xfId="24964"/>
    <cellStyle name="常规 11 2 2 2 3 3" xfId="24965"/>
    <cellStyle name="注释 2 2 2 2 2 2 5" xfId="24966"/>
    <cellStyle name="60% - 强调文字颜色 3 2 3 2 3 3 2 2" xfId="24967"/>
    <cellStyle name="汇总 2 8 5 4" xfId="24968"/>
    <cellStyle name="40% - 强调文字颜色 6 2 3 2 3 2" xfId="24969"/>
    <cellStyle name="常规 4 4 4 3 2" xfId="24970"/>
    <cellStyle name="标题 2 2 4 2 2 2 2" xfId="24971"/>
    <cellStyle name="20% - 强调文字颜色 2 2 3 2 3 2" xfId="24972"/>
    <cellStyle name="强调文字颜色 1 3 2 2 4" xfId="24973"/>
    <cellStyle name="常规 10 2 6" xfId="24974"/>
    <cellStyle name="标题 1 2 2 2 2 3 2 2 2" xfId="24975"/>
    <cellStyle name="常规 3 2 2 4 3" xfId="24976"/>
    <cellStyle name="好 5" xfId="24977"/>
    <cellStyle name="20% - 强调文字颜色 4 4 5" xfId="24978"/>
    <cellStyle name="20% - 强调文字颜色 6 2 2 2 2 4 3" xfId="24979"/>
    <cellStyle name="标题 4 2 2 2 2 4 2 2 2" xfId="24980"/>
    <cellStyle name="常规 11 7" xfId="24981"/>
    <cellStyle name="40% - 强调文字颜色 6 2 2 2 2 5" xfId="24982"/>
    <cellStyle name="常规 4 3 4 2 5" xfId="24983"/>
    <cellStyle name="输入 3 3 2 2" xfId="24984"/>
    <cellStyle name="注释 2 6 2 5 2" xfId="24985"/>
    <cellStyle name="40% - 强调文字颜色 2 2 3 2 2 2 2 2 2" xfId="24986"/>
    <cellStyle name="汇总 2 4 4 2 2 2" xfId="24987"/>
    <cellStyle name="注释 3 3 3 3" xfId="24988"/>
    <cellStyle name="40% - 强调文字颜色 6 2 4 2 2 2 2" xfId="24989"/>
    <cellStyle name="汇总 2 2 3 4 4" xfId="24990"/>
    <cellStyle name="20% - 强调文字颜色 5 2 2 2 7 2" xfId="24991"/>
    <cellStyle name="强调文字颜色 2 2 2 4 4 2 2" xfId="24992"/>
    <cellStyle name="标题 1 2 4 3 3 2" xfId="24993"/>
    <cellStyle name="强调文字颜色 5 2 2 5" xfId="24994"/>
    <cellStyle name="超链接 2 7" xfId="24995"/>
    <cellStyle name="计算 2 2 5 2 2 2 6" xfId="24996"/>
    <cellStyle name="60% - 强调文字颜色 1 2 2 3 3 2 2" xfId="24997"/>
    <cellStyle name="标题 4 2 2 5 4" xfId="24998"/>
    <cellStyle name="20% - 强调文字颜色 3 2 2 2 2" xfId="24999"/>
    <cellStyle name="20% - 强调文字颜色 2 2 2 3 4 3" xfId="25000"/>
    <cellStyle name="20% - 强调文字颜色 1 2 2 5 2" xfId="25001"/>
    <cellStyle name="强调文字颜色 5 2 2 2 2 3" xfId="25002"/>
    <cellStyle name="汇总 3 2 6" xfId="25003"/>
    <cellStyle name="计算 2 2 6 2 2 2 2 3" xfId="25004"/>
    <cellStyle name="60% - 强调文字颜色 1 2 3 2 4" xfId="25005"/>
    <cellStyle name="常规 4 5 2 5" xfId="25006"/>
    <cellStyle name="20% - 强调文字颜色 4 2 3 3 3 2 2" xfId="25007"/>
    <cellStyle name="好 2 2 2 6 2 3" xfId="25008"/>
    <cellStyle name="计算 2 2 10 2" xfId="25009"/>
    <cellStyle name="60% - 强调文字颜色 2 2 2 4 4 2 2" xfId="25010"/>
    <cellStyle name="强调文字颜色 2 6" xfId="25011"/>
    <cellStyle name="注释 2 4 7" xfId="25012"/>
    <cellStyle name="警告文本 2 2 4 2 2 2 2" xfId="25013"/>
    <cellStyle name="输入 2 6 4 5" xfId="25014"/>
    <cellStyle name="标题 3 2 2 6 2 3" xfId="25015"/>
    <cellStyle name="标题 3 2 3 4 2 2 2" xfId="25016"/>
    <cellStyle name="超链接 3 2 3 5" xfId="25017"/>
    <cellStyle name="40% - 强调文字颜色 1 3 2 2 2 2" xfId="25018"/>
    <cellStyle name="常规 11 3 3 3 2 2" xfId="25019"/>
    <cellStyle name="20% - 强调文字颜色 6 2 2 3 4 3 2" xfId="25020"/>
    <cellStyle name="常规 10 2 3 2 5" xfId="25021"/>
    <cellStyle name="输入 2 2 5 2 2 5 2 2" xfId="25022"/>
    <cellStyle name="注释 2 2 2 8 2" xfId="25023"/>
    <cellStyle name="标题 1 2 2 2 2 2 5" xfId="25024"/>
    <cellStyle name="输出 2 3 2 2 2 2 2" xfId="25025"/>
    <cellStyle name="40% - 强调文字颜色 2 2 2 2 2 3 2 2 2 2" xfId="25026"/>
    <cellStyle name="20% - 强调文字颜色 6 2 3 2 2 2 2" xfId="25027"/>
    <cellStyle name="标题 4 3 2 2 3 2 2 2" xfId="25028"/>
    <cellStyle name="常规 9 2" xfId="25029"/>
    <cellStyle name="60% - 强调文字颜色 6 2 2 6 2 2 2" xfId="25030"/>
    <cellStyle name="链接单元格 2 2 3 5" xfId="25031"/>
    <cellStyle name="强调文字颜色 2 2 2 8" xfId="25032"/>
    <cellStyle name="标题 3 2 3 7 2" xfId="25033"/>
    <cellStyle name="输出 2 5 5 2" xfId="25034"/>
    <cellStyle name="常规 2 4 3 2" xfId="25035"/>
    <cellStyle name="强调文字颜色 1 2 2 2 2 2 2" xfId="25036"/>
    <cellStyle name="强调文字颜色 4 2 3 2 2 3" xfId="25037"/>
    <cellStyle name="计算 2 2 2 4" xfId="25038"/>
    <cellStyle name="标题 5 2 8" xfId="25039"/>
    <cellStyle name="强调文字颜色 3 2 4" xfId="25040"/>
    <cellStyle name="标题 4 2 2 5 2 2 2" xfId="25041"/>
    <cellStyle name="输出 2 2 4" xfId="25042"/>
    <cellStyle name="20% - 强调文字颜色 3 4 3 2 2 2" xfId="25043"/>
    <cellStyle name="警告文本 2 2 2 5 2 2 2" xfId="25044"/>
    <cellStyle name="百分比 2 4 2" xfId="25045"/>
    <cellStyle name="20% - 强调文字颜色 6 2 2 4 3 3" xfId="25046"/>
    <cellStyle name="40% - 强调文字颜色 5 2 3 2 2 3 2 2 2" xfId="25047"/>
    <cellStyle name="20% - 强调文字颜色 4 2 3 7 2" xfId="25048"/>
    <cellStyle name="警告文本 2 4 4 2 2 2" xfId="25049"/>
    <cellStyle name="60% - 强调文字颜色 3 2 2 2 3 5" xfId="25050"/>
    <cellStyle name="标题 2 2 2 2 2 4 2 3" xfId="25051"/>
    <cellStyle name="60% - 强调文字颜色 1 6 2" xfId="25052"/>
    <cellStyle name="计算 2 4 2 2 2 3" xfId="25053"/>
    <cellStyle name="输出 2 2 6 3 2 3" xfId="25054"/>
    <cellStyle name="输入 7" xfId="25055"/>
    <cellStyle name="60% - 强调文字颜色 3 2 3 2 2 2 2 2" xfId="25056"/>
    <cellStyle name="常规 3 3 7 6" xfId="25057"/>
    <cellStyle name="标题 4 2 3 2 5" xfId="25058"/>
    <cellStyle name="汇总 2 2 5 4 4 2 2" xfId="25059"/>
    <cellStyle name="标题 4 2 2 4 3 4" xfId="25060"/>
    <cellStyle name="40% - 强调文字颜色 3 2 3 2 3 2 2 2 2" xfId="25061"/>
    <cellStyle name="警告文本 2 2 2 2 5 2 2" xfId="25062"/>
    <cellStyle name="计算 2 2 5 3 4 2" xfId="25063"/>
    <cellStyle name="强调文字颜色 6 2 2 3 4 3 2" xfId="25064"/>
    <cellStyle name="计算 3 2 3 4 2" xfId="25065"/>
    <cellStyle name="60% - 强调文字颜色 3 3 3 2 2 2 2" xfId="25066"/>
    <cellStyle name="常规 5 5 5 2" xfId="25067"/>
    <cellStyle name="20% - 强调文字颜色 4 2 2 6 2 2 2" xfId="25068"/>
    <cellStyle name="常规 2 2 2 5 3" xfId="25069"/>
    <cellStyle name="输出 2 2 6 2 3" xfId="25070"/>
    <cellStyle name="20% - 强调文字颜色 5 2 3 3 2" xfId="25071"/>
    <cellStyle name="输出 2 4 2 3 4" xfId="25072"/>
    <cellStyle name="60% - 强调文字颜色 6 3 2 4 2 3" xfId="25073"/>
    <cellStyle name="强调文字颜色 5 2 2 2 3 5" xfId="25074"/>
    <cellStyle name="20% - 强调文字颜色 5 2 7 2" xfId="25075"/>
    <cellStyle name="60% - 强调文字颜色 3 2 3 4 3 2 2" xfId="25076"/>
    <cellStyle name="标题 3 2 2 2 2 4 2 2 2" xfId="25077"/>
    <cellStyle name="输出 2 5 2 6" xfId="25078"/>
    <cellStyle name="常规 9 3 7 2 2" xfId="25079"/>
    <cellStyle name="40% - 强调文字颜色 2 2 3 2 2 2 3" xfId="25080"/>
    <cellStyle name="汇总 2 4 4 3" xfId="25081"/>
    <cellStyle name="20% - 强调文字颜色 2 2 2 2 2 5" xfId="25082"/>
    <cellStyle name="解释性文本 2 4 5 3" xfId="25083"/>
    <cellStyle name="20% - 强调文字颜色 4 2 5 2 2" xfId="25084"/>
    <cellStyle name="常规 9 3" xfId="25085"/>
    <cellStyle name="60% - 强调文字颜色 5 4 5 2" xfId="25086"/>
    <cellStyle name="常规 5 2 2 4 3" xfId="25087"/>
    <cellStyle name="计算 2 3 5 3 2 2" xfId="25088"/>
    <cellStyle name="输出 2 2 2 6" xfId="25089"/>
    <cellStyle name="40% - 强调文字颜色 1 2 2 4 4" xfId="25090"/>
    <cellStyle name="输入 2 2 10 2 2" xfId="25091"/>
    <cellStyle name="20% - 强调文字颜色 6 2 5 3 3 2" xfId="25092"/>
    <cellStyle name="计算 2 2 2 4 4 2 2" xfId="25093"/>
    <cellStyle name="汇总 2 2 5 2 9" xfId="25094"/>
    <cellStyle name="输出 2 4 2 2 6 2" xfId="25095"/>
    <cellStyle name="20% - 强调文字颜色 5 2 3 2 4 2" xfId="25096"/>
    <cellStyle name="输入 2 2 5 2 6" xfId="25097"/>
    <cellStyle name="40% - 强调文字颜色 5 4 4" xfId="25098"/>
    <cellStyle name="输出 2 2 3 5 4" xfId="25099"/>
    <cellStyle name="计算 2 3 2 5" xfId="25100"/>
    <cellStyle name="20% - 强调文字颜色 4 4 2 3 2" xfId="25101"/>
    <cellStyle name="40% - 强调文字颜色 5 2 4 2" xfId="25102"/>
    <cellStyle name="40% - 强调文字颜色 6 2 2 4 2 2 2 2" xfId="25103"/>
    <cellStyle name="汇总 2 7 5" xfId="25104"/>
    <cellStyle name="汇总 2 8 7 2 2" xfId="25105"/>
    <cellStyle name="常规 4 6 4" xfId="25106"/>
    <cellStyle name="40% - 强调文字颜色 6 2 5 2" xfId="25107"/>
    <cellStyle name="标题 1 3 4 2" xfId="25108"/>
    <cellStyle name="强调文字颜色 4 2 2 4 2 2" xfId="25109"/>
    <cellStyle name="注释 2 2 3 2" xfId="25110"/>
    <cellStyle name="输入 2 2 2 2 10" xfId="25111"/>
    <cellStyle name="20% - 强调文字颜色 1 3 3 3 2 2 2" xfId="25112"/>
    <cellStyle name="输出 2 3 3 6" xfId="25113"/>
    <cellStyle name="20% - 强调文字颜色 6 2 4 2 2 2" xfId="25114"/>
    <cellStyle name="计算 2 10 2 5" xfId="25115"/>
    <cellStyle name="40% - 强调文字颜色 2 2 2 3 3 3" xfId="25116"/>
    <cellStyle name="输出 3 4 2" xfId="25117"/>
    <cellStyle name="汇总 2 8 2 5" xfId="25118"/>
    <cellStyle name="标题 4 2 3 3 3 2" xfId="25119"/>
    <cellStyle name="输出 2 3 2 2 3" xfId="25120"/>
    <cellStyle name="输入 2 2 4 4 2 2 3" xfId="25121"/>
    <cellStyle name="标题 3 2 2 2 2 2 2 2 3" xfId="25122"/>
    <cellStyle name="20% - 强调文字颜色 2 2 2 2 3 2 2 2" xfId="25123"/>
    <cellStyle name="超链接 3 5 3 3 2" xfId="25124"/>
    <cellStyle name="超链接 3 2 2 2 2 2 3" xfId="25125"/>
    <cellStyle name="常规 9 7 4" xfId="25126"/>
    <cellStyle name="汇总 2 5 3 3 6" xfId="25127"/>
    <cellStyle name="输出 2 7 3 5" xfId="25128"/>
    <cellStyle name="40% - 强调文字颜色 2 3 6 2" xfId="25129"/>
    <cellStyle name="60% - 强调文字颜色 1 2 2 4" xfId="25130"/>
    <cellStyle name="60% - 强调文字颜色 6 2 3 2 3 3 2" xfId="25131"/>
    <cellStyle name="输出 3 4" xfId="25132"/>
    <cellStyle name="40% - 强调文字颜色 1 2 2 2 2 2 3 3 2 2" xfId="25133"/>
    <cellStyle name="汇总 2 6 2 3 5" xfId="25134"/>
    <cellStyle name="输入 2 3 5 2" xfId="25135"/>
    <cellStyle name="注释 4 7 3" xfId="25136"/>
    <cellStyle name="注释 2 2 2 2 3 3" xfId="25137"/>
    <cellStyle name="计算 2 7 4 2 3 2" xfId="25138"/>
    <cellStyle name="标题 5 4 4 2" xfId="25139"/>
    <cellStyle name="20% - 强调文字颜色 1 2 3 4 3" xfId="25140"/>
    <cellStyle name="强调文字颜色 4 2 2 2 2 2 3" xfId="25141"/>
    <cellStyle name="检查单元格 2 3 2 5 3" xfId="25142"/>
    <cellStyle name="差 2 2 2 6 2 2 2" xfId="25143"/>
    <cellStyle name="标题 1 2 2 2 2 2 2 2 2 3" xfId="25144"/>
    <cellStyle name="计算 2 7 4 2 3 3" xfId="25145"/>
    <cellStyle name="注释 2 2 2 2 3 4" xfId="25146"/>
    <cellStyle name="常规 9 2 2 2 4 2 2" xfId="25147"/>
    <cellStyle name="输出 2 4 3 2 2 2 3" xfId="25148"/>
    <cellStyle name="20% - 强调文字颜色 2 2 3 4 2 2" xfId="25149"/>
    <cellStyle name="检查单元格 2 3 2" xfId="25150"/>
    <cellStyle name="20% - 强调文字颜色 5 2 2 2 2" xfId="25151"/>
    <cellStyle name="标题 2 2 4 5" xfId="25152"/>
    <cellStyle name="百分比 2 2 5 2 3" xfId="25153"/>
    <cellStyle name="20% - 强调文字颜色 6 2 3 2 2 4 3" xfId="25154"/>
    <cellStyle name="标题 4 2 2 4 3 2" xfId="25155"/>
    <cellStyle name="40% - 强调文字颜色 5 2 2 2 2 5" xfId="25156"/>
    <cellStyle name="标题 4 2 2 2 3 2 2 2 3" xfId="25157"/>
    <cellStyle name="超链接 2 2 3 3 3" xfId="25158"/>
    <cellStyle name="输出 2 2 3 2 11" xfId="25159"/>
    <cellStyle name="强调文字颜色 2 2 4 7" xfId="25160"/>
    <cellStyle name="计算 2 2 6 15" xfId="25161"/>
    <cellStyle name="60% - 强调文字颜色 6 2 3 2 3 2" xfId="25162"/>
    <cellStyle name="输入 2 5 2 5 2 2" xfId="25163"/>
    <cellStyle name="链接单元格 2 4 2 2 2 3" xfId="25164"/>
    <cellStyle name="差 2 2 3 4 2" xfId="25165"/>
    <cellStyle name="汇总 2 3 5 2 2" xfId="25166"/>
    <cellStyle name="标题 1 2 2 2 2 3 3" xfId="25167"/>
    <cellStyle name="计算 2 2 4 2 3 3 3" xfId="25168"/>
    <cellStyle name="注释 2 2 4 2 3 2 2 2" xfId="25169"/>
    <cellStyle name="输入 2 5 2 5 3" xfId="25170"/>
    <cellStyle name="20% - 强调文字颜色 4 2 2 5 2" xfId="25171"/>
    <cellStyle name="20% - 强调文字颜色 6 2 2 2 3 3 2 2" xfId="25172"/>
    <cellStyle name="输入 2 3 2 2 2 4" xfId="25173"/>
    <cellStyle name="60% - 强调文字颜色 3 2 4 4" xfId="25174"/>
    <cellStyle name="60% - 强调文字颜色 2 2 3 2 4" xfId="25175"/>
    <cellStyle name="20% - 强调文字颜色 1 2 4 4 2 2 2" xfId="25176"/>
    <cellStyle name="输入 2 2 4 2 3 4 2 2" xfId="25177"/>
    <cellStyle name="60% - 强调文字颜色 6 2 4 7" xfId="25178"/>
    <cellStyle name="60% - 强调文字颜色 6 3 4 2 2 2" xfId="25179"/>
    <cellStyle name="警告文本 2 2 6" xfId="25180"/>
    <cellStyle name="好 2 5 2 3" xfId="25181"/>
    <cellStyle name="超链接 2 4 4 2" xfId="25182"/>
    <cellStyle name="60% - 强调文字颜色 5 2 2 3 2" xfId="25183"/>
    <cellStyle name="汇总 2 5 3 2 5 2 2" xfId="25184"/>
    <cellStyle name="40% - 强调文字颜色 1 2 2 3" xfId="25185"/>
    <cellStyle name="标题 3 2 5 3 2 2" xfId="25186"/>
    <cellStyle name="40% - 强调文字颜色 1 2 5" xfId="25187"/>
    <cellStyle name="输出 2 4 5 2 2 3" xfId="25188"/>
    <cellStyle name="汇总 2 2 3 4 2 3 2 2" xfId="25189"/>
    <cellStyle name="好 4 2 3 2 2 2" xfId="25190"/>
    <cellStyle name="20% - 强调文字颜色 6 2 7 2 2" xfId="25191"/>
    <cellStyle name="20% - 强调文字颜色 2 2 3 2 2 2 2" xfId="25192"/>
    <cellStyle name="检查单元格 2 4 8" xfId="25193"/>
    <cellStyle name="计算 2 2 4 4 6 2" xfId="25194"/>
    <cellStyle name="60% - 强调文字颜色 2 4 3 2" xfId="25195"/>
    <cellStyle name="60% - 强调文字颜色 5 2 4" xfId="25196"/>
    <cellStyle name="计算 2 2 7 2 7" xfId="25197"/>
    <cellStyle name="常规 10 2 2 2 3 4 2" xfId="25198"/>
    <cellStyle name="强调文字颜色 5 2 2 5 3 2" xfId="25199"/>
    <cellStyle name="20% - 强调文字颜色 6 2 2 3 6" xfId="25200"/>
    <cellStyle name="20% - 强调文字颜色 6 2 6" xfId="25201"/>
    <cellStyle name="汇总 2 5 10 2 2" xfId="25202"/>
    <cellStyle name="标题 1 4 2 3" xfId="25203"/>
    <cellStyle name="标题 3 2 3 5 2" xfId="25204"/>
    <cellStyle name="60% - 强调文字颜色 4 5 2 2" xfId="25205"/>
    <cellStyle name="强调文字颜色 4 2 2 7" xfId="25206"/>
    <cellStyle name="40% - 强调文字颜色 2 2 5 2 2 2 2" xfId="25207"/>
    <cellStyle name="常规 5 2 4 4" xfId="25208"/>
    <cellStyle name="汇总 3 6 2 2" xfId="25209"/>
    <cellStyle name="40% - 强调文字颜色 5 2 3 2 2 5 2" xfId="25210"/>
    <cellStyle name="汇总 2 2 6 3 2 2 2" xfId="25211"/>
    <cellStyle name="常规 3 2 2 2 2 3 3" xfId="25212"/>
    <cellStyle name="20% - 强调文字颜色 5 2 3 2" xfId="25213"/>
    <cellStyle name="40% - 强调文字颜色 1 3 5 2" xfId="25214"/>
    <cellStyle name="标题 1 2 3 2" xfId="25215"/>
    <cellStyle name="60% - 强调文字颜色 6 2 3 3 7" xfId="25216"/>
    <cellStyle name="60% - 强调文字颜色 6 2 3 3 2 2" xfId="25217"/>
    <cellStyle name="20% - 强调文字颜色 2 2 2 2 2 2 5" xfId="25218"/>
    <cellStyle name="警告文本 2 2 3 9" xfId="25219"/>
    <cellStyle name="注释 2 2 2 2 7" xfId="25220"/>
    <cellStyle name="强调文字颜色 3 2 3 2 4 2 2 2" xfId="25221"/>
    <cellStyle name="常规 12 2 2 2 2 2" xfId="25222"/>
    <cellStyle name="20% - 强调文字颜色 2 2 8" xfId="25223"/>
    <cellStyle name="强调文字颜色 2 2 2 2 2 4 2" xfId="25224"/>
    <cellStyle name="20% - 强调文字颜色 1 3 2 4 2" xfId="25225"/>
    <cellStyle name="40% - 强调文字颜色 5 2 3 3 3 2" xfId="25226"/>
    <cellStyle name="注释 2 7 4 4" xfId="25227"/>
    <cellStyle name="标题 3 3 2 2 4" xfId="25228"/>
    <cellStyle name="60% - 强调文字颜色 5 2 2 2 2 3 3 2" xfId="25229"/>
    <cellStyle name="40% - 强调文字颜色 4 2 3 5 2" xfId="25230"/>
    <cellStyle name="汇总 2 2 3 2 2 4 2" xfId="25231"/>
    <cellStyle name="60% - 强调文字颜色 6 4 2 3 3" xfId="25232"/>
    <cellStyle name="输入 4 5 2" xfId="25233"/>
    <cellStyle name="强调文字颜色 3 2 2 3 2 2 2 2" xfId="25234"/>
    <cellStyle name="百分比 2 2 4 2 2 2" xfId="25235"/>
    <cellStyle name="标题 2 2 2 2 6 3" xfId="25236"/>
    <cellStyle name="汇总 2 2 8 3 2 2 3" xfId="25237"/>
    <cellStyle name="汇总 2 2 2 4 4 2" xfId="25238"/>
    <cellStyle name="差 2 2 3 4 3 2" xfId="25239"/>
    <cellStyle name="强调文字颜色 2 2 2 5 3 3" xfId="25240"/>
    <cellStyle name="常规 3 3 2 2 2" xfId="25241"/>
    <cellStyle name="注释 7 2 2" xfId="25242"/>
    <cellStyle name="60% - 强调文字颜色 2 2 2 2 6" xfId="25243"/>
    <cellStyle name="常规 4 4 2 2 5" xfId="25244"/>
    <cellStyle name="注释 2 14" xfId="25245"/>
    <cellStyle name="20% - 强调文字颜色 4 2 2 2 2 2 5 2 2" xfId="25246"/>
    <cellStyle name="20% - 强调文字颜色 1 3 3 2 2 2 2" xfId="25247"/>
    <cellStyle name="20% - 强调文字颜色 5 3 2 2 3" xfId="25248"/>
    <cellStyle name="计算 2 10" xfId="25249"/>
    <cellStyle name="标题 2 4 3 3" xfId="25250"/>
    <cellStyle name="常规 4 6 2 3 2 2" xfId="25251"/>
    <cellStyle name="输出 3 3 2 3 2" xfId="25252"/>
    <cellStyle name="常规 2 2 2 6 2 2 2" xfId="25253"/>
    <cellStyle name="20% - 强调文字颜色 6 2 2 2 2 2 2 3" xfId="25254"/>
    <cellStyle name="20% - 强调文字颜色 2 2 2 2 4 3 2 2" xfId="25255"/>
    <cellStyle name="20% - 强调文字颜色 5 2 8 2 2" xfId="25256"/>
    <cellStyle name="检查单元格 2 5 2" xfId="25257"/>
    <cellStyle name="汇总 2 5 11 3" xfId="25258"/>
    <cellStyle name="20% - 强调文字颜色 4 2 2 9" xfId="25259"/>
    <cellStyle name="输出 2 2 3 2" xfId="25260"/>
    <cellStyle name="强调文字颜色 3 2 2 2" xfId="25261"/>
    <cellStyle name="20% - 强调文字颜色 1 2 2 3 7" xfId="25262"/>
    <cellStyle name="40% - 强调文字颜色 5 2 7 3 2 2" xfId="25263"/>
    <cellStyle name="20% - 强调文字颜色 6 2 3 3 2 2 2" xfId="25264"/>
    <cellStyle name="20% - 强调文字颜色 4 2 5 3 2 2" xfId="25265"/>
    <cellStyle name="40% - 强调文字颜色 4 4 3 2" xfId="25266"/>
    <cellStyle name="输入 2 2 4 2 5 2" xfId="25267"/>
    <cellStyle name="标题 5 2 5 4" xfId="25268"/>
    <cellStyle name="输入 2 2 10 2 2 2" xfId="25269"/>
    <cellStyle name="计算 2 2 3 4 2 2 2" xfId="25270"/>
    <cellStyle name="20% - 强调文字颜色 4 3 3 2" xfId="25271"/>
    <cellStyle name="计算 2 2 4 3 2 2 2" xfId="25272"/>
    <cellStyle name="20% - 强调文字颜色 6 2 2 2 2 2 5 2" xfId="25273"/>
    <cellStyle name="注释 2 2 6 7" xfId="25274"/>
    <cellStyle name="40% - 强调文字颜色 5 2 2 5 2" xfId="25275"/>
    <cellStyle name="40% - 强调文字颜色 2 2 2 2 6" xfId="25276"/>
    <cellStyle name="标题 2 3 2 3 2 2" xfId="25277"/>
    <cellStyle name="注释 2 5 4 2 2" xfId="25278"/>
    <cellStyle name="汇总 2" xfId="25279"/>
    <cellStyle name="汇总 2 3 2 2 7" xfId="25280"/>
    <cellStyle name="计算 2 2 8 3 2 5" xfId="25281"/>
    <cellStyle name="汇总 2 2 4 6 2 2 2" xfId="25282"/>
    <cellStyle name="标题 3 2 2 4 3 2 2 2" xfId="25283"/>
    <cellStyle name="汇总 2 5 3 5 2" xfId="25284"/>
    <cellStyle name="60% - 强调文字颜色 2 3 8" xfId="25285"/>
    <cellStyle name="计算 2 2 6 9 2" xfId="25286"/>
    <cellStyle name="标题 3 2 7 2" xfId="25287"/>
    <cellStyle name="标题 1 2 3 9" xfId="25288"/>
    <cellStyle name="60% - 强调文字颜色 4 2 2 2 5" xfId="25289"/>
    <cellStyle name="输入 5 4" xfId="25290"/>
    <cellStyle name="汇总 2 5 2 3 4 3" xfId="25291"/>
    <cellStyle name="差 2 3 6" xfId="25292"/>
    <cellStyle name="链接单元格 3 5 2" xfId="25293"/>
    <cellStyle name="强调文字颜色 5 2 4 4 3 2" xfId="25294"/>
    <cellStyle name="强调文字颜色 3 2 4 5" xfId="25295"/>
    <cellStyle name="输出 2 4 3 5 3" xfId="25296"/>
    <cellStyle name="计算 2 2 5 13" xfId="25297"/>
    <cellStyle name="解释性文本 2 2 3 4 2 2" xfId="25298"/>
    <cellStyle name="强调文字颜色 3 2 2 2 2 2 2 2 2 2" xfId="25299"/>
    <cellStyle name="超链接 3 3 4 3 2 2" xfId="25300"/>
    <cellStyle name="20% - 强调文字颜色 2 2 3 2 3 2 2 2 2" xfId="25301"/>
    <cellStyle name="计算 2 2 9 2 2" xfId="25302"/>
    <cellStyle name="常规 4 5 2 2 2" xfId="25303"/>
    <cellStyle name="计算 2 2 4 4" xfId="25304"/>
    <cellStyle name="汇总 2 2 4 2 12 2" xfId="25305"/>
    <cellStyle name="常规 4 2 3 3 2 2 2 2" xfId="25306"/>
    <cellStyle name="标题 4 2" xfId="25307"/>
    <cellStyle name="常规 2 2 3 3" xfId="25308"/>
    <cellStyle name="输出 2 3 5 3" xfId="25309"/>
    <cellStyle name="20% - 强调文字颜色 2 2 2 2 7" xfId="25310"/>
    <cellStyle name="注释 3 2 3" xfId="25311"/>
    <cellStyle name="40% - 强调文字颜色 4 2 2 2 2 5 2 2 2" xfId="25312"/>
    <cellStyle name="标题 2 2 3 5 2 2" xfId="25313"/>
    <cellStyle name="20% - 强调文字颜色 2 2 2 2 2 3 2 2 2 2" xfId="25314"/>
    <cellStyle name="常规 5 2 2 7" xfId="25315"/>
    <cellStyle name="60% - 强调文字颜色 6 2 2 6 2" xfId="25316"/>
    <cellStyle name="常规 7 2 2 2 3 3" xfId="25317"/>
    <cellStyle name="输入 2 2 2 3 2 4" xfId="25318"/>
    <cellStyle name="标题 4 3 2 3 2 2 2" xfId="25319"/>
    <cellStyle name="标题 1 2 3 3 2 2 2 3" xfId="25320"/>
    <cellStyle name="说明文本 7" xfId="25321"/>
    <cellStyle name="超链接 2 3 3 2" xfId="25322"/>
    <cellStyle name="60% - 强调文字颜色 6 2 2 2 6 3" xfId="25323"/>
    <cellStyle name="汇总 2 2 4 2 3 4 3" xfId="25324"/>
    <cellStyle name="常规 10 2 6 2 2" xfId="25325"/>
    <cellStyle name="40% - 强调文字颜色 6 2 4 4 2 2 2" xfId="25326"/>
    <cellStyle name="检查单元格 2 2 3 3 3" xfId="25327"/>
    <cellStyle name="常规 6 2 2 4 2" xfId="25328"/>
    <cellStyle name="计算 2 3 2 2 2" xfId="25329"/>
    <cellStyle name="20% - 强调文字颜色 2 2 2 2 2 5 2 2 2" xfId="25330"/>
    <cellStyle name="说明文本 3 2" xfId="25331"/>
    <cellStyle name="40% - 强调文字颜色 6 2 4 3 2 2 2" xfId="25332"/>
    <cellStyle name="注释 2 5 2 4" xfId="25333"/>
    <cellStyle name="20% - 强调文字颜色 3 2 3 2 2 3 2 2 2" xfId="25334"/>
    <cellStyle name="20% - 强调文字颜色 6 2 4 5 2 2" xfId="25335"/>
    <cellStyle name="标题 4 2 2 2 2 3" xfId="25336"/>
    <cellStyle name="常规 4 3 3 3" xfId="25337"/>
    <cellStyle name="汇总 2 2 7 5 2 3" xfId="25338"/>
    <cellStyle name="常规 2 2 2 4 2 2 2" xfId="25339"/>
    <cellStyle name="百分比 2 5 2 3" xfId="25340"/>
    <cellStyle name="40% - 强调文字颜色 3 3 2 3 2 2" xfId="25341"/>
    <cellStyle name="标题 1 2" xfId="25342"/>
    <cellStyle name="40% - 强调文字颜色 5 2 3 5" xfId="25343"/>
    <cellStyle name="汇总 2 2 6 3 3" xfId="25344"/>
    <cellStyle name="汇总 2 2 8 7" xfId="25345"/>
    <cellStyle name="输入 3 2 4 2 2" xfId="25346"/>
    <cellStyle name="注释 3 2 2 6 3" xfId="25347"/>
    <cellStyle name="40% - 强调文字颜色 4 2 2 5 2" xfId="25348"/>
    <cellStyle name="20% - 强调文字颜色 6 2 2 2 2 5 2 2" xfId="25349"/>
    <cellStyle name="标题 2 2 2 4 2 2 3" xfId="25350"/>
    <cellStyle name="40% - 强调文字颜色 3 2 2 2 2 4 3 2" xfId="25351"/>
    <cellStyle name="强调文字颜色 1 2 2 3 5 2 2" xfId="25352"/>
    <cellStyle name="检查单元格 2 4 3 4" xfId="25353"/>
    <cellStyle name="标题 3 2 2 4 3 2" xfId="25354"/>
    <cellStyle name="汇总 2 5 2 4 4 2 2" xfId="25355"/>
    <cellStyle name="常规 4 2 2 5 2" xfId="25356"/>
    <cellStyle name="超链接 2 4 3 3 2" xfId="25357"/>
    <cellStyle name="超链接 2 4 3 2" xfId="25358"/>
    <cellStyle name="解释性文本 2 2 2 4 3 3" xfId="25359"/>
    <cellStyle name="常规 7 2 2 2 3 2 2 2" xfId="25360"/>
    <cellStyle name="20% - 强调文字颜色 3 2 4 2 2 2 2" xfId="25361"/>
    <cellStyle name="60% - 强调文字颜色 1 4 3 2 2 2" xfId="25362"/>
    <cellStyle name="注释 2 3 8 2 2" xfId="25363"/>
    <cellStyle name="强调文字颜色 6 2 3 2 2 2 2 3" xfId="25364"/>
    <cellStyle name="计算 2 2 4 2 2 2 2 5 2" xfId="25365"/>
    <cellStyle name="常规 4 4 2 4 2" xfId="25366"/>
    <cellStyle name="20% - 强调文字颜色 5 3 2 3 2" xfId="25367"/>
    <cellStyle name="强调文字颜色 2 2 2 3 3 4" xfId="25368"/>
    <cellStyle name="计算 4 3" xfId="25369"/>
    <cellStyle name="注释 2 2 2 3 2 2 2 2" xfId="25370"/>
    <cellStyle name="解释性文本 4 2" xfId="25371"/>
    <cellStyle name="40% - 强调文字颜色 2 3 2 5 2" xfId="25372"/>
    <cellStyle name="40% - 强调文字颜色 6 2 2 5 3 2 2" xfId="25373"/>
    <cellStyle name="强调文字颜色 6 2 3 2 7" xfId="25374"/>
    <cellStyle name="60% - 强调文字颜色 1 3 3 2" xfId="25375"/>
    <cellStyle name="计算 2 2 3 3 6 2" xfId="25376"/>
    <cellStyle name="汇总 2 9 8" xfId="25377"/>
    <cellStyle name="60% - 强调文字颜色 5 3 3 3 2 2 2" xfId="25378"/>
    <cellStyle name="20% - 强调文字颜色 4 2 6" xfId="25379"/>
    <cellStyle name="20% - 强调文字颜色 6 2 2 2 2 2 4" xfId="25380"/>
    <cellStyle name="60% - 强调文字颜色 6 3 6" xfId="25381"/>
    <cellStyle name="警告文本 2 2 6 2" xfId="25382"/>
    <cellStyle name="标题 1 2 4 2 3" xfId="25383"/>
    <cellStyle name="强调文字颜色 4 2 2 3 2 2 3" xfId="25384"/>
    <cellStyle name="汇总 2 3 2 6 2 2" xfId="25385"/>
    <cellStyle name="20% - 强调文字颜色 2 2 2 2 2 2 5 2" xfId="25386"/>
    <cellStyle name="百分比 2 2 3 3" xfId="25387"/>
    <cellStyle name="40% - 强调文字颜色 3 2 3 7" xfId="25388"/>
    <cellStyle name="标题 1 2 2 5 2 3" xfId="25389"/>
    <cellStyle name="汇总 3 4 5" xfId="25390"/>
    <cellStyle name="计算 2 3 8 2" xfId="25391"/>
    <cellStyle name="20% - 强调文字颜色 3 2 2 4 2 3 2" xfId="25392"/>
    <cellStyle name="标题 2 2 2 3 4 2 2" xfId="25393"/>
    <cellStyle name="强调文字颜色 5 2 2 2 4 2" xfId="25394"/>
    <cellStyle name="汇总 5 5 3" xfId="25395"/>
    <cellStyle name="注释 2 6 12" xfId="25396"/>
    <cellStyle name="注释 2 2 9 3 3" xfId="25397"/>
    <cellStyle name="标题 5 2 2 4 3 3" xfId="25398"/>
    <cellStyle name="解释性文本 2 4 8" xfId="25399"/>
    <cellStyle name="注释 2 3 2 2 2 2 2" xfId="25400"/>
    <cellStyle name="60% - 强调文字颜色 1 2 2 5 2" xfId="25401"/>
    <cellStyle name="输出 2 2 11 2" xfId="25402"/>
    <cellStyle name="链接单元格 4 2 4" xfId="25403"/>
    <cellStyle name="常规 17 2" xfId="25404"/>
    <cellStyle name="20% - 强调文字颜色 6 2 2 2 2 3" xfId="25405"/>
    <cellStyle name="标题 1 2 2 4 3 3 2" xfId="25406"/>
    <cellStyle name="输入 2 4 2 4" xfId="25407"/>
    <cellStyle name="差 3 3 2 2" xfId="25408"/>
    <cellStyle name="60% - 强调文字颜色 5 2 3 3 6" xfId="25409"/>
    <cellStyle name="40% - 强调文字颜色 3 2 2 2 5 2 2" xfId="25410"/>
    <cellStyle name="常规 5 4 3 2 3" xfId="25411"/>
    <cellStyle name="汇总 2 2 9 7" xfId="25412"/>
    <cellStyle name="标题 4 2 3 4 3 2" xfId="25413"/>
    <cellStyle name="标题 4 2 2 4 5 2 2" xfId="25414"/>
    <cellStyle name="解释性文本 2 5 3 3" xfId="25415"/>
    <cellStyle name="标题 2 2 2 2 2 2" xfId="25416"/>
    <cellStyle name="汇总 2 2 3 2 3 4 2 2" xfId="25417"/>
    <cellStyle name="汇总 2 5 4 9" xfId="25418"/>
    <cellStyle name="汇总 2 9 3 2 2 2" xfId="25419"/>
    <cellStyle name="标题 1 4 2 2" xfId="25420"/>
    <cellStyle name="20% - 强调文字颜色 5 2 2 3 3 2 2" xfId="25421"/>
    <cellStyle name="20% - 强调文字颜色 1 2 3 2 4 2 2 2" xfId="25422"/>
    <cellStyle name="20% - 强调文字颜色 5 2 2 2 4 3" xfId="25423"/>
    <cellStyle name="计算 2 7 2 2 2" xfId="25424"/>
    <cellStyle name="常规 2 4 4 3 2" xfId="25425"/>
    <cellStyle name="输入 2 5 5 2 2 3" xfId="25426"/>
    <cellStyle name="40% - 强调文字颜色 5 2 7 3 2" xfId="25427"/>
    <cellStyle name="40% - 强调文字颜色 5 2 3 3 3 2 2" xfId="25428"/>
    <cellStyle name="60% - 强调文字颜色 4 3 3 4 2" xfId="25429"/>
    <cellStyle name="强调文字颜色 4 3 4" xfId="25430"/>
    <cellStyle name="40% - 强调文字颜色 1 2 3 2 4 3" xfId="25431"/>
    <cellStyle name="汇总 2 2 3 3" xfId="25432"/>
    <cellStyle name="40% - 强调文字颜色 3 2 2 2 2 2 4 2 2" xfId="25433"/>
    <cellStyle name="40% - 强调文字颜色 3 2 2 2 3 3 2 2" xfId="25434"/>
    <cellStyle name="20% - 强调文字颜色 5 3 3 3" xfId="25435"/>
    <cellStyle name="输入 2 2 5 4 6" xfId="25436"/>
    <cellStyle name="40% - 强调文字颜色 5 2 6" xfId="25437"/>
    <cellStyle name="40% - 强调文字颜色 4 2 3 2 2 3 2" xfId="25438"/>
    <cellStyle name="40% - 强调文字颜色 2 2 6" xfId="25439"/>
    <cellStyle name="适中 2 5 2" xfId="25440"/>
    <cellStyle name="强调文字颜色 2 3 2 2 2 2" xfId="25441"/>
    <cellStyle name="注释 2 3 3 7" xfId="25442"/>
    <cellStyle name="40% - 强调文字颜色 5 2 3 2 2" xfId="25443"/>
    <cellStyle name="超链接 2 7 3" xfId="25444"/>
    <cellStyle name="检查单元格 2 2 7 2 2" xfId="25445"/>
    <cellStyle name="强调文字颜色 1 2 2 3 2 2 2 2 2" xfId="25446"/>
    <cellStyle name="20% - 强调文字颜色 1 2 3 2 3 3" xfId="25447"/>
    <cellStyle name="标题 1 2 3 4 3 2 2" xfId="25448"/>
    <cellStyle name="40% - 强调文字颜色 4 3 4 2" xfId="25449"/>
    <cellStyle name="汇总 2 2 5 4 2 2" xfId="25450"/>
    <cellStyle name="40% - 强调文字颜色 4 2 2 3 3 3" xfId="25451"/>
    <cellStyle name="计算 2 6 2 3 4 2 2" xfId="25452"/>
    <cellStyle name="标题 2 2 2 9" xfId="25453"/>
    <cellStyle name="汇总 2 2 2 8" xfId="25454"/>
    <cellStyle name="输入 2 4 2 3 5" xfId="25455"/>
    <cellStyle name="注释 2 4 2 5 3" xfId="25456"/>
    <cellStyle name="40% - 强调文字颜色 3 4 2 4 2" xfId="25457"/>
    <cellStyle name="计算 4 4 2 2 2" xfId="25458"/>
    <cellStyle name="20% - 强调文字颜色 2 2 5 4 2 2" xfId="25459"/>
    <cellStyle name="标题 1 2 4 3 2 2" xfId="25460"/>
    <cellStyle name="汇总 2 2 3 4 2 4" xfId="25461"/>
    <cellStyle name="20% - 强调文字颜色 5 4 3 2" xfId="25462"/>
    <cellStyle name="60% - 强调文字颜色 3 2 2 2 2 3 2 2" xfId="25463"/>
    <cellStyle name="20% - 强调文字颜色 6 2 2 2 3 2" xfId="25464"/>
    <cellStyle name="60% - 强调文字颜色 6 2 2 2 3 3" xfId="25465"/>
    <cellStyle name="注释 2 3 11" xfId="25466"/>
    <cellStyle name="常规 9 3 2 2 2" xfId="25467"/>
    <cellStyle name="20% - 强调文字颜色 4 2 6 3 2 2" xfId="25468"/>
    <cellStyle name="强调文字颜色 5 2 3 4 2 3" xfId="25469"/>
    <cellStyle name="输入 2 6 7 2" xfId="25470"/>
    <cellStyle name="强调文字颜色 2 2 3 6" xfId="25471"/>
    <cellStyle name="输出 2 2 4 2 2 6" xfId="25472"/>
    <cellStyle name="计算 2 2 5 2 13" xfId="25473"/>
    <cellStyle name="输入 2 3 2 2 2 3" xfId="25474"/>
    <cellStyle name="40% - 强调文字颜色 2 2 2 4 3 2" xfId="25475"/>
    <cellStyle name="60% - 强调文字颜色 3 2 2 2 2 3 3 2 2" xfId="25476"/>
    <cellStyle name="输出 2 6 3 2 4" xfId="25477"/>
    <cellStyle name="20% - 强调文字颜色 5 4 4 2 2" xfId="25478"/>
    <cellStyle name="百分比 2 3 2 2 2 2" xfId="25479"/>
    <cellStyle name="适中 2 2 2 2 5 2" xfId="25480"/>
    <cellStyle name="40% - 强调文字颜色 2 2 4 3" xfId="25481"/>
    <cellStyle name="60% - 强调文字颜色 5 3 2 5 2" xfId="25482"/>
    <cellStyle name="输入 3 2 8" xfId="25483"/>
    <cellStyle name="解释性文本 2 3 5" xfId="25484"/>
    <cellStyle name="输出 2 3 4" xfId="25485"/>
    <cellStyle name="40% - 强调文字颜色 2 2 2 2 2 5" xfId="25486"/>
    <cellStyle name="常规 2 2 2" xfId="25487"/>
    <cellStyle name="超链接 2 2 3 3 2 3" xfId="25488"/>
    <cellStyle name="警告文本 2 3 2" xfId="25489"/>
    <cellStyle name="标题 4 2 3 2 5 3" xfId="25490"/>
    <cellStyle name="计算 4 2 8" xfId="25491"/>
    <cellStyle name="40% - 强调文字颜色 4 2 10" xfId="25492"/>
    <cellStyle name="注释 2 2 3 3 2 3 2" xfId="25493"/>
    <cellStyle name="汇总 2 2 6 2 5 2 2" xfId="25494"/>
    <cellStyle name="常规 10 4 3 4 2" xfId="25495"/>
    <cellStyle name="60% - 强调文字颜色 6 3 2 6" xfId="25496"/>
    <cellStyle name="常规 4 3 4 2 2" xfId="25497"/>
    <cellStyle name="40% - 强调文字颜色 6 2 2 2 2 2" xfId="25498"/>
    <cellStyle name="差 4 4 2 2" xfId="25499"/>
    <cellStyle name="标题 1 2 3 4 2 2 2" xfId="25500"/>
    <cellStyle name="常规 9 3 4 2 2 2 2" xfId="25501"/>
    <cellStyle name="标题 1 2 2 2 2 5 3" xfId="25502"/>
    <cellStyle name="计算 2 5 4 2 2" xfId="25503"/>
    <cellStyle name="常规 2 2 6 3 2" xfId="25504"/>
    <cellStyle name="标题 4 4 2 2 2 3" xfId="25505"/>
    <cellStyle name="常规 13 5 2 2" xfId="25506"/>
    <cellStyle name="标题 4 3 5 2 2" xfId="25507"/>
    <cellStyle name="常规 5 2 5 2 4" xfId="25508"/>
    <cellStyle name="60% - 强调文字颜色 3 2 3 2 5 2" xfId="25509"/>
    <cellStyle name="输入 2 2 4 4 4 2" xfId="25510"/>
    <cellStyle name="标题 1 2 3 3 2 3" xfId="25511"/>
    <cellStyle name="输出 2 6 4 6" xfId="25512"/>
    <cellStyle name="汇总 2 2 2 4 2 5" xfId="25513"/>
    <cellStyle name="40% - 强调文字颜色 4 6 2 2" xfId="25514"/>
    <cellStyle name="标题 6 2 2" xfId="25515"/>
    <cellStyle name="常规 3 3 5 2" xfId="25516"/>
    <cellStyle name="汇总 2 2 6 4 4 2 2" xfId="25517"/>
    <cellStyle name="40% - 强调文字颜色 5 3 2 2 3 2" xfId="25518"/>
    <cellStyle name="输入 2 2 9 2 5" xfId="25519"/>
    <cellStyle name="强调文字颜色 2 2 2 4 2 2 2 2" xfId="25520"/>
    <cellStyle name="20% - 强调文字颜色 1 5 2 2 2 2" xfId="25521"/>
    <cellStyle name="20% - 强调文字颜色 5 3 2 2 2 2" xfId="25522"/>
    <cellStyle name="常规 12 2 2 3 2" xfId="25523"/>
    <cellStyle name="计算 2 2 5 2 4 5" xfId="25524"/>
    <cellStyle name="输入 2 5 2 4 2 2 2" xfId="25525"/>
    <cellStyle name="警告文本 2 7 2 3" xfId="25526"/>
    <cellStyle name="输入 2 2 5 3 2 2 2 2" xfId="25527"/>
    <cellStyle name="强调文字颜色 5 2 3 4 2" xfId="25528"/>
    <cellStyle name="强调文字颜色 1 2 3 5 2" xfId="25529"/>
    <cellStyle name="输出 2 7 8" xfId="25530"/>
    <cellStyle name="标题 5 2 3 2 2 3" xfId="25531"/>
    <cellStyle name="40% - 强调文字颜色 1 4 3 2 2 2" xfId="25532"/>
    <cellStyle name="输出 2 2 3 2 2 2 2 2 2 2" xfId="25533"/>
    <cellStyle name="注释 5 2 2 3" xfId="25534"/>
    <cellStyle name="差 2 2 2 3 7" xfId="25535"/>
    <cellStyle name="标题 4 2 5 2 2" xfId="25536"/>
    <cellStyle name="20% - 强调文字颜色 1 6" xfId="25537"/>
    <cellStyle name="强调文字颜色 2 2 2 5" xfId="25538"/>
    <cellStyle name="强调文字颜色 4 2" xfId="25539"/>
    <cellStyle name="输入 2 3 2 5 3" xfId="25540"/>
    <cellStyle name="差 3 2 2 3 3" xfId="25541"/>
    <cellStyle name="60% - 强调文字颜色 5 2 4 5" xfId="25542"/>
    <cellStyle name="20% - 强调文字颜色 1 2 3 2 2 3 2" xfId="25543"/>
    <cellStyle name="40% - 强调文字颜色 3 2 4 4" xfId="25544"/>
    <cellStyle name="好 3 2" xfId="25545"/>
    <cellStyle name="20% - 强调文字颜色 6 2 2 2 2 4 3 2 2" xfId="25546"/>
    <cellStyle name="输入 2 5 2 10 2" xfId="25547"/>
    <cellStyle name="强调文字颜色 3 2 3 4 4" xfId="25548"/>
    <cellStyle name="计算 2 3 3 2 4 3" xfId="25549"/>
    <cellStyle name="汇总 2 2 4 4 2 2" xfId="25550"/>
    <cellStyle name="输出 2 2 2 8 2" xfId="25551"/>
    <cellStyle name="40% - 强调文字颜色 1 2 3 3 5" xfId="25552"/>
    <cellStyle name="常规 3 7 2 3 2" xfId="25553"/>
    <cellStyle name="汇总 2 2 3 4 5 2" xfId="25554"/>
    <cellStyle name="计算 2 7 2 5 2 2" xfId="25555"/>
    <cellStyle name="20% - 强调文字颜色 5 2 2 2 2 2 2 2" xfId="25556"/>
    <cellStyle name="40% - 强调文字颜色 5 2 2 5" xfId="25557"/>
    <cellStyle name="计算 2 7 2 2 3 3" xfId="25558"/>
    <cellStyle name="40% - 强调文字颜色 4 2 2 3 5 2 2" xfId="25559"/>
    <cellStyle name="强调文字颜色 1 3 2 4 2" xfId="25560"/>
    <cellStyle name="常规 10 4 4" xfId="25561"/>
    <cellStyle name="标题 4 2 2 5 2 3" xfId="25562"/>
    <cellStyle name="40% - 强调文字颜色 5 2 4 4 3" xfId="25563"/>
    <cellStyle name="汇总 2 2 2 2 2 2 2 3 2" xfId="25564"/>
    <cellStyle name="40% - 强调文字颜色 6 4 4" xfId="25565"/>
    <cellStyle name="标题 5 3 2 3 2 3" xfId="25566"/>
    <cellStyle name="40% - 强调文字颜色 5 3 6 2" xfId="25567"/>
    <cellStyle name="60% - 强调文字颜色 6 3" xfId="25568"/>
    <cellStyle name="检查单元格 4 2 2" xfId="25569"/>
    <cellStyle name="输入 2 2 6 2" xfId="25570"/>
    <cellStyle name="计算 4 2 3" xfId="25571"/>
    <cellStyle name="40% - 强调文字颜色 6 2 2 4 2 3 2" xfId="25572"/>
    <cellStyle name="20% - 强调文字颜色 5 2 2 2 3 4" xfId="25573"/>
    <cellStyle name="汇总 2 2 2 3 3 4 2" xfId="25574"/>
    <cellStyle name="标题 1 2 3 2 3 2 2" xfId="25575"/>
    <cellStyle name="40% - 强调文字颜色 2 2 2 4 3" xfId="25576"/>
    <cellStyle name="标题 2 2 10" xfId="25577"/>
    <cellStyle name="输入 2 2 4 3 3 2 2 2" xfId="25578"/>
    <cellStyle name="20% - 强调文字颜色 1 2 2 3 4 3 2" xfId="25579"/>
    <cellStyle name="计算 2 2 6 5 3 2" xfId="25580"/>
    <cellStyle name="标题 3 2 3 3 2" xfId="25581"/>
    <cellStyle name="差 4 2 4" xfId="25582"/>
    <cellStyle name="60% - 强调文字颜色 6 2 3 2 2 2 2" xfId="25583"/>
    <cellStyle name="40% - 强调文字颜色 5 2 4 5" xfId="25584"/>
    <cellStyle name="计算 4 2 3 2" xfId="25585"/>
    <cellStyle name="40% - 强调文字颜色 1 2 3 2 4 2 2 2" xfId="25586"/>
    <cellStyle name="汇总 2 5 2 2 4" xfId="25587"/>
    <cellStyle name="标题 4 3 2 2 2 2 3" xfId="25588"/>
    <cellStyle name="20% - 强调文字颜色 3 2 4 4" xfId="25589"/>
    <cellStyle name="常规 7 2 2 2 5" xfId="25590"/>
    <cellStyle name="20% - 强调文字颜色 6 2 2 6 3 2" xfId="25591"/>
    <cellStyle name="计算 4 3 2 3" xfId="25592"/>
    <cellStyle name="汇总 2 4 2 2" xfId="25593"/>
    <cellStyle name="常规 5 4 4 3" xfId="25594"/>
    <cellStyle name="输入 2 2 20" xfId="25595"/>
    <cellStyle name="输入 2 2 15" xfId="25596"/>
    <cellStyle name="标题 4 2 2 6 3" xfId="25597"/>
    <cellStyle name="40% - 强调文字颜色 2 2 2 6 3" xfId="25598"/>
    <cellStyle name="输入 2 8 3 6" xfId="25599"/>
    <cellStyle name="20% - 强调文字颜色 4 3 2 3 2" xfId="25600"/>
    <cellStyle name="40% - 强调文字颜色 1 2 2 4 2 3 2" xfId="25601"/>
    <cellStyle name="汇总 2 3 5 4 2" xfId="25602"/>
    <cellStyle name="20% - 强调文字颜色 6 2 2 4 5" xfId="25603"/>
    <cellStyle name="标题 4 2 3 2 3 2" xfId="25604"/>
    <cellStyle name="强调文字颜色 1 2 3 8" xfId="25605"/>
    <cellStyle name="标题 5 3 6 2 2" xfId="25606"/>
    <cellStyle name="注释 2 3 2 2 4" xfId="25607"/>
    <cellStyle name="20% - 强调文字颜色 2 2 3 5" xfId="25608"/>
    <cellStyle name="计算 2 10 8" xfId="25609"/>
    <cellStyle name="汇总 3 14" xfId="25610"/>
    <cellStyle name="输入 2 2 2 2 2 8" xfId="25611"/>
    <cellStyle name="60% - 强调文字颜色 1 2 4 8" xfId="25612"/>
    <cellStyle name="20% - 强调文字颜色 3 2 2 2 6 2 2" xfId="25613"/>
    <cellStyle name="输入 2 5 3 5 2" xfId="25614"/>
    <cellStyle name="60% - 强调文字颜色 3 3 7" xfId="25615"/>
    <cellStyle name="60% - 强调文字颜色 2 2 4 5" xfId="25616"/>
    <cellStyle name="60% - 强调文字颜色 3 2 2 4 2 3 2" xfId="25617"/>
    <cellStyle name="计算 2 14 2 2" xfId="25618"/>
    <cellStyle name="60% - 强调文字颜色 6 2 5 2 2 2" xfId="25619"/>
    <cellStyle name="40% - 强调文字颜色 3 2 5 2" xfId="25620"/>
    <cellStyle name="20% - 强调文字颜色 1 2 3 2 4" xfId="25621"/>
    <cellStyle name="强调文字颜色 6 2 4 3 3" xfId="25622"/>
    <cellStyle name="计算 2 6 3 3 3 2" xfId="25623"/>
    <cellStyle name="标题 5 4 4 2 2" xfId="25624"/>
    <cellStyle name="汇总 3 2 2 2 4 2 2" xfId="25625"/>
    <cellStyle name="输入 2 5 2 2 2 4 2" xfId="25626"/>
    <cellStyle name="强调文字颜色 3 2 2 3 3 3 2" xfId="25627"/>
    <cellStyle name="输入 3 4 3" xfId="25628"/>
    <cellStyle name="60% - 强调文字颜色 3 2 2 6" xfId="25629"/>
    <cellStyle name="注释 2 3 4 2 2 3" xfId="25630"/>
    <cellStyle name="40% - 强调文字颜色 6 2 10" xfId="25631"/>
    <cellStyle name="计算 2 2 4 5 3 2 2" xfId="25632"/>
    <cellStyle name="计算 2 6 2 3 7" xfId="25633"/>
    <cellStyle name="标题 1 4 3 2 2 2" xfId="25634"/>
    <cellStyle name="40% - 强调文字颜色 3 2 2 4 5 2 2" xfId="25635"/>
    <cellStyle name="汇总 2 5 3 4 3" xfId="25636"/>
    <cellStyle name="40% - 强调文字颜色 2 2 2 2 2 2 4 3" xfId="25637"/>
    <cellStyle name="20% - 强调文字颜色 6 3 2 4" xfId="25638"/>
    <cellStyle name="标题 4 2 2 2 5 2 2 2" xfId="25639"/>
    <cellStyle name="汇总 2 2 6 5 3" xfId="25640"/>
    <cellStyle name="输入 2 3 4 4" xfId="25641"/>
    <cellStyle name="计算 2 2 6 4 3 2 2" xfId="25642"/>
    <cellStyle name="标题 3 2 2 3 2 2" xfId="25643"/>
    <cellStyle name="汇总 2 6 2 2 7" xfId="25644"/>
    <cellStyle name="差 3 2 4 2" xfId="25645"/>
    <cellStyle name="汇总 2 2 4 2 2 2 6 2" xfId="25646"/>
    <cellStyle name="输入 2 4 2 7 2" xfId="25647"/>
    <cellStyle name="汇总 2 2 6 5" xfId="25648"/>
    <cellStyle name="常规 8 2 3 3 2" xfId="25649"/>
    <cellStyle name="40% - 强调文字颜色 2 2 2 2 2 3 2 2 2" xfId="25650"/>
    <cellStyle name="输出 2 3 2 2 2 2" xfId="25651"/>
    <cellStyle name="20% - 强调文字颜色 6 2 10 2" xfId="25652"/>
    <cellStyle name="标题 6 3" xfId="25653"/>
    <cellStyle name="20% - 强调文字颜色 5 2 2 8 2" xfId="25654"/>
    <cellStyle name="差 4 4" xfId="25655"/>
    <cellStyle name="20% - 强调文字颜色 6 2 3 3 2 2 2 2" xfId="25656"/>
    <cellStyle name="20% - 强调文字颜色 5 3 2 2 2" xfId="25657"/>
    <cellStyle name="适中 2 3 2 2 2 2 3" xfId="25658"/>
    <cellStyle name="汇总 2 2 5 4 6" xfId="25659"/>
    <cellStyle name="20% - 强调文字颜色 2 3 2 3 2 2 2" xfId="25660"/>
    <cellStyle name="20% - 强调文字颜色 3 2 2 4" xfId="25661"/>
    <cellStyle name="60% - 强调文字颜色 5 2 10" xfId="25662"/>
    <cellStyle name="汇总 2 5 2 5 3" xfId="25663"/>
    <cellStyle name="输出 2 4 2 2 3 4" xfId="25664"/>
    <cellStyle name="汇总 2 2 4 3 2 2 2 3" xfId="25665"/>
    <cellStyle name="60% - 强调文字颜色 6 3 2 5 2" xfId="25666"/>
    <cellStyle name="计算 2 2 4 2 3 4" xfId="25667"/>
    <cellStyle name="60% - 强调文字颜色 5 2 2 2 4 3 2 2" xfId="25668"/>
    <cellStyle name="输入 2 2 4 4 6 2" xfId="25669"/>
    <cellStyle name="汇总 2 5 2 6 4" xfId="25670"/>
    <cellStyle name="输出 2 3 3 4 2 2" xfId="25671"/>
    <cellStyle name="60% - 强调文字颜色 5 2 7 2 2 2" xfId="25672"/>
    <cellStyle name="常规 10" xfId="25673"/>
    <cellStyle name="20% - 强调文字颜色 1 2 2 4 4 2" xfId="25674"/>
    <cellStyle name="汇总 2 5 5 5 3" xfId="25675"/>
    <cellStyle name="40% - 强调文字颜色 6 2 2 2 2 2 2 2 2 2 2" xfId="25676"/>
    <cellStyle name="计算 2 2 4 2 10" xfId="25677"/>
    <cellStyle name="标题 4 6 2 2 2" xfId="25678"/>
    <cellStyle name="汇总 2 2 7 2 4 2 2" xfId="25679"/>
    <cellStyle name="常规 5 2 2 2 2 4 2" xfId="25680"/>
    <cellStyle name="强调文字颜色 5 2 2 5 4" xfId="25681"/>
    <cellStyle name="常规 10 2 2 2 3 5" xfId="25682"/>
    <cellStyle name="40% - 强调文字颜色 5 3 2 4 2 2" xfId="25683"/>
    <cellStyle name="汇总 2 5 3 5 3" xfId="25684"/>
    <cellStyle name="注释 2 4 2 2 9" xfId="25685"/>
    <cellStyle name="强调文字颜色 2 2 3 3" xfId="25686"/>
    <cellStyle name="20% - 强调文字颜色 2 4" xfId="25687"/>
    <cellStyle name="20% - 强调文字颜色 6 2 3 2 2 2 3 2" xfId="25688"/>
    <cellStyle name="常规 5 4 2 3 3 3" xfId="25689"/>
    <cellStyle name="60% - 强调文字颜色 6 2 2 3 3" xfId="25690"/>
    <cellStyle name="汇总 2 2 3 5 3 2" xfId="25691"/>
    <cellStyle name="注释 2 4 12" xfId="25692"/>
    <cellStyle name="注释 2 3 12" xfId="25693"/>
    <cellStyle name="20% - 强调文字颜色 4 3 3 3 2 2" xfId="25694"/>
    <cellStyle name="60% - 强调文字颜色 6 2 3 2 3 2 2" xfId="25695"/>
    <cellStyle name="常规 9 3 2 4 3" xfId="25696"/>
    <cellStyle name="标题 6 2 2 3 2" xfId="25697"/>
    <cellStyle name="常规 4 3 2 3 3" xfId="25698"/>
    <cellStyle name="常规 11 4 4 2 2" xfId="25699"/>
    <cellStyle name="60% - 强调文字颜色 2 2 2 2 5" xfId="25700"/>
    <cellStyle name="输出 5 7" xfId="25701"/>
    <cellStyle name="汇总 2 7 11 2" xfId="25702"/>
    <cellStyle name="20% - 强调文字颜色 3 2 2 3 4 2 2" xfId="25703"/>
    <cellStyle name="20% - 强调文字颜色 4 2 3 2 3 3" xfId="25704"/>
    <cellStyle name="汇总 2 2 7 2 2 3 2" xfId="25705"/>
    <cellStyle name="检查单元格 2 2 2 2 2 2 2 3" xfId="25706"/>
    <cellStyle name="20% - 强调文字颜色 6 2 2 3 2 2 2" xfId="25707"/>
    <cellStyle name="注释 2 2 3 5 6" xfId="25708"/>
    <cellStyle name="20% - 强调文字颜色 6 2 3 2 2 3 3" xfId="25709"/>
    <cellStyle name="好 2 2 4 3 4" xfId="25710"/>
    <cellStyle name="强调文字颜色 4 3 10" xfId="25711"/>
    <cellStyle name="20% - 强调文字颜色 2 2 7 2 2" xfId="25712"/>
    <cellStyle name="输出 2 2 4 3 8" xfId="25713"/>
    <cellStyle name="计算 2 2 5 3 3 4" xfId="25714"/>
    <cellStyle name="计算 5 3" xfId="25715"/>
    <cellStyle name="汇总 2 6 2 5" xfId="25716"/>
    <cellStyle name="60% - 强调文字颜色 2 2 2 2 6 2 2" xfId="25717"/>
    <cellStyle name="常规 8 3 2 3 2 2" xfId="25718"/>
    <cellStyle name="常规 3 2 4 3" xfId="25719"/>
    <cellStyle name="计算 3 5 2 2" xfId="25720"/>
    <cellStyle name="输出 3 3 6 3" xfId="25721"/>
    <cellStyle name="检查单元格 3 4" xfId="25722"/>
    <cellStyle name="标题 5 2 11" xfId="25723"/>
    <cellStyle name="常规 11 6" xfId="25724"/>
    <cellStyle name="20% - 强调文字颜色 2 2 2 3 2 2 2" xfId="25725"/>
    <cellStyle name="60% - 强调文字颜色 5 2 2 3 4 2 2" xfId="25726"/>
    <cellStyle name="输入 2 5 4 2 2" xfId="25727"/>
    <cellStyle name="汇总 2 6 4 2 5 2" xfId="25728"/>
    <cellStyle name="好 2 2 2 2 2 2 2 3" xfId="25729"/>
    <cellStyle name="注释 2 2 7 3 6" xfId="25730"/>
    <cellStyle name="汇总 2 5 2 5 2" xfId="25731"/>
    <cellStyle name="输入 3 13" xfId="25732"/>
    <cellStyle name="计算 2 5 2 9 3" xfId="25733"/>
    <cellStyle name="40% - 强调文字颜色 2 2 4 4 3 2" xfId="25734"/>
    <cellStyle name="Millares 2 2" xfId="25735"/>
    <cellStyle name="40% - 强调文字颜色 3 4 5 2" xfId="25736"/>
    <cellStyle name="标题 4 2 2 2 4 3 2" xfId="25737"/>
    <cellStyle name="60% - 强调文字颜色 6 3 2 2 3 3" xfId="25738"/>
    <cellStyle name="标题 2 2 3 3 2 2 2 2" xfId="25739"/>
    <cellStyle name="40% - 强调文字颜色 4 2 3 2 2 4 3 2" xfId="25740"/>
    <cellStyle name="汇总 2 8 4 3" xfId="25741"/>
    <cellStyle name="20% - 强调文字颜色 6 2 5 3 2 2 2" xfId="25742"/>
    <cellStyle name="输入 2 2 7 2 2 2 2" xfId="25743"/>
    <cellStyle name="40% - 强调文字颜色 6 2 4" xfId="25744"/>
    <cellStyle name="适中 2 2 2 5 2 3" xfId="25745"/>
    <cellStyle name="强调文字颜色 1 2 5 2 3" xfId="25746"/>
    <cellStyle name="常规 4 3 7" xfId="25747"/>
    <cellStyle name="40% - 强调文字颜色 6 2 2 5" xfId="25748"/>
    <cellStyle name="40% - 强调文字颜色 4 2 2 2 2 2 4 2" xfId="25749"/>
    <cellStyle name="常规 11 2 2 3 3 3" xfId="25750"/>
    <cellStyle name="40% - 强调文字颜色 2 2 2 2 3 2 2" xfId="25751"/>
    <cellStyle name="标题 6 2 2 5" xfId="25752"/>
    <cellStyle name="40% - 强调文字颜色 5 2 5 2 3" xfId="25753"/>
    <cellStyle name="注释 2 5 3 8" xfId="25754"/>
    <cellStyle name="40% - 强调文字颜色 3 3" xfId="25755"/>
    <cellStyle name="注释 2 2 5 4" xfId="25756"/>
    <cellStyle name="汇总 2 2 15 3" xfId="25757"/>
    <cellStyle name="输入 2 6 2 3 4" xfId="25758"/>
    <cellStyle name="标题 5 7 2" xfId="25759"/>
    <cellStyle name="汇总 2 2 8 3 4" xfId="25760"/>
    <cellStyle name="20% - 强调文字颜色 5 2 3 3 3 2 2" xfId="25761"/>
    <cellStyle name="输出 2 4 2 3 5 2 2" xfId="25762"/>
    <cellStyle name="汇总 2 2 3 8 2" xfId="25763"/>
    <cellStyle name="计算 2 3 2 2 2 4 2" xfId="25764"/>
    <cellStyle name="常规 2 2 2 2 2 2" xfId="25765"/>
    <cellStyle name="40% - 强调文字颜色 2 2 2 2 2 5 2 2 2" xfId="25766"/>
    <cellStyle name="输出 2 3 4 2 2 2" xfId="25767"/>
    <cellStyle name="计算 2 2 10 4 3" xfId="25768"/>
    <cellStyle name="注释 2 2 2 2 3 2 2 2" xfId="25769"/>
    <cellStyle name="强调文字颜色 6 2 2 2 2 4 4" xfId="25770"/>
    <cellStyle name="标题 3 2 2 2 3" xfId="25771"/>
    <cellStyle name="计算 2 2 6 4 2 3" xfId="25772"/>
    <cellStyle name="汇总 2 5 2 4 2 2" xfId="25773"/>
    <cellStyle name="40% - 强调文字颜色 2 2 2 2 2 2 2 2 2 2" xfId="25774"/>
    <cellStyle name="20% - 强调文字颜色 3 2 4 2 2 2" xfId="25775"/>
    <cellStyle name="常规 7 2 2 2 3 2 2" xfId="25776"/>
    <cellStyle name="20% - 强调文字颜色 6 2 4 4 2 2 2" xfId="25777"/>
    <cellStyle name="40% - 强调文字颜色 6 2 2 3 3 2" xfId="25778"/>
    <cellStyle name="标题 1 2 2 2 5 2 2 2" xfId="25779"/>
    <cellStyle name="警告文本 3 2 5" xfId="25780"/>
    <cellStyle name="好 2 6 2 2" xfId="25781"/>
    <cellStyle name="20% - 强调文字颜色 4 2 3 2 4 2 2" xfId="25782"/>
    <cellStyle name="计算 2 2 4 2 2 3 3" xfId="25783"/>
    <cellStyle name="常规 7 2 5 2 2" xfId="25784"/>
    <cellStyle name="常规 5 2 2 3 3 3 2 2" xfId="25785"/>
    <cellStyle name="输入 2 2 8 2" xfId="25786"/>
    <cellStyle name="链接单元格 3 2 2 2" xfId="25787"/>
    <cellStyle name="计算 2 2 2 2 12" xfId="25788"/>
    <cellStyle name="40% - 强调文字颜色 3 4 2 4" xfId="25789"/>
    <cellStyle name="60% - 强调文字颜色 1 2 5 3 2 2" xfId="25790"/>
    <cellStyle name="40% - 强调文字颜色 1 2 2 3 4 3 2" xfId="25791"/>
    <cellStyle name="20% - 强调文字颜色 1 2 2 3 2" xfId="25792"/>
    <cellStyle name="标题 2 2 2 6 4" xfId="25793"/>
    <cellStyle name="警告文本 2 2 2 2 2" xfId="25794"/>
    <cellStyle name="20% - 强调文字颜色 3 2 4 5 2" xfId="25795"/>
    <cellStyle name="60% - 强调文字颜色 6 2 4 3 2 2" xfId="25796"/>
    <cellStyle name="60% - 强调文字颜色 4 3 2 2 2 2 2 2" xfId="25797"/>
    <cellStyle name="强调文字颜色 1 2 2 4 3 2 3" xfId="25798"/>
    <cellStyle name="检查单元格 2 2 3 4 2 3" xfId="25799"/>
    <cellStyle name="输出 2 6 3 2 2" xfId="25800"/>
    <cellStyle name="40% - 强调文字颜色 5 2 5 3 2 2" xfId="25801"/>
    <cellStyle name="注释 2 2 2 4 2 2 2 2" xfId="25802"/>
    <cellStyle name="40% - 强调文字颜色 6 2 7 3 2 2" xfId="25803"/>
    <cellStyle name="计算 2 10 2 3 2 2" xfId="25804"/>
    <cellStyle name="60% - 强调文字颜色 5 2 4 2 2 2 2 2" xfId="25805"/>
    <cellStyle name="20% - 强调文字颜色 4 2 4 3" xfId="25806"/>
    <cellStyle name="输出 2 4 2 2 2 3 3" xfId="25807"/>
    <cellStyle name="60% - 强调文字颜色 3 3 2 4 2 2" xfId="25808"/>
    <cellStyle name="警告文本 2 2 2 3 6" xfId="25809"/>
    <cellStyle name="标题 4 2 2 3 4 4" xfId="25810"/>
    <cellStyle name="常规 2 3 2 3" xfId="25811"/>
    <cellStyle name="输出 2 4 4 3" xfId="25812"/>
    <cellStyle name="标题 5 2 2 2 6 2" xfId="25813"/>
    <cellStyle name="汇总 2 3 4 5" xfId="25814"/>
    <cellStyle name="输入 2 4 3 5 2" xfId="25815"/>
    <cellStyle name="注释 2 5 3 2" xfId="25816"/>
    <cellStyle name="20% - 强调文字颜色 5 2 2 4 2 2 2 2" xfId="25817"/>
    <cellStyle name="标题 2 3 2 2 2" xfId="25818"/>
    <cellStyle name="20% - 强调文字颜色 6 2 3 2 2 5 2 2" xfId="25819"/>
    <cellStyle name="20% - 强调文字颜色 6 2 4 3 2 2" xfId="25820"/>
    <cellStyle name="20% - 强调文字颜色 6 2 3 2 3 2 2 2" xfId="25821"/>
    <cellStyle name="强调文字颜色 3 2 2 3" xfId="25822"/>
    <cellStyle name="汇总 2 2 3 2 2 3 2 3" xfId="25823"/>
    <cellStyle name="常规 7 4" xfId="25824"/>
    <cellStyle name="好 2 6 2 3" xfId="25825"/>
    <cellStyle name="20% - 强调文字颜色 6 2 2 5 2 2" xfId="25826"/>
    <cellStyle name="汇总 2 6 2 2 5 2 2" xfId="25827"/>
    <cellStyle name="输入 2 3 4 2 2 2" xfId="25828"/>
    <cellStyle name="汇总 3 2 2 3 4" xfId="25829"/>
    <cellStyle name="汇总 3 2 2 3 2 2" xfId="25830"/>
    <cellStyle name="60% - 强调文字颜色 2 2 3 3 2 2 2" xfId="25831"/>
    <cellStyle name="计算 2 5 3 5 2" xfId="25832"/>
    <cellStyle name="60% - 强调文字颜色 3 2 5 2 2 2" xfId="25833"/>
    <cellStyle name="汇总 2 2 6 3 2 4 2" xfId="25834"/>
    <cellStyle name="标题 3 2 4 6" xfId="25835"/>
    <cellStyle name="强调文字颜色 6 2 6 3 2 2" xfId="25836"/>
    <cellStyle name="60% - 强调文字颜色 4 2 2 2 2 2 3 2" xfId="25837"/>
    <cellStyle name="常规 12 2 2 2 4" xfId="25838"/>
    <cellStyle name="20% - 强调文字颜色 1 2 2 2 2 2 4 2 2 2" xfId="25839"/>
    <cellStyle name="40% - 强调文字颜色 4 2 2 2 2 3 2 2" xfId="25840"/>
    <cellStyle name="输出 2 2 4 4 3 3" xfId="25841"/>
    <cellStyle name="注释 2 2 5 2 2 3 3" xfId="25842"/>
    <cellStyle name="常规 12 4 3 2" xfId="25843"/>
    <cellStyle name="60% - 强调文字颜色 5 2 2 2 2 2 2 2 2 2" xfId="25844"/>
    <cellStyle name="计算 2 3 2 5 2" xfId="25845"/>
    <cellStyle name="60% - 强调文字颜色 6 2 4 2 2 2 2" xfId="25846"/>
    <cellStyle name="输出 2 6 2" xfId="25847"/>
    <cellStyle name="60% - 强调文字颜色 1 2 2 2 8" xfId="25848"/>
    <cellStyle name="汇总 2 2 7 2 6 2" xfId="25849"/>
    <cellStyle name="注释 2 2 4 3 3 3" xfId="25850"/>
    <cellStyle name="常规 6 2 2 3 2" xfId="25851"/>
    <cellStyle name="标题 4 3 2 2 3 3" xfId="25852"/>
    <cellStyle name="40% - 强调文字颜色 3 2 2 4 2 3 2" xfId="25853"/>
    <cellStyle name="计算 2 2 2 2 3 3 3" xfId="25854"/>
    <cellStyle name="警告文本 2 3 2 6 2" xfId="25855"/>
    <cellStyle name="汇总 2 11" xfId="25856"/>
    <cellStyle name="汇总 2 2 2 2 2 2 2 2 2 2" xfId="25857"/>
    <cellStyle name="40% - 强调文字颜色 6 3 4 2" xfId="25858"/>
    <cellStyle name="常规 5 5 4" xfId="25859"/>
    <cellStyle name="计算 2 5 3 2 4 2" xfId="25860"/>
    <cellStyle name="强调文字颜色 5 2 3 4 3" xfId="25861"/>
    <cellStyle name="汇总 2 2 3 6 2 2" xfId="25862"/>
    <cellStyle name="计算 2 3 2 2 2 2 2 2" xfId="25863"/>
    <cellStyle name="40% - 强调文字颜色 5 3 2 5" xfId="25864"/>
    <cellStyle name="计算 2 2 6 5 4 2" xfId="25865"/>
    <cellStyle name="标题 3 2 3 4 2" xfId="25866"/>
    <cellStyle name="强调文字颜色 2 2 2 4" xfId="25867"/>
    <cellStyle name="20% - 强调文字颜色 1 5" xfId="25868"/>
    <cellStyle name="计算 2 6 2 4 4 2" xfId="25869"/>
    <cellStyle name="60% - 强调文字颜色 2 2 3 6 2 2 2" xfId="25870"/>
    <cellStyle name="计算 2 8 3 5 2" xfId="25871"/>
    <cellStyle name="计算 2 3 2 4 4" xfId="25872"/>
    <cellStyle name="常规 3 3 2 4 2" xfId="25873"/>
    <cellStyle name="40% - 强调文字颜色 1 2 2 3 3 2 2" xfId="25874"/>
    <cellStyle name="链接单元格 2 2 2 2 3 2 3" xfId="25875"/>
    <cellStyle name="20% - 强调文字颜色 4 2 2 3 4 3 2" xfId="25876"/>
    <cellStyle name="标题 4 3 6" xfId="25877"/>
    <cellStyle name="输出 4 2 4 2" xfId="25878"/>
    <cellStyle name="适中 2 2 5 2" xfId="25879"/>
    <cellStyle name="20% - 强调文字颜色 3 2 2 2 3 3 2" xfId="25880"/>
    <cellStyle name="强调文字颜色 6 3 4" xfId="25881"/>
    <cellStyle name="40% - 强调文字颜色 6 3 2" xfId="25882"/>
    <cellStyle name="标题 5 4 2 3" xfId="25883"/>
    <cellStyle name="汇总 2 10 7" xfId="25884"/>
    <cellStyle name="标题 6 2 3" xfId="25885"/>
    <cellStyle name="20% - 强调文字颜色 6 2 9" xfId="25886"/>
    <cellStyle name="标题 4 2 4 4 2 2 2" xfId="25887"/>
    <cellStyle name="好 3 4 3" xfId="25888"/>
    <cellStyle name="输入 2 10 3 2" xfId="25889"/>
    <cellStyle name="汇总 2 2 5 3 4 3" xfId="25890"/>
    <cellStyle name="20% - 强调文字颜色 2 2 3 4 3" xfId="25891"/>
    <cellStyle name="检查单元格 2 4" xfId="25892"/>
    <cellStyle name="40% - 强调文字颜色 1 2 4 5 2 2" xfId="25893"/>
    <cellStyle name="40% - 强调文字颜色 4 2 3 2 5" xfId="25894"/>
    <cellStyle name="警告文本 2 3 8" xfId="25895"/>
    <cellStyle name="标题 4 2 4 3 3 2" xfId="25896"/>
    <cellStyle name="差 2 6 2" xfId="25897"/>
    <cellStyle name="常规 4 4 2 4 3" xfId="25898"/>
    <cellStyle name="40% - 强调文字颜色 4 2 2 2 4 2 2" xfId="25899"/>
    <cellStyle name="标题 2 2 4 3 2 2" xfId="25900"/>
    <cellStyle name="常规 3 4 2 2 2" xfId="25901"/>
    <cellStyle name="汇总 2 2 6 3 2 3 3" xfId="25902"/>
    <cellStyle name="计算 2 4 2" xfId="25903"/>
    <cellStyle name="40% - 强调文字颜色 1 2 2 2 5" xfId="25904"/>
    <cellStyle name="汇总 2 2 5 2 3 4 3" xfId="25905"/>
    <cellStyle name="百分比 2 3 7" xfId="25906"/>
    <cellStyle name="差 2 2 2 2 2 5" xfId="25907"/>
    <cellStyle name="汇总 2 2 5 3 2 8" xfId="25908"/>
    <cellStyle name="标题 1 3 3 3 2 2" xfId="25909"/>
    <cellStyle name="40% - 强调文字颜色 6 2 3 2 2 3 3" xfId="25910"/>
    <cellStyle name="常规 6 4 2" xfId="25911"/>
    <cellStyle name="20% - 强调文字颜色 4 4 2 2 2" xfId="25912"/>
    <cellStyle name="检查单元格 2 2 6 3 2 2" xfId="25913"/>
    <cellStyle name="20% - 强调文字颜色 4 2 2 3 3 3 2" xfId="25914"/>
    <cellStyle name="标题 1 2 3 3 7" xfId="25915"/>
    <cellStyle name="强调文字颜色 1 3 3 4" xfId="25916"/>
    <cellStyle name="Normal 4 2 2" xfId="25917"/>
    <cellStyle name="计算 2 2 3 3 6" xfId="25918"/>
    <cellStyle name="60% - 强调文字颜色 1 3 3" xfId="25919"/>
    <cellStyle name="60% - 强调文字颜色 6 2 2 7" xfId="25920"/>
    <cellStyle name="60% - 强调文字颜色 4 2 2 4 5 2 2" xfId="25921"/>
    <cellStyle name="输入 2 3 9 2 2" xfId="25922"/>
    <cellStyle name="好 2 2 4 3 2 2 2" xfId="25923"/>
    <cellStyle name="标题 2 2 2 4 3 4" xfId="25924"/>
    <cellStyle name="输入 2 5 2 2 2 3" xfId="25925"/>
    <cellStyle name="汇总 2 9 2 4 2" xfId="25926"/>
    <cellStyle name="Normal 2 2 2" xfId="25927"/>
    <cellStyle name="20% - 强调文字颜色 6 2 5 5" xfId="25928"/>
    <cellStyle name="20% - 强调文字颜色 3 2 3 2 2 4 2" xfId="25929"/>
    <cellStyle name="汇总 2 5 5 4 2 2" xfId="25930"/>
    <cellStyle name="标题 3 5 2 2 3" xfId="25931"/>
    <cellStyle name="40% - 强调文字颜色 4 3 2 2 3 2" xfId="25932"/>
    <cellStyle name="计算 2 2 4 2 2 3 4" xfId="25933"/>
    <cellStyle name="常规 6 7 2 2 2" xfId="25934"/>
    <cellStyle name="警告文本 2 3" xfId="25935"/>
    <cellStyle name="百分比 2 2 2 2 4" xfId="25936"/>
    <cellStyle name="输入 2 2 3 13" xfId="25937"/>
    <cellStyle name="好 2 8" xfId="25938"/>
    <cellStyle name="20% - 强调文字颜色 5 2 5 2" xfId="25939"/>
    <cellStyle name="计算 2 2 4 10 2 2" xfId="25940"/>
    <cellStyle name="注释 2 5 2 2 5 2" xfId="25941"/>
    <cellStyle name="20% - 强调文字颜色 3 2 2 3 2 2 2" xfId="25942"/>
    <cellStyle name="百分比 2 2 5 2" xfId="25943"/>
    <cellStyle name="计算 2 6 2 2 2 4 2 2" xfId="25944"/>
    <cellStyle name="标题 1 2 6 3 3" xfId="25945"/>
    <cellStyle name="60% - 强调文字颜色 6 6" xfId="25946"/>
    <cellStyle name="20% - 强调文字颜色 2 2 5 4" xfId="25947"/>
    <cellStyle name="输出 2 4 2 5" xfId="25948"/>
    <cellStyle name="注释 2 4 3 2 2 4" xfId="25949"/>
    <cellStyle name="常规 10 3 5 2" xfId="25950"/>
    <cellStyle name="20% - 强调文字颜色 6 2 2 2 2 2 2 2" xfId="25951"/>
    <cellStyle name="输入 2 3 2 2 2 3 3" xfId="25952"/>
    <cellStyle name="计算 3 2 3" xfId="25953"/>
    <cellStyle name="警告文本 3 3 2 2" xfId="25954"/>
    <cellStyle name="20% - 强调文字颜色 1 2 4 3 2 2 2" xfId="25955"/>
    <cellStyle name="标题 3 3 2 4 3" xfId="25956"/>
    <cellStyle name="注释 2 7 6 3" xfId="25957"/>
    <cellStyle name="计算 2 7 2 2 6 2" xfId="25958"/>
    <cellStyle name="60% - 强调文字颜色 5 2 3 2 2 2" xfId="25959"/>
    <cellStyle name="输出 2 4 3 2 4 3" xfId="25960"/>
    <cellStyle name="60% - 强调文字颜色 6 2 3 2 4 3 2" xfId="25961"/>
    <cellStyle name="百分比 2 2" xfId="25962"/>
    <cellStyle name="差 2 5 2 2 3" xfId="25963"/>
    <cellStyle name="20% - 强调文字颜色 2 2 4 4 2" xfId="25964"/>
    <cellStyle name="20% - 强调文字颜色 6 2 2 2 4 2 2 2" xfId="25965"/>
    <cellStyle name="20% - 强调文字颜色 6 2 4 2" xfId="25966"/>
    <cellStyle name="注释 2 3 3 2 4" xfId="25967"/>
    <cellStyle name="输出 2 2 5 2 2 3 2" xfId="25968"/>
    <cellStyle name="20% - 强调文字颜色 6 3 5 2 2" xfId="25969"/>
    <cellStyle name="40% - 强调文字颜色 5 4 2 3 2 2" xfId="25970"/>
    <cellStyle name="标题 4 2 2 4 2 3 2" xfId="25971"/>
    <cellStyle name="解释性文本 2 2 4 3" xfId="25972"/>
    <cellStyle name="汇总 2 10 5 2" xfId="25973"/>
    <cellStyle name="20% - 强调文字颜色 4 2 2 2 2 2 2" xfId="25974"/>
    <cellStyle name="40% - 强调文字颜色 1 2 2 2 2 2 2 2 2 2" xfId="25975"/>
    <cellStyle name="输出 2 2 3 2 2 3 4" xfId="25976"/>
    <cellStyle name="40% - 强调文字颜色 6 2 4 2" xfId="25977"/>
    <cellStyle name="常规 4 5 4" xfId="25978"/>
    <cellStyle name="40% - 强调文字颜色 6 2 2 4 3 2 2 2" xfId="25979"/>
    <cellStyle name="40% - 强调文字颜色 2 2 2 5 2 2" xfId="25980"/>
    <cellStyle name="计算 3 3 4 2 2" xfId="25981"/>
    <cellStyle name="20% - 强调文字颜色 4 2 3 2 4 2" xfId="25982"/>
    <cellStyle name="20% - 强调文字颜色 6 2 5" xfId="25983"/>
    <cellStyle name="40% - 强调文字颜色 2 2 2 4 3 2 2 2" xfId="25984"/>
    <cellStyle name="标题 4 3 9" xfId="25985"/>
    <cellStyle name="20% - 强调文字颜色 1 2 2 3" xfId="25986"/>
    <cellStyle name="20% - 强调文字颜色 3 2 2 4 3" xfId="25987"/>
    <cellStyle name="强调文字颜色 1 2 2 2 2 3 2 2 2" xfId="25988"/>
    <cellStyle name="60% - 强调文字颜色 4 2 3 3 6" xfId="25989"/>
    <cellStyle name="常规 2 3 3 4" xfId="25990"/>
    <cellStyle name="输出 2 4 5 4" xfId="25991"/>
    <cellStyle name="标题 4 2 2 4 6" xfId="25992"/>
    <cellStyle name="输出 2 5" xfId="25993"/>
    <cellStyle name="60% - 强调文字颜色 4 2 2 2 2 3 2 2" xfId="25994"/>
    <cellStyle name="输出 2 2 3 10" xfId="25995"/>
    <cellStyle name="20% - 强调文字颜色 1 2 4 5" xfId="25996"/>
    <cellStyle name="40% - 强调文字颜色 3 2 2 4 3 2 2" xfId="25997"/>
    <cellStyle name="注释 2 2 6 6" xfId="25998"/>
    <cellStyle name="常规 4 2 2 2 3 5" xfId="25999"/>
    <cellStyle name="汇总 2 3 7 2 2" xfId="26000"/>
    <cellStyle name="输入 2 2 7 3 2 2 2" xfId="26001"/>
    <cellStyle name="计算 2 6 2 6 2 2" xfId="26002"/>
    <cellStyle name="常规 10 4 2" xfId="26003"/>
    <cellStyle name="40% - 强调文字颜色 4 2 5 4 2" xfId="26004"/>
    <cellStyle name="40% - 强调文字颜色 6 2 4 5 2 2" xfId="26005"/>
    <cellStyle name="标题 2 2 3 2 2 5" xfId="26006"/>
    <cellStyle name="好 2 2 2 2 2 2 2" xfId="26007"/>
    <cellStyle name="输入 2 3 3 2" xfId="26008"/>
    <cellStyle name="常规 4 2 4 3 5" xfId="26009"/>
    <cellStyle name="计算 2 2 4 2 2 4 2 2" xfId="26010"/>
    <cellStyle name="输入 4 3" xfId="26011"/>
    <cellStyle name="标题 1 2 2 2 2 2 2 2 2 2" xfId="26012"/>
    <cellStyle name="20% - 强调文字颜色 1 2 3 3 4" xfId="26013"/>
    <cellStyle name="输入 2 2 2 2 2 2 3 3" xfId="26014"/>
    <cellStyle name="标题 1 2 4 3 3" xfId="26015"/>
    <cellStyle name="差 2 3 2 2 4" xfId="26016"/>
    <cellStyle name="40% - 强调文字颜色 5 3" xfId="26017"/>
    <cellStyle name="20% - 强调文字颜色 6 2 2 3 4" xfId="26018"/>
    <cellStyle name="40% - 强调文字颜色 1 2 2 2 6 2 2 2" xfId="26019"/>
    <cellStyle name="汇总 3 2 2 3 3" xfId="26020"/>
    <cellStyle name="20% - 强调文字颜色 6 2 2 2 6 2 2" xfId="26021"/>
    <cellStyle name="汇总 2 4 2 7 2" xfId="26022"/>
    <cellStyle name="40% - 强调文字颜色 3 2 3 5" xfId="26023"/>
    <cellStyle name="汇总 2 8 4 2 2" xfId="26024"/>
    <cellStyle name="20% - 强调文字颜色 1 2 3 2 2 2 3" xfId="26025"/>
    <cellStyle name="输出 4 6 2" xfId="26026"/>
    <cellStyle name="警告文本 2 2 2 4" xfId="26027"/>
    <cellStyle name="20% - 强调文字颜色 3 2 4 7" xfId="26028"/>
    <cellStyle name="60% - 强调文字颜色 6 2 4 3 4" xfId="26029"/>
    <cellStyle name="汇总 2 2 4 4 4 2" xfId="26030"/>
    <cellStyle name="输出 2 2 2 2 2 2 7" xfId="26031"/>
    <cellStyle name="计算 2 2 4 5 4 3" xfId="26032"/>
    <cellStyle name="标题 3 2 3 2 3 3" xfId="26033"/>
    <cellStyle name="40% - 强调文字颜色 2 2 2 6 2 2" xfId="26034"/>
    <cellStyle name="输入 2 2 3 2 2 7" xfId="26035"/>
    <cellStyle name="40% - 强调文字颜色 4 2 2 2 2 2 2" xfId="26036"/>
    <cellStyle name="计算 2 8 3 7" xfId="26037"/>
    <cellStyle name="标题 2 2 3 2 3 2 2 3" xfId="26038"/>
    <cellStyle name="注释 3 4 2 2 2" xfId="26039"/>
    <cellStyle name="汇总 2 2 2 3 2 7" xfId="26040"/>
    <cellStyle name="40% - 强调文字颜色 6 2 2 2 2 2 4 3" xfId="26041"/>
    <cellStyle name="百分比 2 5 2 2" xfId="26042"/>
    <cellStyle name="常规 5 3 2 2 3 4" xfId="26043"/>
    <cellStyle name="常规 13 2 2 2 4 2 2" xfId="26044"/>
    <cellStyle name="40% - 强调文字颜色 2 2 2 3 5 2" xfId="26045"/>
    <cellStyle name="40% - 强调文字颜色 5 2 5 2 3 2" xfId="26046"/>
    <cellStyle name="标题 1 2 4 5 2 2" xfId="26047"/>
    <cellStyle name="40% - 强调文字颜色 5 2 3 6" xfId="26048"/>
    <cellStyle name="标题 4 2 2 3 5 3" xfId="26049"/>
    <cellStyle name="标题 4 2 2 4 4" xfId="26050"/>
    <cellStyle name="注释 2 2 3" xfId="26051"/>
    <cellStyle name="注释 2 2 7 3 2 5" xfId="26052"/>
    <cellStyle name="60% - 强调文字颜色 3 2 3 2 2 2 2 2 2" xfId="26053"/>
    <cellStyle name="20% - 强调文字颜色 5 2 3 2 2 2 3" xfId="26054"/>
    <cellStyle name="60% - 强调文字颜色 2 2 2 2 2 4 3 2" xfId="26055"/>
    <cellStyle name="标题 2 2 3 2 6" xfId="26056"/>
    <cellStyle name="汇总 2 2 8 4 2 2" xfId="26057"/>
    <cellStyle name="计算 2 3 8 2 2" xfId="26058"/>
    <cellStyle name="60% - 强调文字颜色 5 2 2 3 3 2 2" xfId="26059"/>
    <cellStyle name="链接单元格 2 2 5 2 2 2" xfId="26060"/>
    <cellStyle name="计算 2 5 2 2 2 2 2 2 2" xfId="26061"/>
    <cellStyle name="常规 3 2 8" xfId="26062"/>
    <cellStyle name="标题 2 3 5 2 2 2" xfId="26063"/>
    <cellStyle name="注释 2 4 2 9" xfId="26064"/>
    <cellStyle name="注释 2 8 3 2 2" xfId="26065"/>
    <cellStyle name="输出 2 2 6 2 2 4" xfId="26066"/>
    <cellStyle name="常规 3 3 7 4" xfId="26067"/>
    <cellStyle name="40% - 强调文字颜色 2 4 2 4 2" xfId="26068"/>
    <cellStyle name="输入 2 5 3 8" xfId="26069"/>
    <cellStyle name="标题 4 3 2 5 2" xfId="26070"/>
    <cellStyle name="40% - 强调文字颜色 3 2 2 2 2 2 3 2 2" xfId="26071"/>
    <cellStyle name="20% - 强调文字颜色 5 2 2 2 4 2 2 2" xfId="26072"/>
    <cellStyle name="输入 2 5 2 3 2 3 2" xfId="26073"/>
    <cellStyle name="常规 5 2 2 2 6" xfId="26074"/>
    <cellStyle name="计算 2 2 4 2 2 2 7" xfId="26075"/>
    <cellStyle name="百分比 2 2 4 2 2" xfId="26076"/>
    <cellStyle name="标题 1 2 2 5 3 2 2" xfId="26077"/>
    <cellStyle name="20% - 强调文字颜色 2 2 2 9" xfId="26078"/>
    <cellStyle name="汇总 2 5 2 2 2 2 2 2 2" xfId="26079"/>
    <cellStyle name="60% - 强调文字颜色 5 2 3 2 2 4" xfId="26080"/>
    <cellStyle name="强调文字颜色 3 2 2 3 4 2" xfId="26081"/>
    <cellStyle name="20% - 强调文字颜色 1 2 3 4 2 2" xfId="26082"/>
    <cellStyle name="40% - 强调文字颜色 5 4 4 2" xfId="26083"/>
    <cellStyle name="输入 2 2 5 2 6 2" xfId="26084"/>
    <cellStyle name="强调文字颜色 2 2 4" xfId="26085"/>
    <cellStyle name="汇总 2 2 3 2 4 5" xfId="26086"/>
    <cellStyle name="注释 2 2 3 5 2" xfId="26087"/>
    <cellStyle name="20% - 强调文字颜色 3 2 2 2 2 4 2" xfId="26088"/>
    <cellStyle name="强调文字颜色 5 4 4" xfId="26089"/>
    <cellStyle name="解释性文本 2 4 3" xfId="26090"/>
    <cellStyle name="警告文本 3 3" xfId="26091"/>
    <cellStyle name="百分比 2 2 2 3 4" xfId="26092"/>
    <cellStyle name="40% - 强调文字颜色 4 3 5 2 2 2" xfId="26093"/>
    <cellStyle name="60% - 强调文字颜色 1 2 3 2 2 2 2" xfId="26094"/>
    <cellStyle name="40% - 强调文字颜色 5 2 3 2 4 3" xfId="26095"/>
    <cellStyle name="40% - 强调文字颜色 6 3 3 3 2 2 2" xfId="26096"/>
    <cellStyle name="常规 13 4 2 2 2" xfId="26097"/>
    <cellStyle name="差 2 2 2 2 3 2" xfId="26098"/>
    <cellStyle name="汇总 2 2 6 4 7" xfId="26099"/>
    <cellStyle name="注释 2 5 11" xfId="26100"/>
    <cellStyle name="标题 4 5 2 2 2" xfId="26101"/>
    <cellStyle name="20% - 强调文字颜色 4 2 2 4 2 3" xfId="26102"/>
    <cellStyle name="20% - 强调文字颜色 2 4 2" xfId="26103"/>
    <cellStyle name="强调文字颜色 2 2 3 3 2" xfId="26104"/>
    <cellStyle name="常规 4 3 5" xfId="26105"/>
    <cellStyle name="40% - 强调文字颜色 6 2 2 3" xfId="26106"/>
    <cellStyle name="20% - 强调文字颜色 6 2 2 2 2 2 3" xfId="26107"/>
    <cellStyle name="20% - 强调文字颜色 4 2 5" xfId="26108"/>
    <cellStyle name="注释 2 2 4 2 5 3" xfId="26109"/>
    <cellStyle name="60% - 强调文字颜色 1 2 3 3 6" xfId="26110"/>
    <cellStyle name="常规 6 2 2 5" xfId="26111"/>
    <cellStyle name="20% - 强调文字颜色 4 2 2 4 4 2" xfId="26112"/>
    <cellStyle name="标题 4 2 4 4 3" xfId="26113"/>
    <cellStyle name="强调文字颜色 3 2 2 2 2 5 2 2" xfId="26114"/>
    <cellStyle name="标题 2 2 2 2 3 5" xfId="26115"/>
    <cellStyle name="标题 1 3 3 2 2 2 2" xfId="26116"/>
    <cellStyle name="40% - 强调文字颜色 2 2 3 2 2 4 2" xfId="26117"/>
    <cellStyle name="汇总 2 4 6 2" xfId="26118"/>
    <cellStyle name="输出 7" xfId="26119"/>
    <cellStyle name="标题 2 2 2 2 2 2 3" xfId="26120"/>
    <cellStyle name="解释性文本 2 4 3 3 2" xfId="26121"/>
    <cellStyle name="计算 4 2 7 2" xfId="26122"/>
    <cellStyle name="计算 3 3 9" xfId="26123"/>
    <cellStyle name="40% - 强调文字颜色 4 2 2 4" xfId="26124"/>
    <cellStyle name="标题 4 2 6 4" xfId="26125"/>
    <cellStyle name="20% - 强调文字颜色 1 2 7" xfId="26126"/>
    <cellStyle name="20% - 强调文字颜色 2 2 4 3 3 2" xfId="26127"/>
    <cellStyle name="40% - 强调文字颜色 4 2 3 4 2 2" xfId="26128"/>
    <cellStyle name="20% - 强调文字颜色 1 2 3 3 2 2 2 2 2" xfId="26129"/>
    <cellStyle name="20% - 强调文字颜色 2 2 2 2 2 2 4 3" xfId="26130"/>
    <cellStyle name="计算 2 5 2 3 3 3 3" xfId="26131"/>
    <cellStyle name="标题 2 2 5 3 2" xfId="26132"/>
    <cellStyle name="汇总 3 3 8" xfId="26133"/>
    <cellStyle name="40% - 强调文字颜色 2 3 3" xfId="26134"/>
    <cellStyle name="常规 4 4 4 2 2" xfId="26135"/>
    <cellStyle name="40% - 强调文字颜色 6 2 3 2 2 2" xfId="26136"/>
    <cellStyle name="常规 3 7 2" xfId="26137"/>
    <cellStyle name="20% - 强调文字颜色 4 2 6 3" xfId="26138"/>
    <cellStyle name="强调文字颜色 5 2 2 3 4 3 2" xfId="26139"/>
    <cellStyle name="20% - 强调文字颜色 5 2 3 5 2 2" xfId="26140"/>
    <cellStyle name="60% - 强调文字颜色 6 3 5 2" xfId="26141"/>
    <cellStyle name="输出 2 2 4 2 3 3 2" xfId="26142"/>
    <cellStyle name="输入 2 5 4 2 2 3" xfId="26143"/>
    <cellStyle name="检查单元格 2 3 2 2" xfId="26144"/>
    <cellStyle name="20% - 强调文字颜色 2 2 3 4 2 2 2" xfId="26145"/>
    <cellStyle name="差 2 2 3 4 2 3" xfId="26146"/>
    <cellStyle name="汇总 2 2 3 2 3 4 2" xfId="26147"/>
    <cellStyle name="常规 4 3 4 2" xfId="26148"/>
    <cellStyle name="40% - 强调文字颜色 6 2 2 2 2" xfId="26149"/>
    <cellStyle name="计算 2 2 5 3 4" xfId="26150"/>
    <cellStyle name="强调文字颜色 6 2 2 3 4 3" xfId="26151"/>
    <cellStyle name="汇总 2 2 3 2 2 3 5" xfId="26152"/>
    <cellStyle name="常规 5 3 2 2 3 4 2" xfId="26153"/>
    <cellStyle name="汇总 2 2 6 2 3 4" xfId="26154"/>
    <cellStyle name="输入 2 2 2 2 3 2 2 2" xfId="26155"/>
    <cellStyle name="40% - 强调文字颜色 4 2 2 2 3 3" xfId="26156"/>
    <cellStyle name="20% - 强调文字颜色 1 2 2 2 2 2 5 2" xfId="26157"/>
    <cellStyle name="计算 2 2 3 2 2 3 5" xfId="26158"/>
    <cellStyle name="标题 3 2 3 2 3 2 2" xfId="26159"/>
    <cellStyle name="标题 2 2 2 2 2 3 3" xfId="26160"/>
    <cellStyle name="60% - 强调文字颜色 6 2 4 2 2 2" xfId="26161"/>
    <cellStyle name="60% - 强调文字颜色 4 2 2 2 2 6" xfId="26162"/>
    <cellStyle name="60% - 强调文字颜色 6 2" xfId="26163"/>
    <cellStyle name="输出 2 3 2 6 2 2" xfId="26164"/>
    <cellStyle name="计算 2 3 2 2 8" xfId="26165"/>
    <cellStyle name="百分比 2 3 5 2 2" xfId="26166"/>
    <cellStyle name="超链接 2 3 4 3 2" xfId="26167"/>
    <cellStyle name="标题 3 2 2 3 7" xfId="26168"/>
    <cellStyle name="常规 10 2 4 2 3" xfId="26169"/>
    <cellStyle name="20% - 强调文字颜色 5 2 2 3 7" xfId="26170"/>
    <cellStyle name="输出 2 2 5 2 8" xfId="26171"/>
    <cellStyle name="20% - 强调文字颜色 5 3 7" xfId="26172"/>
    <cellStyle name="标题 1 5 2 2 3" xfId="26173"/>
    <cellStyle name="20% - 强调文字颜色 4 2 2 8" xfId="26174"/>
    <cellStyle name="20% - 强调文字颜色 1 2 10" xfId="26175"/>
    <cellStyle name="40% - 强调文字颜色 3 2 2 4 4" xfId="26176"/>
    <cellStyle name="常规 7 2 3 3" xfId="26177"/>
    <cellStyle name="输出 2 2 2 2 2" xfId="26178"/>
    <cellStyle name="输出 2 6 4 2 5" xfId="26179"/>
    <cellStyle name="标题 3 2 3 3 6" xfId="26180"/>
    <cellStyle name="输出 2 5 2 2 2 2 3" xfId="26181"/>
    <cellStyle name="20% - 强调文字颜色 3 2 2 2 2 2 5 2 2" xfId="26182"/>
    <cellStyle name="强调文字颜色 5 2 7 2 2" xfId="26183"/>
    <cellStyle name="汇总 2 4" xfId="26184"/>
    <cellStyle name="标题 3 2 4 3 2 2 2" xfId="26185"/>
    <cellStyle name="常规 4 5 4 2" xfId="26186"/>
    <cellStyle name="40% - 强调文字颜色 6 2 4 2 2" xfId="26187"/>
    <cellStyle name="计算 2 2 7 3 2 7" xfId="26188"/>
    <cellStyle name="20% - 强调文字颜色 3 2 2 2 2 4 2 2" xfId="26189"/>
    <cellStyle name="强调文字颜色 5 4 4 2" xfId="26190"/>
    <cellStyle name="解释性文本 2 2 4 5 2 2" xfId="26191"/>
    <cellStyle name="强调文字颜色 3 2 2 2 2 3 2 2" xfId="26192"/>
    <cellStyle name="20% - 强调文字颜色 2 2 3 2 2 3" xfId="26193"/>
    <cellStyle name="20% - 强调文字颜色 3 2 2 2 2 5 2 2 2" xfId="26194"/>
    <cellStyle name="40% - 强调文字颜色 3 5 2 2 2 2" xfId="26195"/>
    <cellStyle name="注释 2 5 2 3 3 2" xfId="26196"/>
    <cellStyle name="40% - 强调文字颜色 4 2 2 2 2 2 4 2 2" xfId="26197"/>
    <cellStyle name="60% - 强调文字颜色 3 4" xfId="26198"/>
    <cellStyle name="标题 1 2 3 2 4 2 2" xfId="26199"/>
    <cellStyle name="40% - 强调文字颜色 5 2 3 4 2" xfId="26200"/>
    <cellStyle name="标题 6 5 2 3" xfId="26201"/>
    <cellStyle name="标题 3 3 11" xfId="26202"/>
    <cellStyle name="汇总 2 4 9 2 2" xfId="26203"/>
    <cellStyle name="40% - 强调文字颜色 5 2 2 4 5" xfId="26204"/>
    <cellStyle name="常规 11 4 3 2" xfId="26205"/>
    <cellStyle name="超链接 2 3 2 4 3" xfId="26206"/>
    <cellStyle name="常规 7 2 2 3 3 2" xfId="26207"/>
    <cellStyle name="20% - 强调文字颜色 3 2 5 2 2" xfId="26208"/>
    <cellStyle name="标题 4 2 2 2 2 3 2 3" xfId="26209"/>
    <cellStyle name="标题 3 2 5 2 2" xfId="26210"/>
    <cellStyle name="计算 2 2 6 7 2 2" xfId="26211"/>
    <cellStyle name="汇总 2 5 6 4" xfId="26212"/>
    <cellStyle name="输出 2 6 3 2 5" xfId="26213"/>
    <cellStyle name="输出 5 6 2" xfId="26214"/>
    <cellStyle name="20% - 强调文字颜色 2 2 2 3 3 2 2" xfId="26215"/>
    <cellStyle name="40% - 强调文字颜色 6 2 3 2 2 2 3" xfId="26216"/>
    <cellStyle name="常规 6 3 2" xfId="26217"/>
    <cellStyle name="40% - 强调文字颜色 4 2 2 2 2 2 3 3 2 2" xfId="26218"/>
    <cellStyle name="60% - 强调文字颜色 6 4" xfId="26219"/>
    <cellStyle name="60% - 强调文字颜色 1 2 2 4 2 2" xfId="26220"/>
    <cellStyle name="标题 4 2 3 4 4" xfId="26221"/>
    <cellStyle name="强调文字颜色 5 2 2 3 5" xfId="26222"/>
    <cellStyle name="输出 2 4 5 2 2" xfId="26223"/>
    <cellStyle name="常规 9 5 3 3" xfId="26224"/>
    <cellStyle name="常规 2 3 3 2 2" xfId="26225"/>
    <cellStyle name="好 2 2 2 3 2 2 2 2" xfId="26226"/>
    <cellStyle name="输入 2 2 10 5" xfId="26227"/>
    <cellStyle name="解释性文本 2 2 4 2 3 2" xfId="26228"/>
    <cellStyle name="输出 2 2 4 3 6" xfId="26229"/>
    <cellStyle name="超链接 3 3 4 2 2 2" xfId="26230"/>
    <cellStyle name="20% - 强调文字颜色 4 2 3 6 2" xfId="26231"/>
    <cellStyle name="Normal 2 5 2 2" xfId="26232"/>
    <cellStyle name="汇总 5 3" xfId="26233"/>
    <cellStyle name="汇总 2 2 5 2 4 4 2" xfId="26234"/>
    <cellStyle name="好 2 3 4 3" xfId="26235"/>
    <cellStyle name="40% - 强调文字颜色 2 2 2 9" xfId="26236"/>
    <cellStyle name="计算 2 5 2 4 4 2 2" xfId="26237"/>
    <cellStyle name="输出 2 4 2 8" xfId="26238"/>
    <cellStyle name="60% - 强调文字颜色 1 2 2 4 3 3" xfId="26239"/>
    <cellStyle name="强调文字颜色 2 2 4 2 2 3" xfId="26240"/>
    <cellStyle name="20% - 强调文字颜色 3 3 2 3" xfId="26241"/>
    <cellStyle name="输入 2 3 2 2 3" xfId="26242"/>
    <cellStyle name="强调文字颜色 1 2" xfId="26243"/>
    <cellStyle name="解释性文本 2 2 5 2 2" xfId="26244"/>
    <cellStyle name="40% - 强调文字颜色 4 2 3 2 2" xfId="26245"/>
    <cellStyle name="汇总 2 6 2 7 2" xfId="26246"/>
    <cellStyle name="20% - 强调文字颜色 4 2 3 2 2 2 2" xfId="26247"/>
    <cellStyle name="汇总 2 2 5 2 4 3 2 2" xfId="26248"/>
    <cellStyle name="警告文本 2 2 2 3 2" xfId="26249"/>
    <cellStyle name="60% - 强调文字颜色 6 2 4 3 3 2" xfId="26250"/>
    <cellStyle name="注释 2 2 3 2 2 2 5" xfId="26251"/>
    <cellStyle name="输入 2 2 3 2 7 2" xfId="26252"/>
    <cellStyle name="计算 2 3 8" xfId="26253"/>
    <cellStyle name="20% - 强调文字颜色 3 2 2 4 2 3" xfId="26254"/>
    <cellStyle name="汇总 2 2 5 2 2 6 2" xfId="26255"/>
    <cellStyle name="注释 2 4 3 3 3 2" xfId="26256"/>
    <cellStyle name="40% - 强调文字颜色 3 4 3 2 2 2" xfId="26257"/>
    <cellStyle name="强调文字颜色 3 2 3 2 5 2" xfId="26258"/>
    <cellStyle name="40% - 强调文字颜色 5 2 3 4 3" xfId="26259"/>
    <cellStyle name="输入 3 4 2 3" xfId="26260"/>
    <cellStyle name="40% - 强调文字颜色 2 3 5 2 2 2" xfId="26261"/>
    <cellStyle name="强调文字颜色 2 4 2 2" xfId="26262"/>
    <cellStyle name="汇总 2 2 3 4 2 4 2 2" xfId="26263"/>
    <cellStyle name="40% - 强调文字颜色 2 2 5" xfId="26264"/>
    <cellStyle name="40% - 强调文字颜色 1 2 4 7" xfId="26265"/>
    <cellStyle name="注释 2 12 3" xfId="26266"/>
    <cellStyle name="常规 4 4 2 2 3 3" xfId="26267"/>
    <cellStyle name="汇总 2 8 7 2" xfId="26268"/>
    <cellStyle name="60% - 强调文字颜色 6 2 5 2 2 3" xfId="26269"/>
    <cellStyle name="40% - 强调文字颜色 3 2 5 3" xfId="26270"/>
    <cellStyle name="解释性文本 2 5 2 2 2" xfId="26271"/>
    <cellStyle name="适中 4 2" xfId="26272"/>
    <cellStyle name="链接单元格 3" xfId="26273"/>
    <cellStyle name="20% - 强调文字颜色 2 2 3 3 2 2" xfId="26274"/>
    <cellStyle name="计算 2 5 3 3 2" xfId="26275"/>
    <cellStyle name="标题 2 2 2 3 4 2 3" xfId="26276"/>
    <cellStyle name="20% - 强调文字颜色 2 2 2 7 2 2" xfId="26277"/>
    <cellStyle name="计算 2 2 4 2 3 7" xfId="26278"/>
    <cellStyle name="20% - 强调文字颜色 2 2 3 2 5 2" xfId="26279"/>
    <cellStyle name="标题 2 2 2 5 3 2 2" xfId="26280"/>
    <cellStyle name="常规 4 7 2" xfId="26281"/>
    <cellStyle name="40% - 强调文字颜色 5 2 2 7" xfId="26282"/>
    <cellStyle name="强调文字颜色 2 2 2 2 2 2 2 2" xfId="26283"/>
    <cellStyle name="20% - 强调文字颜色 1 3 2 2 2 2" xfId="26284"/>
    <cellStyle name="标题 1 2 2 3 3 4" xfId="26285"/>
    <cellStyle name="计算 2 6 2 3 3 3" xfId="26286"/>
    <cellStyle name="40% - 强调文字颜色 2 2 4 2" xfId="26287"/>
    <cellStyle name="计算 2 2 6 3 2 2 2" xfId="26288"/>
    <cellStyle name="60% - 强调文字颜色 6 2 2 6 3 3" xfId="26289"/>
    <cellStyle name="20% - 强调文字颜色 4 2 3 4 2 2" xfId="26290"/>
    <cellStyle name="注释 2 5 2 2 3 2 2" xfId="26291"/>
    <cellStyle name="40% - 强调文字颜色 5 3 3 3 2 2 2" xfId="26292"/>
    <cellStyle name="标题 5 3 5 2 2 3" xfId="26293"/>
    <cellStyle name="输入 2 2 2 3 4 2 2" xfId="26294"/>
    <cellStyle name="40% - 强调文字颜色 2 5 2 2 2" xfId="26295"/>
    <cellStyle name="60% - 强调文字颜色 1 2 3 2 3 2 2" xfId="26296"/>
    <cellStyle name="强调文字颜色 1 2 3 2 2 2 3" xfId="26297"/>
    <cellStyle name="注释 2 6 2 2 6" xfId="26298"/>
    <cellStyle name="常规 3 2 2 2 2 2 2" xfId="26299"/>
    <cellStyle name="标题 4 5 2 2" xfId="26300"/>
    <cellStyle name="40% - 强调文字颜色 4 2 3 3 3" xfId="26301"/>
    <cellStyle name="输入 2 5 2 12" xfId="26302"/>
    <cellStyle name="适中 3 7 2 2" xfId="26303"/>
    <cellStyle name="强调文字颜色 1 2 2 5 3 3" xfId="26304"/>
    <cellStyle name="检查单元格 2 2 4 4 3" xfId="26305"/>
    <cellStyle name="标题 4 2 4 3 3" xfId="26306"/>
    <cellStyle name="40% - 强调文字颜色 1 2 2 2 5 2 2 2" xfId="26307"/>
    <cellStyle name="20% - 强调文字颜色 1 2 9 2" xfId="26308"/>
    <cellStyle name="常规 9 2 7" xfId="26309"/>
    <cellStyle name="20% - 强调文字颜色 6 2 6 2 2 2" xfId="26310"/>
    <cellStyle name="20% - 强调文字颜色 5 2 2 2 2 2 5 2 2" xfId="26311"/>
    <cellStyle name="链接单元格 2 6 3 2" xfId="26312"/>
    <cellStyle name="60% - 强调文字颜色 4 2 2 5 2" xfId="26313"/>
    <cellStyle name="标题 1 2 4 3 4" xfId="26314"/>
    <cellStyle name="强调文字颜色 1 2 2 2 2 4 3 2" xfId="26315"/>
    <cellStyle name="60% - 强调文字颜色 6 2 2 2 6 2 2" xfId="26316"/>
    <cellStyle name="汇总 2 2 4 2 3 4 2 2" xfId="26317"/>
    <cellStyle name="解释性文本 2 2 2 2 3 2 3" xfId="26318"/>
    <cellStyle name="常规 4 6 2 2 2" xfId="26319"/>
    <cellStyle name="20% - 强调文字颜色 4 2 4 5 2 2" xfId="26320"/>
    <cellStyle name="40% - 强调文字颜色 5 3 3 3 2" xfId="26321"/>
    <cellStyle name="计算 2 2 2 4 4" xfId="26322"/>
    <cellStyle name="20% - 强调文字颜色 5 2 2 3 2 2 2 2" xfId="26323"/>
    <cellStyle name="标题 1 3 2 2 2" xfId="26324"/>
    <cellStyle name="20% - 强调文字颜色 2 4 2 4" xfId="26325"/>
    <cellStyle name="40% - 强调文字颜色 1 2 3 3 2 2" xfId="26326"/>
    <cellStyle name="输入 2 5 3 2 3" xfId="26327"/>
    <cellStyle name="解释性文本 2 4 6 2 2" xfId="26328"/>
    <cellStyle name="输出 2 2 3 2 2 2 2 2" xfId="26329"/>
    <cellStyle name="计算 3 2 2 4 3" xfId="26330"/>
    <cellStyle name="注释 2 5 2 5 2" xfId="26331"/>
    <cellStyle name="汇总 2 2 7 4 3 2 2" xfId="26332"/>
    <cellStyle name="40% - 强调文字颜色 5 3 3 3" xfId="26333"/>
    <cellStyle name="常规 5 4 2 2 2 2" xfId="26334"/>
    <cellStyle name="标题 1 4 2 5" xfId="26335"/>
    <cellStyle name="注释 2 4 2 2 3 2 3" xfId="26336"/>
    <cellStyle name="注释 2 7 2 7" xfId="26337"/>
    <cellStyle name="标题 4 3 3 4" xfId="26338"/>
    <cellStyle name="20% - 强调文字颜色 1 2 2 2 6 2 2" xfId="26339"/>
    <cellStyle name="标题 4 2 2 4 4 2" xfId="26340"/>
    <cellStyle name="常规 3 3 2 5" xfId="26341"/>
    <cellStyle name="40% - 强调文字颜色 2 2 7 2" xfId="26342"/>
    <cellStyle name="汇总 2 8" xfId="26343"/>
    <cellStyle name="20% - 强调文字颜色 6 2 2 6 2" xfId="26344"/>
    <cellStyle name="输入 2 2 4 2 3 3 2 2" xfId="26345"/>
    <cellStyle name="计算 2 4 2 2 8" xfId="26346"/>
    <cellStyle name="40% - 强调文字颜色 3 2 2 2 2 4 2" xfId="26347"/>
    <cellStyle name="40% - 强调文字颜色 1 2 2 2 2 3" xfId="26348"/>
    <cellStyle name="20% - 强调文字颜色 3 3 3 2 2 2" xfId="26349"/>
    <cellStyle name="20% - 强调文字颜色 3 2 2 3 7" xfId="26350"/>
    <cellStyle name="常规 3 3 2 4 3 2 2" xfId="26351"/>
    <cellStyle name="常规 5 2 3 3 3" xfId="26352"/>
    <cellStyle name="20% - 强调文字颜色 5 2 7 3" xfId="26353"/>
    <cellStyle name="注释 2 2 4 4 2 2 2" xfId="26354"/>
    <cellStyle name="标题 5 9 2" xfId="26355"/>
    <cellStyle name="汇总 2 2 8 5 4" xfId="26356"/>
    <cellStyle name="说明文本 3 3" xfId="26357"/>
    <cellStyle name="汇总 2 2 3 4 3" xfId="26358"/>
    <cellStyle name="强调文字颜色 2 2 2 5 2 3" xfId="26359"/>
    <cellStyle name="输出 2 6 5 3" xfId="26360"/>
    <cellStyle name="常规 5 3 3 3 3 2 2" xfId="26361"/>
    <cellStyle name="标题 1 2 3 3 2 2 2 2 2" xfId="26362"/>
    <cellStyle name="输入 2 2 2 3 2 3 2" xfId="26363"/>
    <cellStyle name="60% - 强调文字颜色 2 2 2 2 6 2 2 2" xfId="26364"/>
    <cellStyle name="计算 2 2 4 2 2 5 3" xfId="26365"/>
    <cellStyle name="输入 2 2 4 2 2 8" xfId="26366"/>
    <cellStyle name="汇总 2 5 3 2 3 2 2" xfId="26367"/>
    <cellStyle name="警告文本 2 3 7" xfId="26368"/>
    <cellStyle name="40% - 强调文字颜色 4 3 6 2" xfId="26369"/>
    <cellStyle name="20% - 强调文字颜色 2 2 3 2 2 3 3 2 2" xfId="26370"/>
    <cellStyle name="60% - 强调文字颜色 3 2 2 4" xfId="26371"/>
    <cellStyle name="40% - 强调文字颜色 4 2 2 2 7 2" xfId="26372"/>
    <cellStyle name="40% - 强调文字颜色 5 2 2 6" xfId="26373"/>
    <cellStyle name="40% - 强调文字颜色 6 2 2 2 2 2 3 2 2" xfId="26374"/>
    <cellStyle name="计算 3 5 4 2" xfId="26375"/>
    <cellStyle name="40% - 强调文字颜色 2 3 2 2 3 2" xfId="26376"/>
    <cellStyle name="计算 2 8 12" xfId="26377"/>
    <cellStyle name="60% - 强调文字颜色 1 2 4 4 2 2" xfId="26378"/>
    <cellStyle name="60% - 强调文字颜色 2 2 2 10" xfId="26379"/>
    <cellStyle name="计算 2 2 6 3 8" xfId="26380"/>
    <cellStyle name="60% - 强调文字颜色 4 3 5" xfId="26381"/>
    <cellStyle name="输入 2 2 10 2 3" xfId="26382"/>
    <cellStyle name="常规 3 3 3 6" xfId="26383"/>
    <cellStyle name="标题 4 2 3 5 2" xfId="26384"/>
    <cellStyle name="20% - 强调文字颜色 5 2 7" xfId="26385"/>
    <cellStyle name="输出 2 2 4 6 2" xfId="26386"/>
    <cellStyle name="输入 4 2 5 2 2" xfId="26387"/>
    <cellStyle name="好 2 2 3 7" xfId="26388"/>
    <cellStyle name="标题 3 3 5 2 2 2" xfId="26389"/>
    <cellStyle name="60% - 强调文字颜色 6 4 2 2 2 2" xfId="26390"/>
    <cellStyle name="40% - 强调文字颜色 4 2 2 6 2 2 2" xfId="26391"/>
    <cellStyle name="20% - 强调文字颜色 6 2 2 7 2 2" xfId="26392"/>
    <cellStyle name="20% - 强调文字颜色 2 2 4 2 2 2 2 2" xfId="26393"/>
    <cellStyle name="计算 2 6 2 5 2" xfId="26394"/>
    <cellStyle name="40% - 强调文字颜色 2 2 2 4 5 2" xfId="26395"/>
    <cellStyle name="常规 3 2 6" xfId="26396"/>
    <cellStyle name="输出 3 3 8" xfId="26397"/>
    <cellStyle name="汇总 2 2 6 4 3 3" xfId="26398"/>
    <cellStyle name="40% - 强调文字颜色 4 2 2 3 4 2 2" xfId="26399"/>
    <cellStyle name="计算 2 2 10 4 2 2" xfId="26400"/>
    <cellStyle name="40% - 强调文字颜色 6 2 2 7 2" xfId="26401"/>
    <cellStyle name="强调文字颜色 5 3 2 5" xfId="26402"/>
    <cellStyle name="标题 1 2 4 4 3 2" xfId="26403"/>
    <cellStyle name="常规 6 3 2 2 2 2 2" xfId="26404"/>
    <cellStyle name="20% - 强调文字颜色 1 2 2 2 2 2 5" xfId="26405"/>
    <cellStyle name="标题 5 2 2 3 2 2 2 2 2" xfId="26406"/>
    <cellStyle name="适中 2 4 5" xfId="26407"/>
    <cellStyle name="20% - 强调文字颜色 4 2 2 3 7" xfId="26408"/>
    <cellStyle name="输出 2 3 3" xfId="26409"/>
    <cellStyle name="40% - 强调文字颜色 2 2 2 2 2 4" xfId="26410"/>
    <cellStyle name="汇总 2 2 2 2 2 5 2 2" xfId="26411"/>
    <cellStyle name="20% - 强调文字颜色 5 2 2 7" xfId="26412"/>
    <cellStyle name="标题 4 2 4 3 4" xfId="26413"/>
    <cellStyle name="输入 2 2 5 4 2 4" xfId="26414"/>
    <cellStyle name="汇总 2 6 2 2 2 2" xfId="26415"/>
    <cellStyle name="20% - 强调文字颜色 2 2 3 3 3 2" xfId="26416"/>
    <cellStyle name="适中 2 2 2 6 2" xfId="26417"/>
    <cellStyle name="常规 10 2 4 2 4" xfId="26418"/>
    <cellStyle name="标题 3 2 2 3 8" xfId="26419"/>
    <cellStyle name="标题 5 2 5 2" xfId="26420"/>
    <cellStyle name="标题 1 3 3 3 2 2 2" xfId="26421"/>
    <cellStyle name="20% - 强调文字颜色 2 2 2 2 2 3 3" xfId="26422"/>
    <cellStyle name="警告文本 2 3 6 2" xfId="26423"/>
    <cellStyle name="20% - 强调文字颜色 3 6 2 2 2" xfId="26424"/>
    <cellStyle name="输出 2 2 2 2 7" xfId="26425"/>
    <cellStyle name="汇总 4 3 2 2" xfId="26426"/>
    <cellStyle name="标题 4 2 2 11" xfId="26427"/>
    <cellStyle name="计算 3 3 3 4 2" xfId="26428"/>
    <cellStyle name="60% - 强调文字颜色 3 3 3 3 2 2 2" xfId="26429"/>
    <cellStyle name="汇总 2 2 4 2 5 7" xfId="26430"/>
    <cellStyle name="20% - 强调文字颜色 1 2 8 2 2" xfId="26431"/>
    <cellStyle name="20% - 强调文字颜色 6 2 3 2 3 2 2" xfId="26432"/>
    <cellStyle name="40% - 强调文字颜色 5 2 4 3 2 2" xfId="26433"/>
    <cellStyle name="20% - 强调文字颜色 2 2 2 2 3 3 2" xfId="26434"/>
    <cellStyle name="20% - 强调文字颜色 1 2 3 3" xfId="26435"/>
    <cellStyle name="输入 4 2 4" xfId="26436"/>
    <cellStyle name="40% - 强调文字颜色 1 2 2 4 2 2 2" xfId="26437"/>
    <cellStyle name="40% - 强调文字颜色 5 2 4 3" xfId="26438"/>
    <cellStyle name="20% - 强调文字颜色 1 2 2 4 4 2 2" xfId="26439"/>
    <cellStyle name="强调文字颜色 6 2 2 2 2 7" xfId="26440"/>
    <cellStyle name="计算 2 5 2 10 2 2" xfId="26441"/>
    <cellStyle name="常规 12 3 4" xfId="26442"/>
    <cellStyle name="强调文字颜色 5 2 2 3 3 2 2 2" xfId="26443"/>
    <cellStyle name="计算 2 3 2 4 3 2" xfId="26444"/>
    <cellStyle name="计算 2 11 4" xfId="26445"/>
    <cellStyle name="40% - 强调文字颜色 4 2 2 5 3 2" xfId="26446"/>
    <cellStyle name="常规 3 3 7 4 2" xfId="26447"/>
    <cellStyle name="20% - 强调文字颜色 1 2 4" xfId="26448"/>
    <cellStyle name="20% - 强调文字颜色 4 2 2 2 2 2" xfId="26449"/>
    <cellStyle name="输入 2 5 2 2 3 3" xfId="26450"/>
    <cellStyle name="解释性文本 2 8" xfId="26451"/>
    <cellStyle name="汇总 2 7 3 2 6" xfId="26452"/>
    <cellStyle name="20% - 强调文字颜色 3 5 2 2 2 2" xfId="26453"/>
    <cellStyle name="40% - 强调文字颜色 6 2 6" xfId="26454"/>
    <cellStyle name="汇总 2 2 7 2 2 2 3" xfId="26455"/>
    <cellStyle name="20% - 强调文字颜色 4 2 3 2 2 4" xfId="26456"/>
    <cellStyle name="输入 2 10 4" xfId="26457"/>
    <cellStyle name="20% - 强调文字颜色 2 2 2 8 2" xfId="26458"/>
    <cellStyle name="标题 2 2 2 4 3 3" xfId="26459"/>
    <cellStyle name="输入 2 5 2 2 2 2" xfId="26460"/>
    <cellStyle name="输入 2 3 8 2" xfId="26461"/>
    <cellStyle name="链接单元格 2 4 4 2 2 2" xfId="26462"/>
    <cellStyle name="输出 2 3 3 5 3" xfId="26463"/>
    <cellStyle name="计算 2 2 7 2 2 7" xfId="26464"/>
    <cellStyle name="常规 4 4 4 2" xfId="26465"/>
    <cellStyle name="40% - 强调文字颜色 6 2 3 2 2" xfId="26466"/>
    <cellStyle name="汇总 2 5 3 2 2 6" xfId="26467"/>
    <cellStyle name="常规 3 6 2" xfId="26468"/>
    <cellStyle name="40% - 强调文字颜色 6 2 4 4 2 2" xfId="26469"/>
    <cellStyle name="40% - 强调文字颜色 5 2 2 2 5 2 2 2" xfId="26470"/>
    <cellStyle name="标题 6 2 2 2" xfId="26471"/>
    <cellStyle name="常规 5 10" xfId="26472"/>
    <cellStyle name="计算 2 6 2 2 2 3 3" xfId="26473"/>
    <cellStyle name="标题 4 2 2 5 2 2" xfId="26474"/>
    <cellStyle name="汇总 2 2 4 4 5 2 2" xfId="26475"/>
    <cellStyle name="40% - 强调文字颜色 2 3 3 2 2 2 2" xfId="26476"/>
    <cellStyle name="常规 3 3 3 4" xfId="26477"/>
    <cellStyle name="40% - 强调文字颜色 5 3 4 2" xfId="26478"/>
    <cellStyle name="40% - 强调文字颜色 3 2 3 2 2 2 2 2 2" xfId="26479"/>
    <cellStyle name="20% - 强调文字颜色 5 2 3 4 2 2 2" xfId="26480"/>
    <cellStyle name="标题 2 2 7 2 2" xfId="26481"/>
    <cellStyle name="超链接 2 3 3 3 2 2" xfId="26482"/>
    <cellStyle name="40% - 强调文字颜色 1 2 2 4 2 2" xfId="26483"/>
    <cellStyle name="常规 10 3 6 2 2" xfId="26484"/>
    <cellStyle name="标题 1 2 4 5 3" xfId="26485"/>
    <cellStyle name="强调文字颜色 3 2 3 2 2 2 2 2 2" xfId="26486"/>
    <cellStyle name="常规 9 2 2 2 3 2 3" xfId="26487"/>
    <cellStyle name="40% - 强调文字颜色 2 4 4 2 2 2" xfId="26488"/>
    <cellStyle name="汇总 2 7 5 7" xfId="26489"/>
    <cellStyle name="注释 2 2 5 2 8" xfId="26490"/>
    <cellStyle name="强调文字颜色 1 2 2 4 2 3 2" xfId="26491"/>
    <cellStyle name="检查单元格 2 2 3 3 3 2" xfId="26492"/>
    <cellStyle name="常规 13 3 3 4 2" xfId="26493"/>
    <cellStyle name="汇总 2 8 3 2 4 2" xfId="26494"/>
    <cellStyle name="标题 1 2 2 4 2 3 2" xfId="26495"/>
    <cellStyle name="20% - 强调文字颜色 2 2 2 2 3 3 2 2" xfId="26496"/>
    <cellStyle name="汇总 2 2 3 2 4 3" xfId="26497"/>
    <cellStyle name="计算 2 10 3 4" xfId="26498"/>
    <cellStyle name="常规 4 3 3 2 3" xfId="26499"/>
    <cellStyle name="输入 2 6 12" xfId="26500"/>
    <cellStyle name="20% - 强调文字颜色 5 2 3 2 4 2 2" xfId="26501"/>
    <cellStyle name="差 2 4 3 2 2 2" xfId="26502"/>
    <cellStyle name="解释性文本 2 2 2 2 2 2" xfId="26503"/>
    <cellStyle name="常规 6 2 3 5" xfId="26504"/>
    <cellStyle name="20% - 强调文字颜色 4 2 2 4 5 2" xfId="26505"/>
    <cellStyle name="20% - 强调文字颜色 6 2 3 3 4" xfId="26506"/>
    <cellStyle name="常规 4 2 3 4 4 2" xfId="26507"/>
    <cellStyle name="常规 2 2 6 2" xfId="26508"/>
    <cellStyle name="输出 2 3 8 2" xfId="26509"/>
    <cellStyle name="链接单元格 2 2 3 2" xfId="26510"/>
    <cellStyle name="40% - 强调文字颜色 6 2 4 6" xfId="26511"/>
    <cellStyle name="汇总 2 5 5 3 3" xfId="26512"/>
    <cellStyle name="输出 2 2 15" xfId="26513"/>
    <cellStyle name="常规 10 2 4 4" xfId="26514"/>
    <cellStyle name="注释 2 6 2 3" xfId="26515"/>
    <cellStyle name="汇总 2 6 3 2 4 2" xfId="26516"/>
    <cellStyle name="20% - 强调文字颜色 6 2 6 3 2 2" xfId="26517"/>
    <cellStyle name="输入 2 2 4 9 3" xfId="26518"/>
    <cellStyle name="标题 4 4 5" xfId="26519"/>
    <cellStyle name="常规 6 4 3 2 2" xfId="26520"/>
    <cellStyle name="好 2 3 2 6 3" xfId="26521"/>
    <cellStyle name="警告文本 2 2 4 2 4" xfId="26522"/>
    <cellStyle name="输出 2 2 3 3 2 2 2" xfId="26523"/>
    <cellStyle name="40% - 强调文字颜色 3 2 2 2 4 3" xfId="26524"/>
    <cellStyle name="汇总 2 2 5 2 8 2" xfId="26525"/>
    <cellStyle name="注释 2 15" xfId="26526"/>
    <cellStyle name="警告文本 2 4 10" xfId="26527"/>
    <cellStyle name="60% - 强调文字颜色 6 3 2 4" xfId="26528"/>
    <cellStyle name="40% - 强调文字颜色 4 2 2 3 3 2" xfId="26529"/>
    <cellStyle name="20% - 强调文字颜色 1 2 5 4" xfId="26530"/>
    <cellStyle name="40% - 强调文字颜色 6 2 3 2 2 5 2 2" xfId="26531"/>
    <cellStyle name="输出 2 2 4 2 2 5 2 2" xfId="26532"/>
    <cellStyle name="常规 2 5 3 2 2 2" xfId="26533"/>
    <cellStyle name="40% - 强调文字颜色 1 2 2 4 3 2" xfId="26534"/>
    <cellStyle name="标题 4 2 3 2 2 2" xfId="26535"/>
    <cellStyle name="强调文字颜色 1 2 2 8" xfId="26536"/>
    <cellStyle name="链接单元格 2 2 2 2 3 2 2" xfId="26537"/>
    <cellStyle name="注释 2 2 6 3 2 4" xfId="26538"/>
    <cellStyle name="40% - 强调文字颜色 5 2 4 5 2" xfId="26539"/>
    <cellStyle name="常规 13 4 3 5" xfId="26540"/>
    <cellStyle name="60% - 强调文字颜色 3 2 2 2 2 6" xfId="26541"/>
    <cellStyle name="60% - 强调文字颜色 5 2 4 2 2 2" xfId="26542"/>
    <cellStyle name="60% - 强调文字颜色 3 2 2 2 3 6" xfId="26543"/>
    <cellStyle name="标题 4 4 3 2" xfId="26544"/>
    <cellStyle name="常规 5 3 4 2 2" xfId="26545"/>
    <cellStyle name="40% - 强调文字颜色 6 3 2 2 2 2" xfId="26546"/>
    <cellStyle name="20% - 强调文字颜色 2 2 4 2 2 2" xfId="26547"/>
    <cellStyle name="汇总 2 2 2 3 5 3" xfId="26548"/>
    <cellStyle name="20% - 强调文字颜色 6 3 2 2 3" xfId="26549"/>
    <cellStyle name="汇总 2 6 2 3 4 2" xfId="26550"/>
    <cellStyle name="40% - 强调文字颜色 2 2 2 3 2 2 2 2 2" xfId="26551"/>
    <cellStyle name="输入 2 2 2 4 2 2" xfId="26552"/>
    <cellStyle name="40% - 强调文字颜色 4 2 4 2" xfId="26553"/>
    <cellStyle name="强调文字颜色 5 2 2 7" xfId="26554"/>
    <cellStyle name="40% - 强调文字颜色 2 2 5 3 2 2 2" xfId="26555"/>
    <cellStyle name="20% - 强调文字颜色 6 2 2 2 2 5 2 2 2" xfId="26556"/>
    <cellStyle name="40% - 强调文字颜色 4 3 8" xfId="26557"/>
    <cellStyle name="强调文字颜色 5 2 4 3 2 3" xfId="26558"/>
    <cellStyle name="40% - 强调文字颜色 3 2 3 2 2 2 3 2" xfId="26559"/>
    <cellStyle name="40% - 强调文字颜色 4 3 4 2 2" xfId="26560"/>
    <cellStyle name="标题 5 2 3 5 3" xfId="26561"/>
    <cellStyle name="40% - 强调文字颜色 1 2 2 3 4 2 2" xfId="26562"/>
    <cellStyle name="输出 2 2 3 2 2 2 5" xfId="26563"/>
    <cellStyle name="60% - 强调文字颜色 1 3 3 3 2 2 2" xfId="26564"/>
    <cellStyle name="汇总 3 2 8" xfId="26565"/>
    <cellStyle name="注释 2 2 3 2 2 3 2 2 2" xfId="26566"/>
    <cellStyle name="强调文字颜色 3 3 2 5" xfId="26567"/>
    <cellStyle name="输出 2 2 2 2 2 2 5" xfId="26568"/>
    <cellStyle name="60% - 强调文字颜色 1 3 3 2 2 2 2" xfId="26569"/>
    <cellStyle name="60% - 强调文字颜色 6 2 3 2 3 2 2 3" xfId="26570"/>
    <cellStyle name="强调文字颜色 6 3 2 3" xfId="26571"/>
    <cellStyle name="汇总 2 2 4 5 3 2" xfId="26572"/>
    <cellStyle name="输出 2 3 2 3 6" xfId="26573"/>
    <cellStyle name="好 2 2 4 3 3" xfId="26574"/>
    <cellStyle name="强调文字颜色 5 2 2 4 5 2 2" xfId="26575"/>
    <cellStyle name="20% - 强调文字颜色 2 2 2 2 2 2 2 2 2" xfId="26576"/>
    <cellStyle name="强调文字颜色 4 2 8" xfId="26577"/>
    <cellStyle name="20% - 强调文字颜色 5 2 3 2 2 4 3" xfId="26578"/>
    <cellStyle name="标题 2 2 2 3 5 2 2" xfId="26579"/>
    <cellStyle name="常规 11 2 2 3" xfId="26580"/>
    <cellStyle name="汇总 2 5 9 3" xfId="26581"/>
    <cellStyle name="标题 5 3 2 2 3 3" xfId="26582"/>
    <cellStyle name="60% - 强调文字颜色 2 2 2 3 4" xfId="26583"/>
    <cellStyle name="强调文字颜色 2 2 3 8" xfId="26584"/>
    <cellStyle name="好 2 2 2 5 2 3" xfId="26585"/>
    <cellStyle name="标题 2 2 2 3 2 3" xfId="26586"/>
    <cellStyle name="常规 5 2 3 2 5" xfId="26587"/>
    <cellStyle name="注释 2 2 3 2 4 5" xfId="26588"/>
    <cellStyle name="计算 2 2 4 2 2 2 6 2" xfId="26589"/>
    <cellStyle name="20% - 强调文字颜色 4 2 9 2" xfId="26590"/>
    <cellStyle name="计算 2 3 2 2 5" xfId="26591"/>
    <cellStyle name="汇总 2 6 3 6 3" xfId="26592"/>
    <cellStyle name="标题 4 2 2 2 2 2 2 2 2 3" xfId="26593"/>
    <cellStyle name="20% - 强调文字颜色 1 2 3 2 5 2" xfId="26594"/>
    <cellStyle name="常规 3 3 2 2 3" xfId="26595"/>
    <cellStyle name="标题 3 2 3 3 2 2 2 2 2" xfId="26596"/>
    <cellStyle name="差 3 5 2" xfId="26597"/>
    <cellStyle name="汇总 2 3 10 2 2" xfId="26598"/>
    <cellStyle name="检查单元格 2 2 2 2 3 2" xfId="26599"/>
    <cellStyle name="百分比 2 3 3 3 3" xfId="26600"/>
    <cellStyle name="汇总 5 2 3 2 2" xfId="26601"/>
    <cellStyle name="20% - 强调文字颜色 6 2 4 3" xfId="26602"/>
    <cellStyle name="汇总 2 2 5 7 2" xfId="26603"/>
    <cellStyle name="输出 2 2 4 4 2 4" xfId="26604"/>
    <cellStyle name="常规 6 3 2 3 2 2 2 2" xfId="26605"/>
    <cellStyle name="60% - 强调文字颜色 5 2 3 2 3 3 2" xfId="26606"/>
    <cellStyle name="强调文字颜色 6 2 2 2 2 4 3" xfId="26607"/>
    <cellStyle name="20% - 强调文字颜色 4 2 2 4 2 2" xfId="26608"/>
    <cellStyle name="汇总 2 2 6 4 6" xfId="26609"/>
    <cellStyle name="警告文本 2 3 5 2 3" xfId="26610"/>
    <cellStyle name="汇总 2 2 4 3 5" xfId="26611"/>
    <cellStyle name="计算 2 7 3 4 2" xfId="26612"/>
    <cellStyle name="输出 2 2 4 2 2 5 2" xfId="26613"/>
    <cellStyle name="好 2 3" xfId="26614"/>
    <cellStyle name="汇总 2 4 2 2 2 5 2" xfId="26615"/>
    <cellStyle name="计算 2 2 4 4 2 3 2 2" xfId="26616"/>
    <cellStyle name="Normal 4" xfId="26617"/>
    <cellStyle name="计算 4 4 3 2" xfId="26618"/>
    <cellStyle name="输出 5 3" xfId="26619"/>
    <cellStyle name="20% - 强调文字颜色 2 2 2 3 5 2 2" xfId="26620"/>
    <cellStyle name="20% - 强调文字颜色 6 2 2 2 6 2" xfId="26621"/>
    <cellStyle name="汇总 2 4 2 7" xfId="26622"/>
    <cellStyle name="差 2 3 6 2 2 2" xfId="26623"/>
    <cellStyle name="20% - 强调文字颜色 4 2 2 5 2 2" xfId="26624"/>
    <cellStyle name="汇总 2 2 7 4 6" xfId="26625"/>
    <cellStyle name="强调文字颜色 1 2 2 7 2 2" xfId="26626"/>
    <cellStyle name="输入 3 3 6 2" xfId="26627"/>
    <cellStyle name="常规 3 3 9 2" xfId="26628"/>
    <cellStyle name="60% - 强调文字颜色 6 2 4 2" xfId="26629"/>
    <cellStyle name="输出 2 4 13" xfId="26630"/>
    <cellStyle name="20% - 强调文字颜色 4 2 2 2 4 3 2" xfId="26631"/>
    <cellStyle name="常规 10 5 3" xfId="26632"/>
    <cellStyle name="汇总 2 6 2 2 2 5" xfId="26633"/>
    <cellStyle name="计算 2 2 11 5" xfId="26634"/>
    <cellStyle name="注释 2 2 8 2 2" xfId="26635"/>
    <cellStyle name="60% - 强调文字颜色 1 4 2 2 2 2" xfId="26636"/>
    <cellStyle name="注释 5 4" xfId="26637"/>
    <cellStyle name="输出 2 2 5 10 2" xfId="26638"/>
    <cellStyle name="标题 7 2" xfId="26639"/>
    <cellStyle name="20% - 强调文字颜色 4 4 4 2" xfId="26640"/>
    <cellStyle name="20% - 强调文字颜色 6 2 2 2 2 4 2 2" xfId="26641"/>
    <cellStyle name="20% - 强调文字颜色 6 5 2 2 2" xfId="26642"/>
    <cellStyle name="40% - 强调文字颜色 4 2 3 3 2 2 2 2 2" xfId="26643"/>
    <cellStyle name="20% - 强调文字颜色 4 2 9" xfId="26644"/>
    <cellStyle name="常规 5 3 3 4" xfId="26645"/>
    <cellStyle name="标题 4 2 6 3 2" xfId="26646"/>
    <cellStyle name="20% - 强调文字颜色 1 2 6 2" xfId="26647"/>
    <cellStyle name="40% - 强调文字颜色 6 2 3 2 2 4" xfId="26648"/>
    <cellStyle name="20% - 强调文字颜色 2 2 5 4 2" xfId="26649"/>
    <cellStyle name="60% - 强调文字颜色 6 2 3 2 2 3 2" xfId="26650"/>
    <cellStyle name="40% - 强调文字颜色 2 2 6 2" xfId="26651"/>
    <cellStyle name="标题 6 2 4 3" xfId="26652"/>
    <cellStyle name="40% - 强调文字颜色 1 2 2 2 2 4 3 2" xfId="26653"/>
    <cellStyle name="20% - 强调文字颜色 4 2 2 3 4 2 2" xfId="26654"/>
    <cellStyle name="20% - 强调文字颜色 6 2 2 2 3" xfId="26655"/>
    <cellStyle name="20% - 强调文字颜色 2 3 3 3 2 2 2" xfId="26656"/>
    <cellStyle name="适中 2 2 2 4 3 3" xfId="26657"/>
    <cellStyle name="40% - 强调文字颜色 5 3 4" xfId="26658"/>
    <cellStyle name="20% - 强调文字颜色 4 2 2 3 3 3" xfId="26659"/>
    <cellStyle name="20% - 强调文字颜色 2 2 3 2 3 3" xfId="26660"/>
    <cellStyle name="标题 2 2 4 2 2 2 3" xfId="26661"/>
    <cellStyle name="汇总 3 5 2 2 2" xfId="26662"/>
    <cellStyle name="60% - 强调文字颜色 1 2 2 3 2 2 2" xfId="26663"/>
    <cellStyle name="链接单元格 2 2 2 5 2" xfId="26664"/>
    <cellStyle name="汇总 2 2 4 2 2 3 4 2" xfId="26665"/>
    <cellStyle name="40% - 强调文字颜色 4 2 2 2 2 2 2 2" xfId="26666"/>
    <cellStyle name="差 2 4 2" xfId="26667"/>
    <cellStyle name="解释性文本 2 2 4 3 3 2" xfId="26668"/>
    <cellStyle name="注释 2 2 3 3 2 2 3" xfId="26669"/>
    <cellStyle name="40% - 强调文字颜色 3 3 2 2 4 2" xfId="26670"/>
    <cellStyle name="汇总 4" xfId="26671"/>
    <cellStyle name="强调文字颜色 2 2 2 2 2 2" xfId="26672"/>
    <cellStyle name="计算 2 4 10 2" xfId="26673"/>
    <cellStyle name="20% - 强调文字颜色 1 3 2 2" xfId="26674"/>
    <cellStyle name="输出 2 3 5 2" xfId="26675"/>
    <cellStyle name="40% - 强调文字颜色 4 2 4 2 2 2 2" xfId="26676"/>
    <cellStyle name="常规 2 2 3 2" xfId="26677"/>
    <cellStyle name="60% - 强调文字颜色 6 2 2 4" xfId="26678"/>
    <cellStyle name="20% - 强调文字颜色 4 3 2 2 3 2 2 2" xfId="26679"/>
    <cellStyle name="输入 2 4 4 2 2 3" xfId="26680"/>
    <cellStyle name="强调文字颜色 5 2 2 4 2 4" xfId="26681"/>
    <cellStyle name="百分比 2 5 3 3" xfId="26682"/>
    <cellStyle name="40% - 强调文字颜色 6 2 3 6" xfId="26683"/>
    <cellStyle name="40% - 强调文字颜色 6 2 6 2" xfId="26684"/>
    <cellStyle name="常规 3 3 2 5 2 2" xfId="26685"/>
    <cellStyle name="标题 3 2 2 2 9" xfId="26686"/>
    <cellStyle name="40% - 强调文字颜色 3 2 4 4 3 2" xfId="26687"/>
    <cellStyle name="常规 6 4 4 2" xfId="26688"/>
    <cellStyle name="40% - 强调文字颜色 6 4 3 2 2" xfId="26689"/>
    <cellStyle name="常规 10 2 4 2 5" xfId="26690"/>
    <cellStyle name="标题 3 2 2 3 9" xfId="26691"/>
    <cellStyle name="60% - 强调文字颜色 6 2 2 3 3 2" xfId="26692"/>
    <cellStyle name="汇总 2 2 3 14" xfId="26693"/>
    <cellStyle name="标题 4 2 3 3 2 3" xfId="26694"/>
    <cellStyle name="注释 2 2 2 8 2 2" xfId="26695"/>
    <cellStyle name="强调文字颜色 2 2 3 2 2 3 2" xfId="26696"/>
    <cellStyle name="20% - 强调文字颜色 2 3 2 3 2" xfId="26697"/>
    <cellStyle name="40% - 强调文字颜色 4 2 3 3" xfId="26698"/>
    <cellStyle name="常规 4 6 3 4 2" xfId="26699"/>
    <cellStyle name="汇总 4 2 2 3" xfId="26700"/>
    <cellStyle name="汇总 2 2 5 2 2 3 2 2" xfId="26701"/>
    <cellStyle name="强调文字颜色 3 2 3 2 2 2 2" xfId="26702"/>
    <cellStyle name="20% - 强调文字颜色 3 4 2 2 2 2" xfId="26703"/>
    <cellStyle name="常规 5 2 3 8 2" xfId="26704"/>
    <cellStyle name="输出 2 6 4 4" xfId="26705"/>
    <cellStyle name="输出 2 2 3 2 3 2 2 2 2" xfId="26706"/>
    <cellStyle name="40% - 强调文字颜色 6 2 2 6 3 2" xfId="26707"/>
    <cellStyle name="解释性文本 3 11" xfId="26708"/>
    <cellStyle name="40% - 强调文字颜色 1 2 3" xfId="26709"/>
    <cellStyle name="汇总 2 4 7 2" xfId="26710"/>
    <cellStyle name="40% - 强调文字颜色 2 2 3 2 2 5 2" xfId="26711"/>
    <cellStyle name="20% - 强调文字颜色 4 2 8 2" xfId="26712"/>
    <cellStyle name="常规 5 3 3 3 2" xfId="26713"/>
    <cellStyle name="计算 2 5 2 3 3 3 2" xfId="26714"/>
    <cellStyle name="注释 2 8 7" xfId="26715"/>
    <cellStyle name="标题 1 2 3 2 3 3 2" xfId="26716"/>
    <cellStyle name="常规 4 5 2" xfId="26717"/>
    <cellStyle name="20% - 强调文字颜色 4 2 6 2 2 2" xfId="26718"/>
    <cellStyle name="20% - 强调文字颜色 1 2 2 3 2 2 2 2 2" xfId="26719"/>
    <cellStyle name="超链接 2 3 3 2 4" xfId="26720"/>
    <cellStyle name="标题 2 2 6 4" xfId="26721"/>
    <cellStyle name="60% - 强调文字颜色 4 2 2 2 6 2 2" xfId="26722"/>
    <cellStyle name="输入 2 4 3 4" xfId="26723"/>
    <cellStyle name="差 3 3 3 2" xfId="26724"/>
    <cellStyle name="输入 2 2 6 2 6" xfId="26725"/>
    <cellStyle name="注释 2 2 3 3 2 6" xfId="26726"/>
    <cellStyle name="汇总 2 2 9 3 2 2 2" xfId="26727"/>
    <cellStyle name="链接单元格 2 4 4 2 3" xfId="26728"/>
    <cellStyle name="20% - 强调文字颜色 1 2 4 4 2" xfId="26729"/>
    <cellStyle name="解释性文本 2 2 7 3" xfId="26730"/>
    <cellStyle name="常规 9 3 2 3 2 2" xfId="26731"/>
    <cellStyle name="警告文本 3 4 2" xfId="26732"/>
    <cellStyle name="40% - 强调文字颜色 2 2 2 9 2" xfId="26733"/>
    <cellStyle name="标题 2 2 2 4 3 2" xfId="26734"/>
    <cellStyle name="输出 2 5 2 3 2 2 2" xfId="26735"/>
    <cellStyle name="标题 3 2 2 6 3" xfId="26736"/>
    <cellStyle name="汇总 2 6 2 2 3 4" xfId="26737"/>
    <cellStyle name="20% - 强调文字颜色 6 2 2 3 2 2 2 2 2" xfId="26738"/>
    <cellStyle name="40% - 强调文字颜色 4 2 5" xfId="26739"/>
    <cellStyle name="注释 2 2 3 2 3 7" xfId="26740"/>
    <cellStyle name="百分比 2 5 2 2 2" xfId="26741"/>
    <cellStyle name="好 3 5 3" xfId="26742"/>
    <cellStyle name="20% - 强调文字颜色 3 2 2 7" xfId="26743"/>
    <cellStyle name="汇总 2 10 2 7" xfId="26744"/>
    <cellStyle name="好 3 2 3 2" xfId="26745"/>
    <cellStyle name="链接单元格 2 2 2 3 7" xfId="26746"/>
    <cellStyle name="40% - 强调文字颜色 6 2 2 5 2 2" xfId="26747"/>
    <cellStyle name="60% - 强调文字颜色 6 2 3 5 2" xfId="26748"/>
    <cellStyle name="注释 2 2 3 5 2 2 2" xfId="26749"/>
    <cellStyle name="警告文本 2 2 4 4 2 2" xfId="26750"/>
    <cellStyle name="计算 2 5 3 2 5" xfId="26751"/>
    <cellStyle name="超链接 2 3 2 4 2 2" xfId="26752"/>
    <cellStyle name="40% - 强调文字颜色 6 2 2 7 2 2" xfId="26753"/>
    <cellStyle name="20% - 强调文字颜色 4 2 2 7 2 2" xfId="26754"/>
    <cellStyle name="20% - 强调文字颜色 5 2 3 2 2 2 2 2 2" xfId="26755"/>
    <cellStyle name="强调文字颜色 3 2 2 2 4" xfId="26756"/>
    <cellStyle name="强调文字颜色 2 2 2 3 4 3" xfId="26757"/>
    <cellStyle name="40% - 强调文字颜色 2 2 2 2 7" xfId="26758"/>
    <cellStyle name="适中 2 8 2" xfId="26759"/>
    <cellStyle name="强调文字颜色 1 2 4 3 2 3" xfId="26760"/>
    <cellStyle name="40% - 强调文字颜色 6 2 2 2 2 2 5 2 2" xfId="26761"/>
    <cellStyle name="40% - 强调文字颜色 3 4 4 2" xfId="26762"/>
    <cellStyle name="适中 2 2 2 2 4 3 2" xfId="26763"/>
    <cellStyle name="输入 2 2 3 2 6 2" xfId="26764"/>
    <cellStyle name="标题 4 2 3 3 6" xfId="26765"/>
    <cellStyle name="强调文字颜色 5 2 2 2 4" xfId="26766"/>
    <cellStyle name="标题 2 2 2 3 4 2" xfId="26767"/>
    <cellStyle name="强调文字颜色 1 2 2 3 2 2 2 2" xfId="26768"/>
    <cellStyle name="20% - 强调文字颜色 3 2 2 2 7" xfId="26769"/>
    <cellStyle name="20% - 强调文字颜色 2 2 2 2 2 2 3 2 2 2" xfId="26770"/>
    <cellStyle name="40% - 强调文字颜色 3 2 4 3 2 2" xfId="26771"/>
    <cellStyle name="注释 2 2 4 4 3 2" xfId="26772"/>
    <cellStyle name="Normal 2 4 2" xfId="26773"/>
    <cellStyle name="常规 2 3 2 2 4 2 2" xfId="26774"/>
    <cellStyle name="20% - 强调文字颜色 5 2 5 2 2 2 2" xfId="26775"/>
    <cellStyle name="标题 5 4 4 4" xfId="26776"/>
    <cellStyle name="输出 2 2 4 2 5" xfId="26777"/>
    <cellStyle name="40% - 强调文字颜色 5 2 3 2 2 2 2 2 2" xfId="26778"/>
    <cellStyle name="计算 2 5 2 4 2 3 2" xfId="26779"/>
    <cellStyle name="注释 2 4 2 4 2" xfId="26780"/>
    <cellStyle name="标题 5 2 3 3 2 3" xfId="26781"/>
    <cellStyle name="20% - 强调文字颜色 2 2 3 3 3 2 2" xfId="26782"/>
    <cellStyle name="注释 2 3 2 2 8" xfId="26783"/>
    <cellStyle name="强调文字颜色 5 2 4 4 3" xfId="26784"/>
    <cellStyle name="汇总 3 6" xfId="26785"/>
    <cellStyle name="输入 2 2 2 4 2 4" xfId="26786"/>
    <cellStyle name="输出 2 2 4 4 8" xfId="26787"/>
    <cellStyle name="20% - 强调文字颜色 2 2 7 3 2" xfId="26788"/>
    <cellStyle name="常规 5 5 2 2" xfId="26789"/>
    <cellStyle name="60% - 强调文字颜色 6 3 10" xfId="26790"/>
    <cellStyle name="20% - 强调文字颜色 4 2 3 2 4 2 2 2" xfId="26791"/>
    <cellStyle name="标题 3 3 2 2 2 2 3" xfId="26792"/>
    <cellStyle name="40% - 强调文字颜色 5 2 2 2" xfId="26793"/>
    <cellStyle name="百分比 2 2 2 4 2 2 2" xfId="26794"/>
    <cellStyle name="汇总 2 9 4 2" xfId="26795"/>
    <cellStyle name="超链接 2 3 2 4" xfId="26796"/>
    <cellStyle name="差 2 6 3 2" xfId="26797"/>
    <cellStyle name="汇总 2 7 4 2 6" xfId="26798"/>
    <cellStyle name="输入 2 2 2 2 8" xfId="26799"/>
    <cellStyle name="20% - 强调文字颜色 1 3 2 4 2 2 2" xfId="26800"/>
    <cellStyle name="标题 5 2 2 2 2 2 2 2 3" xfId="26801"/>
    <cellStyle name="强调文字颜色 2 2 2 2 2 4 2 2 2" xfId="26802"/>
    <cellStyle name="注释 2 5 2 3 2 2" xfId="26803"/>
    <cellStyle name="20% - 强调文字颜色 4 2 4 3 2" xfId="26804"/>
    <cellStyle name="20% - 强调文字颜色 6 3 9" xfId="26805"/>
    <cellStyle name="汇总 3 3 7" xfId="26806"/>
    <cellStyle name="40% - 强调文字颜色 5 2 3 2 3 3" xfId="26807"/>
    <cellStyle name="百分比 2 3 3 3 2" xfId="26808"/>
    <cellStyle name="60% - 强调文字颜色 4 2 2 3 2 2 2" xfId="26809"/>
    <cellStyle name="常规 4 2 5" xfId="26810"/>
    <cellStyle name="警告文本 2 3 4 3 2 2" xfId="26811"/>
    <cellStyle name="输出 2 7 7" xfId="26812"/>
    <cellStyle name="强调文字颜色 2 2 2 6 4" xfId="26813"/>
    <cellStyle name="60% - 强调文字颜色 4 2 3 3 2 2" xfId="26814"/>
    <cellStyle name="常规 8 2 4 2" xfId="26815"/>
    <cellStyle name="Normal 4 3 2 2" xfId="26816"/>
    <cellStyle name="汇总 2 2 4 15" xfId="26817"/>
    <cellStyle name="强调文字颜色 3 2 2 7 3" xfId="26818"/>
    <cellStyle name="40% - 强调文字颜色 4 2 2 6 3 2 2" xfId="26819"/>
    <cellStyle name="常规 4 8 3 2" xfId="26820"/>
    <cellStyle name="汇总 2 2 4 3 3 2 3" xfId="26821"/>
    <cellStyle name="60% - 强调文字颜色 6 2 3 2 4 3" xfId="26822"/>
    <cellStyle name="计算 2 2 5 4 2 6" xfId="26823"/>
    <cellStyle name="输出 2 6 13" xfId="26824"/>
    <cellStyle name="Normal" xfId="26825"/>
    <cellStyle name="计算 2 2 3 2 3 3 2" xfId="26826"/>
    <cellStyle name="20% - 强调文字颜色 2 4 4 2" xfId="26827"/>
    <cellStyle name="输入 2 5 3 6 2" xfId="26828"/>
    <cellStyle name="输入 3 4 2 2" xfId="26829"/>
    <cellStyle name="标题 5 3 2 3 2 2 3" xfId="26830"/>
    <cellStyle name="40% - 强调文字颜色 5 3 3 4 2" xfId="26831"/>
    <cellStyle name="40% - 强调文字颜色 2 2 2 2 2 4 3" xfId="26832"/>
    <cellStyle name="输出 2 3 3 3" xfId="26833"/>
    <cellStyle name="标题 1 3 2 2 2 2 3" xfId="26834"/>
    <cellStyle name="汇总 2 11 3" xfId="26835"/>
    <cellStyle name="解释性文本 2 7 3 2 2" xfId="26836"/>
    <cellStyle name="60% - 强调文字颜色 5 2 2 3 7" xfId="26837"/>
    <cellStyle name="汇总 2 4 2 2 2 4 2" xfId="26838"/>
    <cellStyle name="40% - 强调文字颜色 1 2 2 8" xfId="26839"/>
    <cellStyle name="输入 2 5 3 2" xfId="26840"/>
    <cellStyle name="60% - 强调文字颜色 2 2 2 3 2 2 2" xfId="26841"/>
    <cellStyle name="20% - 强调文字颜色 4 2" xfId="26842"/>
    <cellStyle name="计算 2 2 6 2 2 2 3" xfId="26843"/>
    <cellStyle name="40% - 强调文字颜色 2 3 2 2 2 2" xfId="26844"/>
    <cellStyle name="标题 1 2 2 4 4 3" xfId="26845"/>
    <cellStyle name="60% - 强调文字颜色 6 2 2 2 2 4" xfId="26846"/>
    <cellStyle name="注释 2 2 7 5" xfId="26847"/>
    <cellStyle name="40% - 强调文字颜色 6 2 4 2 2 2" xfId="26848"/>
    <cellStyle name="计算 2 7 2 2 3" xfId="26849"/>
    <cellStyle name="检查单元格 3 2 3" xfId="26850"/>
    <cellStyle name="20% - 强调文字颜色 2 2 3 2 2 3 2" xfId="26851"/>
    <cellStyle name="40% - 强调文字颜色 5 2 5 5 2 2" xfId="26852"/>
    <cellStyle name="计算 2 11 5" xfId="26853"/>
    <cellStyle name="链接单元格 2 2 6 2 3" xfId="26854"/>
    <cellStyle name="强调文字颜色 6 2 3 2 2 2" xfId="26855"/>
    <cellStyle name="输出 2 2 3 4 2 3" xfId="26856"/>
    <cellStyle name="适中 4 6" xfId="26857"/>
    <cellStyle name="20% - 强调文字颜色 2 2 2 4 3 3" xfId="26858"/>
    <cellStyle name="60% - 强调文字颜色 6 4 2 5" xfId="26859"/>
    <cellStyle name="20% - 强调文字颜色 2 2 2 2 4" xfId="26860"/>
    <cellStyle name="常规 10 2 4 4 2" xfId="26861"/>
    <cellStyle name="汇总 2 8 3 3 2 2" xfId="26862"/>
    <cellStyle name="计算 2 2 10 5" xfId="26863"/>
    <cellStyle name="40% - 强调文字颜色 4 2 2 2 2 2 4 3" xfId="26864"/>
    <cellStyle name="汇总 8 2" xfId="26865"/>
    <cellStyle name="汇总 2 2 2 2 2" xfId="26866"/>
    <cellStyle name="20% - 强调文字颜色 6 3 4 2 2 2" xfId="26867"/>
    <cellStyle name="40% - 强调文字颜色 4 2 3 2 2 3" xfId="26868"/>
    <cellStyle name="20% - 强调文字颜色 2 2 3 2 2 4" xfId="26869"/>
    <cellStyle name="60% - 强调文字颜色 5 2 3 2 3 2 2" xfId="26870"/>
    <cellStyle name="60% - 强调文字颜色 2 4 5" xfId="26871"/>
    <cellStyle name="计算 2 2 4 4 8" xfId="26872"/>
    <cellStyle name="20% - 强调文字颜色 4 2 2 3" xfId="26873"/>
    <cellStyle name="20% - 强调文字颜色 4 3 8" xfId="26874"/>
    <cellStyle name="60% - 强调文字颜色 6 4 5" xfId="26875"/>
    <cellStyle name="20% - 强调文字颜色 5 4 2 3" xfId="26876"/>
    <cellStyle name="计算 2 2 2 4 2 4 2" xfId="26877"/>
    <cellStyle name="60% - 强调文字颜色 1 2 4" xfId="26878"/>
    <cellStyle name="计算 2 2 3 2 7" xfId="26879"/>
    <cellStyle name="汇总 2 2 2 3 3 3 2 2" xfId="26880"/>
    <cellStyle name="计算 2 5 2 3 4 2 2" xfId="26881"/>
    <cellStyle name="常规 4 2" xfId="26882"/>
    <cellStyle name="标题 6 3 2 3" xfId="26883"/>
    <cellStyle name="60% - 强调文字颜色 1 3 2 2 4" xfId="26884"/>
    <cellStyle name="40% - 强调文字颜色 1 3 4 2" xfId="26885"/>
    <cellStyle name="适中 2 13" xfId="26886"/>
    <cellStyle name="20% - 强调文字颜色 2 2 3 2 3 2 2" xfId="26887"/>
    <cellStyle name="输出 3 2 2 5" xfId="26888"/>
    <cellStyle name="输入 2 2 2 3 8" xfId="26889"/>
    <cellStyle name="40% - 强调文字颜色 3 2 5 2 3" xfId="26890"/>
    <cellStyle name="注释 2 2 5 3 4" xfId="26891"/>
    <cellStyle name="链接单元格 2 2 4 2 2" xfId="26892"/>
    <cellStyle name="40% - 强调文字颜色 2 2 4 3 3 2" xfId="26893"/>
    <cellStyle name="常规 7 2 3" xfId="26894"/>
    <cellStyle name="40% - 强调文字颜色 5 2 5 5" xfId="26895"/>
    <cellStyle name="标题 1 2 2 3 2 2 2 2 2" xfId="26896"/>
    <cellStyle name="60% - 强调文字颜色 5 3 2 2 2 2 2" xfId="26897"/>
    <cellStyle name="40% - 强调文字颜色 3 2 4 5 2 2" xfId="26898"/>
    <cellStyle name="20% - 强调文字颜色 1 2 3 2 2 3 3 2 2" xfId="26899"/>
    <cellStyle name="常规 10 2 2 3 2" xfId="26900"/>
    <cellStyle name="链接单元格 2 5 4" xfId="26901"/>
    <cellStyle name="40% - 强调文字颜色 1 2 2 2 2 2" xfId="26902"/>
    <cellStyle name="输出 2 2 3 3 4 2" xfId="26903"/>
    <cellStyle name="60% - 强调文字颜色 2 2 7 2 2 2" xfId="26904"/>
    <cellStyle name="60% - 强调文字颜色 5 2 3 3 2 2 2" xfId="26905"/>
    <cellStyle name="20% - 强调文字颜色 2 2 5 3 2 2 2" xfId="26906"/>
    <cellStyle name="标题 1 2 3 2 4 2" xfId="26907"/>
    <cellStyle name="注释 2 3 2 2 2" xfId="26908"/>
    <cellStyle name="20% - 强调文字颜色 2 2 3 3" xfId="26909"/>
    <cellStyle name="强调文字颜色 5 2 2 6 3" xfId="26910"/>
    <cellStyle name="注释 2 4 2 11" xfId="26911"/>
    <cellStyle name="常规 13 3 2 4 2" xfId="26912"/>
    <cellStyle name="超链接 3 6 2 2 2" xfId="26913"/>
    <cellStyle name="计算 2 4 8 2" xfId="26914"/>
    <cellStyle name="20% - 强调文字颜色 3 2 2 4 3 3 2" xfId="26915"/>
    <cellStyle name="好 2 2 2 4 2 2" xfId="26916"/>
    <cellStyle name="常规 4 2 3 4 3 2" xfId="26917"/>
    <cellStyle name="40% - 强调文字颜色 3 2 7 3" xfId="26918"/>
    <cellStyle name="输入 2 5 2 3 6 2" xfId="26919"/>
    <cellStyle name="40% - 强调文字颜色 1 2 2 2 2 5 2" xfId="26920"/>
    <cellStyle name="40% - 强调文字颜色 6 2 3 2 2 3 2" xfId="26921"/>
    <cellStyle name="标题 9" xfId="26922"/>
    <cellStyle name="20% - 强调文字颜色 5 2 2 2 3 2" xfId="26923"/>
    <cellStyle name="20% - 强调文字颜色 2 2 4 2 2" xfId="26924"/>
    <cellStyle name="标题 2 2 2 6 2" xfId="26925"/>
    <cellStyle name="20% - 强调文字颜色 6 2 2 3 3 3" xfId="26926"/>
    <cellStyle name="常规 11 3 3 2 2" xfId="26927"/>
    <cellStyle name="20% - 强调文字颜色 2 2 3 2 4 3 2" xfId="26928"/>
    <cellStyle name="强调文字颜色 1 2 2 2 2 4 2 3" xfId="26929"/>
    <cellStyle name="20% - 强调文字颜色 4 2 3 2 3 2 2 2 2" xfId="26930"/>
    <cellStyle name="输入 2 5 2 2" xfId="26931"/>
    <cellStyle name="40% - 强调文字颜色 5 2 2 2 2 2 2 2" xfId="26932"/>
    <cellStyle name="标题 3 2 11" xfId="26933"/>
    <cellStyle name="60% - 强调文字颜色 4 2 2 2 2 5 2 2" xfId="26934"/>
    <cellStyle name="标题 2 2 3 2 3 3 2 2" xfId="26935"/>
    <cellStyle name="输出 2 2 2 2" xfId="26936"/>
    <cellStyle name="标题 2 2 2 5 2 2" xfId="26937"/>
    <cellStyle name="常规 3 7" xfId="26938"/>
    <cellStyle name="20% - 强调文字颜色 5 4 2 2 2" xfId="26939"/>
    <cellStyle name="常规 2 11" xfId="26940"/>
    <cellStyle name="标题 4 2 3 3 2 2 2" xfId="26941"/>
    <cellStyle name="标题 4 2 3 2 5 2" xfId="26942"/>
    <cellStyle name="注释 2 2 3 2 2 3 4" xfId="26943"/>
    <cellStyle name="40% - 强调文字颜色 4 5 2 2 2" xfId="26944"/>
    <cellStyle name="输入 2 2 4 3 4 2 2" xfId="26945"/>
    <cellStyle name="汇总 3 2 3 3 2" xfId="26946"/>
    <cellStyle name="强调文字颜色 4 2 2 2 2 4 3 2" xfId="26947"/>
    <cellStyle name="40% - 强调文字颜色 4 2 2 7" xfId="26948"/>
    <cellStyle name="注释 2 4 4 7" xfId="26949"/>
    <cellStyle name="汇总 2 2 9 2 3 3" xfId="26950"/>
    <cellStyle name="40% - 强调文字颜色 5 2 4 3 2" xfId="26951"/>
    <cellStyle name="检查单元格 2 6 2 2 2" xfId="26952"/>
    <cellStyle name="Normal 4 3" xfId="26953"/>
    <cellStyle name="40% - 强调文字颜色 4 2 2 4 2 2" xfId="26954"/>
    <cellStyle name="20% - 强调文字颜色 3 2 5 3 3 2" xfId="26955"/>
    <cellStyle name="常规 5 2 3 6" xfId="26956"/>
    <cellStyle name="计算 2 2 2 2 4 5" xfId="26957"/>
    <cellStyle name="检查单元格 2 4 6 2 2" xfId="26958"/>
    <cellStyle name="计算 2 2 4 5 2 2" xfId="26959"/>
    <cellStyle name="60% - 强调文字颜色 3 2 2 3 2 2 2" xfId="26960"/>
    <cellStyle name="好 2 3 2 3" xfId="26961"/>
    <cellStyle name="40% - 强调文字颜色 5 2 4 4 3 2" xfId="26962"/>
    <cellStyle name="常规 11 4 4 2" xfId="26963"/>
    <cellStyle name="输出 2 7 7 2" xfId="26964"/>
    <cellStyle name="20% - 强调文字颜色 6 4 2 3 2 2 2" xfId="26965"/>
    <cellStyle name="20% - 强调文字颜色 2 2 2 2 5 2 2" xfId="26966"/>
    <cellStyle name="计算 5 2" xfId="26967"/>
    <cellStyle name="百分比 2 3 2 3 2" xfId="26968"/>
    <cellStyle name="40% - 强调文字颜色 2 2 4 3 2 2 2" xfId="26969"/>
    <cellStyle name="输出 2 2 4 2 2 2 3" xfId="26970"/>
    <cellStyle name="标题 4 3 6 2" xfId="26971"/>
    <cellStyle name="20% - 强调文字颜色 2 2 5" xfId="26972"/>
    <cellStyle name="输入 2 7 10" xfId="26973"/>
    <cellStyle name="20% - 强调文字颜色 2 2 3 4 3 2" xfId="26974"/>
    <cellStyle name="检查单元格 2 4 2" xfId="26975"/>
    <cellStyle name="汇总 2 5 10 3" xfId="26976"/>
    <cellStyle name="百分比 2 3 3 2 3" xfId="26977"/>
    <cellStyle name="40% - 强调文字颜色 5 2 3 2 2 4" xfId="26978"/>
    <cellStyle name="计算 2 2 8 5 5" xfId="26979"/>
    <cellStyle name="60% - 强调文字颜色 6 5 2" xfId="26980"/>
    <cellStyle name="输出 2 2 2 2 2 4 2 2" xfId="26981"/>
    <cellStyle name="汇总 3 2 11" xfId="26982"/>
    <cellStyle name="40% - 强调文字颜色 2 3 3 3 2 2 2" xfId="26983"/>
    <cellStyle name="20% - 强调文字颜色 4 3 2 2 3 2 2" xfId="26984"/>
    <cellStyle name="40% - 强调文字颜色 1 2 6" xfId="26985"/>
    <cellStyle name="好 3 2 2 2 2 2 2" xfId="26986"/>
    <cellStyle name="60% - 强调文字颜色 6 2 3 2 3" xfId="26987"/>
    <cellStyle name="强调文字颜色 2 3 2 3" xfId="26988"/>
    <cellStyle name="20% - 强调文字颜色 6 2 3 2 2 3 2 2" xfId="26989"/>
    <cellStyle name="常规 13 4 3 2" xfId="26990"/>
    <cellStyle name="60% - 强调文字颜色 5 2 4 5 2" xfId="26991"/>
    <cellStyle name="注释 2 3 2 2 5 2" xfId="26992"/>
    <cellStyle name="好 2 3 2 3 2 3" xfId="26993"/>
    <cellStyle name="40% - 强调文字颜色 5 3 2" xfId="26994"/>
    <cellStyle name="汇总 2 2 8 5 2 3" xfId="26995"/>
    <cellStyle name="汇总 2 2 2 8 2" xfId="26996"/>
    <cellStyle name="输入 2 5 2 5 4" xfId="26997"/>
    <cellStyle name="计算 3 4 4 2" xfId="26998"/>
    <cellStyle name="40% - 强调文字颜色 6 2 2 2 2 2 2 2 2" xfId="26999"/>
    <cellStyle name="60% - 强调文字颜色 5 2 2 3 2 2 2 2" xfId="27000"/>
    <cellStyle name="计算 2 8 5 3 3" xfId="27001"/>
    <cellStyle name="注释 2 2 3 3 2 2 2 2" xfId="27002"/>
    <cellStyle name="计算 2 6 2 2 7" xfId="27003"/>
    <cellStyle name="计算 2 2 7 3 2 2 2" xfId="27004"/>
    <cellStyle name="强调文字颜色 4 2 2 2 2 2 2 2" xfId="27005"/>
    <cellStyle name="超链接 2 2" xfId="27006"/>
    <cellStyle name="40% - 强调文字颜色 4 2 2 2 3 2 2 2 2 2" xfId="27007"/>
    <cellStyle name="标题 5 3 2 2 2 2 3" xfId="27008"/>
    <cellStyle name="计算 2 6 3 8" xfId="27009"/>
    <cellStyle name="输入 2 2 7 4 4" xfId="27010"/>
    <cellStyle name="超链接 2 2 3 3 2 2" xfId="27011"/>
    <cellStyle name="标题 4 2 2 3 2 2 2 2 2" xfId="27012"/>
    <cellStyle name="常规 2 2 4 2" xfId="27013"/>
    <cellStyle name="输出 2 3 6 2" xfId="27014"/>
    <cellStyle name="常规 2 2 3 4 3" xfId="27015"/>
    <cellStyle name="强调文字颜色 3 2 2 3 4 4" xfId="27016"/>
    <cellStyle name="常规 2 2 3 6" xfId="27017"/>
    <cellStyle name="40% - 强调文字颜色 4 2 2 4 2 3" xfId="27018"/>
    <cellStyle name="输出 2 2 3 2 9" xfId="27019"/>
    <cellStyle name="注释 2 4 2 3 6" xfId="27020"/>
    <cellStyle name="汇总 2 2 6 2 9" xfId="27021"/>
    <cellStyle name="计算 2 2 4 3 2 2 3 2 2" xfId="27022"/>
    <cellStyle name="标题 2 2 2 4 5 2" xfId="27023"/>
    <cellStyle name="计算 2 13 3" xfId="27024"/>
    <cellStyle name="20% - 强调文字颜色 5 2 2 2 2 4 2" xfId="27025"/>
    <cellStyle name="常规 7 5 2 2" xfId="27026"/>
    <cellStyle name="计算 2 3 2 2" xfId="27027"/>
    <cellStyle name="标题 6 2 6" xfId="27028"/>
    <cellStyle name="20% - 强调文字颜色 1 2 3 3 2" xfId="27029"/>
    <cellStyle name="20% - 强调文字颜色 4 2 2 7 2" xfId="27030"/>
    <cellStyle name="40% - 强调文字颜色 6 2 2 8 2" xfId="27031"/>
    <cellStyle name="超链接 2 3 4 3 3" xfId="27032"/>
    <cellStyle name="20% - 强调文字颜色 2 2 2 4 2 3" xfId="27033"/>
    <cellStyle name="60% - 强调文字颜色 6 4 2 3 2 2 2" xfId="27034"/>
    <cellStyle name="链接单元格 3 2 4" xfId="27035"/>
    <cellStyle name="汇总 3 2 2 3 2" xfId="27036"/>
    <cellStyle name="标题 2 2 4 2 3" xfId="27037"/>
    <cellStyle name="汇总 2 4 2 6 2 2" xfId="27038"/>
    <cellStyle name="40% - 强调文字颜色 1 2 2" xfId="27039"/>
    <cellStyle name="计算 2 2 8 5 3 3" xfId="27040"/>
    <cellStyle name="注释 2 2 2 2 2 2 4" xfId="27041"/>
    <cellStyle name="标题 2 3 11" xfId="27042"/>
    <cellStyle name="汇总 4 2 3 3 2 2" xfId="27043"/>
    <cellStyle name="20% - 强调文字颜色 4 2 2 2 3 2 2" xfId="27044"/>
    <cellStyle name="常规 8 2 3 3" xfId="27045"/>
    <cellStyle name="40% - 强调文字颜色 2 2 2 2 2 3 2 2" xfId="27046"/>
    <cellStyle name="输出 2 3 2 2 2" xfId="27047"/>
    <cellStyle name="20% - 强调文字颜色 6 2 10" xfId="27048"/>
    <cellStyle name="20% - 强调文字颜色 5 2 2 8" xfId="27049"/>
    <cellStyle name="20% - 强调文字颜色 3 4 2 3 2 2" xfId="27050"/>
    <cellStyle name="40% - 强调文字颜色 1 3 5" xfId="27051"/>
    <cellStyle name="40% - 强调文字颜色 6 2 8 2" xfId="27052"/>
    <cellStyle name="计算 2 2 3 4 8" xfId="27053"/>
    <cellStyle name="60% - 强调文字颜色 1 4 5" xfId="27054"/>
    <cellStyle name="标题 2 2 2 3 4 2 2 2" xfId="27055"/>
    <cellStyle name="输入 2 2 5 3 2 5" xfId="27056"/>
    <cellStyle name="40% - 强调文字颜色 5 3 3 3 2 2" xfId="27057"/>
    <cellStyle name="标题 1 2 3 2 3 3 2 2" xfId="27058"/>
    <cellStyle name="40% - 强调文字颜色 5 2 3 6 2 2 2" xfId="27059"/>
    <cellStyle name="20% - 强调文字颜色 5 2 6" xfId="27060"/>
    <cellStyle name="40% - 强调文字颜色 6 3 3 3 2 2" xfId="27061"/>
    <cellStyle name="60% - 强调文字颜色 6 6 2 3" xfId="27062"/>
    <cellStyle name="20% - 强调文字颜色 4 4 4 2 2" xfId="27063"/>
    <cellStyle name="60% - 强调文字颜色 4 2 3 4 3 2 2" xfId="27064"/>
    <cellStyle name="40% - 强调文字颜色 4 3 3 3 2 2 2" xfId="27065"/>
    <cellStyle name="超链接 2 2 2 2 4 2 2" xfId="27066"/>
    <cellStyle name="标题 4 2 2 2 5 2" xfId="27067"/>
    <cellStyle name="40% - 强调文字颜色 1 3 2 2 3" xfId="27068"/>
    <cellStyle name="计算 2 5 2 5 3 2" xfId="27069"/>
    <cellStyle name="好 3 7" xfId="27070"/>
    <cellStyle name="标题 2 2 3 4 3 2 2" xfId="27071"/>
    <cellStyle name="40% - 强调文字颜色 5 2 2 2 2 2 3 2" xfId="27072"/>
    <cellStyle name="注释 2 2 2 2 6" xfId="27073"/>
    <cellStyle name="警告文本 2 2 8" xfId="27074"/>
    <cellStyle name="百分比 2 3 2 2 2 3" xfId="27075"/>
    <cellStyle name="标题 1 2 3 3" xfId="27076"/>
    <cellStyle name="计算 2 5 2 2 2 5 2" xfId="27077"/>
    <cellStyle name="20% - 强调文字颜色 5 2 4 7" xfId="27078"/>
    <cellStyle name="输出 2 7 2 3" xfId="27079"/>
    <cellStyle name="20% - 强调文字颜色 4 2 8" xfId="27080"/>
    <cellStyle name="40% - 强调文字颜色 4 2 3 2 3 2 2" xfId="27081"/>
    <cellStyle name="计算 3 2 2 4 2 2" xfId="27082"/>
    <cellStyle name="计算 2 9 9" xfId="27083"/>
    <cellStyle name="汇总 2 2 8 2 2 2 2" xfId="27084"/>
    <cellStyle name="计算 2 2 11 3 2 2" xfId="27085"/>
    <cellStyle name="计算 2 2 4 2 3 6 3" xfId="27086"/>
    <cellStyle name="强调文字颜色 3 2 2 4 2" xfId="27087"/>
    <cellStyle name="40% - 强调文字颜色 5 4 3" xfId="27088"/>
    <cellStyle name="强调文字颜色 1 2 2 4 3 2 2 2" xfId="27089"/>
    <cellStyle name="检查单元格 2 2 3 4 2 2 2" xfId="27090"/>
    <cellStyle name="输出 2 6 2 2 5" xfId="27091"/>
    <cellStyle name="40% - 强调文字颜色 3 2 2 6 2 2" xfId="27092"/>
    <cellStyle name="标题 4 2 3 2 3 3" xfId="27093"/>
    <cellStyle name="百分比 2 2 2 2 2 2" xfId="27094"/>
    <cellStyle name="20% - 强调文字颜色 3 2 2 4 4 2 2" xfId="27095"/>
    <cellStyle name="计算 2 5 7 2" xfId="27096"/>
    <cellStyle name="好 2 3 6 2 2 2" xfId="27097"/>
    <cellStyle name="常规 4 5 3 3" xfId="27098"/>
    <cellStyle name="汇总 2 6 6" xfId="27099"/>
    <cellStyle name="标题 2 2 3 2 3 3" xfId="27100"/>
    <cellStyle name="40% - 强调文字颜色 1 2 2 6 2 2" xfId="27101"/>
    <cellStyle name="20% - 强调文字颜色 5 3 2 4 2 2" xfId="27102"/>
    <cellStyle name="40% - 强调文字颜色 6 2 10 2" xfId="27103"/>
    <cellStyle name="汇总 2 6" xfId="27104"/>
    <cellStyle name="40% - 强调文字颜色 4 2 2 3 2 2" xfId="27105"/>
    <cellStyle name="汇总 2 2 2 5 4" xfId="27106"/>
    <cellStyle name="标题 4 2 2 2 2 4 4" xfId="27107"/>
    <cellStyle name="40% - 强调文字颜色 6 2 4 5 2" xfId="27108"/>
    <cellStyle name="汇总 2 2 5 2 2 8" xfId="27109"/>
    <cellStyle name="警告文本 3 5 2" xfId="27110"/>
    <cellStyle name="警告文本 2 2 6 3 3" xfId="27111"/>
    <cellStyle name="40% - 强调文字颜色 4 2 3 2 2 3 3 2" xfId="27112"/>
    <cellStyle name="标题 1 2 7 2 3" xfId="27113"/>
    <cellStyle name="20% - 强调文字颜色 2 2 2 3 4 2 2 2" xfId="27114"/>
    <cellStyle name="差 2 3 2 5 3" xfId="27115"/>
    <cellStyle name="20% - 强调文字颜色 1 2 2 2 3 2 2 2 2 2" xfId="27116"/>
    <cellStyle name="20% - 强调文字颜色 6 2 2 6 3" xfId="27117"/>
    <cellStyle name="20% - 强调文字颜色 3 2 2 4 5 2" xfId="27118"/>
    <cellStyle name="计算 2 6 7" xfId="27119"/>
    <cellStyle name="40% - 强调文字颜色 6 2 2 4 2 3" xfId="27120"/>
    <cellStyle name="计算 2 2 8 4 7" xfId="27121"/>
    <cellStyle name="60% - 强调文字颜色 6 4 4" xfId="27122"/>
    <cellStyle name="常规 4 3 2 3 3 2 2" xfId="27123"/>
    <cellStyle name="汇总 2 10 3" xfId="27124"/>
    <cellStyle name="60% - 强调文字颜色 6 2 5 2 2" xfId="27125"/>
    <cellStyle name="标题 4 2 2 3 5 2 2" xfId="27126"/>
    <cellStyle name="40% - 强调文字颜色 6 2 3 2 2 3" xfId="27127"/>
    <cellStyle name="标题 4 3 2 2 3 2 2" xfId="27128"/>
    <cellStyle name="20% - 强调文字颜色 6 2 2 5 3 2 2" xfId="27129"/>
    <cellStyle name="标题 4 2 2 2 2 4" xfId="27130"/>
    <cellStyle name="计算 2 5 2 3 5 2 2" xfId="27131"/>
    <cellStyle name="常规 3 3 7 2 4 2" xfId="27132"/>
    <cellStyle name="强调文字颜色 5 2 2 9" xfId="27133"/>
    <cellStyle name="40% - 强调文字颜色 5 2 2 2 7 2" xfId="27134"/>
    <cellStyle name="注释 2 2 6 6 3" xfId="27135"/>
    <cellStyle name="检查单元格 2 2 4 4" xfId="27136"/>
    <cellStyle name="汇总 2 2 4 2 2 2 2 4" xfId="27137"/>
    <cellStyle name="输入 2 2 5 2 2 9" xfId="27138"/>
    <cellStyle name="20% - 强调文字颜色 4 2 2 2 2" xfId="27139"/>
    <cellStyle name="20% - 强调文字颜色 4 2 4 4 2 2" xfId="27140"/>
    <cellStyle name="40% - 强调文字颜色 2 2 2 2" xfId="27141"/>
    <cellStyle name="注释 2 2 3 2 8 2" xfId="27142"/>
    <cellStyle name="计算 2 2 2 4 4 3" xfId="27143"/>
    <cellStyle name="60% - 强调文字颜色 2 4 2 3 2 2" xfId="27144"/>
    <cellStyle name="汇总 2 2 4 2 9" xfId="27145"/>
    <cellStyle name="解释性文本 2 11" xfId="27146"/>
    <cellStyle name="60% - 强调文字颜色 2 2" xfId="27147"/>
    <cellStyle name="强调文字颜色 4 2 3 2 4 2 3" xfId="27148"/>
    <cellStyle name="常规 8 4 3" xfId="27149"/>
    <cellStyle name="20% - 强调文字颜色 1 2 4 4" xfId="27150"/>
    <cellStyle name="检查单元格 3 2 4 2" xfId="27151"/>
    <cellStyle name="20% - 强调文字颜色 2 2 3 2 2 3 3 2" xfId="27152"/>
    <cellStyle name="计算 2 7 2 2 4 2" xfId="27153"/>
    <cellStyle name="40% - 强调文字颜色 3 2 2 3 3 3 2" xfId="27154"/>
    <cellStyle name="60% - 强调文字颜色 3 2 7 2" xfId="27155"/>
    <cellStyle name="60% - 强调文字颜色 2 2 3 5 2" xfId="27156"/>
    <cellStyle name="汇总 2 2 3 2 2 2 4 3" xfId="27157"/>
    <cellStyle name="汇总 2 2 6 2 2 3 3" xfId="27158"/>
    <cellStyle name="输入 2 2 2 4" xfId="27159"/>
    <cellStyle name="60% - 强调文字颜色 6 2 2 2 2 5" xfId="27160"/>
    <cellStyle name="计算 2 4 2 4 4 2" xfId="27161"/>
    <cellStyle name="汇总 2 4 4 2 3" xfId="27162"/>
    <cellStyle name="注释 2 3 3 2 3" xfId="27163"/>
    <cellStyle name="40% - 强调文字颜色 1 2 3 2 3 2" xfId="27164"/>
    <cellStyle name="40% - 强调文字颜色 2 2 2 2 4 2" xfId="27165"/>
    <cellStyle name="40% - 强调文字颜色 1 4 4 2 2" xfId="27166"/>
    <cellStyle name="40% - 强调文字颜色 3 3 2 2 2 2 2 2" xfId="27167"/>
    <cellStyle name="汇总 2 2 8 5 3 2" xfId="27168"/>
    <cellStyle name="计算 2 10 3 5" xfId="27169"/>
    <cellStyle name="40% - 强调文字颜色 3 2 2 5 3" xfId="27170"/>
    <cellStyle name="计算 2 2 2 2" xfId="27171"/>
    <cellStyle name="标题 5 2 6" xfId="27172"/>
    <cellStyle name="标题 4 3 2 2 2" xfId="27173"/>
    <cellStyle name="20% - 强调文字颜色 6 2 2 3 4 2" xfId="27174"/>
    <cellStyle name="汇总 2 5 4 3 3 3" xfId="27175"/>
    <cellStyle name="汇总 2 7 10 2 2" xfId="27176"/>
    <cellStyle name="汇总 2 2 4 4 2" xfId="27177"/>
    <cellStyle name="40% - 强调文字颜色 3 2 2 2 2 2 2 2 2 2" xfId="27178"/>
    <cellStyle name="40% - 强调文字颜色 3 2 2 2 3 5" xfId="27179"/>
    <cellStyle name="20% - 强调文字颜色 6 2 3 6 2 2 2" xfId="27180"/>
    <cellStyle name="标题 1 2 4 6 3" xfId="27181"/>
    <cellStyle name="40% - 强调文字颜色 5 2 3 3 3" xfId="27182"/>
    <cellStyle name="汇总 2 2 4 2 2 2 3 2 2" xfId="27183"/>
    <cellStyle name="40% - 强调文字颜色 4 3 2 4" xfId="27184"/>
    <cellStyle name="计算 3 11 2" xfId="27185"/>
    <cellStyle name="标题 5 2 2 2 2 5" xfId="27186"/>
    <cellStyle name="警告文本 2 2 4 2 2 2" xfId="27187"/>
    <cellStyle name="标题 5 3 2 5" xfId="27188"/>
    <cellStyle name="标题 4 3 4 2" xfId="27189"/>
    <cellStyle name="输入 2 2 4 8 2 2" xfId="27190"/>
    <cellStyle name="20% - 强调文字颜色 6 3 7" xfId="27191"/>
    <cellStyle name="警告文本 3 7" xfId="27192"/>
    <cellStyle name="20% - 强调文字颜色 2 2 2 2 2 2 3 3" xfId="27193"/>
    <cellStyle name="汇总 2 2 8 2 2 2 2 2" xfId="27194"/>
    <cellStyle name="检查单元格 3 2 2" xfId="27195"/>
    <cellStyle name="20% - 强调文字颜色 2 2 2 3 4 2" xfId="27196"/>
    <cellStyle name="40% - 强调文字颜色 4 2 3 2 3 2 2 2" xfId="27197"/>
    <cellStyle name="标题 1 2 2 2 5 2 2" xfId="27198"/>
    <cellStyle name="计算 2 2 4 5 2 3 2" xfId="27199"/>
    <cellStyle name="注释 2 7" xfId="27200"/>
    <cellStyle name="汇总 4 3 4 2" xfId="27201"/>
    <cellStyle name="强调文字颜色 5 2 2 8" xfId="27202"/>
    <cellStyle name="超链接 2 2 3 3 4" xfId="27203"/>
    <cellStyle name="常规 10 5 2 3" xfId="27204"/>
    <cellStyle name="40% - 强调文字颜色 6 2 2 2 2 2 3 3 2" xfId="27205"/>
    <cellStyle name="常规 4 2 2 2 5 2" xfId="27206"/>
    <cellStyle name="40% - 强调文字颜色 4 2 3 2 2 2 3 2" xfId="27207"/>
    <cellStyle name="40% - 强调文字颜色 4 3 2 2 4 2" xfId="27208"/>
    <cellStyle name="20% - 强调文字颜色 3 2 5 3" xfId="27209"/>
    <cellStyle name="汇总 2 4 2 4 5" xfId="27210"/>
    <cellStyle name="常规 7 3 3" xfId="27211"/>
    <cellStyle name="差 2 4 3 4" xfId="27212"/>
    <cellStyle name="计算 3 5 5" xfId="27213"/>
    <cellStyle name="40% - 强调文字颜色 6 2 2 2 2 2 3 3" xfId="27214"/>
    <cellStyle name="20% - 强调文字颜色 2 2 2 2 2 4 2" xfId="27215"/>
    <cellStyle name="警告文本 2 2 2 2 3 3 2 2" xfId="27216"/>
    <cellStyle name="输出 2 2 3 2 5 5" xfId="27217"/>
    <cellStyle name="标题 2 2 2 4 2 2 2" xfId="27218"/>
    <cellStyle name="40% - 强调文字颜色 3 3 2 4" xfId="27219"/>
    <cellStyle name="40% - 强调文字颜色 5 2 3 2 2 5" xfId="27220"/>
    <cellStyle name="好 2 7 2 2 2" xfId="27221"/>
    <cellStyle name="20% - 强调文字颜色 6 2 4 5 2" xfId="27222"/>
    <cellStyle name="20% - 强调文字颜色 3 2 3 2 2 3 2 2" xfId="27223"/>
    <cellStyle name="百分比 2 2 4 2 3" xfId="27224"/>
    <cellStyle name="标题 4 2 2 3 4 2" xfId="27225"/>
    <cellStyle name="输入 2 2 4 2 2 2" xfId="27226"/>
    <cellStyle name="常规 5 2 3 8 3" xfId="27227"/>
    <cellStyle name="标题 2 2 3 3 3 2" xfId="27228"/>
    <cellStyle name="注释 2 4 5 7" xfId="27229"/>
    <cellStyle name="40% - 强调文字颜色 5 2 4 4 2" xfId="27230"/>
    <cellStyle name="20% - 强调文字颜色 5 3 2 3" xfId="27231"/>
    <cellStyle name="60% - 强调文字颜色 6 2 3 3 6" xfId="27232"/>
    <cellStyle name="汇总 2 6 2 2 2 4 2 2" xfId="27233"/>
    <cellStyle name="输出 2 2 4 7 2 2" xfId="27234"/>
    <cellStyle name="60% - 强调文字颜色 1 2 4 5 2 2" xfId="27235"/>
    <cellStyle name="标题 3 2 2 4 5 3" xfId="27236"/>
    <cellStyle name="40% - 强调文字颜色 1 2 2 10" xfId="27237"/>
    <cellStyle name="20% - 强调文字颜色 5 2 5" xfId="27238"/>
    <cellStyle name="输入 2 2 6 5 4" xfId="27239"/>
    <cellStyle name="计算 2 5 4 8" xfId="27240"/>
    <cellStyle name="40% - 强调文字颜色 3 2 2 5 3 2" xfId="27241"/>
    <cellStyle name="计算 2 6 2 2 3 4 2" xfId="27242"/>
    <cellStyle name="常规 4 2 3 4" xfId="27243"/>
    <cellStyle name="60% - 强调文字颜色 6 2 3 2 2 2 3" xfId="27244"/>
    <cellStyle name="40% - 强调文字颜色 5 2 4 6" xfId="27245"/>
    <cellStyle name="汇总 2 2 2 2 10" xfId="27246"/>
    <cellStyle name="常规 8 2 5 2" xfId="27247"/>
    <cellStyle name="60% - 强调文字颜色 1 3 3 3 2" xfId="27248"/>
    <cellStyle name="常规 4 3 8" xfId="27249"/>
    <cellStyle name="40% - 强调文字颜色 6 2 2 6" xfId="27250"/>
    <cellStyle name="40% - 强调文字颜色 1 2 2 2 4" xfId="27251"/>
    <cellStyle name="汇总 2 2 4 2 2 4 2" xfId="27252"/>
    <cellStyle name="40% - 强调文字颜色 5 2 2 3 2 2 2 2 2" xfId="27253"/>
    <cellStyle name="40% - 强调文字颜色 3 2 2 2 2 5 2 2" xfId="27254"/>
    <cellStyle name="汇总 4 2 2 2 3" xfId="27255"/>
    <cellStyle name="20% - 强调文字颜色 6 3" xfId="27256"/>
    <cellStyle name="强调文字颜色 2 2 7 2" xfId="27257"/>
    <cellStyle name="链接单元格 2 3 2 4" xfId="27258"/>
    <cellStyle name="20% - 强调文字颜色 3 2 3 3 3 2" xfId="27259"/>
    <cellStyle name="20% - 强调文字颜色 6 2 2 4 3 2" xfId="27260"/>
    <cellStyle name="60% - 强调文字颜色 5 2 3 2 5 2" xfId="27261"/>
    <cellStyle name="20% - 强调文字颜色 6 2 2 2 2 2 4 2" xfId="27262"/>
    <cellStyle name="20% - 强调文字颜色 4 2 6 2" xfId="27263"/>
    <cellStyle name="标题 6 3 3" xfId="27264"/>
    <cellStyle name="计算 2 5 3 2 5 3" xfId="27265"/>
    <cellStyle name="20% - 强调文字颜色 4 2 6 2 2" xfId="27266"/>
    <cellStyle name="标题 3 2 6 3 2" xfId="27267"/>
    <cellStyle name="40% - 强调文字颜色 2 2 2 5 3 2" xfId="27268"/>
    <cellStyle name="输出 2 2 7 4" xfId="27269"/>
    <cellStyle name="计算 2 4 3 3" xfId="27270"/>
    <cellStyle name="标题 1 2 2 9" xfId="27271"/>
    <cellStyle name="计算 2 7 4 5 2" xfId="27272"/>
    <cellStyle name="汇总 2 2 5 4 5" xfId="27273"/>
    <cellStyle name="60% - 强调文字颜色 5 3 3 2 2 2 2" xfId="27274"/>
    <cellStyle name="40% - 强调文字颜色 6 2 2 5 3" xfId="27275"/>
    <cellStyle name="20% - 强调文字颜色 3 2 2 2 2 2 2" xfId="27276"/>
    <cellStyle name="强调文字颜色 5 2 4" xfId="27277"/>
    <cellStyle name="40% - 强调文字颜色 3 4 2 3 2 2 2" xfId="27278"/>
    <cellStyle name="20% - 强调文字颜色 5 3 2 4 2" xfId="27279"/>
    <cellStyle name="注释 2 2 7 3 4" xfId="27280"/>
    <cellStyle name="40% - 强调文字颜色 1 2 2 2 8" xfId="27281"/>
    <cellStyle name="60% - 强调文字颜色 1 2 4 4 2 2 2" xfId="27282"/>
    <cellStyle name="60% - 强调文字颜色 6 5" xfId="27283"/>
    <cellStyle name="注释 2 7 3 2 2 2" xfId="27284"/>
    <cellStyle name="40% - 强调文字颜色 3 2 4 3 3" xfId="27285"/>
    <cellStyle name="注释 2 2 4 4 4" xfId="27286"/>
    <cellStyle name="检查单元格 2 4 2 2" xfId="27287"/>
    <cellStyle name="20% - 强调文字颜色 2 2 3 4 3 2 2" xfId="27288"/>
    <cellStyle name="标题 1 2 2 2 4 3" xfId="27289"/>
    <cellStyle name="20% - 强调文字颜色 2 2 2 3 5 2" xfId="27290"/>
    <cellStyle name="好 4 3 3" xfId="27291"/>
    <cellStyle name="60% - 强调文字颜色 2 2 2 3 6" xfId="27292"/>
    <cellStyle name="标题 4 3 2 2 4" xfId="27293"/>
    <cellStyle name="60% - 强调文字颜色 1 3 3 3 2 2" xfId="27294"/>
    <cellStyle name="常规 5 6 3 3 3" xfId="27295"/>
    <cellStyle name="20% - 强调文字颜色 1 2 2 3 4 2 2" xfId="27296"/>
    <cellStyle name="40% - 强调文字颜色 2 2 2 3 3" xfId="27297"/>
    <cellStyle name="强调文字颜色 2 2 2 2 3 2" xfId="27298"/>
    <cellStyle name="20% - 强调文字颜色 1 3 3 2" xfId="27299"/>
    <cellStyle name="汇总 2 2 2 4 4 3" xfId="27300"/>
    <cellStyle name="常规 4 2 2 2 2 3 2 2" xfId="27301"/>
    <cellStyle name="适中 2 3 2 4 2 2" xfId="27302"/>
    <cellStyle name="标题 1 2 3 2 4 4" xfId="27303"/>
    <cellStyle name="20% - 强调文字颜色 2 2 2 3 4" xfId="27304"/>
    <cellStyle name="常规 4 3 2 2 4 2" xfId="27305"/>
    <cellStyle name="注释 2 2 2 3 6" xfId="27306"/>
    <cellStyle name="40% - 强调文字颜色 3 2 2 2 5" xfId="27307"/>
    <cellStyle name="计算 2 2 2 2 2 7" xfId="27308"/>
    <cellStyle name="20% - 强调文字颜色 2 2 3 2 4 2 2 2" xfId="27309"/>
    <cellStyle name="输入 2 8 2 2 5" xfId="27310"/>
    <cellStyle name="标题 5 8 2" xfId="27311"/>
    <cellStyle name="汇总 2 2 8 4 4" xfId="27312"/>
    <cellStyle name="40% - 强调文字颜色 1 2 3 7" xfId="27313"/>
    <cellStyle name="汇总 2 6 4 2 4" xfId="27314"/>
    <cellStyle name="常规 7 2 2 2 2 3 2" xfId="27315"/>
    <cellStyle name="汇总 2 2 4 5 3" xfId="27316"/>
    <cellStyle name="注释 3 3 2 2 2 2" xfId="27317"/>
    <cellStyle name="60% - 强调文字颜色 2 2 3 3 6" xfId="27318"/>
    <cellStyle name="常规 3 2 4 2 3" xfId="27319"/>
    <cellStyle name="计算 2 2 2 2 2 2" xfId="27320"/>
    <cellStyle name="强调文字颜色 6 2 2 2 3 4" xfId="27321"/>
    <cellStyle name="20% - 强调文字颜色 5 5 2 2 2" xfId="27322"/>
    <cellStyle name="40% - 强调文字颜色 1 3 7" xfId="27323"/>
    <cellStyle name="汇总 2 8 8 2" xfId="27324"/>
    <cellStyle name="汇总 2 2 3 4 5 2 2" xfId="27325"/>
    <cellStyle name="20% - 强调文字颜色 2 2 3 3 2 2 2 2 2" xfId="27326"/>
    <cellStyle name="汇总 2 2 7 5 4 2" xfId="27327"/>
    <cellStyle name="60% - 强调文字颜色 1 3 2 3 2" xfId="27328"/>
    <cellStyle name="强调文字颜色 3 3" xfId="27329"/>
    <cellStyle name="常规 3 2 2 2 2 3 2" xfId="27330"/>
    <cellStyle name="汇总 2 2 8 4 4 2" xfId="27331"/>
    <cellStyle name="强调文字颜色 5 2 3 3 5" xfId="27332"/>
    <cellStyle name="输入 2 2 2 3 9" xfId="27333"/>
    <cellStyle name="差 2 2 2 2 6 2 2" xfId="27334"/>
    <cellStyle name="强调文字颜色 5 3 2 4" xfId="27335"/>
    <cellStyle name="20% - 强调文字颜色 2 2 6" xfId="27336"/>
    <cellStyle name="标题 2 2 2 6 3 2 2" xfId="27337"/>
    <cellStyle name="40% - 强调文字颜色 3 2 3 2 2 3 3 2 2" xfId="27338"/>
    <cellStyle name="20% - 强调文字颜色 2 2 2 6 3 2 2" xfId="27339"/>
    <cellStyle name="60% - 强调文字颜色 4 2 2 2 2 2 2 2 2" xfId="27340"/>
    <cellStyle name="解释性文本 2 3 2 3 3 2 2" xfId="27341"/>
    <cellStyle name="20% - 强调文字颜色 2 4 2 2" xfId="27342"/>
    <cellStyle name="强调文字颜色 2 2 3 3 2 2" xfId="27343"/>
    <cellStyle name="40% - 强调文字颜色 5 2 2 7 2" xfId="27344"/>
    <cellStyle name="注释 2 2 8 7" xfId="27345"/>
    <cellStyle name="强调文字颜色 2 2 2 4 4 2" xfId="27346"/>
    <cellStyle name="好 2 4 4 2 2 2" xfId="27347"/>
    <cellStyle name="计算 2 4 8" xfId="27348"/>
    <cellStyle name="20% - 强调文字颜色 3 2 2 4 3 3" xfId="27349"/>
    <cellStyle name="计算 2 2 2 4 2 5" xfId="27350"/>
    <cellStyle name="常规 5 4 3 3" xfId="27351"/>
    <cellStyle name="40% - 强调文字颜色 5 2 2 3 7" xfId="27352"/>
    <cellStyle name="标题 6 2 3 2" xfId="27353"/>
    <cellStyle name="20% - 强调文字颜色 3 2 4 4 2" xfId="27354"/>
    <cellStyle name="常规 7 2 2 2 5 2" xfId="27355"/>
    <cellStyle name="40% - 强调文字颜色 2 3 2 2 2 2 2" xfId="27356"/>
    <cellStyle name="40% - 强调文字颜色 5 2 3 2 2 3 3" xfId="27357"/>
    <cellStyle name="40% - 强调文字颜色 4 2 3 2 2 2" xfId="27358"/>
    <cellStyle name="百分比 2 3 3 4" xfId="27359"/>
    <cellStyle name="60% - 强调文字颜色 4 2 2 3 3 2" xfId="27360"/>
    <cellStyle name="常规 7 2 5 2" xfId="27361"/>
    <cellStyle name="计算 2 3 2 2 2 3 3" xfId="27362"/>
    <cellStyle name="汇总 2 2 3 7 3" xfId="27363"/>
    <cellStyle name="60% - 强调文字颜色 5 2 3 2 2 2 2" xfId="27364"/>
    <cellStyle name="60% - 强调文字颜色 6 2 4 3 3" xfId="27365"/>
    <cellStyle name="40% - 强调文字颜色 2 2 3 3 2 2 2 2 2" xfId="27366"/>
    <cellStyle name="40% - 强调文字颜色 6 2 2 8" xfId="27367"/>
    <cellStyle name="20% - 强调文字颜色 3 3 2 2 3 2 2 2" xfId="27368"/>
    <cellStyle name="注释 2 4 2 3 2 2 2" xfId="27369"/>
    <cellStyle name="强调文字颜色 1 2 7 2 2 2" xfId="27370"/>
    <cellStyle name="40% - 强调文字颜色 6 4 2 4 2" xfId="27371"/>
    <cellStyle name="标题 4 2 2 2 2 4 2 2" xfId="27372"/>
    <cellStyle name="20% - 强调文字颜色 4 2 2 4" xfId="27373"/>
    <cellStyle name="20% - 强调文字颜色 2 2 5 5" xfId="27374"/>
    <cellStyle name="20% - 强调文字颜色 4 4 2 4" xfId="27375"/>
    <cellStyle name="20% - 强调文字颜色 6 2 3 2 3 3 2" xfId="27376"/>
    <cellStyle name="60% - 强调文字颜色 6 2 3 3" xfId="27377"/>
    <cellStyle name="40% - 强调文字颜色 5 2 3 2 3 2" xfId="27378"/>
    <cellStyle name="20% - 强调文字颜色 6 2 3 7" xfId="27379"/>
    <cellStyle name="百分比 2 4 3 2 2" xfId="27380"/>
    <cellStyle name="计算 2 6 2 2 2 2 3" xfId="27381"/>
    <cellStyle name="20% - 强调文字颜色 6 2 3 4 3" xfId="27382"/>
    <cellStyle name="计算 2 3 3 4 3" xfId="27383"/>
    <cellStyle name="常规 5 2 3 5 2" xfId="27384"/>
    <cellStyle name="警告文本 2 4 7" xfId="27385"/>
    <cellStyle name="链接单元格 2 2 3 3 2 3" xfId="27386"/>
    <cellStyle name="检查单元格 2 4 9" xfId="27387"/>
    <cellStyle name="60% - 强调文字颜色 3 6 2" xfId="27388"/>
    <cellStyle name="标题 2 2 2 2 3 3 2" xfId="27389"/>
    <cellStyle name="40% - 强调文字颜色 2 4 5 2" xfId="27390"/>
    <cellStyle name="输入 2 2 2 2 7 2" xfId="27391"/>
    <cellStyle name="20% - 强调文字颜色 2 2 5 2 2 2 2" xfId="27392"/>
    <cellStyle name="适中 4 4" xfId="27393"/>
    <cellStyle name="40% - 强调文字颜色 4 2 2 3 4" xfId="27394"/>
    <cellStyle name="输出 6" xfId="27395"/>
    <cellStyle name="60% - 强调文字颜色 2 2 10" xfId="27396"/>
    <cellStyle name="解释性文本 2 2 4 3 4" xfId="27397"/>
    <cellStyle name="汇总 2 5 12" xfId="27398"/>
    <cellStyle name="标题 1 2 3 2 2 2 2 2 3" xfId="27399"/>
    <cellStyle name="60% - 强调文字颜色 4 2 3 2 4 2 2" xfId="27400"/>
    <cellStyle name="标题 3 2 4 7" xfId="27401"/>
    <cellStyle name="20% - 强调文字颜色 5 5 2 2 2 2" xfId="27402"/>
    <cellStyle name="标题 4 2 3 2 3 2 2" xfId="27403"/>
    <cellStyle name="40% - 强调文字颜色 5 3 2 2 3" xfId="27404"/>
    <cellStyle name="汇总 2 2 6 4 4 2" xfId="27405"/>
    <cellStyle name="标题 2 4 2 5" xfId="27406"/>
    <cellStyle name="汇总 2 2 5 3 2 3 3" xfId="27407"/>
    <cellStyle name="40% - 强调文字颜色 4 2 2 3 3 2 2" xfId="27408"/>
    <cellStyle name="20% - 强调文字颜色 2 2 2 2 7 2" xfId="27409"/>
    <cellStyle name="计算 2 2 2 2 2 2 4 3" xfId="27410"/>
    <cellStyle name="适中 2 2 2 2" xfId="27411"/>
    <cellStyle name="常规 5 5 3 2 2" xfId="27412"/>
    <cellStyle name="20% - 强调文字颜色 3 2 2 6 3 2 2" xfId="27413"/>
    <cellStyle name="40% - 强调文字颜色 5 2 4 4" xfId="27414"/>
    <cellStyle name="40% - 强调文字颜色 3 2 2 2 5 2" xfId="27415"/>
    <cellStyle name="输入 2 2 3 2 3 2 2" xfId="27416"/>
    <cellStyle name="好 2 2 5 2 2 2" xfId="27417"/>
    <cellStyle name="汇总 2 3 5 3 3" xfId="27418"/>
    <cellStyle name="60% - 强调文字颜色 3 2 4 8" xfId="27419"/>
    <cellStyle name="计算 2 7 7 2" xfId="27420"/>
    <cellStyle name="标题 5 2 2 2" xfId="27421"/>
    <cellStyle name="汇总 2 10 2 2 2" xfId="27422"/>
    <cellStyle name="常规 7 4 4" xfId="27423"/>
    <cellStyle name="标题 1 2 2 4 5 2" xfId="27424"/>
    <cellStyle name="汇总 2 2 5 2 7 2" xfId="27425"/>
    <cellStyle name="40% - 强调文字颜色 3 2 2 2 3 3" xfId="27426"/>
    <cellStyle name="注释 2 2 2 3 4 3" xfId="27427"/>
    <cellStyle name="汇总 2 2 8 5 2 2 2" xfId="27428"/>
    <cellStyle name="40% - 强调文字颜色 1 3 3" xfId="27429"/>
    <cellStyle name="标题 1 2 2 7 2 2" xfId="27430"/>
    <cellStyle name="百分比 2 4 3 2" xfId="27431"/>
    <cellStyle name="20% - 强调文字颜色 2 2 4 5 2 2" xfId="27432"/>
    <cellStyle name="40% - 强调文字颜色 2 2 2 2 2 2 2 2" xfId="27433"/>
    <cellStyle name="40% - 强调文字颜色 5 2 3 2 5" xfId="27434"/>
    <cellStyle name="检查单元格 2 3 3 2 3" xfId="27435"/>
    <cellStyle name="检查单元格 2 2 2 3 5" xfId="27436"/>
    <cellStyle name="20% - 强调文字颜色 1 2 4 3 2" xfId="27437"/>
    <cellStyle name="计算 4 2 2 2" xfId="27438"/>
    <cellStyle name="40% - 强调文字颜色 6 2 2 4 2 2" xfId="27439"/>
    <cellStyle name="常规 4 3 6 2 2" xfId="27440"/>
    <cellStyle name="汇总 2 8 2 7" xfId="27441"/>
    <cellStyle name="60% - 强调文字颜色 6 2 4 2 2 2 2 2" xfId="27442"/>
    <cellStyle name="40% - 强调文字颜色 1 2 2 2 2" xfId="27443"/>
    <cellStyle name="40% - 强调文字颜色 2 2 2 3 7" xfId="27444"/>
    <cellStyle name="20% - 强调文字颜色 6 2 2 2 3 2 2 2 2" xfId="27445"/>
    <cellStyle name="20% - 强调文字颜色 2 2 4 4 2 2" xfId="27446"/>
    <cellStyle name="40% - 强调文字颜色 6 3 2 3 2 2 2" xfId="27447"/>
    <cellStyle name="计算 2 2 5 2 4 3 2" xfId="27448"/>
    <cellStyle name="60% - 强调文字颜色 2 2 2 3 3 2 2 2" xfId="27449"/>
    <cellStyle name="40% - 强调文字颜色 4 2 2 4 5 2" xfId="27450"/>
    <cellStyle name="60% - 强调文字颜色 5 2 3 2 2 3 2" xfId="27451"/>
    <cellStyle name="20% - 强调文字颜色 2 4 2 4 2" xfId="27452"/>
    <cellStyle name="超链接 2 3 4 2" xfId="27453"/>
    <cellStyle name="汇总 2 2 5 2 4 2 2 2" xfId="27454"/>
    <cellStyle name="20% - 强调文字颜色 5 3 2 4 2 2 2" xfId="27455"/>
    <cellStyle name="常规 2 5 3" xfId="27456"/>
    <cellStyle name="输出 2 6 5" xfId="27457"/>
    <cellStyle name="常规 5 4 3" xfId="27458"/>
    <cellStyle name="常规 5 2 3 4 2" xfId="27459"/>
    <cellStyle name="60% - 强调文字颜色 6 2 3 6 2 2" xfId="27460"/>
    <cellStyle name="40% - 强调文字颜色 1 2 2 5 3 2 2" xfId="27461"/>
    <cellStyle name="汇总 2 2 4 2 2 3 3" xfId="27462"/>
    <cellStyle name="20% - 强调文字颜色 2 2 3 2" xfId="27463"/>
    <cellStyle name="40% - 强调文字颜色 5 3 2 4" xfId="27464"/>
    <cellStyle name="20% - 强调文字颜色 4 2 2 3 2" xfId="27465"/>
    <cellStyle name="60% - 强调文字颜色 3 3" xfId="27466"/>
    <cellStyle name="常规 7 2 2 2 4 2" xfId="27467"/>
    <cellStyle name="20% - 强调文字颜色 3 2 4 3 2" xfId="27468"/>
    <cellStyle name="标题 2 2 2 2 4 2 2" xfId="27469"/>
    <cellStyle name="40% - 强调文字颜色 2 2 2 2 2 2 2 3" xfId="27470"/>
    <cellStyle name="输入 2 4 2 2 2" xfId="27471"/>
    <cellStyle name="标题 1 2 5 3 3" xfId="27472"/>
    <cellStyle name="汇总 2 2 3 2 3 4" xfId="27473"/>
    <cellStyle name="40% - 强调文字颜色 3 2 2 3 5" xfId="27474"/>
    <cellStyle name="注释 2 2 2 4 6" xfId="27475"/>
    <cellStyle name="百分比 2 5 2" xfId="27476"/>
    <cellStyle name="40% - 强调文字颜色 2 2 2 3 5" xfId="27477"/>
    <cellStyle name="差 2 8" xfId="27478"/>
    <cellStyle name="计算 2 2 12 2" xfId="27479"/>
    <cellStyle name="20% - 强调文字颜色 1 2 5 2 2 2 2" xfId="27480"/>
    <cellStyle name="百分比 2 3 4 2 2 2" xfId="27481"/>
    <cellStyle name="40% - 强调文字颜色 1 3 2 2 2" xfId="27482"/>
    <cellStyle name="20% - 强调文字颜色 4 3 9" xfId="27483"/>
    <cellStyle name="汇总 3 3 2 3 2" xfId="27484"/>
    <cellStyle name="40% - 强调文字颜色 3 2 2 4 3 2" xfId="27485"/>
    <cellStyle name="20% - 强调文字颜色 5 2 2 2 7" xfId="27486"/>
    <cellStyle name="标题 4 2 3 2 4" xfId="27487"/>
    <cellStyle name="计算 2 2 4 5 4 2 2" xfId="27488"/>
    <cellStyle name="输入 2 6 2 5 2 2" xfId="27489"/>
    <cellStyle name="Normal 3 2" xfId="27490"/>
    <cellStyle name="注释 2 3 2 8" xfId="27491"/>
    <cellStyle name="标题 2 2 2 2 2 2 5" xfId="27492"/>
    <cellStyle name="40% - 强调文字颜色 1 3 3 2 2" xfId="27493"/>
    <cellStyle name="20% - 强调文字颜色 4 3 2 4 2 2 2" xfId="27494"/>
    <cellStyle name="检查单元格 2 7 2" xfId="27495"/>
    <cellStyle name="标题 1 2 3 2 4 3" xfId="27496"/>
    <cellStyle name="常规 6 3 2 4 3 2 2" xfId="27497"/>
    <cellStyle name="常规 7 6 2 2 2" xfId="27498"/>
    <cellStyle name="好 4 4 2" xfId="27499"/>
    <cellStyle name="标题 5 3 6 2 2 2" xfId="27500"/>
    <cellStyle name="输出 8 3" xfId="27501"/>
    <cellStyle name="20% - 强调文字颜色 4 3 3 3 2 2 2" xfId="27502"/>
    <cellStyle name="差 2 4 5 3" xfId="27503"/>
    <cellStyle name="常规 4 3 2 2 5" xfId="27504"/>
    <cellStyle name="标题 3 2 6 3 2 2" xfId="27505"/>
    <cellStyle name="20% - 强调文字颜色 2 2 4 4 2 2 2" xfId="27506"/>
    <cellStyle name="标题 2 2 2 4 2 2" xfId="27507"/>
    <cellStyle name="汇总 2 2 6 4 2 2 2 2" xfId="27508"/>
    <cellStyle name="60% - 强调文字颜色 6 6 2" xfId="27509"/>
    <cellStyle name="汇总 2 6 2" xfId="27510"/>
    <cellStyle name="输入 3 5 3" xfId="27511"/>
    <cellStyle name="60% - 强调文字颜色 3 2 3 6" xfId="27512"/>
    <cellStyle name="输入 2 5 2 2 2 5 2" xfId="27513"/>
    <cellStyle name="说明文本 2 2" xfId="27514"/>
    <cellStyle name="输出 2 7 3 2" xfId="27515"/>
    <cellStyle name="标题 2 4 6" xfId="27516"/>
    <cellStyle name="40% - 强调文字颜色 4 3 2 2 3 2 2 2" xfId="27517"/>
    <cellStyle name="检查单元格 2 6 2" xfId="27518"/>
    <cellStyle name="百分比 2 4 2 2 3" xfId="27519"/>
    <cellStyle name="输入 2 5 4 2 3" xfId="27520"/>
    <cellStyle name="60% - 强调文字颜色 6 2 2 3 2 2 2 2" xfId="27521"/>
    <cellStyle name="常规 11 2 3 3" xfId="27522"/>
    <cellStyle name="20% - 强调文字颜色 1 2 5 3 2 2 2" xfId="27523"/>
    <cellStyle name="超链接 3 4 3 3 2" xfId="27524"/>
    <cellStyle name="标题 5 2 2" xfId="27525"/>
    <cellStyle name="20% - 强调文字颜色 2 4 2 3 2" xfId="27526"/>
    <cellStyle name="60% - 强调文字颜色 6 5 2 2 2" xfId="27527"/>
    <cellStyle name="60% - 强调文字颜色 2 2 2 2 2 2 2" xfId="27528"/>
    <cellStyle name="计算 2 5 4 3 3 3" xfId="27529"/>
    <cellStyle name="40% - 强调文字颜色 1 2 2 2 2 4" xfId="27530"/>
    <cellStyle name="标题 1 2 2 11" xfId="27531"/>
    <cellStyle name="标题 3 2 5 3" xfId="27532"/>
    <cellStyle name="计算 2 2 6 7 3" xfId="27533"/>
    <cellStyle name="20% - 强调文字颜色 5 2 3 4 3 2 2" xfId="27534"/>
    <cellStyle name="标题 2 2 3 2 6 2 2" xfId="27535"/>
    <cellStyle name="40% - 强调文字颜色 1 2 2 2 2 4 2 2" xfId="27536"/>
    <cellStyle name="40% - 强调文字颜色 4 2 3 2 3 3 2" xfId="27537"/>
    <cellStyle name="40% - 强调文字颜色 4 2 2 4 4" xfId="27538"/>
    <cellStyle name="20% - 强调文字颜色 1 2 2 2 3 5" xfId="27539"/>
    <cellStyle name="20% - 强调文字颜色 4 2 3 2 4 3 2" xfId="27540"/>
    <cellStyle name="检查单元格 2 2 2 2 2 5" xfId="27541"/>
    <cellStyle name="20% - 强调文字颜色 2 2 2 3" xfId="27542"/>
    <cellStyle name="汇总 3 4 2 3" xfId="27543"/>
    <cellStyle name="20% - 强调文字颜色 2 3 2 2 4" xfId="27544"/>
    <cellStyle name="适中 2 7 3 3" xfId="27545"/>
    <cellStyle name="常规 5 3 2 2 5 2 2" xfId="27546"/>
    <cellStyle name="链接单元格 2 2 2 4" xfId="27547"/>
    <cellStyle name="40% - 强调文字颜色 1 2 3 5 2 2" xfId="27548"/>
    <cellStyle name="汇总 2 6 4 2 2 2 2" xfId="27549"/>
    <cellStyle name="60% - 强调文字颜色 1 2 8 2" xfId="27550"/>
    <cellStyle name="常规 4 6 2" xfId="27551"/>
    <cellStyle name="强调文字颜色 3 2 3 2 2 2" xfId="27552"/>
    <cellStyle name="汇总 2 2 5 2 2 3 2" xfId="27553"/>
    <cellStyle name="汇总 2 2 2 3 3 2 2" xfId="27554"/>
    <cellStyle name="差 2 2 3 3 2 2 2" xfId="27555"/>
    <cellStyle name="标题 5 2 3 2 2" xfId="27556"/>
    <cellStyle name="标题 6 3 2" xfId="27557"/>
    <cellStyle name="好 2 6 3 2" xfId="27558"/>
    <cellStyle name="40% - 强调文字颜色 3 2 3 5 2 2" xfId="27559"/>
    <cellStyle name="输出 2 5 2 3 6" xfId="27560"/>
    <cellStyle name="好 2 3 3 2" xfId="27561"/>
    <cellStyle name="40% - 强调文字颜色 2 2 2 2 5 2" xfId="27562"/>
    <cellStyle name="20% - 强调文字颜色 1 2 2 2 2 3 3 2" xfId="27563"/>
    <cellStyle name="40% - 强调文字颜色 1 2 3 2 2" xfId="27564"/>
    <cellStyle name="40% - 强调文字颜色 6 2 2 2 2 2 2 3 2" xfId="27565"/>
    <cellStyle name="计算 3 4 5 2" xfId="27566"/>
    <cellStyle name="20% - 强调文字颜色 3 2 3 3 3 2 2" xfId="27567"/>
    <cellStyle name="检查单元格 2 2 4 5 2 2" xfId="27568"/>
    <cellStyle name="标题 1 4 4 2 3" xfId="27569"/>
    <cellStyle name="常规 5 3 2 2 6" xfId="27570"/>
    <cellStyle name="20% - 强调文字颜色 2 2 3 2 2 2 2 2" xfId="27571"/>
    <cellStyle name="标题 1 2 3 2 5 2" xfId="27572"/>
    <cellStyle name="强调文字颜色 1 3 2 2 2" xfId="27573"/>
    <cellStyle name="常规 10 2 4" xfId="27574"/>
    <cellStyle name="60% - 强调文字颜色 5 6" xfId="27575"/>
    <cellStyle name="标题 3 2 3 3 2 2 2 2" xfId="27576"/>
    <cellStyle name="计算 2 3 5 4" xfId="27577"/>
    <cellStyle name="输入 2 2 5 2 2 4 2 2" xfId="27578"/>
    <cellStyle name="20% - 强调文字颜色 6 2 2 4 4 2 2" xfId="27579"/>
    <cellStyle name="20% - 强调文字颜色 2 2 3 2 2 5 2 2" xfId="27580"/>
    <cellStyle name="20% - 强调文字颜色 1 2 2 2 2 2 3" xfId="27581"/>
    <cellStyle name="20% - 强调文字颜色 3 2 3 2 4 3 2" xfId="27582"/>
    <cellStyle name="40% - 强调文字颜色 2 2 2 3 3 2 2" xfId="27583"/>
    <cellStyle name="注释 2 4 3" xfId="27584"/>
    <cellStyle name="20% - 强调文字颜色 1 2 2 2 2 4 3 2" xfId="27585"/>
    <cellStyle name="汇总 2 2 4 2 2 2 5 2" xfId="27586"/>
    <cellStyle name="常规 5 3 2 6 2" xfId="27587"/>
    <cellStyle name="60% - 强调文字颜色 5 2 5 2" xfId="27588"/>
    <cellStyle name="40% - 强调文字颜色 2 2 2 2 2 2 4" xfId="27589"/>
    <cellStyle name="20% - 强调文字颜色 2 2 5 2" xfId="27590"/>
    <cellStyle name="常规 5 2 2 6 2" xfId="27591"/>
    <cellStyle name="检查单元格 2 2 2 2" xfId="27592"/>
    <cellStyle name="常规 3 7 2 3 3" xfId="27593"/>
    <cellStyle name="20% - 强调文字颜色 3 2 3 6 2" xfId="27594"/>
    <cellStyle name="20% - 强调文字颜色 4 2 4 4 3" xfId="27595"/>
    <cellStyle name="20% - 强调文字颜色 1 2 3 2 2 5 2" xfId="27596"/>
    <cellStyle name="60% - 强调文字颜色 5 2 2 3 4 3 2" xfId="27597"/>
    <cellStyle name="标题 5 3 8" xfId="27598"/>
    <cellStyle name="注释 2 3 3 2 2" xfId="27599"/>
    <cellStyle name="40% - 强调文字颜色 3 2 2 3 3 2 2" xfId="27600"/>
    <cellStyle name="60% - 强调文字颜色 4 2 6 2 2" xfId="27601"/>
    <cellStyle name="20% - 强调文字颜色 3 4 2 3 2 2 2" xfId="27602"/>
    <cellStyle name="40% - 强调文字颜色 4 2 3 2 2 2 2 2" xfId="27603"/>
    <cellStyle name="解释性文本 2 2 2 2 2 2 2" xfId="27604"/>
    <cellStyle name="常规 5 5 2 2 3 3" xfId="27605"/>
    <cellStyle name="超链接 2 3 4 2 2 3" xfId="27606"/>
    <cellStyle name="20% - 强调文字颜色 2 2 2 4 2 2" xfId="27607"/>
    <cellStyle name="检查单元格 2 3 3 2" xfId="27608"/>
    <cellStyle name="汇总 2 10" xfId="27609"/>
    <cellStyle name="强调文字颜色 6 2 3 3" xfId="27610"/>
    <cellStyle name="输出 3 7 2" xfId="27611"/>
    <cellStyle name="40% - 强调文字颜色 4 2 2 2 2 2 3 2" xfId="27612"/>
    <cellStyle name="标题 4 2 2 4 2 3" xfId="27613"/>
    <cellStyle name="注释 2 7 2 4" xfId="27614"/>
    <cellStyle name="输出 2 16" xfId="27615"/>
    <cellStyle name="汇总 2 2 4 4 2 4" xfId="27616"/>
    <cellStyle name="标题 4 2 3 3 2 2 2 3" xfId="27617"/>
    <cellStyle name="20% - 强调文字颜色 4 2 3 4 3 2" xfId="27618"/>
    <cellStyle name="计算 2 5 2" xfId="27619"/>
    <cellStyle name="40% - 强调文字颜色 4 2 2 4 3 2" xfId="27620"/>
    <cellStyle name="40% - 强调文字颜色 6 2 2 2 2 3 2 2 2 2" xfId="27621"/>
    <cellStyle name="40% - 强调文字颜色 1 2 2 2 3" xfId="27622"/>
    <cellStyle name="40% - 强调文字颜色 4 2 2 6" xfId="27623"/>
    <cellStyle name="60% - 强调文字颜色 4 2 2 9 2" xfId="27624"/>
    <cellStyle name="40% - 强调文字颜色 2 2 3 2 2 4 3 2" xfId="27625"/>
    <cellStyle name="标题 4 2 2 2 2 2" xfId="27626"/>
    <cellStyle name="汇总 2 2 10 3 3" xfId="27627"/>
    <cellStyle name="汇总 2 2 6 6 2 2 2" xfId="27628"/>
    <cellStyle name="20% - 强调文字颜色 6 3 3 3 2 2" xfId="27629"/>
    <cellStyle name="输入 2 2 4 2 2 2 3" xfId="27630"/>
    <cellStyle name="60% - 强调文字颜色 2 2 3 3 2 2 2 2 2" xfId="27631"/>
    <cellStyle name="40% - 强调文字颜色 5 2 4 2 2 2" xfId="27632"/>
    <cellStyle name="标题 5 2 4 5 2" xfId="27633"/>
    <cellStyle name="40% - 强调文字颜色 5 2 2 2 2 2 4 2 2 2" xfId="27634"/>
    <cellStyle name="40% - 强调文字颜色 2 2 2 2 2 2 2" xfId="27635"/>
    <cellStyle name="计算 2 2 4 3 2 2 3 3" xfId="27636"/>
    <cellStyle name="标题 5 2 2 3 7" xfId="27637"/>
    <cellStyle name="标题 5 4 7" xfId="27638"/>
    <cellStyle name="60% - 强调文字颜色 2 2 2 2 4 2 2" xfId="27639"/>
    <cellStyle name="注释 2 6 2 2 3 2 2" xfId="27640"/>
    <cellStyle name="60% - 强调文字颜色 6 2 5 2" xfId="27641"/>
    <cellStyle name="40% - 强调文字颜色 3 2 2 5 2 2 2" xfId="27642"/>
    <cellStyle name="60% - 强调文字颜色 1 2 3 6 2 2 2" xfId="27643"/>
    <cellStyle name="输入 2 2 7 7" xfId="27644"/>
    <cellStyle name="汇总 2 4 2 2 4 2 2" xfId="27645"/>
    <cellStyle name="40% - 强调文字颜色 4 2 2 4 3" xfId="27646"/>
    <cellStyle name="60% - 强调文字颜色 2 2 2 3 4 2 2" xfId="27647"/>
    <cellStyle name="汇总 2 2 4 3 5 2 2" xfId="27648"/>
    <cellStyle name="输入 2 5 4 9" xfId="27649"/>
    <cellStyle name="输入 2 4 4 2 2 2" xfId="27650"/>
    <cellStyle name="标题 3 2 4 3 2 3" xfId="27651"/>
    <cellStyle name="常规 11 8" xfId="27652"/>
    <cellStyle name="标题 1 2 2 3 6 2" xfId="27653"/>
    <cellStyle name="40% - 强调文字颜色 4 2 3 2 2 5" xfId="27654"/>
    <cellStyle name="输入 2 2 2 2 2 2 3" xfId="27655"/>
    <cellStyle name="40% - 强调文字颜色 4 2 3 4 3" xfId="27656"/>
    <cellStyle name="20% - 强调文字颜色 6 3 2 2 2 2 2" xfId="27657"/>
    <cellStyle name="60% - 强调文字颜色 1 2 9 2" xfId="27658"/>
    <cellStyle name="60% - 强调文字颜色 5 2 3 2 4 3 2" xfId="27659"/>
    <cellStyle name="20% - 强调文字颜色 1 2 2 2 2 3 2 2" xfId="27660"/>
    <cellStyle name="常规 10 2 2 2 5 2" xfId="27661"/>
    <cellStyle name="20% - 强调文字颜色 1 2 3 2 2" xfId="27662"/>
    <cellStyle name="输出 2 3 3 8" xfId="27663"/>
    <cellStyle name="常规 3 3 4 2 2" xfId="27664"/>
    <cellStyle name="60% - 强调文字颜色 6 2 4 2 3" xfId="27665"/>
    <cellStyle name="计算 2 6 4 2 3 2" xfId="27666"/>
    <cellStyle name="60% - 强调文字颜色 6 5 3" xfId="27667"/>
    <cellStyle name="60% - 强调文字颜色 3 3 3 4" xfId="27668"/>
    <cellStyle name="输出 2 5 4 4 2 2" xfId="27669"/>
    <cellStyle name="60% - 强调文字颜色 1 3 9" xfId="27670"/>
    <cellStyle name="常规 12 2 2 5 3" xfId="27671"/>
    <cellStyle name="强调文字颜色 6 2 2 2 2 4 2 2 2" xfId="27672"/>
    <cellStyle name="标题 3 2 6 2 2 3" xfId="27673"/>
    <cellStyle name="20% - 强调文字颜色 2 2 3 2 2" xfId="27674"/>
    <cellStyle name="20% - 强调文字颜色 6 2 5 2" xfId="27675"/>
    <cellStyle name="20% - 强调文字颜色 5 2 2 2 2 2 2" xfId="27676"/>
    <cellStyle name="60% - 强调文字颜色 6 2 4 4 3 2" xfId="27677"/>
    <cellStyle name="输出 4 5" xfId="27678"/>
    <cellStyle name="20% - 强调文字颜色 2 2 6 3" xfId="27679"/>
    <cellStyle name="标题 4 2 2 3 8" xfId="27680"/>
    <cellStyle name="汇总 2 2 4 2 6 4" xfId="27681"/>
    <cellStyle name="标题 1 2 2 2 4 3 3" xfId="27682"/>
    <cellStyle name="输入 2 4 4" xfId="27683"/>
    <cellStyle name="20% - 强调文字颜色 6 2 2 5 2 2 2" xfId="27684"/>
    <cellStyle name="标题 3 2" xfId="27685"/>
    <cellStyle name="输入 2 5 5 2 3 2" xfId="27686"/>
    <cellStyle name="40% - 强调文字颜色 3 2 2 4 3 3" xfId="27687"/>
    <cellStyle name="汇总 2 5 5 2 2" xfId="27688"/>
    <cellStyle name="20% - 强调文字颜色 6 2 7 3 2" xfId="27689"/>
    <cellStyle name="60% - 强调文字颜色 5 2 2 2 4 3 2" xfId="27690"/>
    <cellStyle name="标题 5 3 2 4 2 2" xfId="27691"/>
    <cellStyle name="好 2 2 2 8" xfId="27692"/>
    <cellStyle name="汇总 2 13" xfId="27693"/>
    <cellStyle name="差 2 2 2 7" xfId="27694"/>
    <cellStyle name="检查单元格 4 4 2" xfId="27695"/>
    <cellStyle name="汇总 2 5 3 3 4" xfId="27696"/>
    <cellStyle name="超链接 2 2 2 3 3" xfId="27697"/>
    <cellStyle name="20% - 强调文字颜色 2 2 3 3 2 2 2 2" xfId="27698"/>
    <cellStyle name="20% - 强调文字颜色 2 2 3 2 2 2 3 2" xfId="27699"/>
    <cellStyle name="40% - 强调文字颜色 3 2 3 2 2 3 2 2 2" xfId="27700"/>
    <cellStyle name="40% - 强调文字颜色 6 2 2 2 3 4" xfId="27701"/>
    <cellStyle name="计算 2 5 2 4 5 2" xfId="27702"/>
    <cellStyle name="输出 2 4 2 3 9" xfId="27703"/>
    <cellStyle name="20% - 强调文字颜色 2 4 5 2" xfId="27704"/>
    <cellStyle name="计算 2 2 3 2 3 4 2" xfId="27705"/>
    <cellStyle name="标题 1 3 2 3" xfId="27706"/>
    <cellStyle name="输入 2 4 2 2 5 2 2" xfId="27707"/>
    <cellStyle name="检查单元格 2 2 2 4 3 2" xfId="27708"/>
    <cellStyle name="标题 2 2 3 4 4" xfId="27709"/>
    <cellStyle name="40% - 强调文字颜色 4 2 2 5 3" xfId="27710"/>
    <cellStyle name="输出 2 7 10" xfId="27711"/>
    <cellStyle name="标题 5 3 4 3 2 2" xfId="27712"/>
    <cellStyle name="40% - 强调文字颜色 5 2 3 6 2" xfId="27713"/>
    <cellStyle name="计算 2 11 3" xfId="27714"/>
    <cellStyle name="超链接 3 2 4 2 2 3" xfId="27715"/>
    <cellStyle name="20% - 强调文字颜色 2 2 3 3 2 2 2" xfId="27716"/>
    <cellStyle name="标题 1 2 2 3 8" xfId="27717"/>
    <cellStyle name="注释 2 4 2 2 5" xfId="27718"/>
    <cellStyle name="20% - 强调文字颜色 5 3 2 3 2 2" xfId="27719"/>
    <cellStyle name="标题 5 3 6 3" xfId="27720"/>
    <cellStyle name="标题 5 2 2 2 6 3" xfId="27721"/>
    <cellStyle name="20% - 强调文字颜色 2 2 2 5 2 2 2" xfId="27722"/>
    <cellStyle name="40% - 强调文字颜色 6 2 2 2 2 2 4" xfId="27723"/>
    <cellStyle name="标题 4 2 2 2 5 3" xfId="27724"/>
    <cellStyle name="60% - 强调文字颜色 1 2 2 2 4" xfId="27725"/>
    <cellStyle name="标题 2 2 4 6 2 2" xfId="27726"/>
    <cellStyle name="计算 2 2 4 2 3 5 2 2" xfId="27727"/>
    <cellStyle name="40% - 强调文字颜色 2 2 2 4 4 2" xfId="27728"/>
    <cellStyle name="标题 2 2 2 2 2 3 2" xfId="27729"/>
    <cellStyle name="20% - 强调文字颜色 2 2 8 2 2" xfId="27730"/>
    <cellStyle name="常规 4 3 4 2 3 3" xfId="27731"/>
    <cellStyle name="40% - 强调文字颜色 6 2 2 2 2 3 3" xfId="27732"/>
    <cellStyle name="20% - 强调文字颜色 6 3 5" xfId="27733"/>
    <cellStyle name="汇总 2 6 2 7" xfId="27734"/>
    <cellStyle name="汇总 2 2 5 2 4 3 2" xfId="27735"/>
    <cellStyle name="20% - 强调文字颜色 1 2 7 2" xfId="27736"/>
    <cellStyle name="40% - 强调文字颜色 1 3 4 2 2 2" xfId="27737"/>
    <cellStyle name="计算 2 3 2 2 2 4" xfId="27738"/>
    <cellStyle name="汇总 2 2 3 8" xfId="27739"/>
    <cellStyle name="汇总 2 4 4 4 3" xfId="27740"/>
    <cellStyle name="20% - 强调文字颜色 6 2 2 4 3 2 2" xfId="27741"/>
    <cellStyle name="60% - 强调文字颜色 3 2 2 2 2 4 2 2" xfId="27742"/>
    <cellStyle name="标题 1 2 3 2 3 2 2 2" xfId="27743"/>
    <cellStyle name="20% - 强调文字颜色 6 2 2 4 3 3 2" xfId="27744"/>
    <cellStyle name="计算 6 2" xfId="27745"/>
    <cellStyle name="20% - 强调文字颜色 6 2 2 3 3 2" xfId="27746"/>
    <cellStyle name="40% - 强调文字颜色 2 2 2 2 2 2 3" xfId="27747"/>
    <cellStyle name="警告文本 2 2 6 2 2 2" xfId="27748"/>
    <cellStyle name="40% - 强调文字颜色 1 2 5 2 2 2 2" xfId="27749"/>
    <cellStyle name="输出 2 6 2 2 7" xfId="27750"/>
    <cellStyle name="标题 2 2 3 6 2 2" xfId="27751"/>
    <cellStyle name="汇总 2 2 4 2 13" xfId="27752"/>
    <cellStyle name="标题 5 4 2" xfId="27753"/>
    <cellStyle name="标题 5 2 2 3 2" xfId="27754"/>
    <cellStyle name="差 2 2 3 7" xfId="27755"/>
    <cellStyle name="常规 4 5 3 5" xfId="27756"/>
    <cellStyle name="汇总 2 6 8" xfId="27757"/>
    <cellStyle name="输入 2 2 4 4 2 4" xfId="27758"/>
    <cellStyle name="20% - 强调文字颜色 1 2 4 4 3 2" xfId="27759"/>
    <cellStyle name="40% - 强调文字颜色 4 3 7" xfId="27760"/>
    <cellStyle name="20% - 强调文字颜色 4 2 3 2 2 4 3 2" xfId="27761"/>
    <cellStyle name="汇总 2 2 5 3 2 7" xfId="27762"/>
    <cellStyle name="40% - 强调文字颜色 6 2 4 4 3" xfId="27763"/>
    <cellStyle name="常规 3 3 7 2 2" xfId="27764"/>
    <cellStyle name="解释性文本 2 3 2 2" xfId="27765"/>
    <cellStyle name="40% - 强调文字颜色 4 2 2 3 3 3 2" xfId="27766"/>
    <cellStyle name="20% - 强调文字颜色 2 2 2 3 3 2 2 2" xfId="27767"/>
    <cellStyle name="40% - 强调文字颜色 2 2 7" xfId="27768"/>
    <cellStyle name="强调文字颜色 3 2 4 5 2 2" xfId="27769"/>
    <cellStyle name="60% - 强调文字颜色 2 3 2 4 2" xfId="27770"/>
    <cellStyle name="注释 2 6 3 2 4" xfId="27771"/>
    <cellStyle name="注释 2 4 2 3 4 2" xfId="27772"/>
    <cellStyle name="常规 13 2 2 2" xfId="27773"/>
    <cellStyle name="40% - 强调文字颜色 5 2 2 8 2" xfId="27774"/>
    <cellStyle name="注释 2 2 9 7" xfId="27775"/>
    <cellStyle name="计算 2 6 2 3 2" xfId="27776"/>
    <cellStyle name="标题 2 2 2 4 3 2 3" xfId="27777"/>
    <cellStyle name="60% - 强调文字颜色 2 3 2 2 2 2 2 2" xfId="27778"/>
    <cellStyle name="60% - 强调文字颜色 1 2 6 3 2 2" xfId="27779"/>
    <cellStyle name="解释性文本 2 4 6" xfId="27780"/>
    <cellStyle name="40% - 强调文字颜色 4 2 2 2 3 2 2 2" xfId="27781"/>
    <cellStyle name="标题 4 2 3 4 2 2" xfId="27782"/>
    <cellStyle name="警告文本 2 2 2 2 2 2 2 2" xfId="27783"/>
    <cellStyle name="40% - 强调文字颜色 3 2 4 4 3" xfId="27784"/>
    <cellStyle name="20% - 强调文字颜色 6 2 2 7" xfId="27785"/>
    <cellStyle name="常规 3 2 4 2 3 2" xfId="27786"/>
    <cellStyle name="40% - 强调文字颜色 4 2 2 3 4 2" xfId="27787"/>
    <cellStyle name="40% - 强调文字颜色 5 3 5 2 2 2" xfId="27788"/>
    <cellStyle name="20% - 强调文字颜色 1 4 2 3 2" xfId="27789"/>
    <cellStyle name="60% - 强调文字颜色 1 2 3 2 2 3 2" xfId="27790"/>
    <cellStyle name="超链接 2 5 3 2" xfId="27791"/>
    <cellStyle name="标题 4 2 6" xfId="27792"/>
    <cellStyle name="20% - 强调文字颜色 1 2 2 2 4 2 2 2" xfId="27793"/>
    <cellStyle name="40% - 强调文字颜色 1 2 2 2 6" xfId="27794"/>
    <cellStyle name="20% - 强调文字颜色 6 2 2 3 3 3 2" xfId="27795"/>
    <cellStyle name="40% - 强调文字颜色 4 2 2 2 2 4 3 2" xfId="27796"/>
    <cellStyle name="常规 3 5 2 2 2 2 2" xfId="27797"/>
    <cellStyle name="40% - 强调文字颜色 6 3 2 3 2 2" xfId="27798"/>
    <cellStyle name="常规 9 2 2 2 2 2 2" xfId="27799"/>
    <cellStyle name="注释 2 4 2 3 2 2" xfId="27800"/>
    <cellStyle name="输出 2 2 5 5 2" xfId="27801"/>
    <cellStyle name="20% - 强调文字颜色 2 2 2 2 2 3 3 2" xfId="27802"/>
    <cellStyle name="20% - 强调文字颜色 2 2 2 2 6 2" xfId="27803"/>
    <cellStyle name="60% - 强调文字颜色 1 3 3 2 2 2" xfId="27804"/>
    <cellStyle name="40% - 强调文字颜色 5 2 3 2 4 2 2 2" xfId="27805"/>
    <cellStyle name="输入 2 2 7 3 6" xfId="27806"/>
    <cellStyle name="40% - 强调文字颜色 5 2 3 2 4 2 2" xfId="27807"/>
    <cellStyle name="20% - 强调文字颜色 1 2 2 2 7 2" xfId="27808"/>
    <cellStyle name="标题 1 2 3 8" xfId="27809"/>
    <cellStyle name="计算 2 4 2 2 3 3 2" xfId="27810"/>
    <cellStyle name="强调文字颜色 6 2 7 2 2 2" xfId="27811"/>
    <cellStyle name="输出 2 2 4 3" xfId="27812"/>
    <cellStyle name="40% - 强调文字颜色 4 2 3 3 3 2" xfId="27813"/>
    <cellStyle name="20% - 强调文字颜色 3 2 2 5 2" xfId="27814"/>
    <cellStyle name="20% - 强调文字颜色 1 2 2 2 7" xfId="27815"/>
    <cellStyle name="标题 9 2 2 2" xfId="27816"/>
    <cellStyle name="40% - 强调文字颜色 6 3 9" xfId="27817"/>
    <cellStyle name="40% - 强调文字颜色 1 3 4 2 2" xfId="27818"/>
    <cellStyle name="40% - 强调文字颜色 1 3 5 2 2" xfId="27819"/>
    <cellStyle name="40% - 强调文字颜色 6 2 5 5 2 2" xfId="27820"/>
    <cellStyle name="40% - 强调文字颜色 3 3 5 2" xfId="27821"/>
    <cellStyle name="60% - 强调文字颜色 3 3 2 4" xfId="27822"/>
    <cellStyle name="百分比 2 5 3 2" xfId="27823"/>
    <cellStyle name="60% - 强调文字颜色 6 2 3 3 3 2" xfId="27824"/>
    <cellStyle name="标题 2 2 2 2 2 2 2" xfId="27825"/>
    <cellStyle name="常规 8 3 3" xfId="27826"/>
    <cellStyle name="60% - 强调文字颜色 6 4 2 3 2 2" xfId="27827"/>
    <cellStyle name="40% - 强调文字颜色 6 2 2 2 3 2 2 2 2" xfId="27828"/>
    <cellStyle name="40% - 强调文字颜色 4 2 2 5 2 2" xfId="27829"/>
    <cellStyle name="40% - 强调文字颜色 3 2 2 2 2 3 3" xfId="27830"/>
    <cellStyle name="40% - 强调文字颜色 2 2 2 3 4 2 2" xfId="27831"/>
    <cellStyle name="计算 2 7 2 2 2 4" xfId="27832"/>
    <cellStyle name="标题 1 2 3 2 6 3" xfId="27833"/>
    <cellStyle name="检查单元格 3 2 2 4" xfId="27834"/>
    <cellStyle name="常规 5 4 2 3 2" xfId="27835"/>
    <cellStyle name="40% - 强调文字颜色 5 2 3 3" xfId="27836"/>
    <cellStyle name="好 2 3 2 2" xfId="27837"/>
    <cellStyle name="40% - 强调文字颜色 6 2 2 2 2 2 3 2 2 2" xfId="27838"/>
    <cellStyle name="汇总 2 6 3 3 3 3" xfId="27839"/>
    <cellStyle name="输入 2 4 8 3" xfId="27840"/>
    <cellStyle name="计算 2 6 3 2 3" xfId="27841"/>
    <cellStyle name="标题 2 2 3 2 3 2 2" xfId="27842"/>
    <cellStyle name="标题 5 2 5 2 2" xfId="27843"/>
    <cellStyle name="汇总 3 2 4 3 2 2" xfId="27844"/>
    <cellStyle name="40% - 强调文字颜色 3 2 2 2 2 5 2" xfId="27845"/>
    <cellStyle name="40% - 强调文字颜色 6 3 2 2 2 2 2 2" xfId="27846"/>
    <cellStyle name="20% - 强调文字颜色 2 2 2 3 6" xfId="27847"/>
    <cellStyle name="40% - 强调文字颜色 1 2 3 2 2 2" xfId="27848"/>
    <cellStyle name="40% - 强调文字颜色 4 2 3 3 4" xfId="27849"/>
    <cellStyle name="标题 4 2 3 3 7" xfId="27850"/>
    <cellStyle name="60% - 强调文字颜色 1 3 5" xfId="27851"/>
    <cellStyle name="计算 2 2 3 3 8" xfId="27852"/>
    <cellStyle name="汇总 2 2 8 5 2 2" xfId="27853"/>
    <cellStyle name="标题 6 2 2 2 2" xfId="27854"/>
    <cellStyle name="40% - 强调文字颜色 1 2 3 2 3" xfId="27855"/>
    <cellStyle name="标题 5 3 2 4 2" xfId="27856"/>
    <cellStyle name="标题 1 2 2 2 2 2 3 2" xfId="27857"/>
    <cellStyle name="40% - 强调文字颜色 3 2 2 4 2 2 2" xfId="27858"/>
    <cellStyle name="输出 3 4 2 2 2" xfId="27859"/>
    <cellStyle name="60% - 强调文字颜色 4 2 2 5 2 2 2" xfId="27860"/>
    <cellStyle name="标题 2 2 2 4 2 3" xfId="27861"/>
    <cellStyle name="40% - 强调文字颜色 6 4 4 2 2" xfId="27862"/>
    <cellStyle name="注释 2 2 7 2 2 5" xfId="27863"/>
    <cellStyle name="输入 2 4 2 2 4 2"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00"/>
      <color rgb="000000FF"/>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X1565"/>
  <sheetViews>
    <sheetView tabSelected="1" zoomScale="130" zoomScaleNormal="130" workbookViewId="0">
      <pane xSplit="5" ySplit="3" topLeftCell="F4" activePane="bottomRight" state="frozen"/>
      <selection/>
      <selection pane="topRight"/>
      <selection pane="bottomLeft"/>
      <selection pane="bottomRight" activeCell="L923" sqref="L923"/>
    </sheetView>
  </sheetViews>
  <sheetFormatPr defaultColWidth="9" defaultRowHeight="15"/>
  <cols>
    <col min="1" max="1" width="7.13333333333333" style="46" customWidth="1"/>
    <col min="2" max="2" width="1.875" style="47" customWidth="1"/>
    <col min="3" max="3" width="1.875" style="48" customWidth="1"/>
    <col min="4" max="4" width="4.2" style="49" customWidth="1"/>
    <col min="5" max="5" width="14.25" style="49" customWidth="1"/>
    <col min="6" max="6" width="7.40833333333333" style="50" customWidth="1"/>
    <col min="7" max="7" width="12.625" style="49" customWidth="1"/>
    <col min="8" max="8" width="6.05" style="49" customWidth="1"/>
    <col min="9" max="9" width="13" style="49" customWidth="1"/>
    <col min="10" max="10" width="8.625" style="49" customWidth="1"/>
    <col min="11" max="11" width="9.75" style="51" customWidth="1"/>
    <col min="12" max="12" width="11.8416666666667" style="52" customWidth="1"/>
    <col min="13" max="13" width="19.125" style="53" customWidth="1"/>
    <col min="14" max="14" width="19.875" style="53" customWidth="1"/>
    <col min="15" max="15" width="4.75" style="53" customWidth="1"/>
    <col min="16" max="16" width="9.375" style="54" customWidth="1"/>
    <col min="17" max="17" width="10.1" style="54" customWidth="1"/>
    <col min="18" max="18" width="10.0916666666667" style="55" customWidth="1"/>
    <col min="19" max="19" width="9.01666666666667"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62"/>
      <c r="G1" s="61"/>
      <c r="H1" s="61"/>
      <c r="I1" s="61"/>
      <c r="J1" s="61"/>
      <c r="K1" s="86"/>
      <c r="L1" s="87"/>
      <c r="M1" s="88"/>
      <c r="N1" s="88"/>
      <c r="O1" s="88"/>
      <c r="P1" s="89"/>
      <c r="Q1" s="89"/>
      <c r="R1" s="117"/>
      <c r="S1" s="118"/>
      <c r="T1" s="89"/>
      <c r="U1" s="86"/>
      <c r="V1" s="89"/>
      <c r="W1" s="61"/>
    </row>
    <row r="2" s="37" customFormat="1" ht="17" customHeight="1" spans="1:23">
      <c r="A2" s="63"/>
      <c r="B2" s="64"/>
      <c r="C2" s="65"/>
      <c r="D2" s="66" t="s">
        <v>0</v>
      </c>
      <c r="E2" s="67">
        <f>COUNTIF(D:D,D2)-1</f>
        <v>6</v>
      </c>
      <c r="F2" s="68"/>
      <c r="G2" s="69" t="s">
        <v>1</v>
      </c>
      <c r="H2" s="67">
        <f>COUNTIF(D:D,G2)</f>
        <v>11</v>
      </c>
      <c r="I2" s="69" t="s">
        <v>2</v>
      </c>
      <c r="J2" s="90">
        <f>COUNTIF(D:D,I2)</f>
        <v>9</v>
      </c>
      <c r="K2" s="69" t="s">
        <v>3</v>
      </c>
      <c r="L2" s="67">
        <f>COUNTIF(D:D,K2)</f>
        <v>48</v>
      </c>
      <c r="M2" s="91"/>
      <c r="N2" s="91"/>
      <c r="O2" s="91"/>
      <c r="P2" s="69" t="s">
        <v>4</v>
      </c>
      <c r="Q2" s="119">
        <f>SUMIF(A4:A1543,"J*",R4:R1543)+SUMIF(A4:A1543,"M*",R4:R1543)</f>
        <v>384005.76</v>
      </c>
      <c r="R2" s="69" t="s">
        <v>5</v>
      </c>
      <c r="S2" s="119">
        <f>SUMIF(A4:A1543,"J*",S4:S1543)+SUMIF(A4:A1543,"M*",S4:S1543)</f>
        <v>11490</v>
      </c>
      <c r="T2" s="69" t="s">
        <v>6</v>
      </c>
      <c r="U2" s="119">
        <f>SUMIF(A4:A1543,"X*",R4:R1543)</f>
        <v>61780.846</v>
      </c>
      <c r="V2" s="69" t="s">
        <v>7</v>
      </c>
      <c r="W2" s="119">
        <f>SUMIF(A4:A1543,"X*",S4:S1543)</f>
        <v>0</v>
      </c>
    </row>
    <row r="3" s="38" customFormat="1" ht="29.1" customHeight="1" spans="1:23">
      <c r="A3" s="70" t="s">
        <v>8</v>
      </c>
      <c r="B3" s="71" t="s">
        <v>9</v>
      </c>
      <c r="C3" s="72" t="s">
        <v>10</v>
      </c>
      <c r="D3" s="73"/>
      <c r="E3" s="74" t="s">
        <v>11</v>
      </c>
      <c r="F3" s="75" t="s">
        <v>12</v>
      </c>
      <c r="G3" s="76" t="s">
        <v>13</v>
      </c>
      <c r="H3" s="75" t="s">
        <v>14</v>
      </c>
      <c r="I3" s="92" t="s">
        <v>15</v>
      </c>
      <c r="J3" s="93" t="s">
        <v>16</v>
      </c>
      <c r="K3" s="94" t="s">
        <v>17</v>
      </c>
      <c r="L3" s="95" t="s">
        <v>18</v>
      </c>
      <c r="M3" s="96" t="s">
        <v>19</v>
      </c>
      <c r="N3" s="97" t="s">
        <v>20</v>
      </c>
      <c r="O3" s="98" t="s">
        <v>21</v>
      </c>
      <c r="P3" s="99" t="s">
        <v>22</v>
      </c>
      <c r="Q3" s="120" t="s">
        <v>23</v>
      </c>
      <c r="R3" s="121" t="s">
        <v>24</v>
      </c>
      <c r="S3" s="122" t="s">
        <v>25</v>
      </c>
      <c r="T3" s="123" t="s">
        <v>26</v>
      </c>
      <c r="U3" s="123" t="s">
        <v>27</v>
      </c>
      <c r="V3" s="124" t="s">
        <v>28</v>
      </c>
      <c r="W3" s="125"/>
    </row>
    <row r="4" s="39" customFormat="1" ht="22" hidden="1" customHeight="1" spans="1:23">
      <c r="A4" s="77" t="s">
        <v>29</v>
      </c>
      <c r="B4" s="78" t="s">
        <v>30</v>
      </c>
      <c r="C4" s="79"/>
      <c r="D4" s="80" t="s">
        <v>31</v>
      </c>
      <c r="E4" s="80" t="s">
        <v>32</v>
      </c>
      <c r="F4" s="81" t="str">
        <f>IFERROR(VLOOKUP(E4,客户!B:C,2,FALSE),"/")</f>
        <v>/</v>
      </c>
      <c r="G4" s="80" t="s">
        <v>33</v>
      </c>
      <c r="H4" s="45"/>
      <c r="I4" s="45"/>
      <c r="J4" s="45"/>
      <c r="K4" s="100"/>
      <c r="L4" s="100"/>
      <c r="M4" s="101"/>
      <c r="N4" s="101"/>
      <c r="O4" s="101"/>
      <c r="P4" s="102">
        <v>35789</v>
      </c>
      <c r="Q4" s="102">
        <v>11000</v>
      </c>
      <c r="R4" s="126"/>
      <c r="S4" s="127"/>
      <c r="T4" s="128">
        <f>-N4+P4</f>
        <v>35789</v>
      </c>
      <c r="U4" s="100"/>
      <c r="V4" s="102"/>
      <c r="W4" s="45"/>
    </row>
    <row r="5" s="39" customFormat="1" ht="22" hidden="1" customHeight="1" spans="1:23">
      <c r="A5" s="77" t="s">
        <v>34</v>
      </c>
      <c r="B5" s="78" t="s">
        <v>30</v>
      </c>
      <c r="C5" s="79"/>
      <c r="D5" s="80" t="s">
        <v>31</v>
      </c>
      <c r="E5" s="80" t="s">
        <v>35</v>
      </c>
      <c r="F5" s="81" t="str">
        <f>IFERROR(VLOOKUP(E5,客户!B:C,2,FALSE),"/")</f>
        <v>/</v>
      </c>
      <c r="G5" s="80" t="s">
        <v>36</v>
      </c>
      <c r="H5" s="45"/>
      <c r="I5" s="45"/>
      <c r="J5" s="45"/>
      <c r="K5" s="103"/>
      <c r="L5" s="103"/>
      <c r="M5" s="101"/>
      <c r="N5" s="101"/>
      <c r="O5" s="104"/>
      <c r="P5" s="102">
        <v>37173.5</v>
      </c>
      <c r="Q5" s="102">
        <v>1772</v>
      </c>
      <c r="R5" s="126"/>
      <c r="S5" s="127"/>
      <c r="T5" s="128">
        <f>N5-P5-P6</f>
        <v>-37173.5</v>
      </c>
      <c r="U5" s="100"/>
      <c r="V5" s="128"/>
      <c r="W5" s="45"/>
    </row>
    <row r="6" s="39" customFormat="1" ht="22" hidden="1" customHeight="1" spans="1:23">
      <c r="A6" s="77" t="s">
        <v>37</v>
      </c>
      <c r="B6" s="78" t="s">
        <v>30</v>
      </c>
      <c r="C6" s="79"/>
      <c r="D6" s="80" t="s">
        <v>31</v>
      </c>
      <c r="E6" s="80" t="s">
        <v>35</v>
      </c>
      <c r="F6" s="81" t="str">
        <f>IFERROR(VLOOKUP(E6,客户!B:C,2,FALSE),"/")</f>
        <v>/</v>
      </c>
      <c r="G6" s="80" t="s">
        <v>36</v>
      </c>
      <c r="H6" s="45"/>
      <c r="I6" s="45"/>
      <c r="J6" s="45"/>
      <c r="K6" s="103"/>
      <c r="L6" s="103"/>
      <c r="M6" s="101"/>
      <c r="N6" s="101"/>
      <c r="O6" s="104"/>
      <c r="P6" s="102"/>
      <c r="Q6" s="102">
        <v>1772</v>
      </c>
      <c r="R6" s="126"/>
      <c r="S6" s="127"/>
      <c r="T6" s="128"/>
      <c r="U6" s="100"/>
      <c r="V6" s="128"/>
      <c r="W6" s="45"/>
    </row>
    <row r="7" s="39" customFormat="1" ht="22" hidden="1" customHeight="1" spans="1:23">
      <c r="A7" s="77" t="s">
        <v>38</v>
      </c>
      <c r="B7" s="78" t="s">
        <v>30</v>
      </c>
      <c r="C7" s="79"/>
      <c r="D7" s="80" t="s">
        <v>31</v>
      </c>
      <c r="E7" s="82" t="s">
        <v>39</v>
      </c>
      <c r="F7" s="81" t="str">
        <f>IFERROR(VLOOKUP(E7,客户!B:C,2,FALSE),"/")</f>
        <v>/</v>
      </c>
      <c r="G7" s="80" t="s">
        <v>40</v>
      </c>
      <c r="H7" s="45"/>
      <c r="I7" s="45"/>
      <c r="J7" s="45"/>
      <c r="K7" s="100"/>
      <c r="L7" s="100"/>
      <c r="M7" s="101"/>
      <c r="N7" s="101"/>
      <c r="O7" s="104"/>
      <c r="P7" s="102">
        <v>35610.5</v>
      </c>
      <c r="Q7" s="102"/>
      <c r="R7" s="126"/>
      <c r="S7" s="127"/>
      <c r="T7" s="128">
        <v>35610.5</v>
      </c>
      <c r="U7" s="100"/>
      <c r="V7" s="102"/>
      <c r="W7" s="45"/>
    </row>
    <row r="8" s="39" customFormat="1" ht="22" hidden="1" customHeight="1" spans="1:23">
      <c r="A8" s="77" t="s">
        <v>41</v>
      </c>
      <c r="B8" s="78" t="s">
        <v>30</v>
      </c>
      <c r="C8" s="79"/>
      <c r="D8" s="80" t="s">
        <v>31</v>
      </c>
      <c r="E8" s="82" t="s">
        <v>42</v>
      </c>
      <c r="F8" s="81" t="str">
        <f>IFERROR(VLOOKUP(E8,客户!B:C,2,FALSE),"/")</f>
        <v>/</v>
      </c>
      <c r="G8" s="80" t="s">
        <v>43</v>
      </c>
      <c r="H8" s="45"/>
      <c r="I8" s="45"/>
      <c r="J8" s="45"/>
      <c r="K8" s="100"/>
      <c r="L8" s="100"/>
      <c r="M8" s="101"/>
      <c r="N8" s="101"/>
      <c r="O8" s="104"/>
      <c r="P8" s="102">
        <v>22154.85</v>
      </c>
      <c r="Q8" s="129">
        <v>4430.97</v>
      </c>
      <c r="R8" s="126"/>
      <c r="S8" s="127"/>
      <c r="T8" s="128">
        <f>N8-P8</f>
        <v>-22154.85</v>
      </c>
      <c r="U8" s="100"/>
      <c r="V8" s="102"/>
      <c r="W8" s="45"/>
    </row>
    <row r="9" s="39" customFormat="1" ht="22" hidden="1" customHeight="1" spans="1:23">
      <c r="A9" s="77" t="s">
        <v>44</v>
      </c>
      <c r="B9" s="78" t="s">
        <v>30</v>
      </c>
      <c r="C9" s="79"/>
      <c r="D9" s="80" t="s">
        <v>31</v>
      </c>
      <c r="E9" s="83" t="s">
        <v>45</v>
      </c>
      <c r="F9" s="81" t="str">
        <f>IFERROR(VLOOKUP(E9,客户!B:C,2,FALSE),"/")</f>
        <v>/</v>
      </c>
      <c r="G9" s="80" t="s">
        <v>43</v>
      </c>
      <c r="H9" s="45"/>
      <c r="I9" s="45"/>
      <c r="J9" s="45"/>
      <c r="K9" s="100"/>
      <c r="L9" s="100"/>
      <c r="M9" s="101"/>
      <c r="N9" s="101"/>
      <c r="O9" s="104"/>
      <c r="P9" s="102">
        <v>18356.75</v>
      </c>
      <c r="Q9" s="102" t="s">
        <v>46</v>
      </c>
      <c r="R9" s="126"/>
      <c r="S9" s="127"/>
      <c r="T9" s="128">
        <f>N9-5000</f>
        <v>-5000</v>
      </c>
      <c r="U9" s="100"/>
      <c r="V9" s="102"/>
      <c r="W9" s="45"/>
    </row>
    <row r="10" s="39" customFormat="1" ht="22" hidden="1" customHeight="1" spans="1:23">
      <c r="A10" s="77" t="s">
        <v>47</v>
      </c>
      <c r="B10" s="78" t="s">
        <v>30</v>
      </c>
      <c r="C10" s="79"/>
      <c r="D10" s="80" t="s">
        <v>31</v>
      </c>
      <c r="E10" s="80" t="s">
        <v>48</v>
      </c>
      <c r="F10" s="81" t="str">
        <f>IFERROR(VLOOKUP(E10,客户!B:C,2,FALSE),"/")</f>
        <v>/</v>
      </c>
      <c r="G10" s="80" t="s">
        <v>49</v>
      </c>
      <c r="H10" s="45"/>
      <c r="I10" s="45"/>
      <c r="J10" s="45"/>
      <c r="K10" s="100"/>
      <c r="L10" s="100"/>
      <c r="M10" s="101"/>
      <c r="N10" s="101"/>
      <c r="O10" s="104"/>
      <c r="P10" s="102">
        <v>41384.88</v>
      </c>
      <c r="Q10" s="102">
        <f>P10-U10</f>
        <v>41384.88</v>
      </c>
      <c r="R10" s="126"/>
      <c r="S10" s="127"/>
      <c r="T10" s="128">
        <v>30151.8</v>
      </c>
      <c r="U10" s="100"/>
      <c r="V10" s="102"/>
      <c r="W10" s="45"/>
    </row>
    <row r="11" s="39" customFormat="1" ht="22" hidden="1" customHeight="1" spans="1:23">
      <c r="A11" s="77" t="s">
        <v>50</v>
      </c>
      <c r="B11" s="78" t="s">
        <v>30</v>
      </c>
      <c r="C11" s="79"/>
      <c r="D11" s="80" t="s">
        <v>31</v>
      </c>
      <c r="E11" s="80" t="s">
        <v>51</v>
      </c>
      <c r="F11" s="81" t="str">
        <f>IFERROR(VLOOKUP(E11,客户!B:C,2,FALSE),"/")</f>
        <v>/</v>
      </c>
      <c r="G11" s="80" t="s">
        <v>43</v>
      </c>
      <c r="H11" s="45"/>
      <c r="I11" s="45"/>
      <c r="J11" s="45"/>
      <c r="K11" s="103"/>
      <c r="L11" s="103"/>
      <c r="M11" s="101"/>
      <c r="N11" s="101"/>
      <c r="O11" s="104"/>
      <c r="P11" s="102"/>
      <c r="Q11" s="130"/>
      <c r="R11" s="131"/>
      <c r="S11" s="132"/>
      <c r="T11" s="102"/>
      <c r="U11" s="100"/>
      <c r="V11" s="128"/>
      <c r="W11" s="45"/>
    </row>
    <row r="12" s="39" customFormat="1" ht="22" hidden="1" customHeight="1" spans="1:23">
      <c r="A12" s="77" t="s">
        <v>52</v>
      </c>
      <c r="B12" s="78" t="s">
        <v>30</v>
      </c>
      <c r="C12" s="79"/>
      <c r="D12" s="80" t="s">
        <v>31</v>
      </c>
      <c r="E12" s="80" t="s">
        <v>53</v>
      </c>
      <c r="F12" s="81" t="str">
        <f>IFERROR(VLOOKUP(E12,客户!B:C,2,FALSE),"/")</f>
        <v>/</v>
      </c>
      <c r="G12" s="80" t="s">
        <v>54</v>
      </c>
      <c r="H12" s="45"/>
      <c r="I12" s="45"/>
      <c r="J12" s="45"/>
      <c r="K12" s="100"/>
      <c r="L12" s="100"/>
      <c r="M12" s="101"/>
      <c r="N12" s="101"/>
      <c r="O12" s="104"/>
      <c r="P12" s="102">
        <v>23577.6</v>
      </c>
      <c r="Q12" s="130"/>
      <c r="R12" s="126"/>
      <c r="S12" s="127"/>
      <c r="T12" s="128">
        <v>23577.6</v>
      </c>
      <c r="U12" s="100"/>
      <c r="V12" s="102"/>
      <c r="W12" s="45"/>
    </row>
    <row r="13" s="39" customFormat="1" ht="22" hidden="1" customHeight="1" spans="1:23">
      <c r="A13" s="77" t="s">
        <v>55</v>
      </c>
      <c r="B13" s="78" t="s">
        <v>30</v>
      </c>
      <c r="C13" s="79"/>
      <c r="D13" s="80" t="s">
        <v>31</v>
      </c>
      <c r="E13" s="80" t="s">
        <v>56</v>
      </c>
      <c r="F13" s="81" t="str">
        <f>IFERROR(VLOOKUP(E13,客户!B:C,2,FALSE),"/")</f>
        <v>/</v>
      </c>
      <c r="G13" s="80" t="s">
        <v>57</v>
      </c>
      <c r="H13" s="45"/>
      <c r="I13" s="45"/>
      <c r="J13" s="45"/>
      <c r="K13" s="100"/>
      <c r="L13" s="100"/>
      <c r="M13" s="101"/>
      <c r="N13" s="101"/>
      <c r="O13" s="104"/>
      <c r="P13" s="102">
        <v>20017.05</v>
      </c>
      <c r="Q13" s="102">
        <v>4003.41</v>
      </c>
      <c r="R13" s="126"/>
      <c r="S13" s="127"/>
      <c r="T13" s="128">
        <f>N13-P13</f>
        <v>-20017.05</v>
      </c>
      <c r="U13" s="100"/>
      <c r="V13" s="102"/>
      <c r="W13" s="45"/>
    </row>
    <row r="14" s="39" customFormat="1" ht="22" hidden="1" customHeight="1" spans="1:23">
      <c r="A14" s="77" t="s">
        <v>58</v>
      </c>
      <c r="B14" s="78" t="s">
        <v>30</v>
      </c>
      <c r="C14" s="79"/>
      <c r="D14" s="80" t="s">
        <v>31</v>
      </c>
      <c r="E14" s="80" t="s">
        <v>51</v>
      </c>
      <c r="F14" s="81" t="str">
        <f>IFERROR(VLOOKUP(E14,客户!B:C,2,FALSE),"/")</f>
        <v>/</v>
      </c>
      <c r="G14" s="80" t="s">
        <v>54</v>
      </c>
      <c r="H14" s="45"/>
      <c r="I14" s="45"/>
      <c r="J14" s="45"/>
      <c r="K14" s="105"/>
      <c r="L14" s="103"/>
      <c r="M14" s="101"/>
      <c r="N14" s="101"/>
      <c r="O14" s="104"/>
      <c r="P14" s="102"/>
      <c r="Q14" s="130"/>
      <c r="R14" s="133"/>
      <c r="S14" s="134"/>
      <c r="T14" s="107"/>
      <c r="U14" s="100"/>
      <c r="V14" s="135"/>
      <c r="W14" s="45"/>
    </row>
    <row r="15" s="39" customFormat="1" ht="22" hidden="1" customHeight="1" spans="1:23">
      <c r="A15" s="77" t="s">
        <v>59</v>
      </c>
      <c r="B15" s="78" t="s">
        <v>30</v>
      </c>
      <c r="C15" s="79"/>
      <c r="D15" s="80" t="s">
        <v>31</v>
      </c>
      <c r="E15" s="80" t="s">
        <v>60</v>
      </c>
      <c r="F15" s="81" t="str">
        <f>IFERROR(VLOOKUP(E15,客户!B:C,2,FALSE),"/")</f>
        <v>外送费用945人民币+装箱费用 加在发票里</v>
      </c>
      <c r="G15" s="84" t="s">
        <v>61</v>
      </c>
      <c r="H15" s="45"/>
      <c r="I15" s="45"/>
      <c r="J15" s="45"/>
      <c r="K15" s="100"/>
      <c r="L15" s="100"/>
      <c r="M15" s="101"/>
      <c r="N15" s="101"/>
      <c r="O15" s="104"/>
      <c r="P15" s="102">
        <v>99268</v>
      </c>
      <c r="Q15" s="130"/>
      <c r="R15" s="126"/>
      <c r="S15" s="127"/>
      <c r="T15" s="128">
        <v>98939</v>
      </c>
      <c r="U15" s="100"/>
      <c r="V15" s="102"/>
      <c r="W15" s="45"/>
    </row>
    <row r="16" s="39" customFormat="1" ht="22" hidden="1" customHeight="1" spans="1:23">
      <c r="A16" s="77" t="s">
        <v>62</v>
      </c>
      <c r="B16" s="78" t="s">
        <v>30</v>
      </c>
      <c r="C16" s="79"/>
      <c r="D16" s="80" t="s">
        <v>31</v>
      </c>
      <c r="E16" s="80" t="s">
        <v>60</v>
      </c>
      <c r="F16" s="81" t="str">
        <f>IFERROR(VLOOKUP(E16,客户!B:C,2,FALSE),"/")</f>
        <v>外送费用945人民币+装箱费用 加在发票里</v>
      </c>
      <c r="G16" s="80" t="s">
        <v>63</v>
      </c>
      <c r="H16" s="45"/>
      <c r="I16" s="45"/>
      <c r="J16" s="45"/>
      <c r="K16" s="100"/>
      <c r="L16" s="100"/>
      <c r="M16" s="101"/>
      <c r="N16" s="101"/>
      <c r="O16" s="104"/>
      <c r="P16" s="102">
        <v>99253.6</v>
      </c>
      <c r="Q16" s="128"/>
      <c r="R16" s="126"/>
      <c r="S16" s="127"/>
      <c r="T16" s="128">
        <v>98996</v>
      </c>
      <c r="U16" s="100"/>
      <c r="V16" s="102"/>
      <c r="W16" s="45"/>
    </row>
    <row r="17" s="39" customFormat="1" ht="22" hidden="1" customHeight="1" spans="1:23">
      <c r="A17" s="77" t="s">
        <v>64</v>
      </c>
      <c r="B17" s="78" t="s">
        <v>30</v>
      </c>
      <c r="C17" s="79"/>
      <c r="D17" s="80" t="s">
        <v>31</v>
      </c>
      <c r="E17" s="80" t="s">
        <v>65</v>
      </c>
      <c r="F17" s="81" t="str">
        <f>IFERROR(VLOOKUP(E17,客户!B:C,2,FALSE),"/")</f>
        <v>/</v>
      </c>
      <c r="G17" s="80" t="s">
        <v>33</v>
      </c>
      <c r="H17" s="45"/>
      <c r="I17" s="45"/>
      <c r="J17" s="45"/>
      <c r="K17" s="100"/>
      <c r="L17" s="100"/>
      <c r="M17" s="101"/>
      <c r="N17" s="101"/>
      <c r="O17" s="104"/>
      <c r="P17" s="102">
        <v>41030</v>
      </c>
      <c r="Q17" s="102">
        <v>11700</v>
      </c>
      <c r="R17" s="126"/>
      <c r="S17" s="127"/>
      <c r="T17" s="128">
        <f>N17-P17</f>
        <v>-41030</v>
      </c>
      <c r="U17" s="100"/>
      <c r="V17" s="102"/>
      <c r="W17" s="45"/>
    </row>
    <row r="18" s="39" customFormat="1" ht="22" hidden="1" customHeight="1" spans="1:23">
      <c r="A18" s="77" t="s">
        <v>66</v>
      </c>
      <c r="B18" s="78" t="s">
        <v>30</v>
      </c>
      <c r="C18" s="79"/>
      <c r="D18" s="80" t="s">
        <v>31</v>
      </c>
      <c r="E18" s="80" t="s">
        <v>51</v>
      </c>
      <c r="F18" s="81" t="str">
        <f>IFERROR(VLOOKUP(E18,客户!B:C,2,FALSE),"/")</f>
        <v>/</v>
      </c>
      <c r="G18" s="80" t="s">
        <v>54</v>
      </c>
      <c r="H18" s="45"/>
      <c r="I18" s="45"/>
      <c r="J18" s="45"/>
      <c r="K18" s="105"/>
      <c r="L18" s="103"/>
      <c r="M18" s="101"/>
      <c r="N18" s="101"/>
      <c r="O18" s="104"/>
      <c r="P18" s="102"/>
      <c r="Q18" s="130"/>
      <c r="R18" s="131"/>
      <c r="S18" s="132"/>
      <c r="T18" s="102"/>
      <c r="U18" s="100"/>
      <c r="V18" s="130"/>
      <c r="W18" s="45"/>
    </row>
    <row r="19" s="39" customFormat="1" ht="22" hidden="1" customHeight="1" spans="1:23">
      <c r="A19" s="77" t="s">
        <v>67</v>
      </c>
      <c r="B19" s="78" t="s">
        <v>30</v>
      </c>
      <c r="C19" s="79"/>
      <c r="D19" s="80" t="s">
        <v>31</v>
      </c>
      <c r="E19" s="80" t="s">
        <v>65</v>
      </c>
      <c r="F19" s="81" t="str">
        <f>IFERROR(VLOOKUP(E19,客户!B:C,2,FALSE),"/")</f>
        <v>/</v>
      </c>
      <c r="G19" s="80" t="s">
        <v>68</v>
      </c>
      <c r="H19" s="45"/>
      <c r="I19" s="45"/>
      <c r="J19" s="45"/>
      <c r="K19" s="100"/>
      <c r="L19" s="100"/>
      <c r="M19" s="101"/>
      <c r="N19" s="101"/>
      <c r="O19" s="104"/>
      <c r="P19" s="102">
        <v>47192.3</v>
      </c>
      <c r="Q19" s="102">
        <v>12000</v>
      </c>
      <c r="R19" s="126"/>
      <c r="S19" s="127"/>
      <c r="T19" s="128">
        <f>N19-6000</f>
        <v>-6000</v>
      </c>
      <c r="U19" s="100"/>
      <c r="V19" s="102"/>
      <c r="W19" s="45"/>
    </row>
    <row r="20" s="39" customFormat="1" ht="22" hidden="1" customHeight="1" spans="1:23">
      <c r="A20" s="77" t="s">
        <v>69</v>
      </c>
      <c r="B20" s="78" t="s">
        <v>30</v>
      </c>
      <c r="C20" s="79"/>
      <c r="D20" s="80" t="s">
        <v>31</v>
      </c>
      <c r="E20" s="80" t="s">
        <v>65</v>
      </c>
      <c r="F20" s="81" t="str">
        <f>IFERROR(VLOOKUP(E20,客户!B:C,2,FALSE),"/")</f>
        <v>/</v>
      </c>
      <c r="G20" s="80" t="s">
        <v>70</v>
      </c>
      <c r="H20" s="45"/>
      <c r="I20" s="45"/>
      <c r="J20" s="45"/>
      <c r="K20" s="100"/>
      <c r="L20" s="100"/>
      <c r="M20" s="101"/>
      <c r="N20" s="101"/>
      <c r="O20" s="104"/>
      <c r="P20" s="102">
        <v>22812.85</v>
      </c>
      <c r="Q20" s="102"/>
      <c r="R20" s="126"/>
      <c r="S20" s="127"/>
      <c r="T20" s="128">
        <f>N20-6000</f>
        <v>-6000</v>
      </c>
      <c r="U20" s="100"/>
      <c r="V20" s="102"/>
      <c r="W20" s="45"/>
    </row>
    <row r="21" s="39" customFormat="1" ht="22" hidden="1" customHeight="1" spans="1:23">
      <c r="A21" s="77" t="s">
        <v>71</v>
      </c>
      <c r="B21" s="78" t="s">
        <v>30</v>
      </c>
      <c r="C21" s="79"/>
      <c r="D21" s="80" t="s">
        <v>31</v>
      </c>
      <c r="E21" s="80" t="s">
        <v>72</v>
      </c>
      <c r="F21" s="81">
        <f>IFERROR(VLOOKUP(E21,客户!B:C,2,FALSE),"/")</f>
        <v>0</v>
      </c>
      <c r="G21" s="80" t="s">
        <v>73</v>
      </c>
      <c r="H21" s="45"/>
      <c r="I21" s="45"/>
      <c r="J21" s="45"/>
      <c r="K21" s="100"/>
      <c r="L21" s="100"/>
      <c r="M21" s="101"/>
      <c r="N21" s="101"/>
      <c r="O21" s="101"/>
      <c r="P21" s="102">
        <v>39291.5</v>
      </c>
      <c r="Q21" s="102">
        <v>5298</v>
      </c>
      <c r="R21" s="126"/>
      <c r="S21" s="127"/>
      <c r="T21" s="128">
        <f>N21-5298-2207</f>
        <v>-7505</v>
      </c>
      <c r="U21" s="100"/>
      <c r="V21" s="102"/>
      <c r="W21" s="45"/>
    </row>
    <row r="22" s="39" customFormat="1" ht="22" hidden="1" customHeight="1" spans="1:23">
      <c r="A22" s="77" t="s">
        <v>74</v>
      </c>
      <c r="B22" s="78" t="s">
        <v>30</v>
      </c>
      <c r="C22" s="79"/>
      <c r="D22" s="80" t="s">
        <v>31</v>
      </c>
      <c r="E22" s="80" t="s">
        <v>75</v>
      </c>
      <c r="F22" s="81" t="str">
        <f>IFERROR(VLOOKUP(E22,客户!B:C,2,FALSE),"/")</f>
        <v>/</v>
      </c>
      <c r="G22" s="80" t="s">
        <v>76</v>
      </c>
      <c r="H22" s="45"/>
      <c r="I22" s="45"/>
      <c r="J22" s="45"/>
      <c r="K22" s="100"/>
      <c r="L22" s="100"/>
      <c r="M22" s="101"/>
      <c r="N22" s="101"/>
      <c r="O22" s="101"/>
      <c r="P22" s="102">
        <v>41093.48</v>
      </c>
      <c r="Q22" s="102">
        <f>P22-U22</f>
        <v>41093.48</v>
      </c>
      <c r="R22" s="126"/>
      <c r="S22" s="127"/>
      <c r="T22" s="128">
        <v>31265.9</v>
      </c>
      <c r="U22" s="100"/>
      <c r="V22" s="102"/>
      <c r="W22" s="45"/>
    </row>
    <row r="23" s="39" customFormat="1" ht="22" hidden="1" customHeight="1" spans="1:23">
      <c r="A23" s="77" t="s">
        <v>77</v>
      </c>
      <c r="B23" s="78" t="s">
        <v>30</v>
      </c>
      <c r="C23" s="79"/>
      <c r="D23" s="80" t="s">
        <v>31</v>
      </c>
      <c r="E23" s="80" t="s">
        <v>75</v>
      </c>
      <c r="F23" s="81" t="str">
        <f>IFERROR(VLOOKUP(E23,客户!B:C,2,FALSE),"/")</f>
        <v>/</v>
      </c>
      <c r="G23" s="80" t="s">
        <v>54</v>
      </c>
      <c r="H23" s="45"/>
      <c r="I23" s="45"/>
      <c r="J23" s="45"/>
      <c r="K23" s="100"/>
      <c r="L23" s="100"/>
      <c r="M23" s="101"/>
      <c r="N23" s="101"/>
      <c r="O23" s="101"/>
      <c r="P23" s="102"/>
      <c r="Q23" s="102"/>
      <c r="R23" s="126"/>
      <c r="S23" s="127"/>
      <c r="T23" s="128"/>
      <c r="U23" s="100"/>
      <c r="V23" s="102"/>
      <c r="W23" s="45"/>
    </row>
    <row r="24" s="39" customFormat="1" ht="22" hidden="1" customHeight="1" spans="1:23">
      <c r="A24" s="77" t="s">
        <v>78</v>
      </c>
      <c r="B24" s="78" t="s">
        <v>30</v>
      </c>
      <c r="C24" s="79"/>
      <c r="D24" s="80" t="s">
        <v>31</v>
      </c>
      <c r="E24" s="80" t="s">
        <v>79</v>
      </c>
      <c r="F24" s="81" t="str">
        <f>IFERROR(VLOOKUP(E24,客户!B:C,2,FALSE),"/")</f>
        <v>/</v>
      </c>
      <c r="G24" s="80" t="s">
        <v>80</v>
      </c>
      <c r="H24" s="45"/>
      <c r="I24" s="45"/>
      <c r="J24" s="45"/>
      <c r="K24" s="100"/>
      <c r="L24" s="100"/>
      <c r="M24" s="101"/>
      <c r="N24" s="101"/>
      <c r="O24" s="101"/>
      <c r="P24" s="102">
        <v>24769.35</v>
      </c>
      <c r="Q24" s="102">
        <v>8294.42</v>
      </c>
      <c r="R24" s="126"/>
      <c r="S24" s="127"/>
      <c r="T24" s="128">
        <f>N24-P24</f>
        <v>-24769.35</v>
      </c>
      <c r="U24" s="100"/>
      <c r="V24" s="102"/>
      <c r="W24" s="45"/>
    </row>
    <row r="25" s="39" customFormat="1" ht="22" hidden="1" customHeight="1" spans="1:23">
      <c r="A25" s="77" t="s">
        <v>81</v>
      </c>
      <c r="B25" s="78" t="s">
        <v>30</v>
      </c>
      <c r="C25" s="79"/>
      <c r="D25" s="80" t="s">
        <v>31</v>
      </c>
      <c r="E25" s="80" t="s">
        <v>82</v>
      </c>
      <c r="F25" s="81" t="str">
        <f>IFERROR(VLOOKUP(E25,客户!B:C,2,FALSE),"/")</f>
        <v>/</v>
      </c>
      <c r="G25" s="80" t="s">
        <v>83</v>
      </c>
      <c r="H25" s="45"/>
      <c r="I25" s="45"/>
      <c r="J25" s="45"/>
      <c r="K25" s="100"/>
      <c r="L25" s="100"/>
      <c r="M25" s="101"/>
      <c r="N25" s="101"/>
      <c r="O25" s="101"/>
      <c r="P25" s="102"/>
      <c r="Q25" s="102">
        <v>1450</v>
      </c>
      <c r="R25" s="131"/>
      <c r="S25" s="132"/>
      <c r="T25" s="102"/>
      <c r="U25" s="100"/>
      <c r="V25" s="102"/>
      <c r="W25" s="45"/>
    </row>
    <row r="26" s="39" customFormat="1" ht="22" hidden="1" customHeight="1" spans="1:23">
      <c r="A26" s="77" t="s">
        <v>84</v>
      </c>
      <c r="B26" s="78" t="s">
        <v>30</v>
      </c>
      <c r="C26" s="79"/>
      <c r="D26" s="80" t="s">
        <v>31</v>
      </c>
      <c r="E26" s="80" t="s">
        <v>85</v>
      </c>
      <c r="F26" s="81" t="str">
        <f>IFERROR(VLOOKUP(E26,客户!B:C,2,FALSE),"/")</f>
        <v>/</v>
      </c>
      <c r="G26" s="80" t="s">
        <v>86</v>
      </c>
      <c r="H26" s="45"/>
      <c r="I26" s="45"/>
      <c r="J26" s="45"/>
      <c r="K26" s="100"/>
      <c r="L26" s="100"/>
      <c r="M26" s="101"/>
      <c r="N26" s="101"/>
      <c r="O26" s="101"/>
      <c r="P26" s="102"/>
      <c r="Q26" s="102">
        <v>5890</v>
      </c>
      <c r="R26" s="131"/>
      <c r="S26" s="132"/>
      <c r="T26" s="102"/>
      <c r="U26" s="100"/>
      <c r="V26" s="102"/>
      <c r="W26" s="45"/>
    </row>
    <row r="27" s="39" customFormat="1" ht="22" hidden="1" customHeight="1" spans="1:23">
      <c r="A27" s="77" t="s">
        <v>87</v>
      </c>
      <c r="B27" s="78" t="s">
        <v>30</v>
      </c>
      <c r="C27" s="79"/>
      <c r="D27" s="80" t="s">
        <v>31</v>
      </c>
      <c r="E27" s="80" t="s">
        <v>85</v>
      </c>
      <c r="F27" s="81" t="str">
        <f>IFERROR(VLOOKUP(E27,客户!B:C,2,FALSE),"/")</f>
        <v>/</v>
      </c>
      <c r="G27" s="80"/>
      <c r="H27" s="45"/>
      <c r="I27" s="45"/>
      <c r="J27" s="45"/>
      <c r="K27" s="100"/>
      <c r="L27" s="100"/>
      <c r="M27" s="101"/>
      <c r="N27" s="101"/>
      <c r="O27" s="101"/>
      <c r="P27" s="102"/>
      <c r="Q27" s="102"/>
      <c r="R27" s="131"/>
      <c r="S27" s="132"/>
      <c r="T27" s="102"/>
      <c r="U27" s="100"/>
      <c r="V27" s="102"/>
      <c r="W27" s="45"/>
    </row>
    <row r="28" s="39" customFormat="1" ht="22" hidden="1" customHeight="1" spans="1:23">
      <c r="A28" s="77" t="s">
        <v>88</v>
      </c>
      <c r="B28" s="78" t="s">
        <v>30</v>
      </c>
      <c r="C28" s="79"/>
      <c r="D28" s="80" t="s">
        <v>31</v>
      </c>
      <c r="E28" s="80" t="s">
        <v>85</v>
      </c>
      <c r="F28" s="81" t="str">
        <f>IFERROR(VLOOKUP(E28,客户!B:C,2,FALSE),"/")</f>
        <v>/</v>
      </c>
      <c r="G28" s="80"/>
      <c r="H28" s="45"/>
      <c r="I28" s="45"/>
      <c r="J28" s="45"/>
      <c r="K28" s="100"/>
      <c r="L28" s="100"/>
      <c r="M28" s="101"/>
      <c r="N28" s="101"/>
      <c r="O28" s="101"/>
      <c r="P28" s="102"/>
      <c r="Q28" s="102"/>
      <c r="R28" s="131" t="s">
        <v>89</v>
      </c>
      <c r="S28" s="132"/>
      <c r="T28" s="102"/>
      <c r="U28" s="100"/>
      <c r="V28" s="102"/>
      <c r="W28" s="45"/>
    </row>
    <row r="29" s="39" customFormat="1" ht="22" hidden="1" customHeight="1" spans="1:23">
      <c r="A29" s="77" t="s">
        <v>90</v>
      </c>
      <c r="B29" s="78" t="s">
        <v>30</v>
      </c>
      <c r="C29" s="79"/>
      <c r="D29" s="80" t="s">
        <v>31</v>
      </c>
      <c r="E29" s="80" t="s">
        <v>85</v>
      </c>
      <c r="F29" s="81" t="str">
        <f>IFERROR(VLOOKUP(E29,客户!B:C,2,FALSE),"/")</f>
        <v>/</v>
      </c>
      <c r="G29" s="80" t="s">
        <v>91</v>
      </c>
      <c r="H29" s="45"/>
      <c r="I29" s="45"/>
      <c r="J29" s="45"/>
      <c r="K29" s="100"/>
      <c r="L29" s="100"/>
      <c r="M29" s="101"/>
      <c r="N29" s="101"/>
      <c r="O29" s="101"/>
      <c r="P29" s="102"/>
      <c r="Q29" s="102"/>
      <c r="R29" s="131"/>
      <c r="S29" s="132"/>
      <c r="T29" s="102"/>
      <c r="U29" s="100"/>
      <c r="V29" s="102"/>
      <c r="W29" s="45"/>
    </row>
    <row r="30" s="39" customFormat="1" ht="22" hidden="1" customHeight="1" spans="1:23">
      <c r="A30" s="77" t="s">
        <v>92</v>
      </c>
      <c r="B30" s="78" t="s">
        <v>30</v>
      </c>
      <c r="C30" s="79"/>
      <c r="D30" s="80" t="s">
        <v>31</v>
      </c>
      <c r="E30" s="80" t="s">
        <v>72</v>
      </c>
      <c r="F30" s="81">
        <f>IFERROR(VLOOKUP(E30,客户!B:C,2,FALSE),"/")</f>
        <v>0</v>
      </c>
      <c r="G30" s="80" t="s">
        <v>93</v>
      </c>
      <c r="H30" s="45"/>
      <c r="I30" s="45"/>
      <c r="J30" s="45"/>
      <c r="K30" s="100"/>
      <c r="L30" s="100"/>
      <c r="M30" s="101"/>
      <c r="N30" s="101"/>
      <c r="O30" s="104"/>
      <c r="P30" s="102">
        <v>18968</v>
      </c>
      <c r="Q30" s="102">
        <v>6207</v>
      </c>
      <c r="R30" s="126"/>
      <c r="S30" s="127"/>
      <c r="T30" s="128">
        <f>N30-P30-130</f>
        <v>-19098</v>
      </c>
      <c r="U30" s="100"/>
      <c r="V30" s="102"/>
      <c r="W30" s="45"/>
    </row>
    <row r="31" s="39" customFormat="1" ht="22" hidden="1" customHeight="1" spans="1:23">
      <c r="A31" s="77" t="s">
        <v>94</v>
      </c>
      <c r="B31" s="78" t="s">
        <v>30</v>
      </c>
      <c r="C31" s="79"/>
      <c r="D31" s="80" t="s">
        <v>31</v>
      </c>
      <c r="E31" s="80" t="s">
        <v>95</v>
      </c>
      <c r="F31" s="81" t="str">
        <f>IFERROR(VLOOKUP(E31,客户!B:C,2,FALSE),"/")</f>
        <v>/</v>
      </c>
      <c r="G31" s="80" t="s">
        <v>83</v>
      </c>
      <c r="H31" s="45"/>
      <c r="I31" s="45"/>
      <c r="J31" s="45"/>
      <c r="K31" s="106"/>
      <c r="L31" s="103"/>
      <c r="M31" s="101"/>
      <c r="N31" s="101"/>
      <c r="O31" s="104"/>
      <c r="P31" s="107" t="s">
        <v>96</v>
      </c>
      <c r="Q31" s="102" t="s">
        <v>97</v>
      </c>
      <c r="R31" s="131"/>
      <c r="S31" s="132"/>
      <c r="T31" s="102"/>
      <c r="U31" s="100"/>
      <c r="V31" s="136"/>
      <c r="W31" s="45"/>
    </row>
    <row r="32" s="39" customFormat="1" ht="22" hidden="1" customHeight="1" spans="1:23">
      <c r="A32" s="77" t="s">
        <v>98</v>
      </c>
      <c r="B32" s="78" t="s">
        <v>30</v>
      </c>
      <c r="C32" s="79"/>
      <c r="D32" s="80" t="s">
        <v>31</v>
      </c>
      <c r="E32" s="80" t="s">
        <v>99</v>
      </c>
      <c r="F32" s="81" t="str">
        <f>IFERROR(VLOOKUP(E32,客户!B:C,2,FALSE),"/")</f>
        <v>/</v>
      </c>
      <c r="G32" s="80" t="s">
        <v>61</v>
      </c>
      <c r="H32" s="45"/>
      <c r="I32" s="45"/>
      <c r="J32" s="45"/>
      <c r="K32" s="100"/>
      <c r="L32" s="100"/>
      <c r="M32" s="101"/>
      <c r="N32" s="101"/>
      <c r="O32" s="104"/>
      <c r="P32" s="102">
        <v>106240.25</v>
      </c>
      <c r="Q32" s="130"/>
      <c r="R32" s="126"/>
      <c r="S32" s="127"/>
      <c r="T32" s="128">
        <v>105974.35</v>
      </c>
      <c r="U32" s="100"/>
      <c r="V32" s="102"/>
      <c r="W32" s="45"/>
    </row>
    <row r="33" s="39" customFormat="1" ht="22" hidden="1" customHeight="1" spans="1:23">
      <c r="A33" s="77" t="s">
        <v>100</v>
      </c>
      <c r="B33" s="78" t="s">
        <v>30</v>
      </c>
      <c r="C33" s="79"/>
      <c r="D33" s="80" t="s">
        <v>31</v>
      </c>
      <c r="E33" s="80" t="s">
        <v>99</v>
      </c>
      <c r="F33" s="81" t="str">
        <f>IFERROR(VLOOKUP(E33,客户!B:C,2,FALSE),"/")</f>
        <v>/</v>
      </c>
      <c r="G33" s="80" t="s">
        <v>61</v>
      </c>
      <c r="H33" s="45"/>
      <c r="I33" s="45"/>
      <c r="J33" s="45"/>
      <c r="K33" s="100"/>
      <c r="L33" s="100"/>
      <c r="M33" s="101"/>
      <c r="N33" s="101"/>
      <c r="O33" s="104"/>
      <c r="P33" s="102">
        <v>106240.25</v>
      </c>
      <c r="Q33" s="130"/>
      <c r="R33" s="126"/>
      <c r="S33" s="127"/>
      <c r="T33" s="128">
        <v>105974</v>
      </c>
      <c r="U33" s="100"/>
      <c r="V33" s="102"/>
      <c r="W33" s="45"/>
    </row>
    <row r="34" s="39" customFormat="1" ht="22" hidden="1" customHeight="1" spans="1:23">
      <c r="A34" s="77" t="s">
        <v>101</v>
      </c>
      <c r="B34" s="78" t="s">
        <v>30</v>
      </c>
      <c r="C34" s="79"/>
      <c r="D34" s="80" t="s">
        <v>31</v>
      </c>
      <c r="E34" s="80" t="s">
        <v>102</v>
      </c>
      <c r="F34" s="81" t="str">
        <f>IFERROR(VLOOKUP(E34,客户!B:C,2,FALSE),"/")</f>
        <v>/</v>
      </c>
      <c r="G34" s="80" t="s">
        <v>54</v>
      </c>
      <c r="H34" s="45"/>
      <c r="I34" s="45"/>
      <c r="J34" s="45"/>
      <c r="K34" s="105"/>
      <c r="L34" s="103"/>
      <c r="M34" s="101"/>
      <c r="N34" s="101"/>
      <c r="O34" s="104"/>
      <c r="P34" s="102"/>
      <c r="Q34" s="130"/>
      <c r="R34" s="131"/>
      <c r="S34" s="132"/>
      <c r="T34" s="102"/>
      <c r="U34" s="100"/>
      <c r="V34" s="130"/>
      <c r="W34" s="45"/>
    </row>
    <row r="35" s="39" customFormat="1" ht="22" hidden="1" customHeight="1" spans="1:23">
      <c r="A35" s="77" t="s">
        <v>103</v>
      </c>
      <c r="B35" s="78" t="s">
        <v>30</v>
      </c>
      <c r="C35" s="79"/>
      <c r="D35" s="80" t="s">
        <v>31</v>
      </c>
      <c r="E35" s="80" t="s">
        <v>104</v>
      </c>
      <c r="F35" s="81" t="str">
        <f>IFERROR(VLOOKUP(E35,客户!B:C,2,FALSE),"/")</f>
        <v>/</v>
      </c>
      <c r="G35" s="80" t="s">
        <v>105</v>
      </c>
      <c r="H35" s="45"/>
      <c r="I35" s="45"/>
      <c r="J35" s="45"/>
      <c r="K35" s="100"/>
      <c r="L35" s="100"/>
      <c r="M35" s="101"/>
      <c r="N35" s="101"/>
      <c r="O35" s="104"/>
      <c r="P35" s="102">
        <v>45630.65</v>
      </c>
      <c r="Q35" s="102">
        <v>13240.06</v>
      </c>
      <c r="R35" s="126"/>
      <c r="S35" s="127"/>
      <c r="T35" s="128">
        <f>N35-P35+4000</f>
        <v>-41630.65</v>
      </c>
      <c r="U35" s="100"/>
      <c r="V35" s="102"/>
      <c r="W35" s="45"/>
    </row>
    <row r="36" s="39" customFormat="1" ht="22" hidden="1" customHeight="1" spans="1:23">
      <c r="A36" s="77" t="s">
        <v>106</v>
      </c>
      <c r="B36" s="78" t="s">
        <v>30</v>
      </c>
      <c r="C36" s="79"/>
      <c r="D36" s="80" t="s">
        <v>31</v>
      </c>
      <c r="E36" s="80" t="s">
        <v>65</v>
      </c>
      <c r="F36" s="81" t="str">
        <f>IFERROR(VLOOKUP(E36,客户!B:C,2,FALSE),"/")</f>
        <v>/</v>
      </c>
      <c r="G36" s="80" t="s">
        <v>43</v>
      </c>
      <c r="H36" s="45"/>
      <c r="I36" s="45"/>
      <c r="J36" s="45"/>
      <c r="K36" s="100"/>
      <c r="L36" s="100"/>
      <c r="M36" s="101"/>
      <c r="N36" s="101"/>
      <c r="O36" s="104"/>
      <c r="P36" s="102">
        <v>22518.05</v>
      </c>
      <c r="Q36" s="130"/>
      <c r="R36" s="126"/>
      <c r="S36" s="127"/>
      <c r="T36" s="128">
        <f>N36-4000</f>
        <v>-4000</v>
      </c>
      <c r="U36" s="100"/>
      <c r="V36" s="102"/>
      <c r="W36" s="45"/>
    </row>
    <row r="37" s="39" customFormat="1" ht="22" hidden="1" customHeight="1" spans="1:23">
      <c r="A37" s="77" t="s">
        <v>107</v>
      </c>
      <c r="B37" s="78" t="s">
        <v>30</v>
      </c>
      <c r="C37" s="79"/>
      <c r="D37" s="80" t="s">
        <v>31</v>
      </c>
      <c r="E37" s="80" t="s">
        <v>108</v>
      </c>
      <c r="F37" s="81" t="str">
        <f>IFERROR(VLOOKUP(E37,客户!B:C,2,FALSE),"/")</f>
        <v>/</v>
      </c>
      <c r="G37" s="80" t="s">
        <v>109</v>
      </c>
      <c r="H37" s="45"/>
      <c r="I37" s="45"/>
      <c r="J37" s="45"/>
      <c r="K37" s="100"/>
      <c r="L37" s="100"/>
      <c r="M37" s="101"/>
      <c r="N37" s="101"/>
      <c r="O37" s="104"/>
      <c r="P37" s="102">
        <v>22635.15</v>
      </c>
      <c r="Q37" s="102">
        <v>7472</v>
      </c>
      <c r="R37" s="126"/>
      <c r="S37" s="127"/>
      <c r="T37" s="128">
        <f>N37-P37</f>
        <v>-22635.15</v>
      </c>
      <c r="U37" s="100"/>
      <c r="V37" s="102"/>
      <c r="W37" s="45"/>
    </row>
    <row r="38" s="40" customFormat="1" ht="22" hidden="1" customHeight="1" spans="1:22">
      <c r="A38" s="77" t="s">
        <v>110</v>
      </c>
      <c r="B38" s="78" t="s">
        <v>30</v>
      </c>
      <c r="C38" s="79"/>
      <c r="D38" s="80" t="s">
        <v>31</v>
      </c>
      <c r="E38" s="80" t="s">
        <v>111</v>
      </c>
      <c r="F38" s="81" t="str">
        <f>IFERROR(VLOOKUP(E38,客户!B:C,2,FALSE),"/")</f>
        <v>/</v>
      </c>
      <c r="G38" s="80" t="s">
        <v>43</v>
      </c>
      <c r="K38" s="100"/>
      <c r="L38" s="100"/>
      <c r="M38" s="108"/>
      <c r="N38" s="108"/>
      <c r="O38" s="104"/>
      <c r="P38" s="102">
        <v>23123.78</v>
      </c>
      <c r="Q38" s="102">
        <v>4877</v>
      </c>
      <c r="R38" s="137"/>
      <c r="S38" s="138"/>
      <c r="T38" s="128">
        <f>N38-P38</f>
        <v>-23123.78</v>
      </c>
      <c r="U38" s="100"/>
      <c r="V38" s="102"/>
    </row>
    <row r="39" s="39" customFormat="1" ht="22" hidden="1" customHeight="1" spans="1:23">
      <c r="A39" s="77" t="s">
        <v>112</v>
      </c>
      <c r="B39" s="78" t="s">
        <v>30</v>
      </c>
      <c r="C39" s="79"/>
      <c r="D39" s="80" t="s">
        <v>31</v>
      </c>
      <c r="E39" s="80" t="s">
        <v>102</v>
      </c>
      <c r="F39" s="81" t="str">
        <f>IFERROR(VLOOKUP(E39,客户!B:C,2,FALSE),"/")</f>
        <v>/</v>
      </c>
      <c r="G39" s="80" t="s">
        <v>43</v>
      </c>
      <c r="H39" s="45"/>
      <c r="I39" s="45"/>
      <c r="J39" s="45"/>
      <c r="K39" s="103"/>
      <c r="L39" s="103"/>
      <c r="M39" s="101"/>
      <c r="N39" s="101"/>
      <c r="O39" s="104"/>
      <c r="P39" s="102"/>
      <c r="Q39" s="102"/>
      <c r="R39" s="131"/>
      <c r="S39" s="132"/>
      <c r="T39" s="102"/>
      <c r="U39" s="100"/>
      <c r="V39" s="128"/>
      <c r="W39" s="45"/>
    </row>
    <row r="40" s="39" customFormat="1" ht="22" hidden="1" customHeight="1" spans="1:23">
      <c r="A40" s="77" t="s">
        <v>113</v>
      </c>
      <c r="B40" s="78" t="s">
        <v>30</v>
      </c>
      <c r="C40" s="79"/>
      <c r="D40" s="80" t="s">
        <v>31</v>
      </c>
      <c r="E40" s="80" t="s">
        <v>102</v>
      </c>
      <c r="F40" s="81" t="str">
        <f>IFERROR(VLOOKUP(E40,客户!B:C,2,FALSE),"/")</f>
        <v>/</v>
      </c>
      <c r="G40" s="80" t="s">
        <v>43</v>
      </c>
      <c r="H40" s="45"/>
      <c r="I40" s="45"/>
      <c r="J40" s="45"/>
      <c r="K40" s="103"/>
      <c r="L40" s="103"/>
      <c r="M40" s="101"/>
      <c r="N40" s="101"/>
      <c r="O40" s="104"/>
      <c r="P40" s="102"/>
      <c r="Q40" s="102"/>
      <c r="R40" s="131"/>
      <c r="S40" s="132"/>
      <c r="T40" s="102"/>
      <c r="U40" s="100"/>
      <c r="V40" s="128"/>
      <c r="W40" s="45"/>
    </row>
    <row r="41" s="39" customFormat="1" ht="22" hidden="1" customHeight="1" spans="1:23">
      <c r="A41" s="77" t="s">
        <v>114</v>
      </c>
      <c r="B41" s="78" t="s">
        <v>30</v>
      </c>
      <c r="C41" s="79"/>
      <c r="D41" s="80" t="s">
        <v>31</v>
      </c>
      <c r="E41" s="80" t="s">
        <v>115</v>
      </c>
      <c r="F41" s="81" t="str">
        <f>IFERROR(VLOOKUP(E41,客户!B:C,2,FALSE),"/")</f>
        <v>/</v>
      </c>
      <c r="G41" s="80" t="s">
        <v>116</v>
      </c>
      <c r="H41" s="45"/>
      <c r="I41" s="45"/>
      <c r="J41" s="45"/>
      <c r="K41" s="100"/>
      <c r="L41" s="100"/>
      <c r="M41" s="101"/>
      <c r="N41" s="101"/>
      <c r="O41" s="104"/>
      <c r="P41" s="102">
        <v>85789.65</v>
      </c>
      <c r="Q41" s="102">
        <v>12000</v>
      </c>
      <c r="R41" s="126"/>
      <c r="S41" s="127"/>
      <c r="T41" s="128">
        <f>(N41-P41)*6.55</f>
        <v>-561922.2075</v>
      </c>
      <c r="U41" s="100"/>
      <c r="V41" s="102"/>
      <c r="W41" s="45"/>
    </row>
    <row r="42" s="39" customFormat="1" ht="22" hidden="1" customHeight="1" spans="1:23">
      <c r="A42" s="77" t="s">
        <v>117</v>
      </c>
      <c r="B42" s="78" t="s">
        <v>30</v>
      </c>
      <c r="C42" s="79"/>
      <c r="D42" s="80" t="s">
        <v>31</v>
      </c>
      <c r="E42" s="80" t="s">
        <v>99</v>
      </c>
      <c r="F42" s="81" t="str">
        <f>IFERROR(VLOOKUP(E42,客户!B:C,2,FALSE),"/")</f>
        <v>/</v>
      </c>
      <c r="G42" s="80" t="s">
        <v>118</v>
      </c>
      <c r="H42" s="45"/>
      <c r="I42" s="45"/>
      <c r="J42" s="45"/>
      <c r="K42" s="100"/>
      <c r="L42" s="100"/>
      <c r="M42" s="101"/>
      <c r="N42" s="101"/>
      <c r="O42" s="104"/>
      <c r="P42" s="102">
        <v>107758</v>
      </c>
      <c r="Q42" s="102">
        <f>P42-U42</f>
        <v>107758</v>
      </c>
      <c r="R42" s="126"/>
      <c r="S42" s="127"/>
      <c r="T42" s="128">
        <v>107489.8</v>
      </c>
      <c r="U42" s="100"/>
      <c r="V42" s="102"/>
      <c r="W42" s="45"/>
    </row>
    <row r="43" s="39" customFormat="1" ht="22" hidden="1" customHeight="1" spans="1:23">
      <c r="A43" s="77" t="s">
        <v>119</v>
      </c>
      <c r="B43" s="78" t="s">
        <v>30</v>
      </c>
      <c r="C43" s="79"/>
      <c r="D43" s="80" t="s">
        <v>31</v>
      </c>
      <c r="E43" s="80" t="s">
        <v>99</v>
      </c>
      <c r="F43" s="81" t="str">
        <f>IFERROR(VLOOKUP(E43,客户!B:C,2,FALSE),"/")</f>
        <v>/</v>
      </c>
      <c r="G43" s="80" t="s">
        <v>118</v>
      </c>
      <c r="H43" s="45"/>
      <c r="I43" s="45"/>
      <c r="J43" s="45"/>
      <c r="K43" s="100"/>
      <c r="L43" s="100"/>
      <c r="M43" s="101"/>
      <c r="N43" s="101"/>
      <c r="O43" s="104"/>
      <c r="P43" s="102">
        <v>107706.2</v>
      </c>
      <c r="Q43" s="102">
        <v>4291.42</v>
      </c>
      <c r="R43" s="126"/>
      <c r="S43" s="127"/>
      <c r="T43" s="128">
        <f>N43-P43</f>
        <v>-107706.2</v>
      </c>
      <c r="U43" s="100"/>
      <c r="V43" s="102"/>
      <c r="W43" s="45"/>
    </row>
    <row r="44" s="39" customFormat="1" ht="22" hidden="1" customHeight="1" spans="1:23">
      <c r="A44" s="77" t="s">
        <v>120</v>
      </c>
      <c r="B44" s="78" t="s">
        <v>30</v>
      </c>
      <c r="C44" s="79"/>
      <c r="D44" s="80" t="s">
        <v>31</v>
      </c>
      <c r="E44" s="80" t="s">
        <v>121</v>
      </c>
      <c r="F44" s="81" t="str">
        <f>IFERROR(VLOOKUP(E44,客户!B:C,2,FALSE),"/")</f>
        <v>/</v>
      </c>
      <c r="G44" s="80" t="s">
        <v>122</v>
      </c>
      <c r="H44" s="45" t="s">
        <v>123</v>
      </c>
      <c r="I44" s="45"/>
      <c r="J44" s="45"/>
      <c r="K44" s="100"/>
      <c r="L44" s="100"/>
      <c r="M44" s="101"/>
      <c r="N44" s="101"/>
      <c r="O44" s="104"/>
      <c r="P44" s="102">
        <v>22815.53</v>
      </c>
      <c r="Q44" s="102">
        <f>P44-U44</f>
        <v>22815.53</v>
      </c>
      <c r="R44" s="126"/>
      <c r="S44" s="127"/>
      <c r="T44" s="128">
        <v>17155</v>
      </c>
      <c r="U44" s="100"/>
      <c r="V44" s="102"/>
      <c r="W44" s="45"/>
    </row>
    <row r="45" s="39" customFormat="1" ht="22" hidden="1" customHeight="1" spans="1:23">
      <c r="A45" s="77" t="s">
        <v>124</v>
      </c>
      <c r="B45" s="78" t="s">
        <v>30</v>
      </c>
      <c r="C45" s="79"/>
      <c r="D45" s="80" t="s">
        <v>31</v>
      </c>
      <c r="E45" s="80" t="s">
        <v>125</v>
      </c>
      <c r="F45" s="81" t="str">
        <f>IFERROR(VLOOKUP(E45,客户!B:C,2,FALSE),"/")</f>
        <v>/</v>
      </c>
      <c r="G45" s="80" t="s">
        <v>126</v>
      </c>
      <c r="H45" s="45" t="s">
        <v>127</v>
      </c>
      <c r="I45" s="45"/>
      <c r="J45" s="45"/>
      <c r="K45" s="100"/>
      <c r="L45" s="100"/>
      <c r="M45" s="101"/>
      <c r="N45" s="101"/>
      <c r="O45" s="104"/>
      <c r="P45" s="102">
        <v>89760</v>
      </c>
      <c r="Q45" s="102">
        <v>26000</v>
      </c>
      <c r="R45" s="126"/>
      <c r="S45" s="127"/>
      <c r="T45" s="128">
        <f>N45-P45</f>
        <v>-89760</v>
      </c>
      <c r="U45" s="100"/>
      <c r="V45" s="102"/>
      <c r="W45" s="45"/>
    </row>
    <row r="46" s="39" customFormat="1" ht="22" hidden="1" customHeight="1" spans="1:23">
      <c r="A46" s="77" t="s">
        <v>128</v>
      </c>
      <c r="B46" s="78" t="s">
        <v>30</v>
      </c>
      <c r="C46" s="79"/>
      <c r="D46" s="80" t="s">
        <v>31</v>
      </c>
      <c r="E46" s="80" t="s">
        <v>102</v>
      </c>
      <c r="F46" s="81" t="str">
        <f>IFERROR(VLOOKUP(E46,客户!B:C,2,FALSE),"/")</f>
        <v>/</v>
      </c>
      <c r="G46" s="80" t="s">
        <v>129</v>
      </c>
      <c r="H46" s="45" t="s">
        <v>123</v>
      </c>
      <c r="I46" s="45"/>
      <c r="J46" s="45"/>
      <c r="K46" s="105"/>
      <c r="L46" s="103"/>
      <c r="M46" s="101"/>
      <c r="N46" s="101"/>
      <c r="O46" s="104"/>
      <c r="P46" s="102"/>
      <c r="Q46" s="102"/>
      <c r="R46" s="131"/>
      <c r="S46" s="132"/>
      <c r="T46" s="102"/>
      <c r="U46" s="100"/>
      <c r="V46" s="130"/>
      <c r="W46" s="45"/>
    </row>
    <row r="47" s="39" customFormat="1" ht="22" hidden="1" customHeight="1" spans="1:23">
      <c r="A47" s="77" t="s">
        <v>130</v>
      </c>
      <c r="B47" s="78" t="s">
        <v>30</v>
      </c>
      <c r="C47" s="79"/>
      <c r="D47" s="80" t="s">
        <v>31</v>
      </c>
      <c r="E47" s="80" t="s">
        <v>102</v>
      </c>
      <c r="F47" s="81" t="str">
        <f>IFERROR(VLOOKUP(E47,客户!B:C,2,FALSE),"/")</f>
        <v>/</v>
      </c>
      <c r="G47" s="80" t="s">
        <v>129</v>
      </c>
      <c r="H47" s="45" t="s">
        <v>123</v>
      </c>
      <c r="I47" s="45"/>
      <c r="J47" s="45"/>
      <c r="K47" s="105"/>
      <c r="L47" s="103"/>
      <c r="M47" s="101"/>
      <c r="N47" s="101"/>
      <c r="O47" s="104"/>
      <c r="P47" s="102"/>
      <c r="Q47" s="102"/>
      <c r="R47" s="131"/>
      <c r="S47" s="132"/>
      <c r="T47" s="102"/>
      <c r="U47" s="100"/>
      <c r="V47" s="130"/>
      <c r="W47" s="45"/>
    </row>
    <row r="48" s="39" customFormat="1" ht="22" hidden="1" customHeight="1" spans="1:23">
      <c r="A48" s="77" t="s">
        <v>131</v>
      </c>
      <c r="B48" s="78" t="s">
        <v>30</v>
      </c>
      <c r="C48" s="79"/>
      <c r="D48" s="80" t="s">
        <v>31</v>
      </c>
      <c r="E48" s="80" t="s">
        <v>132</v>
      </c>
      <c r="F48" s="81" t="str">
        <f>IFERROR(VLOOKUP(E48,客户!B:C,2,FALSE),"/")</f>
        <v>/</v>
      </c>
      <c r="G48" s="80" t="s">
        <v>133</v>
      </c>
      <c r="H48" s="45" t="s">
        <v>123</v>
      </c>
      <c r="I48" s="45"/>
      <c r="J48" s="45"/>
      <c r="K48" s="100"/>
      <c r="L48" s="100"/>
      <c r="M48" s="101"/>
      <c r="N48" s="101"/>
      <c r="O48" s="104"/>
      <c r="P48" s="102">
        <v>84405.6</v>
      </c>
      <c r="Q48" s="102"/>
      <c r="R48" s="126"/>
      <c r="S48" s="127"/>
      <c r="T48" s="128">
        <f>N48-P48</f>
        <v>-84405.6</v>
      </c>
      <c r="U48" s="100"/>
      <c r="V48" s="102"/>
      <c r="W48" s="45"/>
    </row>
    <row r="49" s="39" customFormat="1" ht="22" hidden="1" customHeight="1" spans="1:23">
      <c r="A49" s="77" t="s">
        <v>134</v>
      </c>
      <c r="B49" s="78" t="s">
        <v>30</v>
      </c>
      <c r="C49" s="79"/>
      <c r="D49" s="80" t="s">
        <v>31</v>
      </c>
      <c r="E49" s="80" t="s">
        <v>135</v>
      </c>
      <c r="F49" s="81" t="str">
        <f>IFERROR(VLOOKUP(E49,客户!B:C,2,FALSE),"/")</f>
        <v>/</v>
      </c>
      <c r="G49" s="80" t="s">
        <v>136</v>
      </c>
      <c r="H49" s="45" t="s">
        <v>123</v>
      </c>
      <c r="I49" s="45"/>
      <c r="J49" s="45"/>
      <c r="K49" s="100"/>
      <c r="L49" s="100"/>
      <c r="M49" s="101"/>
      <c r="N49" s="101"/>
      <c r="O49" s="104"/>
      <c r="P49" s="102">
        <v>19447.75</v>
      </c>
      <c r="Q49" s="102">
        <v>5801</v>
      </c>
      <c r="R49" s="126"/>
      <c r="S49" s="127"/>
      <c r="T49" s="128">
        <f>N49-P49</f>
        <v>-19447.75</v>
      </c>
      <c r="U49" s="100"/>
      <c r="V49" s="102"/>
      <c r="W49" s="45"/>
    </row>
    <row r="50" s="39" customFormat="1" ht="22" hidden="1" customHeight="1" spans="1:23">
      <c r="A50" s="77" t="s">
        <v>137</v>
      </c>
      <c r="B50" s="78" t="s">
        <v>30</v>
      </c>
      <c r="C50" s="79"/>
      <c r="D50" s="80" t="s">
        <v>31</v>
      </c>
      <c r="E50" s="80" t="s">
        <v>121</v>
      </c>
      <c r="F50" s="81" t="str">
        <f>IFERROR(VLOOKUP(E50,客户!B:C,2,FALSE),"/")</f>
        <v>/</v>
      </c>
      <c r="G50" s="80" t="s">
        <v>122</v>
      </c>
      <c r="H50" s="45" t="s">
        <v>123</v>
      </c>
      <c r="I50" s="45"/>
      <c r="J50" s="45"/>
      <c r="K50" s="100"/>
      <c r="L50" s="100"/>
      <c r="M50" s="101"/>
      <c r="N50" s="101"/>
      <c r="O50" s="104"/>
      <c r="P50" s="102">
        <v>23939.58</v>
      </c>
      <c r="Q50" s="139">
        <f>P50-U50</f>
        <v>23939.58</v>
      </c>
      <c r="R50" s="126"/>
      <c r="S50" s="127"/>
      <c r="T50" s="128">
        <v>17958</v>
      </c>
      <c r="U50" s="100"/>
      <c r="V50" s="102"/>
      <c r="W50" s="45"/>
    </row>
    <row r="51" s="39" customFormat="1" ht="22" hidden="1" customHeight="1" spans="1:23">
      <c r="A51" s="77" t="s">
        <v>138</v>
      </c>
      <c r="B51" s="78" t="s">
        <v>30</v>
      </c>
      <c r="C51" s="79"/>
      <c r="D51" s="80" t="s">
        <v>31</v>
      </c>
      <c r="E51" s="80" t="s">
        <v>139</v>
      </c>
      <c r="F51" s="81" t="str">
        <f>IFERROR(VLOOKUP(E51,客户!B:C,2,FALSE),"/")</f>
        <v>/</v>
      </c>
      <c r="G51" s="80" t="s">
        <v>140</v>
      </c>
      <c r="H51" s="45" t="s">
        <v>123</v>
      </c>
      <c r="I51" s="45"/>
      <c r="J51" s="45"/>
      <c r="K51" s="100"/>
      <c r="L51" s="100"/>
      <c r="M51" s="109"/>
      <c r="N51" s="110"/>
      <c r="O51" s="104"/>
      <c r="P51" s="102">
        <v>45771.4</v>
      </c>
      <c r="Q51" s="102">
        <v>13697</v>
      </c>
      <c r="R51" s="126"/>
      <c r="S51" s="127"/>
      <c r="T51" s="128">
        <f>N51-P51</f>
        <v>-45771.4</v>
      </c>
      <c r="U51" s="100"/>
      <c r="V51" s="102"/>
      <c r="W51" s="45"/>
    </row>
    <row r="52" s="39" customFormat="1" ht="22" hidden="1" customHeight="1" spans="1:23">
      <c r="A52" s="77" t="s">
        <v>141</v>
      </c>
      <c r="B52" s="78" t="s">
        <v>30</v>
      </c>
      <c r="C52" s="79"/>
      <c r="D52" s="80" t="s">
        <v>31</v>
      </c>
      <c r="E52" s="80" t="s">
        <v>125</v>
      </c>
      <c r="F52" s="81" t="str">
        <f>IFERROR(VLOOKUP(E52,客户!B:C,2,FALSE),"/")</f>
        <v>/</v>
      </c>
      <c r="G52" s="80" t="s">
        <v>126</v>
      </c>
      <c r="H52" s="45" t="s">
        <v>127</v>
      </c>
      <c r="I52" s="45"/>
      <c r="J52" s="45"/>
      <c r="K52" s="100"/>
      <c r="L52" s="100"/>
      <c r="M52" s="101"/>
      <c r="N52" s="101"/>
      <c r="O52" s="104"/>
      <c r="P52" s="102">
        <v>89849.4</v>
      </c>
      <c r="Q52" s="102">
        <v>26000</v>
      </c>
      <c r="R52" s="126"/>
      <c r="S52" s="127"/>
      <c r="T52" s="128">
        <f>N52-P52</f>
        <v>-89849.4</v>
      </c>
      <c r="U52" s="100"/>
      <c r="V52" s="102"/>
      <c r="W52" s="45"/>
    </row>
    <row r="53" s="39" customFormat="1" ht="22" hidden="1" customHeight="1" spans="1:23">
      <c r="A53" s="77" t="s">
        <v>142</v>
      </c>
      <c r="B53" s="78" t="s">
        <v>30</v>
      </c>
      <c r="C53" s="79"/>
      <c r="D53" s="80" t="s">
        <v>31</v>
      </c>
      <c r="E53" s="80" t="s">
        <v>111</v>
      </c>
      <c r="F53" s="81" t="str">
        <f>IFERROR(VLOOKUP(E53,客户!B:C,2,FALSE),"/")</f>
        <v>/</v>
      </c>
      <c r="G53" s="80" t="s">
        <v>129</v>
      </c>
      <c r="H53" s="45" t="s">
        <v>123</v>
      </c>
      <c r="I53" s="45"/>
      <c r="J53" s="45"/>
      <c r="K53" s="111"/>
      <c r="L53" s="100"/>
      <c r="M53" s="112"/>
      <c r="N53" s="112"/>
      <c r="O53" s="104"/>
      <c r="P53" s="113">
        <v>22783.18</v>
      </c>
      <c r="Q53" s="113">
        <v>6000</v>
      </c>
      <c r="R53" s="126"/>
      <c r="S53" s="127"/>
      <c r="T53" s="128">
        <f>N53-4277</f>
        <v>-4277</v>
      </c>
      <c r="U53" s="100"/>
      <c r="V53" s="113"/>
      <c r="W53" s="45"/>
    </row>
    <row r="54" s="39" customFormat="1" ht="22" hidden="1" customHeight="1" spans="1:23">
      <c r="A54" s="77" t="s">
        <v>143</v>
      </c>
      <c r="B54" s="78" t="s">
        <v>30</v>
      </c>
      <c r="C54" s="79"/>
      <c r="D54" s="80" t="s">
        <v>31</v>
      </c>
      <c r="E54" s="80" t="s">
        <v>102</v>
      </c>
      <c r="F54" s="81" t="str">
        <f>IFERROR(VLOOKUP(E54,客户!B:C,2,FALSE),"/")</f>
        <v>/</v>
      </c>
      <c r="G54" s="80" t="s">
        <v>129</v>
      </c>
      <c r="H54" s="45" t="s">
        <v>123</v>
      </c>
      <c r="I54" s="45"/>
      <c r="J54" s="45"/>
      <c r="K54" s="114"/>
      <c r="L54" s="103"/>
      <c r="M54" s="112"/>
      <c r="N54" s="112"/>
      <c r="O54" s="104"/>
      <c r="P54" s="113"/>
      <c r="Q54" s="113"/>
      <c r="R54" s="131"/>
      <c r="S54" s="132"/>
      <c r="T54" s="102"/>
      <c r="U54" s="100"/>
      <c r="V54" s="140"/>
      <c r="W54" s="45"/>
    </row>
    <row r="55" s="39" customFormat="1" ht="22" hidden="1" customHeight="1" spans="1:23">
      <c r="A55" s="77" t="s">
        <v>144</v>
      </c>
      <c r="B55" s="78" t="s">
        <v>30</v>
      </c>
      <c r="C55" s="79"/>
      <c r="D55" s="80" t="s">
        <v>31</v>
      </c>
      <c r="E55" s="80" t="s">
        <v>145</v>
      </c>
      <c r="F55" s="81" t="str">
        <f>IFERROR(VLOOKUP(E55,客户!B:C,2,FALSE),"/")</f>
        <v>/</v>
      </c>
      <c r="G55" s="80" t="s">
        <v>129</v>
      </c>
      <c r="H55" s="45" t="s">
        <v>123</v>
      </c>
      <c r="I55" s="45"/>
      <c r="J55" s="45"/>
      <c r="K55" s="111"/>
      <c r="L55" s="100"/>
      <c r="M55" s="112"/>
      <c r="N55" s="112"/>
      <c r="O55" s="104"/>
      <c r="P55" s="113">
        <v>23088.73</v>
      </c>
      <c r="Q55" s="113">
        <v>6761</v>
      </c>
      <c r="R55" s="126"/>
      <c r="S55" s="127"/>
      <c r="T55" s="128">
        <f>N55-P55</f>
        <v>-23088.73</v>
      </c>
      <c r="U55" s="100"/>
      <c r="V55" s="113"/>
      <c r="W55" s="45"/>
    </row>
    <row r="56" s="39" customFormat="1" ht="22" hidden="1" customHeight="1" spans="1:23">
      <c r="A56" s="77" t="s">
        <v>146</v>
      </c>
      <c r="B56" s="78" t="s">
        <v>30</v>
      </c>
      <c r="C56" s="79"/>
      <c r="D56" s="80" t="s">
        <v>31</v>
      </c>
      <c r="E56" s="80" t="s">
        <v>99</v>
      </c>
      <c r="F56" s="81" t="str">
        <f>IFERROR(VLOOKUP(E56,客户!B:C,2,FALSE),"/")</f>
        <v>/</v>
      </c>
      <c r="G56" s="80" t="s">
        <v>118</v>
      </c>
      <c r="H56" s="45" t="s">
        <v>147</v>
      </c>
      <c r="I56" s="45"/>
      <c r="J56" s="45"/>
      <c r="K56" s="111"/>
      <c r="L56" s="100"/>
      <c r="M56" s="112"/>
      <c r="N56" s="112"/>
      <c r="O56" s="104"/>
      <c r="P56" s="113"/>
      <c r="Q56" s="113"/>
      <c r="R56" s="126"/>
      <c r="S56" s="127"/>
      <c r="T56" s="128">
        <v>109029.47</v>
      </c>
      <c r="U56" s="100"/>
      <c r="V56" s="113"/>
      <c r="W56" s="45"/>
    </row>
    <row r="57" s="39" customFormat="1" ht="22" hidden="1" customHeight="1" spans="1:23">
      <c r="A57" s="77" t="s">
        <v>148</v>
      </c>
      <c r="B57" s="78" t="s">
        <v>30</v>
      </c>
      <c r="C57" s="79"/>
      <c r="D57" s="80" t="s">
        <v>31</v>
      </c>
      <c r="E57" s="80" t="s">
        <v>99</v>
      </c>
      <c r="F57" s="81" t="str">
        <f>IFERROR(VLOOKUP(E57,客户!B:C,2,FALSE),"/")</f>
        <v>/</v>
      </c>
      <c r="G57" s="80" t="s">
        <v>118</v>
      </c>
      <c r="H57" s="45" t="s">
        <v>147</v>
      </c>
      <c r="I57" s="45"/>
      <c r="J57" s="45"/>
      <c r="K57" s="114"/>
      <c r="L57" s="103"/>
      <c r="M57" s="112"/>
      <c r="N57" s="112"/>
      <c r="O57" s="104"/>
      <c r="P57" s="113"/>
      <c r="Q57" s="113"/>
      <c r="R57" s="131"/>
      <c r="S57" s="132"/>
      <c r="T57" s="102"/>
      <c r="U57" s="100"/>
      <c r="V57" s="140"/>
      <c r="W57" s="45"/>
    </row>
    <row r="58" s="39" customFormat="1" ht="22" hidden="1" customHeight="1" spans="1:23">
      <c r="A58" s="85" t="s">
        <v>149</v>
      </c>
      <c r="B58" s="78" t="s">
        <v>30</v>
      </c>
      <c r="C58" s="79"/>
      <c r="D58" s="80" t="s">
        <v>31</v>
      </c>
      <c r="E58" s="80" t="s">
        <v>99</v>
      </c>
      <c r="F58" s="81" t="str">
        <f>IFERROR(VLOOKUP(E58,客户!B:C,2,FALSE),"/")</f>
        <v>/</v>
      </c>
      <c r="G58" s="80" t="s">
        <v>118</v>
      </c>
      <c r="H58" s="45" t="s">
        <v>147</v>
      </c>
      <c r="I58" s="45"/>
      <c r="J58" s="45"/>
      <c r="K58" s="114"/>
      <c r="L58" s="103"/>
      <c r="M58" s="115"/>
      <c r="N58" s="115"/>
      <c r="O58" s="104"/>
      <c r="P58" s="112"/>
      <c r="Q58" s="113"/>
      <c r="R58" s="126"/>
      <c r="S58" s="127"/>
      <c r="T58" s="128" t="s">
        <v>150</v>
      </c>
      <c r="U58" s="100"/>
      <c r="V58" s="140"/>
      <c r="W58" s="45"/>
    </row>
    <row r="59" s="39" customFormat="1" ht="22" hidden="1" customHeight="1" spans="1:23">
      <c r="A59" s="77" t="s">
        <v>151</v>
      </c>
      <c r="B59" s="78" t="s">
        <v>30</v>
      </c>
      <c r="C59" s="79"/>
      <c r="D59" s="80" t="s">
        <v>31</v>
      </c>
      <c r="E59" s="80" t="s">
        <v>152</v>
      </c>
      <c r="F59" s="81" t="str">
        <f>IFERROR(VLOOKUP(E59,客户!B:C,2,FALSE),"/")</f>
        <v>/</v>
      </c>
      <c r="G59" s="80" t="s">
        <v>153</v>
      </c>
      <c r="H59" s="45" t="s">
        <v>154</v>
      </c>
      <c r="I59" s="45"/>
      <c r="J59" s="45"/>
      <c r="K59" s="111"/>
      <c r="L59" s="100"/>
      <c r="M59" s="112"/>
      <c r="N59" s="112"/>
      <c r="O59" s="104"/>
      <c r="P59" s="113">
        <v>21186.17</v>
      </c>
      <c r="Q59" s="113">
        <v>3000</v>
      </c>
      <c r="R59" s="126"/>
      <c r="S59" s="127"/>
      <c r="T59" s="128">
        <f>N59-P59</f>
        <v>-21186.17</v>
      </c>
      <c r="U59" s="100"/>
      <c r="V59" s="113"/>
      <c r="W59" s="45"/>
    </row>
    <row r="60" s="39" customFormat="1" ht="22" hidden="1" customHeight="1" spans="1:23">
      <c r="A60" s="77" t="s">
        <v>155</v>
      </c>
      <c r="B60" s="78" t="s">
        <v>30</v>
      </c>
      <c r="C60" s="79"/>
      <c r="D60" s="80" t="s">
        <v>31</v>
      </c>
      <c r="E60" s="80" t="s">
        <v>156</v>
      </c>
      <c r="F60" s="81" t="str">
        <f>IFERROR(VLOOKUP(E60,客户!B:C,2,FALSE),"/")</f>
        <v>/</v>
      </c>
      <c r="G60" s="80" t="s">
        <v>133</v>
      </c>
      <c r="H60" s="45" t="s">
        <v>154</v>
      </c>
      <c r="I60" s="45"/>
      <c r="J60" s="45"/>
      <c r="K60" s="111"/>
      <c r="L60" s="100"/>
      <c r="M60" s="116"/>
      <c r="N60" s="116"/>
      <c r="O60" s="104"/>
      <c r="P60" s="113">
        <v>93930</v>
      </c>
      <c r="Q60" s="113">
        <v>12000</v>
      </c>
      <c r="R60" s="126"/>
      <c r="S60" s="127"/>
      <c r="T60" s="128">
        <f>N60-P60</f>
        <v>-93930</v>
      </c>
      <c r="U60" s="100"/>
      <c r="V60" s="113"/>
      <c r="W60" s="45"/>
    </row>
    <row r="61" s="39" customFormat="1" ht="22" hidden="1" customHeight="1" spans="1:23">
      <c r="A61" s="77" t="s">
        <v>157</v>
      </c>
      <c r="B61" s="78" t="s">
        <v>30</v>
      </c>
      <c r="C61" s="79"/>
      <c r="D61" s="80" t="s">
        <v>31</v>
      </c>
      <c r="E61" s="80" t="s">
        <v>158</v>
      </c>
      <c r="F61" s="81" t="str">
        <f>IFERROR(VLOOKUP(E61,客户!B:C,2,FALSE),"/")</f>
        <v>/</v>
      </c>
      <c r="G61" s="80" t="s">
        <v>122</v>
      </c>
      <c r="H61" s="45" t="s">
        <v>154</v>
      </c>
      <c r="I61" s="45"/>
      <c r="J61" s="45"/>
      <c r="K61" s="111"/>
      <c r="L61" s="100"/>
      <c r="M61" s="116"/>
      <c r="N61" s="116"/>
      <c r="O61" s="104"/>
      <c r="P61" s="113">
        <v>49973.43</v>
      </c>
      <c r="Q61" s="113">
        <v>5100</v>
      </c>
      <c r="R61" s="126"/>
      <c r="S61" s="127"/>
      <c r="T61" s="128">
        <f>N61-5100-4500</f>
        <v>-9600</v>
      </c>
      <c r="U61" s="100"/>
      <c r="V61" s="113"/>
      <c r="W61" s="45"/>
    </row>
    <row r="62" s="39" customFormat="1" ht="22" hidden="1" customHeight="1" spans="1:23">
      <c r="A62" s="77" t="s">
        <v>159</v>
      </c>
      <c r="B62" s="78" t="s">
        <v>30</v>
      </c>
      <c r="C62" s="79"/>
      <c r="D62" s="80" t="s">
        <v>31</v>
      </c>
      <c r="E62" s="80" t="s">
        <v>158</v>
      </c>
      <c r="F62" s="81" t="str">
        <f>IFERROR(VLOOKUP(E62,客户!B:C,2,FALSE),"/")</f>
        <v>/</v>
      </c>
      <c r="G62" s="80" t="s">
        <v>122</v>
      </c>
      <c r="H62" s="45" t="s">
        <v>154</v>
      </c>
      <c r="I62" s="45"/>
      <c r="J62" s="45"/>
      <c r="K62" s="111"/>
      <c r="L62" s="100"/>
      <c r="M62" s="116"/>
      <c r="N62" s="116"/>
      <c r="O62" s="104"/>
      <c r="P62" s="113"/>
      <c r="Q62" s="113">
        <v>4500</v>
      </c>
      <c r="R62" s="126"/>
      <c r="S62" s="127"/>
      <c r="T62" s="128"/>
      <c r="U62" s="100"/>
      <c r="V62" s="113"/>
      <c r="W62" s="45"/>
    </row>
    <row r="63" s="39" customFormat="1" ht="22" hidden="1" customHeight="1" spans="1:23">
      <c r="A63" s="77" t="s">
        <v>160</v>
      </c>
      <c r="B63" s="78" t="s">
        <v>30</v>
      </c>
      <c r="C63" s="79"/>
      <c r="D63" s="80" t="s">
        <v>31</v>
      </c>
      <c r="E63" s="80" t="s">
        <v>125</v>
      </c>
      <c r="F63" s="81" t="str">
        <f>IFERROR(VLOOKUP(E63,客户!B:C,2,FALSE),"/")</f>
        <v>/</v>
      </c>
      <c r="G63" s="80" t="s">
        <v>161</v>
      </c>
      <c r="H63" s="45" t="s">
        <v>127</v>
      </c>
      <c r="I63" s="45"/>
      <c r="J63" s="45"/>
      <c r="K63" s="111"/>
      <c r="L63" s="100"/>
      <c r="M63" s="116"/>
      <c r="N63" s="116"/>
      <c r="O63" s="104"/>
      <c r="P63" s="113">
        <v>116700</v>
      </c>
      <c r="Q63" s="113">
        <v>25000</v>
      </c>
      <c r="R63" s="126"/>
      <c r="S63" s="127"/>
      <c r="T63" s="128">
        <f>N63-25000</f>
        <v>-25000</v>
      </c>
      <c r="U63" s="100"/>
      <c r="V63" s="113"/>
      <c r="W63" s="45"/>
    </row>
    <row r="64" s="39" customFormat="1" ht="22" hidden="1" customHeight="1" spans="1:23">
      <c r="A64" s="77" t="s">
        <v>162</v>
      </c>
      <c r="B64" s="78" t="s">
        <v>30</v>
      </c>
      <c r="C64" s="79"/>
      <c r="D64" s="80" t="s">
        <v>31</v>
      </c>
      <c r="E64" s="80" t="s">
        <v>125</v>
      </c>
      <c r="F64" s="81" t="str">
        <f>IFERROR(VLOOKUP(E64,客户!B:C,2,FALSE),"/")</f>
        <v>/</v>
      </c>
      <c r="G64" s="80" t="s">
        <v>161</v>
      </c>
      <c r="H64" s="45" t="s">
        <v>127</v>
      </c>
      <c r="I64" s="45"/>
      <c r="J64" s="45"/>
      <c r="K64" s="111"/>
      <c r="L64" s="100"/>
      <c r="M64" s="112"/>
      <c r="N64" s="112"/>
      <c r="O64" s="104"/>
      <c r="P64" s="113">
        <v>117662</v>
      </c>
      <c r="Q64" s="113">
        <v>25000</v>
      </c>
      <c r="R64" s="126"/>
      <c r="S64" s="127"/>
      <c r="T64" s="128">
        <v>50000</v>
      </c>
      <c r="U64" s="100"/>
      <c r="V64" s="113"/>
      <c r="W64" s="45"/>
    </row>
    <row r="65" s="41" customFormat="1" ht="22" hidden="1" customHeight="1" spans="1:23">
      <c r="A65" s="141" t="s">
        <v>163</v>
      </c>
      <c r="B65" s="78" t="s">
        <v>30</v>
      </c>
      <c r="C65" s="79"/>
      <c r="D65" s="80" t="s">
        <v>31</v>
      </c>
      <c r="E65" s="142" t="s">
        <v>164</v>
      </c>
      <c r="F65" s="81" t="str">
        <f>IFERROR(VLOOKUP(E65,客户!B:C,2,FALSE),"/")</f>
        <v>/</v>
      </c>
      <c r="G65" s="142" t="s">
        <v>165</v>
      </c>
      <c r="H65" s="143" t="s">
        <v>123</v>
      </c>
      <c r="I65" s="143"/>
      <c r="J65" s="143"/>
      <c r="K65" s="114"/>
      <c r="L65" s="103"/>
      <c r="M65" s="113"/>
      <c r="N65" s="113"/>
      <c r="O65" s="104"/>
      <c r="P65" s="113"/>
      <c r="Q65" s="140">
        <v>22335</v>
      </c>
      <c r="R65" s="131"/>
      <c r="S65" s="132"/>
      <c r="T65" s="102"/>
      <c r="U65" s="100"/>
      <c r="V65" s="140"/>
      <c r="W65" s="143"/>
    </row>
    <row r="66" s="39" customFormat="1" ht="22" hidden="1" customHeight="1" spans="1:23">
      <c r="A66" s="77" t="s">
        <v>166</v>
      </c>
      <c r="B66" s="78" t="s">
        <v>30</v>
      </c>
      <c r="C66" s="79"/>
      <c r="D66" s="80" t="s">
        <v>31</v>
      </c>
      <c r="E66" s="80" t="s">
        <v>158</v>
      </c>
      <c r="F66" s="81" t="str">
        <f>IFERROR(VLOOKUP(E66,客户!B:C,2,FALSE),"/")</f>
        <v>/</v>
      </c>
      <c r="G66" s="80" t="s">
        <v>122</v>
      </c>
      <c r="H66" s="45" t="s">
        <v>123</v>
      </c>
      <c r="I66" s="45"/>
      <c r="J66" s="45"/>
      <c r="K66" s="111"/>
      <c r="L66" s="100"/>
      <c r="M66" s="116"/>
      <c r="N66" s="116"/>
      <c r="O66" s="104"/>
      <c r="P66" s="113">
        <v>23385</v>
      </c>
      <c r="Q66" s="113">
        <v>5000</v>
      </c>
      <c r="R66" s="126"/>
      <c r="S66" s="127"/>
      <c r="T66" s="128">
        <v>23384</v>
      </c>
      <c r="U66" s="100"/>
      <c r="V66" s="113"/>
      <c r="W66" s="45"/>
    </row>
    <row r="67" s="39" customFormat="1" ht="22" hidden="1" customHeight="1" spans="1:23">
      <c r="A67" s="77" t="s">
        <v>167</v>
      </c>
      <c r="B67" s="78" t="s">
        <v>30</v>
      </c>
      <c r="C67" s="79"/>
      <c r="D67" s="80" t="s">
        <v>31</v>
      </c>
      <c r="E67" s="80" t="s">
        <v>168</v>
      </c>
      <c r="F67" s="81" t="str">
        <f>IFERROR(VLOOKUP(E67,客户!B:C,2,FALSE),"/")</f>
        <v>/</v>
      </c>
      <c r="G67" s="80" t="s">
        <v>122</v>
      </c>
      <c r="H67" s="45" t="s">
        <v>123</v>
      </c>
      <c r="I67" s="45"/>
      <c r="J67" s="45"/>
      <c r="K67" s="114"/>
      <c r="L67" s="103"/>
      <c r="M67" s="116"/>
      <c r="N67" s="116"/>
      <c r="O67" s="104"/>
      <c r="P67" s="113">
        <v>0</v>
      </c>
      <c r="Q67" s="113">
        <v>6730.34</v>
      </c>
      <c r="R67" s="131"/>
      <c r="S67" s="132"/>
      <c r="T67" s="102"/>
      <c r="U67" s="100"/>
      <c r="V67" s="140"/>
      <c r="W67" s="45"/>
    </row>
    <row r="68" s="39" customFormat="1" ht="22" hidden="1" customHeight="1" spans="1:23">
      <c r="A68" s="77" t="s">
        <v>169</v>
      </c>
      <c r="B68" s="78" t="s">
        <v>30</v>
      </c>
      <c r="C68" s="79"/>
      <c r="D68" s="80" t="s">
        <v>31</v>
      </c>
      <c r="E68" s="80" t="s">
        <v>168</v>
      </c>
      <c r="F68" s="81" t="str">
        <f>IFERROR(VLOOKUP(E68,客户!B:C,2,FALSE),"/")</f>
        <v>/</v>
      </c>
      <c r="G68" s="80" t="s">
        <v>170</v>
      </c>
      <c r="H68" s="45" t="s">
        <v>123</v>
      </c>
      <c r="I68" s="45"/>
      <c r="J68" s="45"/>
      <c r="K68" s="114"/>
      <c r="L68" s="103"/>
      <c r="M68" s="116"/>
      <c r="N68" s="116"/>
      <c r="O68" s="104"/>
      <c r="P68" s="113">
        <v>66873</v>
      </c>
      <c r="Q68" s="113">
        <v>19944</v>
      </c>
      <c r="R68" s="131"/>
      <c r="S68" s="132"/>
      <c r="T68" s="102"/>
      <c r="U68" s="100"/>
      <c r="V68" s="140"/>
      <c r="W68" s="45"/>
    </row>
    <row r="69" s="39" customFormat="1" ht="22" hidden="1" customHeight="1" spans="1:23">
      <c r="A69" s="77" t="s">
        <v>171</v>
      </c>
      <c r="B69" s="78" t="s">
        <v>30</v>
      </c>
      <c r="C69" s="79"/>
      <c r="D69" s="80" t="s">
        <v>31</v>
      </c>
      <c r="E69" s="80" t="s">
        <v>168</v>
      </c>
      <c r="F69" s="81" t="str">
        <f>IFERROR(VLOOKUP(E69,客户!B:C,2,FALSE),"/")</f>
        <v>/</v>
      </c>
      <c r="G69" s="80" t="s">
        <v>122</v>
      </c>
      <c r="H69" s="45" t="s">
        <v>123</v>
      </c>
      <c r="I69" s="45"/>
      <c r="J69" s="45"/>
      <c r="K69" s="114"/>
      <c r="L69" s="103"/>
      <c r="M69" s="116"/>
      <c r="N69" s="116"/>
      <c r="O69" s="104"/>
      <c r="P69" s="113">
        <v>22290</v>
      </c>
      <c r="Q69" s="113"/>
      <c r="R69" s="131"/>
      <c r="S69" s="132"/>
      <c r="T69" s="102"/>
      <c r="U69" s="100"/>
      <c r="V69" s="140"/>
      <c r="W69" s="45"/>
    </row>
    <row r="70" s="39" customFormat="1" ht="22" hidden="1" customHeight="1" spans="1:23">
      <c r="A70" s="77" t="s">
        <v>172</v>
      </c>
      <c r="B70" s="78" t="s">
        <v>30</v>
      </c>
      <c r="C70" s="79"/>
      <c r="D70" s="80" t="s">
        <v>31</v>
      </c>
      <c r="E70" s="80" t="s">
        <v>102</v>
      </c>
      <c r="F70" s="81" t="str">
        <f>IFERROR(VLOOKUP(E70,客户!B:C,2,FALSE),"/")</f>
        <v>/</v>
      </c>
      <c r="G70" s="80" t="s">
        <v>122</v>
      </c>
      <c r="H70" s="45" t="s">
        <v>123</v>
      </c>
      <c r="I70" s="45"/>
      <c r="J70" s="45"/>
      <c r="K70" s="114"/>
      <c r="L70" s="103"/>
      <c r="M70" s="116"/>
      <c r="N70" s="116"/>
      <c r="O70" s="104"/>
      <c r="P70" s="145"/>
      <c r="Q70" s="113">
        <v>21734</v>
      </c>
      <c r="R70" s="131"/>
      <c r="S70" s="132"/>
      <c r="T70" s="102"/>
      <c r="U70" s="100"/>
      <c r="V70" s="140"/>
      <c r="W70" s="45"/>
    </row>
    <row r="71" s="39" customFormat="1" ht="22" hidden="1" customHeight="1" spans="1:23">
      <c r="A71" s="77" t="s">
        <v>173</v>
      </c>
      <c r="B71" s="78" t="s">
        <v>30</v>
      </c>
      <c r="C71" s="79"/>
      <c r="D71" s="80" t="s">
        <v>31</v>
      </c>
      <c r="E71" s="80" t="s">
        <v>174</v>
      </c>
      <c r="F71" s="81" t="str">
        <f>IFERROR(VLOOKUP(E71,客户!B:C,2,FALSE),"/")</f>
        <v>/</v>
      </c>
      <c r="G71" s="80" t="s">
        <v>136</v>
      </c>
      <c r="H71" s="45" t="s">
        <v>123</v>
      </c>
      <c r="I71" s="45"/>
      <c r="J71" s="45"/>
      <c r="K71" s="114"/>
      <c r="L71" s="103"/>
      <c r="M71" s="116"/>
      <c r="N71" s="116"/>
      <c r="O71" s="104"/>
      <c r="P71" s="140"/>
      <c r="Q71" s="113">
        <v>10000</v>
      </c>
      <c r="R71" s="126"/>
      <c r="S71" s="127"/>
      <c r="T71" s="128">
        <v>19642.3</v>
      </c>
      <c r="U71" s="100"/>
      <c r="V71" s="140"/>
      <c r="W71" s="45"/>
    </row>
    <row r="72" s="42" customFormat="1" ht="22" hidden="1" customHeight="1" spans="1:23">
      <c r="A72" s="77" t="s">
        <v>175</v>
      </c>
      <c r="B72" s="78" t="s">
        <v>30</v>
      </c>
      <c r="C72" s="79"/>
      <c r="D72" s="80" t="s">
        <v>31</v>
      </c>
      <c r="E72" s="80" t="s">
        <v>111</v>
      </c>
      <c r="F72" s="81" t="str">
        <f>IFERROR(VLOOKUP(E72,客户!B:C,2,FALSE),"/")</f>
        <v>/</v>
      </c>
      <c r="G72" s="80" t="s">
        <v>122</v>
      </c>
      <c r="H72" s="45" t="s">
        <v>123</v>
      </c>
      <c r="I72" s="45"/>
      <c r="J72" s="45"/>
      <c r="K72" s="114"/>
      <c r="L72" s="103"/>
      <c r="M72" s="116"/>
      <c r="N72" s="116"/>
      <c r="O72" s="104"/>
      <c r="P72" s="113">
        <v>23092.08</v>
      </c>
      <c r="Q72" s="113">
        <v>4792.6</v>
      </c>
      <c r="R72" s="126"/>
      <c r="S72" s="127"/>
      <c r="T72" s="128">
        <v>17553</v>
      </c>
      <c r="U72" s="100"/>
      <c r="V72" s="140"/>
      <c r="W72" s="45"/>
    </row>
    <row r="73" s="42" customFormat="1" ht="22" hidden="1" customHeight="1" spans="1:23">
      <c r="A73" s="77" t="s">
        <v>176</v>
      </c>
      <c r="B73" s="78" t="s">
        <v>30</v>
      </c>
      <c r="C73" s="79"/>
      <c r="D73" s="80" t="s">
        <v>31</v>
      </c>
      <c r="E73" s="80" t="s">
        <v>174</v>
      </c>
      <c r="F73" s="81" t="str">
        <f>IFERROR(VLOOKUP(E73,客户!B:C,2,FALSE),"/")</f>
        <v>/</v>
      </c>
      <c r="G73" s="80" t="s">
        <v>177</v>
      </c>
      <c r="H73" s="45" t="s">
        <v>123</v>
      </c>
      <c r="I73" s="45"/>
      <c r="J73" s="45"/>
      <c r="K73" s="114"/>
      <c r="L73" s="103"/>
      <c r="M73" s="116"/>
      <c r="N73" s="116"/>
      <c r="O73" s="104"/>
      <c r="P73" s="113"/>
      <c r="Q73" s="113"/>
      <c r="R73" s="126"/>
      <c r="S73" s="127"/>
      <c r="T73" s="128">
        <v>58926.9</v>
      </c>
      <c r="U73" s="100"/>
      <c r="V73" s="140"/>
      <c r="W73" s="45"/>
    </row>
    <row r="74" s="41" customFormat="1" ht="22" hidden="1" customHeight="1" spans="1:23">
      <c r="A74" s="141" t="s">
        <v>178</v>
      </c>
      <c r="B74" s="78" t="s">
        <v>30</v>
      </c>
      <c r="C74" s="79"/>
      <c r="D74" s="80" t="s">
        <v>31</v>
      </c>
      <c r="E74" s="142" t="s">
        <v>179</v>
      </c>
      <c r="F74" s="81" t="str">
        <f>IFERROR(VLOOKUP(E74,客户!B:C,2,FALSE),"/")</f>
        <v>/</v>
      </c>
      <c r="G74" s="142" t="s">
        <v>122</v>
      </c>
      <c r="H74" s="143" t="s">
        <v>147</v>
      </c>
      <c r="I74" s="143"/>
      <c r="J74" s="143"/>
      <c r="K74" s="114"/>
      <c r="L74" s="103"/>
      <c r="M74" s="112"/>
      <c r="N74" s="112"/>
      <c r="O74" s="104"/>
      <c r="P74" s="140"/>
      <c r="Q74" s="166" t="s">
        <v>180</v>
      </c>
      <c r="R74" s="126"/>
      <c r="S74" s="127"/>
      <c r="T74" s="128">
        <v>18804.5</v>
      </c>
      <c r="U74" s="100"/>
      <c r="V74" s="140"/>
      <c r="W74" s="143"/>
    </row>
    <row r="75" s="39" customFormat="1" ht="22" hidden="1" customHeight="1" spans="1:23">
      <c r="A75" s="77" t="s">
        <v>181</v>
      </c>
      <c r="B75" s="78" t="s">
        <v>30</v>
      </c>
      <c r="C75" s="79"/>
      <c r="D75" s="80" t="s">
        <v>31</v>
      </c>
      <c r="E75" s="80" t="s">
        <v>108</v>
      </c>
      <c r="F75" s="81" t="str">
        <f>IFERROR(VLOOKUP(E75,客户!B:C,2,FALSE),"/")</f>
        <v>/</v>
      </c>
      <c r="G75" s="80" t="s">
        <v>122</v>
      </c>
      <c r="H75" s="45" t="s">
        <v>123</v>
      </c>
      <c r="I75" s="45"/>
      <c r="J75" s="45"/>
      <c r="K75" s="114"/>
      <c r="L75" s="103"/>
      <c r="M75" s="112"/>
      <c r="N75" s="112"/>
      <c r="O75" s="104"/>
      <c r="P75" s="113"/>
      <c r="Q75" s="113">
        <v>4999.86</v>
      </c>
      <c r="R75" s="126"/>
      <c r="S75" s="127"/>
      <c r="T75" s="128"/>
      <c r="U75" s="100"/>
      <c r="V75" s="140"/>
      <c r="W75" s="45"/>
    </row>
    <row r="76" s="39" customFormat="1" ht="22" hidden="1" customHeight="1" spans="1:23">
      <c r="A76" s="141" t="s">
        <v>182</v>
      </c>
      <c r="B76" s="78" t="s">
        <v>30</v>
      </c>
      <c r="C76" s="79"/>
      <c r="D76" s="80" t="s">
        <v>31</v>
      </c>
      <c r="E76" s="80" t="s">
        <v>183</v>
      </c>
      <c r="F76" s="81" t="str">
        <f>IFERROR(VLOOKUP(E76,客户!B:C,2,FALSE),"/")</f>
        <v>/</v>
      </c>
      <c r="G76" s="80" t="s">
        <v>136</v>
      </c>
      <c r="H76" s="144" t="s">
        <v>127</v>
      </c>
      <c r="I76" s="144"/>
      <c r="J76" s="45"/>
      <c r="K76" s="114"/>
      <c r="L76" s="103"/>
      <c r="M76" s="112"/>
      <c r="N76" s="112"/>
      <c r="O76" s="104"/>
      <c r="P76" s="113">
        <v>19631.136</v>
      </c>
      <c r="Q76" s="113">
        <v>12360.25</v>
      </c>
      <c r="R76" s="126"/>
      <c r="S76" s="127"/>
      <c r="T76" s="128">
        <v>13640</v>
      </c>
      <c r="U76" s="100"/>
      <c r="V76" s="140"/>
      <c r="W76" s="45"/>
    </row>
    <row r="77" s="39" customFormat="1" ht="22" hidden="1" customHeight="1" spans="1:23">
      <c r="A77" s="141" t="s">
        <v>184</v>
      </c>
      <c r="B77" s="78" t="s">
        <v>30</v>
      </c>
      <c r="C77" s="79"/>
      <c r="D77" s="80" t="s">
        <v>31</v>
      </c>
      <c r="E77" s="80" t="s">
        <v>185</v>
      </c>
      <c r="F77" s="81">
        <f>IFERROR(VLOOKUP(E77,客户!B:C,2,FALSE),"/")</f>
        <v>0</v>
      </c>
      <c r="G77" s="80" t="s">
        <v>136</v>
      </c>
      <c r="H77" s="45" t="s">
        <v>186</v>
      </c>
      <c r="I77" s="45"/>
      <c r="J77" s="45"/>
      <c r="K77" s="114"/>
      <c r="L77" s="103"/>
      <c r="M77" s="112"/>
      <c r="N77" s="112"/>
      <c r="O77" s="104"/>
      <c r="P77" s="146">
        <v>126800</v>
      </c>
      <c r="Q77" s="113">
        <v>36000</v>
      </c>
      <c r="R77" s="131"/>
      <c r="S77" s="132"/>
      <c r="T77" s="102"/>
      <c r="U77" s="100"/>
      <c r="V77" s="140"/>
      <c r="W77" s="45"/>
    </row>
    <row r="78" s="39" customFormat="1" ht="22" hidden="1" customHeight="1" spans="1:23">
      <c r="A78" s="141" t="s">
        <v>187</v>
      </c>
      <c r="B78" s="78" t="s">
        <v>30</v>
      </c>
      <c r="C78" s="79"/>
      <c r="D78" s="80" t="s">
        <v>31</v>
      </c>
      <c r="E78" s="80" t="s">
        <v>102</v>
      </c>
      <c r="F78" s="81" t="str">
        <f>IFERROR(VLOOKUP(E78,客户!B:C,2,FALSE),"/")</f>
        <v>/</v>
      </c>
      <c r="G78" s="80" t="s">
        <v>122</v>
      </c>
      <c r="H78" s="45" t="s">
        <v>123</v>
      </c>
      <c r="I78" s="45"/>
      <c r="J78" s="45"/>
      <c r="K78" s="111"/>
      <c r="L78" s="100"/>
      <c r="M78" s="116"/>
      <c r="N78" s="116"/>
      <c r="O78" s="104"/>
      <c r="P78" s="147"/>
      <c r="Q78" s="140"/>
      <c r="R78" s="126"/>
      <c r="S78" s="127"/>
      <c r="T78" s="128"/>
      <c r="U78" s="100"/>
      <c r="V78" s="113"/>
      <c r="W78" s="45"/>
    </row>
    <row r="79" s="39" customFormat="1" ht="22" hidden="1" customHeight="1" spans="1:23">
      <c r="A79" s="77" t="s">
        <v>188</v>
      </c>
      <c r="B79" s="78" t="s">
        <v>30</v>
      </c>
      <c r="C79" s="79"/>
      <c r="D79" s="80" t="s">
        <v>31</v>
      </c>
      <c r="E79" s="80" t="s">
        <v>75</v>
      </c>
      <c r="F79" s="81" t="str">
        <f>IFERROR(VLOOKUP(E79,客户!B:C,2,FALSE),"/")</f>
        <v>/</v>
      </c>
      <c r="G79" s="80" t="s">
        <v>189</v>
      </c>
      <c r="H79" s="45" t="s">
        <v>154</v>
      </c>
      <c r="I79" s="45"/>
      <c r="J79" s="45"/>
      <c r="K79" s="111"/>
      <c r="L79" s="100"/>
      <c r="M79" s="116"/>
      <c r="N79" s="116"/>
      <c r="O79" s="104"/>
      <c r="P79" s="113">
        <v>20522.8</v>
      </c>
      <c r="Q79" s="140">
        <v>16744</v>
      </c>
      <c r="R79" s="126"/>
      <c r="S79" s="127"/>
      <c r="T79" s="128">
        <f>N79-P79</f>
        <v>-20522.8</v>
      </c>
      <c r="U79" s="100"/>
      <c r="V79" s="113"/>
      <c r="W79" s="45"/>
    </row>
    <row r="80" s="39" customFormat="1" ht="22" hidden="1" customHeight="1" spans="1:23">
      <c r="A80" s="77" t="s">
        <v>190</v>
      </c>
      <c r="B80" s="78" t="s">
        <v>30</v>
      </c>
      <c r="C80" s="79"/>
      <c r="D80" s="80" t="s">
        <v>31</v>
      </c>
      <c r="E80" s="80" t="s">
        <v>99</v>
      </c>
      <c r="F80" s="81" t="str">
        <f>IFERROR(VLOOKUP(E80,客户!B:C,2,FALSE),"/")</f>
        <v>/</v>
      </c>
      <c r="G80" s="80" t="s">
        <v>191</v>
      </c>
      <c r="H80" s="45" t="s">
        <v>147</v>
      </c>
      <c r="I80" s="45"/>
      <c r="J80" s="108">
        <v>43168</v>
      </c>
      <c r="K80" s="111"/>
      <c r="L80" s="100"/>
      <c r="M80" s="112"/>
      <c r="N80" s="112"/>
      <c r="O80" s="104"/>
      <c r="P80" s="113">
        <v>64472.4</v>
      </c>
      <c r="Q80" s="113" t="s">
        <v>192</v>
      </c>
      <c r="R80" s="126"/>
      <c r="S80" s="127"/>
      <c r="T80" s="128">
        <v>64472.4</v>
      </c>
      <c r="U80" s="100"/>
      <c r="V80" s="113"/>
      <c r="W80" s="108"/>
    </row>
    <row r="81" s="39" customFormat="1" ht="22" hidden="1" customHeight="1" spans="1:23">
      <c r="A81" s="77" t="s">
        <v>193</v>
      </c>
      <c r="B81" s="78" t="s">
        <v>30</v>
      </c>
      <c r="C81" s="79"/>
      <c r="D81" s="80" t="s">
        <v>31</v>
      </c>
      <c r="E81" s="80" t="s">
        <v>99</v>
      </c>
      <c r="F81" s="81" t="str">
        <f>IFERROR(VLOOKUP(E81,客户!B:C,2,FALSE),"/")</f>
        <v>/</v>
      </c>
      <c r="G81" s="80" t="s">
        <v>194</v>
      </c>
      <c r="H81" s="45" t="s">
        <v>147</v>
      </c>
      <c r="I81" s="45"/>
      <c r="J81" s="108">
        <v>43168</v>
      </c>
      <c r="K81" s="100"/>
      <c r="L81" s="100"/>
      <c r="M81" s="148"/>
      <c r="N81" s="148"/>
      <c r="O81" s="104"/>
      <c r="P81" s="113">
        <v>42981.6</v>
      </c>
      <c r="Q81" s="102">
        <f>P81-U81</f>
        <v>42981.6</v>
      </c>
      <c r="R81" s="126"/>
      <c r="S81" s="127"/>
      <c r="T81" s="128">
        <v>42807</v>
      </c>
      <c r="U81" s="100"/>
      <c r="V81" s="102"/>
      <c r="W81" s="108"/>
    </row>
    <row r="82" s="39" customFormat="1" ht="22" hidden="1" customHeight="1" spans="1:23">
      <c r="A82" s="77" t="s">
        <v>195</v>
      </c>
      <c r="B82" s="78" t="s">
        <v>30</v>
      </c>
      <c r="C82" s="79"/>
      <c r="D82" s="80" t="s">
        <v>31</v>
      </c>
      <c r="E82" s="80" t="s">
        <v>196</v>
      </c>
      <c r="F82" s="81" t="str">
        <f>IFERROR(VLOOKUP(E82,客户!B:C,2,FALSE),"/")</f>
        <v>/</v>
      </c>
      <c r="G82" s="80" t="s">
        <v>197</v>
      </c>
      <c r="H82" s="45" t="s">
        <v>147</v>
      </c>
      <c r="I82" s="45"/>
      <c r="J82" s="108">
        <v>43168</v>
      </c>
      <c r="K82" s="111"/>
      <c r="L82" s="100"/>
      <c r="M82" s="112" t="s">
        <v>198</v>
      </c>
      <c r="N82" s="149"/>
      <c r="O82" s="104"/>
      <c r="P82" s="102">
        <v>64472.4</v>
      </c>
      <c r="Q82" s="113">
        <v>208</v>
      </c>
      <c r="R82" s="126"/>
      <c r="S82" s="127"/>
      <c r="T82" s="128">
        <v>64472.4</v>
      </c>
      <c r="U82" s="100"/>
      <c r="V82" s="113"/>
      <c r="W82" s="167"/>
    </row>
    <row r="83" s="39" customFormat="1" ht="22" hidden="1" customHeight="1" spans="1:23">
      <c r="A83" s="77" t="s">
        <v>199</v>
      </c>
      <c r="B83" s="78" t="s">
        <v>30</v>
      </c>
      <c r="C83" s="79"/>
      <c r="D83" s="80" t="s">
        <v>31</v>
      </c>
      <c r="E83" s="80" t="s">
        <v>196</v>
      </c>
      <c r="F83" s="81" t="str">
        <f>IFERROR(VLOOKUP(E83,客户!B:C,2,FALSE),"/")</f>
        <v>/</v>
      </c>
      <c r="G83" s="80" t="s">
        <v>200</v>
      </c>
      <c r="H83" s="45" t="s">
        <v>147</v>
      </c>
      <c r="I83" s="45"/>
      <c r="J83" s="108">
        <v>43168</v>
      </c>
      <c r="K83" s="114"/>
      <c r="L83" s="103"/>
      <c r="M83" s="150" t="s">
        <v>201</v>
      </c>
      <c r="N83" s="151" t="s">
        <v>202</v>
      </c>
      <c r="O83" s="104"/>
      <c r="P83" s="102">
        <v>62476.8</v>
      </c>
      <c r="Q83" s="113" t="s">
        <v>192</v>
      </c>
      <c r="R83" s="126"/>
      <c r="S83" s="127"/>
      <c r="T83" s="128">
        <v>62295</v>
      </c>
      <c r="U83" s="100"/>
      <c r="V83" s="140"/>
      <c r="W83" s="167"/>
    </row>
    <row r="84" s="39" customFormat="1" ht="22" hidden="1" customHeight="1" spans="1:23">
      <c r="A84" s="77" t="s">
        <v>203</v>
      </c>
      <c r="B84" s="78" t="s">
        <v>30</v>
      </c>
      <c r="C84" s="79"/>
      <c r="D84" s="80" t="s">
        <v>31</v>
      </c>
      <c r="E84" s="80" t="s">
        <v>196</v>
      </c>
      <c r="F84" s="81" t="str">
        <f>IFERROR(VLOOKUP(E84,客户!B:C,2,FALSE),"/")</f>
        <v>/</v>
      </c>
      <c r="G84" s="80" t="s">
        <v>204</v>
      </c>
      <c r="H84" s="45" t="s">
        <v>147</v>
      </c>
      <c r="I84" s="45" t="s">
        <v>205</v>
      </c>
      <c r="J84" s="108">
        <v>43168</v>
      </c>
      <c r="K84" s="100">
        <v>43372</v>
      </c>
      <c r="L84" s="100">
        <v>43421</v>
      </c>
      <c r="M84" s="152" t="s">
        <v>206</v>
      </c>
      <c r="N84" s="151" t="s">
        <v>207</v>
      </c>
      <c r="O84" s="104"/>
      <c r="P84" s="102">
        <v>62476.8</v>
      </c>
      <c r="Q84" s="113"/>
      <c r="R84" s="131"/>
      <c r="S84" s="132"/>
      <c r="T84" s="102"/>
      <c r="U84" s="100"/>
      <c r="V84" s="102"/>
      <c r="W84" s="167"/>
    </row>
    <row r="85" s="39" customFormat="1" ht="22" hidden="1" customHeight="1" spans="1:23">
      <c r="A85" s="77" t="s">
        <v>208</v>
      </c>
      <c r="B85" s="78" t="s">
        <v>30</v>
      </c>
      <c r="C85" s="79"/>
      <c r="D85" s="80" t="s">
        <v>31</v>
      </c>
      <c r="E85" s="80" t="s">
        <v>174</v>
      </c>
      <c r="F85" s="81" t="str">
        <f>IFERROR(VLOOKUP(E85,客户!B:C,2,FALSE),"/")</f>
        <v>/</v>
      </c>
      <c r="G85" s="80" t="s">
        <v>209</v>
      </c>
      <c r="H85" s="45" t="s">
        <v>123</v>
      </c>
      <c r="I85" s="45" t="s">
        <v>210</v>
      </c>
      <c r="J85" s="108"/>
      <c r="K85" s="100">
        <v>43223</v>
      </c>
      <c r="L85" s="100">
        <v>43252</v>
      </c>
      <c r="M85" s="112"/>
      <c r="N85" s="112"/>
      <c r="O85" s="104"/>
      <c r="P85" s="113">
        <v>41553</v>
      </c>
      <c r="Q85" s="113">
        <v>480</v>
      </c>
      <c r="R85" s="126"/>
      <c r="S85" s="127"/>
      <c r="T85" s="128">
        <v>41073.09</v>
      </c>
      <c r="U85" s="100"/>
      <c r="V85" s="102"/>
      <c r="W85" s="167"/>
    </row>
    <row r="86" s="39" customFormat="1" ht="22" hidden="1" customHeight="1" spans="1:23">
      <c r="A86" s="77" t="s">
        <v>211</v>
      </c>
      <c r="B86" s="78" t="s">
        <v>30</v>
      </c>
      <c r="C86" s="79"/>
      <c r="D86" s="80" t="s">
        <v>31</v>
      </c>
      <c r="E86" s="80" t="s">
        <v>174</v>
      </c>
      <c r="F86" s="81" t="str">
        <f>IFERROR(VLOOKUP(E86,客户!B:C,2,FALSE),"/")</f>
        <v>/</v>
      </c>
      <c r="G86" s="80" t="s">
        <v>212</v>
      </c>
      <c r="H86" s="45" t="s">
        <v>123</v>
      </c>
      <c r="I86" s="45" t="s">
        <v>210</v>
      </c>
      <c r="J86" s="108"/>
      <c r="K86" s="100">
        <v>43245</v>
      </c>
      <c r="L86" s="100">
        <v>43287</v>
      </c>
      <c r="M86" s="112"/>
      <c r="N86" s="112"/>
      <c r="O86" s="104"/>
      <c r="P86" s="113">
        <v>121953.88</v>
      </c>
      <c r="Q86" s="140"/>
      <c r="R86" s="126"/>
      <c r="S86" s="127"/>
      <c r="T86" s="128">
        <v>121633</v>
      </c>
      <c r="U86" s="100"/>
      <c r="V86" s="102"/>
      <c r="W86" s="167"/>
    </row>
    <row r="87" s="39" customFormat="1" ht="22" hidden="1" customHeight="1" spans="1:23">
      <c r="A87" s="77" t="s">
        <v>213</v>
      </c>
      <c r="B87" s="78" t="s">
        <v>30</v>
      </c>
      <c r="C87" s="79"/>
      <c r="D87" s="80" t="s">
        <v>31</v>
      </c>
      <c r="E87" s="80" t="s">
        <v>125</v>
      </c>
      <c r="F87" s="81" t="str">
        <f>IFERROR(VLOOKUP(E87,客户!B:C,2,FALSE),"/")</f>
        <v>/</v>
      </c>
      <c r="G87" s="80" t="s">
        <v>214</v>
      </c>
      <c r="H87" s="45" t="s">
        <v>127</v>
      </c>
      <c r="I87" s="45" t="s">
        <v>215</v>
      </c>
      <c r="J87" s="108"/>
      <c r="K87" s="100">
        <v>43242</v>
      </c>
      <c r="L87" s="100">
        <v>43280</v>
      </c>
      <c r="M87" s="112"/>
      <c r="N87" s="112"/>
      <c r="O87" s="104"/>
      <c r="P87" s="113">
        <v>44452.5</v>
      </c>
      <c r="Q87" s="113">
        <v>46900</v>
      </c>
      <c r="R87" s="126"/>
      <c r="S87" s="127"/>
      <c r="T87" s="128">
        <v>13179.5</v>
      </c>
      <c r="U87" s="100"/>
      <c r="V87" s="102"/>
      <c r="W87" s="167"/>
    </row>
    <row r="88" s="39" customFormat="1" ht="22" hidden="1" customHeight="1" spans="1:23">
      <c r="A88" s="77" t="s">
        <v>216</v>
      </c>
      <c r="B88" s="78" t="s">
        <v>30</v>
      </c>
      <c r="C88" s="79"/>
      <c r="D88" s="80" t="s">
        <v>31</v>
      </c>
      <c r="E88" s="80" t="s">
        <v>125</v>
      </c>
      <c r="F88" s="81" t="str">
        <f>IFERROR(VLOOKUP(E88,客户!B:C,2,FALSE),"/")</f>
        <v>/</v>
      </c>
      <c r="G88" s="80" t="s">
        <v>214</v>
      </c>
      <c r="H88" s="45" t="s">
        <v>127</v>
      </c>
      <c r="I88" s="45" t="s">
        <v>215</v>
      </c>
      <c r="J88" s="108"/>
      <c r="K88" s="100">
        <v>43261</v>
      </c>
      <c r="L88" s="100">
        <v>43279</v>
      </c>
      <c r="M88" s="112"/>
      <c r="N88" s="112"/>
      <c r="O88" s="104"/>
      <c r="P88" s="113">
        <v>21805</v>
      </c>
      <c r="Q88" s="113"/>
      <c r="R88" s="126"/>
      <c r="S88" s="127"/>
      <c r="T88" s="128">
        <v>6169</v>
      </c>
      <c r="U88" s="100"/>
      <c r="V88" s="102"/>
      <c r="W88" s="167"/>
    </row>
    <row r="89" s="39" customFormat="1" ht="22" hidden="1" customHeight="1" spans="1:23">
      <c r="A89" s="77" t="s">
        <v>217</v>
      </c>
      <c r="B89" s="78" t="s">
        <v>30</v>
      </c>
      <c r="C89" s="79"/>
      <c r="D89" s="80" t="s">
        <v>31</v>
      </c>
      <c r="E89" s="80" t="s">
        <v>75</v>
      </c>
      <c r="F89" s="81" t="str">
        <f>IFERROR(VLOOKUP(E89,客户!B:C,2,FALSE),"/")</f>
        <v>/</v>
      </c>
      <c r="G89" s="80" t="s">
        <v>218</v>
      </c>
      <c r="H89" s="45" t="s">
        <v>154</v>
      </c>
      <c r="I89" s="45" t="s">
        <v>219</v>
      </c>
      <c r="J89" s="108">
        <v>43186</v>
      </c>
      <c r="K89" s="100">
        <v>43250</v>
      </c>
      <c r="L89" s="100">
        <v>43307</v>
      </c>
      <c r="M89" s="112"/>
      <c r="N89" s="112"/>
      <c r="O89" s="104"/>
      <c r="P89" s="113">
        <v>24944.05</v>
      </c>
      <c r="Q89" s="113">
        <v>7605</v>
      </c>
      <c r="R89" s="126"/>
      <c r="S89" s="127"/>
      <c r="T89" s="128">
        <v>17298.08</v>
      </c>
      <c r="U89" s="100"/>
      <c r="V89" s="102"/>
      <c r="W89" s="167"/>
    </row>
    <row r="90" s="40" customFormat="1" ht="22" hidden="1" customHeight="1" spans="1:23">
      <c r="A90" s="77" t="s">
        <v>220</v>
      </c>
      <c r="B90" s="78" t="s">
        <v>30</v>
      </c>
      <c r="C90" s="79"/>
      <c r="D90" s="80" t="s">
        <v>31</v>
      </c>
      <c r="E90" s="80" t="s">
        <v>221</v>
      </c>
      <c r="F90" s="81" t="str">
        <f>IFERROR(VLOOKUP(E90,客户!B:C,2,FALSE),"/")</f>
        <v>/</v>
      </c>
      <c r="G90" s="80" t="s">
        <v>222</v>
      </c>
      <c r="H90" s="45" t="s">
        <v>123</v>
      </c>
      <c r="I90" s="45" t="s">
        <v>223</v>
      </c>
      <c r="J90" s="108">
        <v>43194</v>
      </c>
      <c r="K90" s="100">
        <v>43239</v>
      </c>
      <c r="L90" s="100">
        <v>43279</v>
      </c>
      <c r="M90" s="112"/>
      <c r="N90" s="112"/>
      <c r="O90" s="104"/>
      <c r="P90" s="113">
        <v>23669.25</v>
      </c>
      <c r="Q90" s="113">
        <v>15100</v>
      </c>
      <c r="R90" s="131"/>
      <c r="S90" s="132"/>
      <c r="T90" s="102"/>
      <c r="U90" s="100"/>
      <c r="V90" s="102"/>
      <c r="W90" s="167"/>
    </row>
    <row r="91" s="40" customFormat="1" ht="22" hidden="1" customHeight="1" spans="1:23">
      <c r="A91" s="77" t="s">
        <v>224</v>
      </c>
      <c r="B91" s="78" t="s">
        <v>30</v>
      </c>
      <c r="C91" s="79"/>
      <c r="D91" s="80" t="s">
        <v>31</v>
      </c>
      <c r="E91" s="142" t="s">
        <v>164</v>
      </c>
      <c r="F91" s="81" t="str">
        <f>IFERROR(VLOOKUP(E91,客户!B:C,2,FALSE),"/")</f>
        <v>/</v>
      </c>
      <c r="G91" s="80" t="s">
        <v>225</v>
      </c>
      <c r="H91" s="143" t="s">
        <v>123</v>
      </c>
      <c r="I91" s="143" t="s">
        <v>226</v>
      </c>
      <c r="J91" s="108"/>
      <c r="K91" s="100">
        <v>43289</v>
      </c>
      <c r="L91" s="100">
        <v>43324</v>
      </c>
      <c r="M91" s="112"/>
      <c r="N91" s="112"/>
      <c r="O91" s="104"/>
      <c r="P91" s="113">
        <v>20991.7</v>
      </c>
      <c r="Q91" s="113">
        <v>6387.9</v>
      </c>
      <c r="R91" s="137"/>
      <c r="S91" s="138"/>
      <c r="T91" s="128">
        <f>N91-P91</f>
        <v>-20991.7</v>
      </c>
      <c r="U91" s="100"/>
      <c r="V91" s="102"/>
      <c r="W91" s="167"/>
    </row>
    <row r="92" s="40" customFormat="1" ht="22" hidden="1" customHeight="1" spans="1:23">
      <c r="A92" s="77" t="s">
        <v>227</v>
      </c>
      <c r="B92" s="78" t="s">
        <v>30</v>
      </c>
      <c r="C92" s="79"/>
      <c r="D92" s="80" t="s">
        <v>31</v>
      </c>
      <c r="E92" s="80" t="s">
        <v>75</v>
      </c>
      <c r="F92" s="81" t="str">
        <f>IFERROR(VLOOKUP(E92,客户!B:C,2,FALSE),"/")</f>
        <v>/</v>
      </c>
      <c r="G92" s="80" t="s">
        <v>228</v>
      </c>
      <c r="H92" s="45" t="s">
        <v>154</v>
      </c>
      <c r="I92" s="45" t="s">
        <v>229</v>
      </c>
      <c r="J92" s="108"/>
      <c r="K92" s="100">
        <v>43269</v>
      </c>
      <c r="L92" s="100">
        <v>43309</v>
      </c>
      <c r="M92" s="112"/>
      <c r="N92" s="112"/>
      <c r="O92" s="104"/>
      <c r="P92" s="113">
        <v>24330.88</v>
      </c>
      <c r="Q92" s="102">
        <v>16850.59</v>
      </c>
      <c r="R92" s="137"/>
      <c r="S92" s="138"/>
      <c r="T92" s="128">
        <f>N92-P92</f>
        <v>-24330.88</v>
      </c>
      <c r="U92" s="100"/>
      <c r="V92" s="102"/>
      <c r="W92" s="167"/>
    </row>
    <row r="93" s="40" customFormat="1" ht="22" hidden="1" customHeight="1" spans="1:23">
      <c r="A93" s="77" t="s">
        <v>230</v>
      </c>
      <c r="B93" s="78" t="s">
        <v>30</v>
      </c>
      <c r="C93" s="79"/>
      <c r="D93" s="80" t="s">
        <v>31</v>
      </c>
      <c r="E93" s="80" t="s">
        <v>111</v>
      </c>
      <c r="F93" s="81" t="str">
        <f>IFERROR(VLOOKUP(E93,客户!B:C,2,FALSE),"/")</f>
        <v>/</v>
      </c>
      <c r="G93" s="80" t="s">
        <v>228</v>
      </c>
      <c r="H93" s="45" t="s">
        <v>123</v>
      </c>
      <c r="I93" s="45" t="s">
        <v>219</v>
      </c>
      <c r="J93" s="108"/>
      <c r="K93" s="100">
        <v>43269</v>
      </c>
      <c r="L93" s="100">
        <v>43302</v>
      </c>
      <c r="M93" s="116"/>
      <c r="N93" s="116"/>
      <c r="O93" s="104"/>
      <c r="P93" s="113">
        <v>23200.83</v>
      </c>
      <c r="Q93" s="129">
        <v>16916</v>
      </c>
      <c r="R93" s="137"/>
      <c r="S93" s="138"/>
      <c r="T93" s="128">
        <f>2059.84+4750</f>
        <v>6809.84</v>
      </c>
      <c r="U93" s="100"/>
      <c r="V93" s="102"/>
      <c r="W93" s="167"/>
    </row>
    <row r="94" s="40" customFormat="1" ht="22" hidden="1" customHeight="1" spans="1:23">
      <c r="A94" s="77" t="s">
        <v>231</v>
      </c>
      <c r="B94" s="78" t="s">
        <v>30</v>
      </c>
      <c r="C94" s="79"/>
      <c r="D94" s="80" t="s">
        <v>31</v>
      </c>
      <c r="E94" s="142" t="s">
        <v>179</v>
      </c>
      <c r="F94" s="81" t="str">
        <f>IFERROR(VLOOKUP(E94,客户!B:C,2,FALSE),"/")</f>
        <v>/</v>
      </c>
      <c r="G94" s="80" t="s">
        <v>228</v>
      </c>
      <c r="H94" s="143" t="s">
        <v>123</v>
      </c>
      <c r="I94" s="143" t="s">
        <v>232</v>
      </c>
      <c r="J94" s="108"/>
      <c r="K94" s="100">
        <v>43246</v>
      </c>
      <c r="L94" s="100">
        <v>43262</v>
      </c>
      <c r="M94" s="116"/>
      <c r="N94" s="116"/>
      <c r="O94" s="104"/>
      <c r="P94" s="113">
        <v>22126.5</v>
      </c>
      <c r="Q94" s="140">
        <v>15526</v>
      </c>
      <c r="R94" s="137"/>
      <c r="S94" s="138"/>
      <c r="T94" s="128">
        <v>6514</v>
      </c>
      <c r="U94" s="100"/>
      <c r="V94" s="102"/>
      <c r="W94" s="167"/>
    </row>
    <row r="95" s="40" customFormat="1" ht="22" hidden="1" customHeight="1" spans="1:23">
      <c r="A95" s="77" t="s">
        <v>233</v>
      </c>
      <c r="B95" s="78" t="s">
        <v>30</v>
      </c>
      <c r="C95" s="79"/>
      <c r="D95" s="80" t="s">
        <v>31</v>
      </c>
      <c r="E95" s="80" t="s">
        <v>174</v>
      </c>
      <c r="F95" s="81" t="str">
        <f>IFERROR(VLOOKUP(E95,客户!B:C,2,FALSE),"/")</f>
        <v>/</v>
      </c>
      <c r="G95" s="80" t="s">
        <v>234</v>
      </c>
      <c r="H95" s="143" t="s">
        <v>123</v>
      </c>
      <c r="I95" s="143" t="s">
        <v>205</v>
      </c>
      <c r="J95" s="108"/>
      <c r="K95" s="100">
        <v>43258</v>
      </c>
      <c r="L95" s="100">
        <v>43284</v>
      </c>
      <c r="M95" s="116"/>
      <c r="N95" s="116"/>
      <c r="O95" s="104"/>
      <c r="P95" s="102">
        <v>62071.44</v>
      </c>
      <c r="Q95" s="129">
        <f>P95-U95</f>
        <v>62071.44</v>
      </c>
      <c r="R95" s="137"/>
      <c r="S95" s="138"/>
      <c r="T95" s="128">
        <v>61908.65</v>
      </c>
      <c r="U95" s="100"/>
      <c r="V95" s="102"/>
      <c r="W95" s="167"/>
    </row>
    <row r="96" s="40" customFormat="1" ht="22" hidden="1" customHeight="1" spans="1:23">
      <c r="A96" s="77" t="s">
        <v>235</v>
      </c>
      <c r="B96" s="78" t="s">
        <v>30</v>
      </c>
      <c r="C96" s="79"/>
      <c r="D96" s="80" t="s">
        <v>31</v>
      </c>
      <c r="E96" s="80" t="s">
        <v>174</v>
      </c>
      <c r="F96" s="81" t="str">
        <f>IFERROR(VLOOKUP(E96,客户!B:C,2,FALSE),"/")</f>
        <v>/</v>
      </c>
      <c r="G96" s="80" t="s">
        <v>234</v>
      </c>
      <c r="H96" s="143" t="s">
        <v>123</v>
      </c>
      <c r="I96" s="143" t="s">
        <v>205</v>
      </c>
      <c r="J96" s="108"/>
      <c r="K96" s="100">
        <v>43287</v>
      </c>
      <c r="L96" s="100">
        <v>43315</v>
      </c>
      <c r="M96" s="116"/>
      <c r="N96" s="116"/>
      <c r="O96" s="104"/>
      <c r="P96" s="102">
        <v>41704</v>
      </c>
      <c r="Q96" s="129">
        <f>P96-U96</f>
        <v>41704</v>
      </c>
      <c r="R96" s="137"/>
      <c r="S96" s="138"/>
      <c r="T96" s="128">
        <v>41566</v>
      </c>
      <c r="U96" s="100"/>
      <c r="V96" s="102"/>
      <c r="W96" s="167"/>
    </row>
    <row r="97" s="40" customFormat="1" ht="22" hidden="1" customHeight="1" spans="1:23">
      <c r="A97" s="77" t="s">
        <v>236</v>
      </c>
      <c r="B97" s="78" t="s">
        <v>30</v>
      </c>
      <c r="C97" s="79"/>
      <c r="D97" s="80" t="s">
        <v>31</v>
      </c>
      <c r="E97" s="80" t="s">
        <v>174</v>
      </c>
      <c r="F97" s="81" t="str">
        <f>IFERROR(VLOOKUP(E97,客户!B:C,2,FALSE),"/")</f>
        <v>/</v>
      </c>
      <c r="G97" s="80" t="s">
        <v>234</v>
      </c>
      <c r="H97" s="143" t="s">
        <v>123</v>
      </c>
      <c r="I97" s="143" t="s">
        <v>205</v>
      </c>
      <c r="J97" s="108"/>
      <c r="K97" s="100">
        <v>43315</v>
      </c>
      <c r="L97" s="100">
        <v>43345</v>
      </c>
      <c r="M97" s="112"/>
      <c r="N97" s="112"/>
      <c r="O97" s="104"/>
      <c r="P97" s="113">
        <v>63024.56</v>
      </c>
      <c r="Q97" s="168"/>
      <c r="R97" s="137"/>
      <c r="S97" s="138"/>
      <c r="T97" s="128">
        <v>63024</v>
      </c>
      <c r="U97" s="100"/>
      <c r="V97" s="102"/>
      <c r="W97" s="167"/>
    </row>
    <row r="98" s="40" customFormat="1" ht="22" hidden="1" customHeight="1" spans="1:23">
      <c r="A98" s="77" t="s">
        <v>237</v>
      </c>
      <c r="B98" s="78" t="s">
        <v>30</v>
      </c>
      <c r="C98" s="79"/>
      <c r="D98" s="80" t="s">
        <v>31</v>
      </c>
      <c r="E98" s="80" t="s">
        <v>56</v>
      </c>
      <c r="F98" s="81" t="str">
        <f>IFERROR(VLOOKUP(E98,客户!B:C,2,FALSE),"/")</f>
        <v>/</v>
      </c>
      <c r="G98" s="80" t="s">
        <v>228</v>
      </c>
      <c r="H98" s="143" t="s">
        <v>123</v>
      </c>
      <c r="I98" s="143" t="s">
        <v>238</v>
      </c>
      <c r="J98" s="108"/>
      <c r="K98" s="100">
        <v>43297</v>
      </c>
      <c r="L98" s="100">
        <v>43325</v>
      </c>
      <c r="M98" s="116"/>
      <c r="N98" s="116"/>
      <c r="O98" s="104"/>
      <c r="P98" s="102">
        <v>23146.2</v>
      </c>
      <c r="Q98" s="169">
        <v>4629</v>
      </c>
      <c r="R98" s="137"/>
      <c r="S98" s="138"/>
      <c r="T98" s="128">
        <f>N98-P98</f>
        <v>-23146.2</v>
      </c>
      <c r="U98" s="100"/>
      <c r="V98" s="102"/>
      <c r="W98" s="167"/>
    </row>
    <row r="99" s="40" customFormat="1" ht="22" hidden="1" customHeight="1" spans="1:23">
      <c r="A99" s="77" t="s">
        <v>239</v>
      </c>
      <c r="B99" s="78" t="s">
        <v>30</v>
      </c>
      <c r="C99" s="79"/>
      <c r="D99" s="80" t="s">
        <v>31</v>
      </c>
      <c r="E99" s="80" t="s">
        <v>174</v>
      </c>
      <c r="F99" s="81" t="str">
        <f>IFERROR(VLOOKUP(E99,客户!B:C,2,FALSE),"/")</f>
        <v>/</v>
      </c>
      <c r="G99" s="80" t="s">
        <v>240</v>
      </c>
      <c r="H99" s="143" t="s">
        <v>123</v>
      </c>
      <c r="I99" s="143" t="s">
        <v>241</v>
      </c>
      <c r="J99" s="108"/>
      <c r="K99" s="100">
        <v>43265</v>
      </c>
      <c r="L99" s="100">
        <v>43298</v>
      </c>
      <c r="M99" s="116"/>
      <c r="N99" s="116"/>
      <c r="O99" s="104"/>
      <c r="P99" s="113">
        <v>20825.2</v>
      </c>
      <c r="Q99" s="168"/>
      <c r="R99" s="137"/>
      <c r="S99" s="138"/>
      <c r="T99" s="128">
        <v>20825</v>
      </c>
      <c r="U99" s="100"/>
      <c r="V99" s="102"/>
      <c r="W99" s="167"/>
    </row>
    <row r="100" s="40" customFormat="1" ht="22" hidden="1" customHeight="1" spans="1:23">
      <c r="A100" s="77" t="s">
        <v>242</v>
      </c>
      <c r="B100" s="78" t="s">
        <v>30</v>
      </c>
      <c r="C100" s="79"/>
      <c r="D100" s="80" t="s">
        <v>31</v>
      </c>
      <c r="E100" s="80" t="s">
        <v>102</v>
      </c>
      <c r="F100" s="81" t="str">
        <f>IFERROR(VLOOKUP(E100,客户!B:C,2,FALSE),"/")</f>
        <v>/</v>
      </c>
      <c r="G100" s="80" t="s">
        <v>57</v>
      </c>
      <c r="H100" s="45" t="s">
        <v>123</v>
      </c>
      <c r="I100" s="45" t="s">
        <v>223</v>
      </c>
      <c r="J100" s="108"/>
      <c r="K100" s="100">
        <v>43267</v>
      </c>
      <c r="L100" s="100">
        <v>43291</v>
      </c>
      <c r="M100" s="112"/>
      <c r="N100" s="112"/>
      <c r="O100" s="104"/>
      <c r="P100" s="113">
        <v>21990.4</v>
      </c>
      <c r="Q100" s="129">
        <v>22000</v>
      </c>
      <c r="R100" s="131"/>
      <c r="S100" s="132"/>
      <c r="T100" s="102"/>
      <c r="U100" s="100"/>
      <c r="V100" s="102"/>
      <c r="W100" s="167"/>
    </row>
    <row r="101" s="40" customFormat="1" ht="22" hidden="1" customHeight="1" spans="1:23">
      <c r="A101" s="77" t="s">
        <v>243</v>
      </c>
      <c r="B101" s="78" t="s">
        <v>30</v>
      </c>
      <c r="C101" s="79"/>
      <c r="D101" s="80" t="s">
        <v>31</v>
      </c>
      <c r="E101" s="80" t="s">
        <v>196</v>
      </c>
      <c r="F101" s="81" t="str">
        <f>IFERROR(VLOOKUP(E101,客户!B:C,2,FALSE),"/")</f>
        <v>/</v>
      </c>
      <c r="G101" s="80" t="s">
        <v>197</v>
      </c>
      <c r="H101" s="45" t="s">
        <v>147</v>
      </c>
      <c r="I101" s="45" t="s">
        <v>210</v>
      </c>
      <c r="J101" s="108">
        <v>43193</v>
      </c>
      <c r="K101" s="100">
        <v>43299</v>
      </c>
      <c r="L101" s="100">
        <v>43330</v>
      </c>
      <c r="M101" s="112"/>
      <c r="N101" s="112"/>
      <c r="O101" s="104"/>
      <c r="P101" s="102">
        <v>66051.45</v>
      </c>
      <c r="Q101" s="129">
        <f>P101-U101</f>
        <v>66051.45</v>
      </c>
      <c r="R101" s="137"/>
      <c r="S101" s="138"/>
      <c r="T101" s="128">
        <v>65900</v>
      </c>
      <c r="U101" s="100"/>
      <c r="V101" s="102"/>
      <c r="W101" s="167"/>
    </row>
    <row r="102" s="40" customFormat="1" ht="22" hidden="1" customHeight="1" spans="1:23">
      <c r="A102" s="77" t="s">
        <v>244</v>
      </c>
      <c r="B102" s="78" t="s">
        <v>30</v>
      </c>
      <c r="C102" s="79"/>
      <c r="D102" s="80" t="s">
        <v>31</v>
      </c>
      <c r="E102" s="80" t="s">
        <v>196</v>
      </c>
      <c r="F102" s="81" t="str">
        <f>IFERROR(VLOOKUP(E102,客户!B:C,2,FALSE),"/")</f>
        <v>/</v>
      </c>
      <c r="G102" s="80" t="s">
        <v>245</v>
      </c>
      <c r="H102" s="45" t="s">
        <v>147</v>
      </c>
      <c r="I102" s="45" t="s">
        <v>210</v>
      </c>
      <c r="J102" s="108">
        <v>43193</v>
      </c>
      <c r="K102" s="100">
        <v>43350</v>
      </c>
      <c r="L102" s="100">
        <v>43375</v>
      </c>
      <c r="M102" s="153" t="s">
        <v>246</v>
      </c>
      <c r="N102" s="151" t="s">
        <v>247</v>
      </c>
      <c r="O102" s="104"/>
      <c r="P102" s="102">
        <v>66047.4</v>
      </c>
      <c r="Q102" s="129">
        <v>157</v>
      </c>
      <c r="R102" s="137"/>
      <c r="S102" s="138"/>
      <c r="T102" s="128">
        <v>65896</v>
      </c>
      <c r="U102" s="100"/>
      <c r="V102" s="102"/>
      <c r="W102" s="167"/>
    </row>
    <row r="103" s="39" customFormat="1" ht="22" hidden="1" customHeight="1" spans="1:23">
      <c r="A103" s="77" t="s">
        <v>248</v>
      </c>
      <c r="B103" s="78" t="s">
        <v>30</v>
      </c>
      <c r="C103" s="79"/>
      <c r="D103" s="80" t="s">
        <v>31</v>
      </c>
      <c r="E103" s="80" t="s">
        <v>196</v>
      </c>
      <c r="F103" s="81" t="str">
        <f>IFERROR(VLOOKUP(E103,客户!B:C,2,FALSE),"/")</f>
        <v>/</v>
      </c>
      <c r="G103" s="80" t="s">
        <v>249</v>
      </c>
      <c r="H103" s="45" t="s">
        <v>147</v>
      </c>
      <c r="I103" s="45" t="s">
        <v>205</v>
      </c>
      <c r="J103" s="108">
        <v>43168</v>
      </c>
      <c r="K103" s="100">
        <v>43393</v>
      </c>
      <c r="L103" s="100">
        <v>43423</v>
      </c>
      <c r="M103" s="154" t="s">
        <v>250</v>
      </c>
      <c r="N103" s="153" t="s">
        <v>251</v>
      </c>
      <c r="O103" s="104"/>
      <c r="P103" s="102">
        <v>128772.6</v>
      </c>
      <c r="Q103" s="113"/>
      <c r="R103" s="131"/>
      <c r="S103" s="132"/>
      <c r="T103" s="102"/>
      <c r="U103" s="100"/>
      <c r="V103" s="102"/>
      <c r="W103" s="167"/>
    </row>
    <row r="104" s="42" customFormat="1" ht="22" hidden="1" customHeight="1" spans="1:23">
      <c r="A104" s="77" t="s">
        <v>252</v>
      </c>
      <c r="B104" s="78" t="s">
        <v>30</v>
      </c>
      <c r="C104" s="79"/>
      <c r="D104" s="80" t="s">
        <v>31</v>
      </c>
      <c r="E104" s="80" t="s">
        <v>196</v>
      </c>
      <c r="F104" s="81" t="str">
        <f>IFERROR(VLOOKUP(E104,客户!B:C,2,FALSE),"/")</f>
        <v>/</v>
      </c>
      <c r="G104" s="80" t="s">
        <v>61</v>
      </c>
      <c r="H104" s="45" t="s">
        <v>147</v>
      </c>
      <c r="I104" s="45" t="s">
        <v>205</v>
      </c>
      <c r="J104" s="108">
        <v>43236</v>
      </c>
      <c r="K104" s="100"/>
      <c r="L104" s="100"/>
      <c r="M104" s="153" t="s">
        <v>253</v>
      </c>
      <c r="N104" s="153"/>
      <c r="O104" s="104"/>
      <c r="P104" s="102"/>
      <c r="Q104" s="168"/>
      <c r="R104" s="131"/>
      <c r="S104" s="132"/>
      <c r="T104" s="102"/>
      <c r="U104" s="100"/>
      <c r="V104" s="102"/>
      <c r="W104" s="167"/>
    </row>
    <row r="105" s="42" customFormat="1" ht="22" hidden="1" customHeight="1" spans="1:23">
      <c r="A105" s="77" t="s">
        <v>254</v>
      </c>
      <c r="B105" s="78" t="s">
        <v>30</v>
      </c>
      <c r="C105" s="79"/>
      <c r="D105" s="80" t="s">
        <v>31</v>
      </c>
      <c r="E105" s="80" t="s">
        <v>196</v>
      </c>
      <c r="F105" s="81" t="str">
        <f>IFERROR(VLOOKUP(E105,客户!B:C,2,FALSE),"/")</f>
        <v>/</v>
      </c>
      <c r="G105" s="80" t="s">
        <v>234</v>
      </c>
      <c r="H105" s="45" t="s">
        <v>147</v>
      </c>
      <c r="I105" s="45" t="s">
        <v>205</v>
      </c>
      <c r="J105" s="108">
        <v>43236</v>
      </c>
      <c r="K105" s="100">
        <v>43401</v>
      </c>
      <c r="L105" s="100">
        <v>43445</v>
      </c>
      <c r="M105" s="155" t="s">
        <v>255</v>
      </c>
      <c r="N105" s="153" t="s">
        <v>256</v>
      </c>
      <c r="O105" s="104"/>
      <c r="P105" s="102">
        <v>64771.2</v>
      </c>
      <c r="Q105" s="168"/>
      <c r="R105" s="126"/>
      <c r="S105" s="127"/>
      <c r="T105" s="128">
        <v>64586.473</v>
      </c>
      <c r="U105" s="100"/>
      <c r="V105" s="102"/>
      <c r="W105" s="167"/>
    </row>
    <row r="106" s="42" customFormat="1" ht="22" hidden="1" customHeight="1" spans="1:23">
      <c r="A106" s="77" t="s">
        <v>257</v>
      </c>
      <c r="B106" s="78" t="s">
        <v>30</v>
      </c>
      <c r="C106" s="79"/>
      <c r="D106" s="80" t="s">
        <v>31</v>
      </c>
      <c r="E106" s="80" t="s">
        <v>196</v>
      </c>
      <c r="F106" s="81" t="str">
        <f>IFERROR(VLOOKUP(E106,客户!B:C,2,FALSE),"/")</f>
        <v>/</v>
      </c>
      <c r="G106" s="80" t="s">
        <v>234</v>
      </c>
      <c r="H106" s="45" t="s">
        <v>147</v>
      </c>
      <c r="I106" s="45" t="s">
        <v>205</v>
      </c>
      <c r="J106" s="108">
        <v>43236</v>
      </c>
      <c r="K106" s="100">
        <v>43407</v>
      </c>
      <c r="L106" s="100">
        <v>43449</v>
      </c>
      <c r="M106" s="153" t="s">
        <v>258</v>
      </c>
      <c r="N106" s="153" t="s">
        <v>259</v>
      </c>
      <c r="O106" s="104"/>
      <c r="P106" s="102">
        <v>64771.2</v>
      </c>
      <c r="Q106" s="168"/>
      <c r="R106" s="131"/>
      <c r="S106" s="132"/>
      <c r="T106" s="102">
        <v>59386</v>
      </c>
      <c r="U106" s="100"/>
      <c r="V106" s="102"/>
      <c r="W106" s="167"/>
    </row>
    <row r="107" s="40" customFormat="1" ht="22" hidden="1" customHeight="1" spans="1:23">
      <c r="A107" s="77" t="s">
        <v>260</v>
      </c>
      <c r="B107" s="78" t="s">
        <v>30</v>
      </c>
      <c r="C107" s="79"/>
      <c r="D107" s="80" t="s">
        <v>31</v>
      </c>
      <c r="E107" s="80" t="s">
        <v>196</v>
      </c>
      <c r="F107" s="81" t="str">
        <f>IFERROR(VLOOKUP(E107,客户!B:C,2,FALSE),"/")</f>
        <v>/</v>
      </c>
      <c r="G107" s="80" t="s">
        <v>234</v>
      </c>
      <c r="H107" s="45" t="s">
        <v>147</v>
      </c>
      <c r="I107" s="45" t="s">
        <v>205</v>
      </c>
      <c r="J107" s="108">
        <v>43236</v>
      </c>
      <c r="K107" s="100">
        <v>43112</v>
      </c>
      <c r="L107" s="100">
        <v>43519</v>
      </c>
      <c r="M107" s="45" t="s">
        <v>261</v>
      </c>
      <c r="N107" s="153" t="s">
        <v>262</v>
      </c>
      <c r="O107" s="104"/>
      <c r="P107" s="102">
        <v>63072.6</v>
      </c>
      <c r="Q107" s="102">
        <v>0</v>
      </c>
      <c r="R107" s="131"/>
      <c r="S107" s="132"/>
      <c r="T107" s="102">
        <v>62865</v>
      </c>
      <c r="U107" s="100"/>
      <c r="V107" s="102"/>
      <c r="W107" s="170"/>
    </row>
    <row r="108" s="40" customFormat="1" ht="22" hidden="1" customHeight="1" spans="1:23">
      <c r="A108" s="77" t="s">
        <v>263</v>
      </c>
      <c r="B108" s="78" t="s">
        <v>30</v>
      </c>
      <c r="C108" s="79"/>
      <c r="D108" s="80" t="s">
        <v>31</v>
      </c>
      <c r="E108" s="80" t="s">
        <v>196</v>
      </c>
      <c r="F108" s="81" t="str">
        <f>IFERROR(VLOOKUP(E108,客户!B:C,2,FALSE),"/")</f>
        <v>/</v>
      </c>
      <c r="G108" s="80" t="s">
        <v>234</v>
      </c>
      <c r="H108" s="45" t="s">
        <v>147</v>
      </c>
      <c r="I108" s="45" t="s">
        <v>205</v>
      </c>
      <c r="J108" s="108">
        <v>43236</v>
      </c>
      <c r="K108" s="100">
        <v>43534</v>
      </c>
      <c r="L108" s="100">
        <v>43565</v>
      </c>
      <c r="M108" s="153" t="s">
        <v>264</v>
      </c>
      <c r="N108" s="45" t="s">
        <v>265</v>
      </c>
      <c r="O108" s="104"/>
      <c r="P108" s="102">
        <v>64827</v>
      </c>
      <c r="Q108" s="102">
        <v>0</v>
      </c>
      <c r="R108" s="131"/>
      <c r="S108" s="132"/>
      <c r="T108" s="102">
        <v>64642</v>
      </c>
      <c r="U108" s="100">
        <v>43570</v>
      </c>
      <c r="V108" s="102"/>
      <c r="W108" s="170"/>
    </row>
    <row r="109" s="42" customFormat="1" ht="22" hidden="1" customHeight="1" spans="1:23">
      <c r="A109" s="77" t="s">
        <v>266</v>
      </c>
      <c r="B109" s="78" t="s">
        <v>30</v>
      </c>
      <c r="C109" s="79"/>
      <c r="D109" s="80" t="s">
        <v>31</v>
      </c>
      <c r="E109" s="80" t="s">
        <v>196</v>
      </c>
      <c r="F109" s="81" t="str">
        <f>IFERROR(VLOOKUP(E109,客户!B:C,2,FALSE),"/")</f>
        <v>/</v>
      </c>
      <c r="G109" s="80" t="s">
        <v>234</v>
      </c>
      <c r="H109" s="45" t="s">
        <v>147</v>
      </c>
      <c r="I109" s="45" t="s">
        <v>210</v>
      </c>
      <c r="J109" s="108">
        <v>43363</v>
      </c>
      <c r="K109" s="100">
        <v>43449</v>
      </c>
      <c r="L109" s="100">
        <v>43488</v>
      </c>
      <c r="M109" s="45" t="s">
        <v>267</v>
      </c>
      <c r="N109" s="153" t="s">
        <v>268</v>
      </c>
      <c r="O109" s="104"/>
      <c r="P109" s="113">
        <v>67945.12</v>
      </c>
      <c r="Q109" s="129">
        <v>0</v>
      </c>
      <c r="R109" s="131"/>
      <c r="S109" s="132"/>
      <c r="T109" s="102">
        <v>67790</v>
      </c>
      <c r="U109" s="100">
        <v>43482</v>
      </c>
      <c r="V109" s="102"/>
      <c r="W109" s="170"/>
    </row>
    <row r="110" s="40" customFormat="1" ht="22" hidden="1" customHeight="1" spans="1:23">
      <c r="A110" s="77" t="s">
        <v>269</v>
      </c>
      <c r="B110" s="78" t="s">
        <v>30</v>
      </c>
      <c r="C110" s="79"/>
      <c r="D110" s="80" t="s">
        <v>31</v>
      </c>
      <c r="E110" s="80" t="s">
        <v>221</v>
      </c>
      <c r="F110" s="81" t="str">
        <f>IFERROR(VLOOKUP(E110,客户!B:C,2,FALSE),"/")</f>
        <v>/</v>
      </c>
      <c r="G110" s="80" t="s">
        <v>54</v>
      </c>
      <c r="H110" s="45" t="s">
        <v>123</v>
      </c>
      <c r="I110" s="45" t="s">
        <v>223</v>
      </c>
      <c r="J110" s="108">
        <v>43238</v>
      </c>
      <c r="K110" s="100">
        <v>43275</v>
      </c>
      <c r="L110" s="100">
        <v>43306</v>
      </c>
      <c r="M110" s="112"/>
      <c r="N110" s="112"/>
      <c r="O110" s="104"/>
      <c r="P110" s="113">
        <v>22383.5</v>
      </c>
      <c r="Q110" s="102"/>
      <c r="R110" s="131"/>
      <c r="S110" s="132"/>
      <c r="T110" s="102">
        <v>15165</v>
      </c>
      <c r="U110" s="102">
        <v>22383.5</v>
      </c>
      <c r="V110" s="102"/>
      <c r="W110" s="170"/>
    </row>
    <row r="111" s="40" customFormat="1" ht="22" hidden="1" customHeight="1" spans="1:23">
      <c r="A111" s="77" t="s">
        <v>270</v>
      </c>
      <c r="B111" s="78" t="s">
        <v>30</v>
      </c>
      <c r="C111" s="79"/>
      <c r="D111" s="80" t="s">
        <v>31</v>
      </c>
      <c r="E111" s="80" t="s">
        <v>221</v>
      </c>
      <c r="F111" s="81" t="str">
        <f>IFERROR(VLOOKUP(E111,客户!B:C,2,FALSE),"/")</f>
        <v>/</v>
      </c>
      <c r="G111" s="80" t="s">
        <v>271</v>
      </c>
      <c r="H111" s="45" t="s">
        <v>123</v>
      </c>
      <c r="I111" s="45" t="s">
        <v>272</v>
      </c>
      <c r="J111" s="108">
        <v>43254</v>
      </c>
      <c r="K111" s="100">
        <v>43312</v>
      </c>
      <c r="L111" s="100">
        <v>43346</v>
      </c>
      <c r="M111" s="156" t="s">
        <v>273</v>
      </c>
      <c r="N111" s="156"/>
      <c r="O111" s="104"/>
      <c r="P111" s="102">
        <v>46045.21</v>
      </c>
      <c r="Q111" s="102"/>
      <c r="R111" s="131"/>
      <c r="S111" s="132"/>
      <c r="T111" s="102">
        <v>30630</v>
      </c>
      <c r="U111" s="102">
        <v>46045.21</v>
      </c>
      <c r="V111" s="102"/>
      <c r="W111" s="170"/>
    </row>
    <row r="112" s="40" customFormat="1" ht="22" hidden="1" customHeight="1" spans="1:23">
      <c r="A112" s="77" t="s">
        <v>274</v>
      </c>
      <c r="B112" s="78" t="s">
        <v>30</v>
      </c>
      <c r="C112" s="79"/>
      <c r="D112" s="80" t="s">
        <v>31</v>
      </c>
      <c r="E112" s="82" t="s">
        <v>275</v>
      </c>
      <c r="F112" s="81" t="str">
        <f>IFERROR(VLOOKUP(E112,客户!B:C,2,FALSE),"/")</f>
        <v>/</v>
      </c>
      <c r="G112" s="80" t="s">
        <v>91</v>
      </c>
      <c r="H112" s="45" t="s">
        <v>123</v>
      </c>
      <c r="I112" s="45" t="s">
        <v>276</v>
      </c>
      <c r="J112" s="108">
        <v>43255</v>
      </c>
      <c r="K112" s="100">
        <v>43328</v>
      </c>
      <c r="L112" s="100">
        <v>43363</v>
      </c>
      <c r="M112" s="157" t="s">
        <v>277</v>
      </c>
      <c r="N112" s="151" t="s">
        <v>278</v>
      </c>
      <c r="O112" s="104"/>
      <c r="P112" s="102">
        <v>20578.91</v>
      </c>
      <c r="Q112" s="102"/>
      <c r="R112" s="131"/>
      <c r="S112" s="132"/>
      <c r="T112" s="102">
        <v>6155</v>
      </c>
      <c r="U112" s="102">
        <v>20578.91</v>
      </c>
      <c r="V112" s="102"/>
      <c r="W112" s="170"/>
    </row>
    <row r="113" s="40" customFormat="1" ht="22" hidden="1" customHeight="1" spans="1:23">
      <c r="A113" s="77" t="s">
        <v>279</v>
      </c>
      <c r="B113" s="78" t="s">
        <v>30</v>
      </c>
      <c r="C113" s="79"/>
      <c r="D113" s="80" t="s">
        <v>31</v>
      </c>
      <c r="E113" s="80" t="s">
        <v>125</v>
      </c>
      <c r="F113" s="81" t="str">
        <f>IFERROR(VLOOKUP(E113,客户!B:C,2,FALSE),"/")</f>
        <v>/</v>
      </c>
      <c r="G113" s="80" t="s">
        <v>280</v>
      </c>
      <c r="H113" s="45" t="s">
        <v>127</v>
      </c>
      <c r="I113" s="45" t="s">
        <v>215</v>
      </c>
      <c r="J113" s="108"/>
      <c r="K113" s="100">
        <v>43324</v>
      </c>
      <c r="L113" s="100">
        <v>43340</v>
      </c>
      <c r="M113" s="112" t="s">
        <v>281</v>
      </c>
      <c r="N113" s="112"/>
      <c r="O113" s="104"/>
      <c r="P113" s="102">
        <v>69515</v>
      </c>
      <c r="Q113" s="129"/>
      <c r="R113" s="171"/>
      <c r="S113" s="172"/>
      <c r="T113" s="129">
        <v>21535</v>
      </c>
      <c r="U113" s="102">
        <v>69515</v>
      </c>
      <c r="V113" s="102"/>
      <c r="W113" s="170"/>
    </row>
    <row r="114" s="40" customFormat="1" ht="22" hidden="1" customHeight="1" spans="1:23">
      <c r="A114" s="85" t="s">
        <v>282</v>
      </c>
      <c r="B114" s="78" t="s">
        <v>30</v>
      </c>
      <c r="C114" s="79"/>
      <c r="D114" s="80" t="s">
        <v>31</v>
      </c>
      <c r="E114" s="80" t="s">
        <v>221</v>
      </c>
      <c r="F114" s="81" t="str">
        <f>IFERROR(VLOOKUP(E114,客户!B:C,2,FALSE),"/")</f>
        <v>/</v>
      </c>
      <c r="G114" s="80" t="s">
        <v>54</v>
      </c>
      <c r="H114" s="45" t="s">
        <v>123</v>
      </c>
      <c r="I114" s="45" t="s">
        <v>272</v>
      </c>
      <c r="J114" s="108">
        <v>43306</v>
      </c>
      <c r="K114" s="100">
        <v>43330</v>
      </c>
      <c r="L114" s="100">
        <v>43363</v>
      </c>
      <c r="M114" s="158" t="s">
        <v>273</v>
      </c>
      <c r="N114" s="157" t="s">
        <v>283</v>
      </c>
      <c r="O114" s="104"/>
      <c r="P114" s="102">
        <v>23317.38</v>
      </c>
      <c r="Q114" s="102"/>
      <c r="R114" s="131"/>
      <c r="S114" s="132"/>
      <c r="T114" s="102">
        <v>7959.25</v>
      </c>
      <c r="U114" s="102">
        <v>23317.38</v>
      </c>
      <c r="V114" s="102"/>
      <c r="W114" s="170"/>
    </row>
    <row r="115" s="40" customFormat="1" ht="22" hidden="1" customHeight="1" spans="1:23">
      <c r="A115" s="77" t="s">
        <v>284</v>
      </c>
      <c r="B115" s="78" t="s">
        <v>30</v>
      </c>
      <c r="C115" s="79"/>
      <c r="D115" s="80" t="s">
        <v>31</v>
      </c>
      <c r="E115" s="80" t="s">
        <v>221</v>
      </c>
      <c r="F115" s="81" t="str">
        <f>IFERROR(VLOOKUP(E115,客户!B:C,2,FALSE),"/")</f>
        <v>/</v>
      </c>
      <c r="G115" s="80" t="s">
        <v>54</v>
      </c>
      <c r="H115" s="45" t="s">
        <v>123</v>
      </c>
      <c r="I115" s="45" t="s">
        <v>272</v>
      </c>
      <c r="J115" s="159">
        <v>43306</v>
      </c>
      <c r="K115" s="100">
        <v>43366</v>
      </c>
      <c r="L115" s="100">
        <v>43389</v>
      </c>
      <c r="M115" s="160" t="s">
        <v>285</v>
      </c>
      <c r="N115" s="42" t="s">
        <v>286</v>
      </c>
      <c r="O115" s="104"/>
      <c r="P115" s="102">
        <v>24089.85</v>
      </c>
      <c r="Q115" s="129"/>
      <c r="R115" s="137"/>
      <c r="S115" s="138"/>
      <c r="T115" s="129">
        <v>22933.65</v>
      </c>
      <c r="U115" s="102">
        <v>24089.85</v>
      </c>
      <c r="V115" s="173" t="s">
        <v>287</v>
      </c>
      <c r="W115" s="170"/>
    </row>
    <row r="116" s="39" customFormat="1" ht="22" hidden="1" customHeight="1" spans="1:23">
      <c r="A116" s="85" t="s">
        <v>288</v>
      </c>
      <c r="B116" s="78" t="s">
        <v>30</v>
      </c>
      <c r="C116" s="79"/>
      <c r="D116" s="80" t="s">
        <v>31</v>
      </c>
      <c r="E116" s="80" t="s">
        <v>53</v>
      </c>
      <c r="F116" s="81" t="str">
        <f>IFERROR(VLOOKUP(E116,客户!B:C,2,FALSE),"/")</f>
        <v>/</v>
      </c>
      <c r="G116" s="80" t="s">
        <v>54</v>
      </c>
      <c r="H116" s="45" t="s">
        <v>123</v>
      </c>
      <c r="I116" s="45" t="s">
        <v>232</v>
      </c>
      <c r="J116" s="108">
        <v>43298</v>
      </c>
      <c r="K116" s="100">
        <v>43344</v>
      </c>
      <c r="L116" s="100">
        <v>43357</v>
      </c>
      <c r="M116" s="161" t="s">
        <v>289</v>
      </c>
      <c r="N116" s="159" t="s">
        <v>290</v>
      </c>
      <c r="O116" s="104"/>
      <c r="P116" s="102">
        <v>20440.5</v>
      </c>
      <c r="Q116" s="102">
        <v>6072.15</v>
      </c>
      <c r="R116" s="131"/>
      <c r="S116" s="132"/>
      <c r="T116" s="102"/>
      <c r="U116" s="102"/>
      <c r="V116" s="102"/>
      <c r="W116" s="170"/>
    </row>
    <row r="117" s="42" customFormat="1" ht="22" hidden="1" customHeight="1" spans="1:23">
      <c r="A117" s="144" t="s">
        <v>291</v>
      </c>
      <c r="B117" s="78" t="s">
        <v>30</v>
      </c>
      <c r="C117" s="79"/>
      <c r="D117" s="80" t="s">
        <v>31</v>
      </c>
      <c r="E117" s="80" t="s">
        <v>292</v>
      </c>
      <c r="F117" s="81" t="str">
        <f>IFERROR(VLOOKUP(E117,客户!B:C,2,FALSE),"/")</f>
        <v>/</v>
      </c>
      <c r="G117" s="80" t="s">
        <v>136</v>
      </c>
      <c r="H117" s="45" t="s">
        <v>123</v>
      </c>
      <c r="I117" s="45" t="s">
        <v>276</v>
      </c>
      <c r="J117" s="159">
        <v>43300</v>
      </c>
      <c r="K117" s="100">
        <v>43365</v>
      </c>
      <c r="L117" s="100">
        <v>43396</v>
      </c>
      <c r="M117" s="159" t="s">
        <v>293</v>
      </c>
      <c r="N117" s="159" t="s">
        <v>294</v>
      </c>
      <c r="O117" s="104"/>
      <c r="P117" s="102">
        <v>11750.24</v>
      </c>
      <c r="Q117" s="102">
        <v>11750.24</v>
      </c>
      <c r="R117" s="131"/>
      <c r="S117" s="132"/>
      <c r="T117" s="102"/>
      <c r="U117" s="102"/>
      <c r="V117" s="102"/>
      <c r="W117" s="170"/>
    </row>
    <row r="118" s="39" customFormat="1" ht="22" hidden="1" customHeight="1" spans="1:23">
      <c r="A118" s="85" t="s">
        <v>295</v>
      </c>
      <c r="B118" s="78" t="s">
        <v>30</v>
      </c>
      <c r="C118" s="79"/>
      <c r="D118" s="80" t="s">
        <v>31</v>
      </c>
      <c r="E118" s="80" t="s">
        <v>296</v>
      </c>
      <c r="F118" s="81">
        <f>IFERROR(VLOOKUP(E118,客户!B:C,2,FALSE),"/")</f>
        <v>0</v>
      </c>
      <c r="G118" s="80" t="s">
        <v>122</v>
      </c>
      <c r="H118" s="45" t="s">
        <v>123</v>
      </c>
      <c r="I118" s="45" t="s">
        <v>297</v>
      </c>
      <c r="J118" s="108">
        <v>43307</v>
      </c>
      <c r="K118" s="100">
        <v>43346</v>
      </c>
      <c r="L118" s="100">
        <v>43383</v>
      </c>
      <c r="M118" s="162" t="s">
        <v>298</v>
      </c>
      <c r="N118" s="159" t="s">
        <v>299</v>
      </c>
      <c r="O118" s="104"/>
      <c r="P118" s="102">
        <v>23368.5</v>
      </c>
      <c r="Q118" s="102">
        <v>6969</v>
      </c>
      <c r="R118" s="131"/>
      <c r="S118" s="132"/>
      <c r="T118" s="102"/>
      <c r="U118" s="102"/>
      <c r="V118" s="102"/>
      <c r="W118" s="170"/>
    </row>
    <row r="119" s="39" customFormat="1" ht="22" hidden="1" customHeight="1" spans="1:23">
      <c r="A119" s="77" t="s">
        <v>300</v>
      </c>
      <c r="B119" s="78" t="s">
        <v>30</v>
      </c>
      <c r="C119" s="79"/>
      <c r="D119" s="80" t="s">
        <v>31</v>
      </c>
      <c r="E119" s="80" t="s">
        <v>301</v>
      </c>
      <c r="F119" s="81" t="str">
        <f>IFERROR(VLOOKUP(E119,客户!B:C,2,FALSE),"/")</f>
        <v>/</v>
      </c>
      <c r="G119" s="80" t="s">
        <v>302</v>
      </c>
      <c r="H119" s="45" t="s">
        <v>127</v>
      </c>
      <c r="I119" s="45" t="s">
        <v>215</v>
      </c>
      <c r="J119" s="108">
        <v>43319</v>
      </c>
      <c r="K119" s="100">
        <v>43338</v>
      </c>
      <c r="L119" s="100">
        <v>43359</v>
      </c>
      <c r="M119" s="112" t="s">
        <v>303</v>
      </c>
      <c r="N119" s="163" t="s">
        <v>304</v>
      </c>
      <c r="O119" s="104"/>
      <c r="P119" s="102">
        <v>128683.8</v>
      </c>
      <c r="Q119" s="102">
        <v>40000</v>
      </c>
      <c r="R119" s="131"/>
      <c r="S119" s="132"/>
      <c r="T119" s="102"/>
      <c r="U119" s="102"/>
      <c r="V119" s="102"/>
      <c r="W119" s="170"/>
    </row>
    <row r="120" s="39" customFormat="1" ht="22" hidden="1" customHeight="1" spans="1:23">
      <c r="A120" s="77" t="s">
        <v>305</v>
      </c>
      <c r="B120" s="78" t="s">
        <v>30</v>
      </c>
      <c r="C120" s="79"/>
      <c r="D120" s="80" t="s">
        <v>31</v>
      </c>
      <c r="E120" s="82" t="s">
        <v>306</v>
      </c>
      <c r="F120" s="81" t="str">
        <f>IFERROR(VLOOKUP(E120,客户!B:C,2,FALSE),"/")</f>
        <v>/</v>
      </c>
      <c r="G120" s="80" t="s">
        <v>40</v>
      </c>
      <c r="H120" s="45"/>
      <c r="I120" s="45" t="s">
        <v>210</v>
      </c>
      <c r="J120" s="108">
        <v>43326</v>
      </c>
      <c r="K120" s="100">
        <v>43392</v>
      </c>
      <c r="L120" s="100">
        <v>43417</v>
      </c>
      <c r="M120" s="159" t="s">
        <v>307</v>
      </c>
      <c r="N120" s="162" t="s">
        <v>308</v>
      </c>
      <c r="O120" s="104"/>
      <c r="P120" s="102">
        <v>42738.26</v>
      </c>
      <c r="Q120" s="102">
        <v>13073</v>
      </c>
      <c r="R120" s="131"/>
      <c r="S120" s="132"/>
      <c r="T120" s="102"/>
      <c r="U120" s="102"/>
      <c r="V120" s="102"/>
      <c r="W120" s="170"/>
    </row>
    <row r="121" s="42" customFormat="1" ht="22" hidden="1" customHeight="1" spans="1:23">
      <c r="A121" s="144" t="s">
        <v>309</v>
      </c>
      <c r="B121" s="78" t="s">
        <v>30</v>
      </c>
      <c r="C121" s="79"/>
      <c r="D121" s="80" t="s">
        <v>31</v>
      </c>
      <c r="E121" s="80" t="s">
        <v>310</v>
      </c>
      <c r="F121" s="81" t="str">
        <f>IFERROR(VLOOKUP(E121,客户!B:C,2,FALSE),"/")</f>
        <v>/</v>
      </c>
      <c r="G121" s="80" t="s">
        <v>311</v>
      </c>
      <c r="H121" s="45" t="s">
        <v>154</v>
      </c>
      <c r="I121" s="45" t="s">
        <v>312</v>
      </c>
      <c r="J121" s="159">
        <v>43340</v>
      </c>
      <c r="K121" s="100">
        <v>43365</v>
      </c>
      <c r="L121" s="100">
        <v>43388</v>
      </c>
      <c r="M121" s="159" t="s">
        <v>313</v>
      </c>
      <c r="N121" s="159" t="s">
        <v>314</v>
      </c>
      <c r="O121" s="104"/>
      <c r="P121" s="102">
        <v>86659.6</v>
      </c>
      <c r="Q121" s="102"/>
      <c r="R121" s="131"/>
      <c r="S121" s="132"/>
      <c r="T121" s="102">
        <v>86659.6</v>
      </c>
      <c r="U121" s="100"/>
      <c r="V121" s="102"/>
      <c r="W121" s="170"/>
    </row>
    <row r="122" s="39" customFormat="1" ht="22" hidden="1" customHeight="1" spans="1:23">
      <c r="A122" s="144" t="s">
        <v>315</v>
      </c>
      <c r="B122" s="78" t="s">
        <v>30</v>
      </c>
      <c r="C122" s="79"/>
      <c r="D122" s="80" t="s">
        <v>31</v>
      </c>
      <c r="E122" s="80" t="s">
        <v>310</v>
      </c>
      <c r="F122" s="81" t="str">
        <f>IFERROR(VLOOKUP(E122,客户!B:C,2,FALSE),"/")</f>
        <v>/</v>
      </c>
      <c r="G122" s="80" t="s">
        <v>316</v>
      </c>
      <c r="H122" s="45" t="s">
        <v>154</v>
      </c>
      <c r="I122" s="45" t="s">
        <v>312</v>
      </c>
      <c r="J122" s="108">
        <v>43340</v>
      </c>
      <c r="K122" s="100">
        <v>43380</v>
      </c>
      <c r="L122" s="100">
        <v>43406</v>
      </c>
      <c r="M122" s="164" t="s">
        <v>317</v>
      </c>
      <c r="N122" s="165" t="s">
        <v>318</v>
      </c>
      <c r="O122" s="104"/>
      <c r="P122" s="102">
        <v>129989.4</v>
      </c>
      <c r="Q122" s="102"/>
      <c r="R122" s="131"/>
      <c r="S122" s="132"/>
      <c r="T122" s="102">
        <v>129989.4</v>
      </c>
      <c r="U122" s="100"/>
      <c r="V122" s="102"/>
      <c r="W122" s="170"/>
    </row>
    <row r="123" s="39" customFormat="1" ht="22" hidden="1" customHeight="1" spans="1:23">
      <c r="A123" s="144" t="s">
        <v>319</v>
      </c>
      <c r="B123" s="78" t="s">
        <v>30</v>
      </c>
      <c r="C123" s="79"/>
      <c r="D123" s="80" t="s">
        <v>31</v>
      </c>
      <c r="E123" s="80" t="s">
        <v>310</v>
      </c>
      <c r="F123" s="81" t="str">
        <f>IFERROR(VLOOKUP(E123,客户!B:C,2,FALSE),"/")</f>
        <v>/</v>
      </c>
      <c r="G123" s="80" t="s">
        <v>320</v>
      </c>
      <c r="H123" s="45" t="s">
        <v>123</v>
      </c>
      <c r="I123" s="45" t="s">
        <v>312</v>
      </c>
      <c r="J123" s="108">
        <v>43340</v>
      </c>
      <c r="K123" s="100">
        <v>43393</v>
      </c>
      <c r="L123" s="100">
        <v>43419</v>
      </c>
      <c r="M123" s="108" t="s">
        <v>321</v>
      </c>
      <c r="N123" s="159" t="s">
        <v>322</v>
      </c>
      <c r="O123" s="104"/>
      <c r="P123" s="102">
        <v>64994.7</v>
      </c>
      <c r="Q123" s="102"/>
      <c r="R123" s="131"/>
      <c r="S123" s="132"/>
      <c r="T123" s="102">
        <v>64994.7</v>
      </c>
      <c r="U123" s="100"/>
      <c r="V123" s="102"/>
      <c r="W123" s="170"/>
    </row>
    <row r="124" s="39" customFormat="1" ht="22" hidden="1" customHeight="1" spans="1:23">
      <c r="A124" s="144" t="s">
        <v>323</v>
      </c>
      <c r="B124" s="78" t="s">
        <v>30</v>
      </c>
      <c r="C124" s="79"/>
      <c r="D124" s="80" t="s">
        <v>31</v>
      </c>
      <c r="E124" s="80" t="s">
        <v>310</v>
      </c>
      <c r="F124" s="81" t="str">
        <f>IFERROR(VLOOKUP(E124,客户!B:C,2,FALSE),"/")</f>
        <v>/</v>
      </c>
      <c r="G124" s="80" t="s">
        <v>320</v>
      </c>
      <c r="H124" s="45" t="s">
        <v>123</v>
      </c>
      <c r="I124" s="45" t="s">
        <v>312</v>
      </c>
      <c r="J124" s="108">
        <v>43340</v>
      </c>
      <c r="K124" s="100">
        <v>43393</v>
      </c>
      <c r="L124" s="100">
        <v>43423</v>
      </c>
      <c r="M124" s="159" t="s">
        <v>324</v>
      </c>
      <c r="N124" s="159" t="s">
        <v>322</v>
      </c>
      <c r="O124" s="104"/>
      <c r="P124" s="102">
        <v>64994.7</v>
      </c>
      <c r="Q124" s="102"/>
      <c r="R124" s="131"/>
      <c r="S124" s="132"/>
      <c r="T124" s="102">
        <v>64994.7</v>
      </c>
      <c r="U124" s="100"/>
      <c r="V124" s="102"/>
      <c r="W124" s="170"/>
    </row>
    <row r="125" s="39" customFormat="1" ht="22" hidden="1" customHeight="1" spans="1:23">
      <c r="A125" s="144" t="s">
        <v>325</v>
      </c>
      <c r="B125" s="78" t="s">
        <v>30</v>
      </c>
      <c r="C125" s="79"/>
      <c r="D125" s="80" t="s">
        <v>31</v>
      </c>
      <c r="E125" s="80" t="s">
        <v>326</v>
      </c>
      <c r="F125" s="81" t="str">
        <f>IFERROR(VLOOKUP(E125,客户!B:C,2,FALSE),"/")</f>
        <v>/</v>
      </c>
      <c r="G125" s="80" t="s">
        <v>327</v>
      </c>
      <c r="H125" s="45" t="s">
        <v>123</v>
      </c>
      <c r="I125" s="45" t="s">
        <v>312</v>
      </c>
      <c r="J125" s="108">
        <v>43340</v>
      </c>
      <c r="K125" s="100">
        <v>43413</v>
      </c>
      <c r="L125" s="100">
        <v>43442</v>
      </c>
      <c r="M125" s="159" t="s">
        <v>328</v>
      </c>
      <c r="N125" s="159" t="s">
        <v>329</v>
      </c>
      <c r="O125" s="104"/>
      <c r="P125" s="102">
        <v>86659.6</v>
      </c>
      <c r="Q125" s="102">
        <f>P125-U125</f>
        <v>86659.6</v>
      </c>
      <c r="R125" s="131"/>
      <c r="S125" s="132"/>
      <c r="T125" s="102">
        <v>86659.6</v>
      </c>
      <c r="U125" s="100"/>
      <c r="V125" s="102"/>
      <c r="W125" s="170"/>
    </row>
    <row r="126" s="39" customFormat="1" ht="22" hidden="1" customHeight="1" spans="1:23">
      <c r="A126" s="144" t="s">
        <v>330</v>
      </c>
      <c r="B126" s="78" t="s">
        <v>30</v>
      </c>
      <c r="C126" s="79"/>
      <c r="D126" s="80" t="s">
        <v>31</v>
      </c>
      <c r="E126" s="80" t="s">
        <v>326</v>
      </c>
      <c r="F126" s="81" t="str">
        <f>IFERROR(VLOOKUP(E126,客户!B:C,2,FALSE),"/")</f>
        <v>/</v>
      </c>
      <c r="G126" s="80" t="s">
        <v>320</v>
      </c>
      <c r="H126" s="45" t="s">
        <v>123</v>
      </c>
      <c r="I126" s="45" t="s">
        <v>312</v>
      </c>
      <c r="J126" s="108">
        <v>43340</v>
      </c>
      <c r="K126" s="100">
        <v>43427</v>
      </c>
      <c r="L126" s="100">
        <v>43461</v>
      </c>
      <c r="M126" s="159" t="s">
        <v>331</v>
      </c>
      <c r="N126" s="159" t="s">
        <v>332</v>
      </c>
      <c r="O126" s="104"/>
      <c r="P126" s="102">
        <v>64994.7</v>
      </c>
      <c r="Q126" s="102"/>
      <c r="R126" s="131"/>
      <c r="S126" s="132"/>
      <c r="T126" s="102">
        <v>64994.7</v>
      </c>
      <c r="U126" s="100"/>
      <c r="V126" s="102"/>
      <c r="W126" s="170"/>
    </row>
    <row r="127" s="39" customFormat="1" ht="22" hidden="1" customHeight="1" spans="1:23">
      <c r="A127" s="144" t="s">
        <v>333</v>
      </c>
      <c r="B127" s="78" t="s">
        <v>30</v>
      </c>
      <c r="C127" s="79"/>
      <c r="D127" s="80" t="s">
        <v>31</v>
      </c>
      <c r="E127" s="80" t="s">
        <v>326</v>
      </c>
      <c r="F127" s="81" t="str">
        <f>IFERROR(VLOOKUP(E127,客户!B:C,2,FALSE),"/")</f>
        <v>/</v>
      </c>
      <c r="G127" s="80" t="s">
        <v>334</v>
      </c>
      <c r="H127" s="45" t="s">
        <v>123</v>
      </c>
      <c r="I127" s="45" t="s">
        <v>312</v>
      </c>
      <c r="J127" s="108">
        <v>43340</v>
      </c>
      <c r="K127" s="100">
        <v>43434</v>
      </c>
      <c r="L127" s="100">
        <v>43103</v>
      </c>
      <c r="M127" s="159" t="s">
        <v>335</v>
      </c>
      <c r="N127" s="159" t="s">
        <v>336</v>
      </c>
      <c r="O127" s="104"/>
      <c r="P127" s="102">
        <v>33181.8</v>
      </c>
      <c r="Q127" s="102"/>
      <c r="R127" s="131"/>
      <c r="S127" s="132"/>
      <c r="T127" s="102">
        <v>33181.8</v>
      </c>
      <c r="U127" s="100">
        <v>43473</v>
      </c>
      <c r="V127" s="102"/>
      <c r="W127" s="170"/>
    </row>
    <row r="128" s="39" customFormat="1" ht="22" hidden="1" customHeight="1" spans="1:23">
      <c r="A128" s="145" t="s">
        <v>337</v>
      </c>
      <c r="B128" s="78" t="s">
        <v>30</v>
      </c>
      <c r="C128" s="79"/>
      <c r="D128" s="80" t="s">
        <v>31</v>
      </c>
      <c r="E128" s="80" t="s">
        <v>338</v>
      </c>
      <c r="F128" s="81" t="str">
        <f>IFERROR(VLOOKUP(E128,客户!B:C,2,FALSE),"/")</f>
        <v>/</v>
      </c>
      <c r="G128" s="80" t="s">
        <v>339</v>
      </c>
      <c r="H128" s="45" t="s">
        <v>123</v>
      </c>
      <c r="I128" s="45" t="s">
        <v>340</v>
      </c>
      <c r="J128" s="108">
        <v>43350</v>
      </c>
      <c r="K128" s="100">
        <v>43409</v>
      </c>
      <c r="L128" s="100">
        <v>43440</v>
      </c>
      <c r="M128" s="159" t="s">
        <v>341</v>
      </c>
      <c r="N128" s="162" t="s">
        <v>294</v>
      </c>
      <c r="O128" s="104"/>
      <c r="P128" s="102">
        <v>17843</v>
      </c>
      <c r="Q128" s="102">
        <v>5309.9</v>
      </c>
      <c r="R128" s="131"/>
      <c r="S128" s="132"/>
      <c r="T128" s="102">
        <v>17843</v>
      </c>
      <c r="U128" s="100"/>
      <c r="V128" s="102"/>
      <c r="W128" s="170"/>
    </row>
    <row r="129" s="39" customFormat="1" ht="22" hidden="1" customHeight="1" spans="1:23">
      <c r="A129" s="144" t="s">
        <v>342</v>
      </c>
      <c r="B129" s="78" t="s">
        <v>30</v>
      </c>
      <c r="C129" s="79"/>
      <c r="D129" s="80" t="s">
        <v>31</v>
      </c>
      <c r="E129" s="82" t="s">
        <v>343</v>
      </c>
      <c r="F129" s="81" t="str">
        <f>IFERROR(VLOOKUP(E129,客户!B:C,2,FALSE),"/")</f>
        <v>/</v>
      </c>
      <c r="G129" s="80" t="s">
        <v>344</v>
      </c>
      <c r="H129" s="45" t="s">
        <v>123</v>
      </c>
      <c r="I129" s="45" t="s">
        <v>345</v>
      </c>
      <c r="J129" s="108">
        <v>43349</v>
      </c>
      <c r="K129" s="100">
        <v>43392</v>
      </c>
      <c r="L129" s="100">
        <v>43426</v>
      </c>
      <c r="M129" s="159" t="s">
        <v>341</v>
      </c>
      <c r="N129" s="162" t="s">
        <v>346</v>
      </c>
      <c r="O129" s="104"/>
      <c r="P129" s="102">
        <v>51798.78</v>
      </c>
      <c r="Q129" s="102">
        <v>8000</v>
      </c>
      <c r="R129" s="131"/>
      <c r="S129" s="132"/>
      <c r="T129" s="102">
        <v>51798.78</v>
      </c>
      <c r="U129" s="100"/>
      <c r="V129" s="102"/>
      <c r="W129" s="170"/>
    </row>
    <row r="130" s="39" customFormat="1" ht="22" hidden="1" customHeight="1" spans="1:23">
      <c r="A130" s="144" t="s">
        <v>347</v>
      </c>
      <c r="B130" s="78" t="s">
        <v>30</v>
      </c>
      <c r="C130" s="79"/>
      <c r="D130" s="80" t="s">
        <v>31</v>
      </c>
      <c r="E130" s="80" t="s">
        <v>348</v>
      </c>
      <c r="F130" s="81" t="str">
        <f>IFERROR(VLOOKUP(E130,客户!B:C,2,FALSE),"/")</f>
        <v>/</v>
      </c>
      <c r="G130" s="80" t="s">
        <v>349</v>
      </c>
      <c r="H130" s="45"/>
      <c r="I130" s="45" t="s">
        <v>350</v>
      </c>
      <c r="J130" s="108">
        <v>43350</v>
      </c>
      <c r="K130" s="100">
        <v>43407</v>
      </c>
      <c r="L130" s="100">
        <v>43440</v>
      </c>
      <c r="M130" s="159" t="s">
        <v>351</v>
      </c>
      <c r="N130" s="159" t="s">
        <v>352</v>
      </c>
      <c r="O130" s="104"/>
      <c r="P130" s="102">
        <v>25205.45</v>
      </c>
      <c r="Q130" s="102">
        <v>8138</v>
      </c>
      <c r="R130" s="131"/>
      <c r="S130" s="132"/>
      <c r="T130" s="102">
        <v>25205</v>
      </c>
      <c r="U130" s="100"/>
      <c r="V130" s="102"/>
      <c r="W130" s="170"/>
    </row>
    <row r="131" s="39" customFormat="1" ht="22" hidden="1" customHeight="1" spans="1:23">
      <c r="A131" s="144" t="s">
        <v>353</v>
      </c>
      <c r="B131" s="78" t="s">
        <v>30</v>
      </c>
      <c r="C131" s="79"/>
      <c r="D131" s="80" t="s">
        <v>31</v>
      </c>
      <c r="E131" s="80" t="s">
        <v>354</v>
      </c>
      <c r="F131" s="81" t="str">
        <f>IFERROR(VLOOKUP(E131,客户!B:C,2,FALSE),"/")</f>
        <v>/</v>
      </c>
      <c r="G131" s="80" t="s">
        <v>355</v>
      </c>
      <c r="H131" s="45" t="s">
        <v>123</v>
      </c>
      <c r="I131" s="45" t="s">
        <v>356</v>
      </c>
      <c r="J131" s="108">
        <v>43359</v>
      </c>
      <c r="K131" s="100">
        <v>43400</v>
      </c>
      <c r="L131" s="100">
        <v>43429</v>
      </c>
      <c r="M131" s="159" t="s">
        <v>357</v>
      </c>
      <c r="N131" s="162" t="s">
        <v>358</v>
      </c>
      <c r="O131" s="104"/>
      <c r="P131" s="102">
        <v>23981.6</v>
      </c>
      <c r="Q131" s="102">
        <v>6384</v>
      </c>
      <c r="R131" s="131"/>
      <c r="S131" s="132"/>
      <c r="T131" s="102">
        <v>23981.6</v>
      </c>
      <c r="U131" s="100"/>
      <c r="V131" s="102"/>
      <c r="W131" s="170"/>
    </row>
    <row r="132" s="39" customFormat="1" ht="22" hidden="1" customHeight="1" spans="1:23">
      <c r="A132" s="144" t="s">
        <v>359</v>
      </c>
      <c r="B132" s="78" t="s">
        <v>30</v>
      </c>
      <c r="C132" s="79"/>
      <c r="D132" s="80" t="s">
        <v>31</v>
      </c>
      <c r="E132" s="80" t="s">
        <v>360</v>
      </c>
      <c r="F132" s="81" t="str">
        <f>IFERROR(VLOOKUP(E132,客户!B:C,2,FALSE),"/")</f>
        <v>/</v>
      </c>
      <c r="G132" s="80" t="s">
        <v>361</v>
      </c>
      <c r="H132" s="45" t="s">
        <v>123</v>
      </c>
      <c r="I132" s="45" t="s">
        <v>362</v>
      </c>
      <c r="J132" s="108">
        <v>43363</v>
      </c>
      <c r="K132" s="100">
        <v>43425</v>
      </c>
      <c r="L132" s="100">
        <v>43457</v>
      </c>
      <c r="M132" s="162" t="s">
        <v>363</v>
      </c>
      <c r="N132" s="162" t="s">
        <v>364</v>
      </c>
      <c r="O132" s="104"/>
      <c r="P132" s="102">
        <v>21443.8</v>
      </c>
      <c r="Q132" s="102">
        <v>5972</v>
      </c>
      <c r="R132" s="131"/>
      <c r="S132" s="132"/>
      <c r="T132" s="102">
        <v>21443.8</v>
      </c>
      <c r="U132" s="100"/>
      <c r="V132" s="102"/>
      <c r="W132" s="184"/>
    </row>
    <row r="133" s="39" customFormat="1" ht="22" hidden="1" customHeight="1" spans="1:23">
      <c r="A133" s="144" t="s">
        <v>365</v>
      </c>
      <c r="B133" s="78" t="s">
        <v>30</v>
      </c>
      <c r="C133" s="79"/>
      <c r="D133" s="80" t="s">
        <v>31</v>
      </c>
      <c r="E133" s="80" t="s">
        <v>366</v>
      </c>
      <c r="F133" s="81" t="str">
        <f>IFERROR(VLOOKUP(E133,客户!B:C,2,FALSE),"/")</f>
        <v>/</v>
      </c>
      <c r="G133" s="80" t="s">
        <v>367</v>
      </c>
      <c r="H133" s="45" t="s">
        <v>123</v>
      </c>
      <c r="I133" s="45" t="s">
        <v>368</v>
      </c>
      <c r="J133" s="108">
        <v>43368</v>
      </c>
      <c r="K133" s="100">
        <v>43430</v>
      </c>
      <c r="L133" s="100">
        <v>43458</v>
      </c>
      <c r="M133" s="159" t="s">
        <v>369</v>
      </c>
      <c r="N133" s="162" t="s">
        <v>370</v>
      </c>
      <c r="O133" s="104"/>
      <c r="P133" s="102">
        <v>20899.7</v>
      </c>
      <c r="Q133" s="102">
        <v>8450</v>
      </c>
      <c r="R133" s="131"/>
      <c r="S133" s="132"/>
      <c r="T133" s="102">
        <v>20899.7</v>
      </c>
      <c r="U133" s="100"/>
      <c r="V133" s="102"/>
      <c r="W133" s="170"/>
    </row>
    <row r="134" s="39" customFormat="1" ht="22" hidden="1" customHeight="1" spans="1:23">
      <c r="A134" s="77" t="s">
        <v>371</v>
      </c>
      <c r="B134" s="78" t="s">
        <v>30</v>
      </c>
      <c r="C134" s="79"/>
      <c r="D134" s="80" t="s">
        <v>31</v>
      </c>
      <c r="E134" s="80" t="s">
        <v>372</v>
      </c>
      <c r="F134" s="81" t="str">
        <f>IFERROR(VLOOKUP(E134,客户!B:C,2,FALSE),"/")</f>
        <v>/</v>
      </c>
      <c r="G134" s="80" t="s">
        <v>373</v>
      </c>
      <c r="H134" s="45" t="s">
        <v>123</v>
      </c>
      <c r="I134" s="45" t="s">
        <v>374</v>
      </c>
      <c r="J134" s="108"/>
      <c r="K134" s="100">
        <v>43367</v>
      </c>
      <c r="L134" s="100">
        <v>43392</v>
      </c>
      <c r="M134" s="154" t="s">
        <v>375</v>
      </c>
      <c r="N134" s="151" t="s">
        <v>376</v>
      </c>
      <c r="O134" s="104"/>
      <c r="P134" s="102">
        <v>78318.88</v>
      </c>
      <c r="Q134" s="130"/>
      <c r="R134" s="131"/>
      <c r="S134" s="132"/>
      <c r="T134" s="102">
        <v>78318.88</v>
      </c>
      <c r="U134" s="100"/>
      <c r="V134" s="102"/>
      <c r="W134" s="184"/>
    </row>
    <row r="135" s="39" customFormat="1" ht="22" hidden="1" customHeight="1" spans="1:23">
      <c r="A135" s="77" t="s">
        <v>377</v>
      </c>
      <c r="B135" s="78" t="s">
        <v>30</v>
      </c>
      <c r="C135" s="79"/>
      <c r="D135" s="80" t="s">
        <v>31</v>
      </c>
      <c r="E135" s="80" t="s">
        <v>372</v>
      </c>
      <c r="F135" s="81" t="str">
        <f>IFERROR(VLOOKUP(E135,客户!B:C,2,FALSE),"/")</f>
        <v>/</v>
      </c>
      <c r="G135" s="80" t="s">
        <v>378</v>
      </c>
      <c r="H135" s="45" t="s">
        <v>123</v>
      </c>
      <c r="I135" s="45" t="s">
        <v>374</v>
      </c>
      <c r="J135" s="108"/>
      <c r="K135" s="100"/>
      <c r="L135" s="100"/>
      <c r="M135" s="154"/>
      <c r="N135" s="176"/>
      <c r="O135" s="104"/>
      <c r="P135" s="102"/>
      <c r="Q135" s="130"/>
      <c r="R135" s="131"/>
      <c r="S135" s="132"/>
      <c r="T135" s="102"/>
      <c r="U135" s="100"/>
      <c r="V135" s="102"/>
      <c r="W135" s="184"/>
    </row>
    <row r="136" s="39" customFormat="1" ht="22" hidden="1" customHeight="1" spans="1:23">
      <c r="A136" s="77" t="s">
        <v>379</v>
      </c>
      <c r="B136" s="78" t="s">
        <v>30</v>
      </c>
      <c r="C136" s="79"/>
      <c r="D136" s="80" t="s">
        <v>31</v>
      </c>
      <c r="E136" s="80" t="s">
        <v>372</v>
      </c>
      <c r="F136" s="81" t="str">
        <f>IFERROR(VLOOKUP(E136,客户!B:C,2,FALSE),"/")</f>
        <v>/</v>
      </c>
      <c r="G136" s="80" t="s">
        <v>378</v>
      </c>
      <c r="H136" s="45" t="s">
        <v>123</v>
      </c>
      <c r="I136" s="45" t="s">
        <v>380</v>
      </c>
      <c r="J136" s="108"/>
      <c r="K136" s="100">
        <v>43325</v>
      </c>
      <c r="L136" s="100">
        <v>43358</v>
      </c>
      <c r="M136" s="101" t="s">
        <v>381</v>
      </c>
      <c r="N136" s="101"/>
      <c r="O136" s="104"/>
      <c r="P136" s="102">
        <v>21875.19</v>
      </c>
      <c r="Q136" s="130"/>
      <c r="R136" s="131"/>
      <c r="S136" s="132"/>
      <c r="T136" s="102">
        <v>21875.19</v>
      </c>
      <c r="U136" s="100"/>
      <c r="V136" s="102"/>
      <c r="W136" s="184"/>
    </row>
    <row r="137" s="39" customFormat="1" ht="22" hidden="1" customHeight="1" spans="1:23">
      <c r="A137" s="144" t="s">
        <v>382</v>
      </c>
      <c r="B137" s="78" t="s">
        <v>30</v>
      </c>
      <c r="C137" s="79"/>
      <c r="D137" s="80" t="s">
        <v>31</v>
      </c>
      <c r="E137" s="80" t="s">
        <v>383</v>
      </c>
      <c r="F137" s="81" t="str">
        <f>IFERROR(VLOOKUP(E137,客户!B:C,2,FALSE),"/")</f>
        <v>/</v>
      </c>
      <c r="G137" s="80" t="s">
        <v>384</v>
      </c>
      <c r="H137" s="45" t="s">
        <v>385</v>
      </c>
      <c r="I137" s="45" t="s">
        <v>386</v>
      </c>
      <c r="J137" s="108">
        <v>43372</v>
      </c>
      <c r="K137" s="100">
        <v>43449</v>
      </c>
      <c r="L137" s="100">
        <v>43462</v>
      </c>
      <c r="M137" s="116"/>
      <c r="N137" s="162" t="s">
        <v>387</v>
      </c>
      <c r="O137" s="104"/>
      <c r="P137" s="102">
        <v>26373</v>
      </c>
      <c r="Q137" s="102">
        <v>7372.8</v>
      </c>
      <c r="R137" s="131">
        <v>0</v>
      </c>
      <c r="S137" s="132"/>
      <c r="T137" s="102">
        <v>26373</v>
      </c>
      <c r="U137" s="100"/>
      <c r="V137" s="102"/>
      <c r="W137" s="170"/>
    </row>
    <row r="138" s="39" customFormat="1" ht="22" hidden="1" customHeight="1" spans="1:23">
      <c r="A138" s="144" t="s">
        <v>388</v>
      </c>
      <c r="B138" s="78" t="s">
        <v>30</v>
      </c>
      <c r="C138" s="79"/>
      <c r="D138" s="80" t="s">
        <v>31</v>
      </c>
      <c r="E138" s="80" t="s">
        <v>389</v>
      </c>
      <c r="F138" s="81" t="str">
        <f>IFERROR(VLOOKUP(E138,客户!B:C,2,FALSE),"/")</f>
        <v>/</v>
      </c>
      <c r="G138" s="80" t="s">
        <v>390</v>
      </c>
      <c r="H138" s="45" t="s">
        <v>154</v>
      </c>
      <c r="I138" s="45" t="s">
        <v>391</v>
      </c>
      <c r="J138" s="108">
        <v>43377</v>
      </c>
      <c r="K138" s="100">
        <v>43451</v>
      </c>
      <c r="L138" s="100">
        <v>43118</v>
      </c>
      <c r="M138" s="116"/>
      <c r="N138" s="177" t="s">
        <v>392</v>
      </c>
      <c r="O138" s="104"/>
      <c r="P138" s="102">
        <v>26711.65</v>
      </c>
      <c r="Q138" s="102">
        <v>5200</v>
      </c>
      <c r="R138" s="131">
        <v>0</v>
      </c>
      <c r="S138" s="132"/>
      <c r="T138" s="102" t="s">
        <v>393</v>
      </c>
      <c r="U138" s="100"/>
      <c r="V138" s="139"/>
      <c r="W138" s="170"/>
    </row>
    <row r="139" s="39" customFormat="1" ht="22" hidden="1" customHeight="1" spans="1:23">
      <c r="A139" s="144" t="s">
        <v>394</v>
      </c>
      <c r="B139" s="78" t="s">
        <v>30</v>
      </c>
      <c r="C139" s="79"/>
      <c r="D139" s="80" t="s">
        <v>31</v>
      </c>
      <c r="E139" s="80" t="s">
        <v>395</v>
      </c>
      <c r="F139" s="81" t="str">
        <f>IFERROR(VLOOKUP(E139,客户!B:C,2,FALSE),"/")</f>
        <v>/</v>
      </c>
      <c r="G139" s="80" t="s">
        <v>390</v>
      </c>
      <c r="H139" s="45" t="s">
        <v>396</v>
      </c>
      <c r="I139" s="45" t="s">
        <v>397</v>
      </c>
      <c r="J139" s="108">
        <v>43386</v>
      </c>
      <c r="K139" s="100">
        <v>43428</v>
      </c>
      <c r="L139" s="100">
        <v>43446</v>
      </c>
      <c r="M139" s="165" t="s">
        <v>398</v>
      </c>
      <c r="N139" s="162" t="s">
        <v>399</v>
      </c>
      <c r="O139" s="104"/>
      <c r="P139" s="102">
        <v>22834.4</v>
      </c>
      <c r="Q139" s="102"/>
      <c r="R139" s="131">
        <v>0</v>
      </c>
      <c r="S139" s="132"/>
      <c r="T139" s="102">
        <v>22834</v>
      </c>
      <c r="U139" s="100"/>
      <c r="V139" s="102"/>
      <c r="W139" s="170"/>
    </row>
    <row r="140" s="39" customFormat="1" ht="22" hidden="1" customHeight="1" spans="1:23">
      <c r="A140" s="144" t="s">
        <v>400</v>
      </c>
      <c r="B140" s="78" t="s">
        <v>30</v>
      </c>
      <c r="C140" s="79"/>
      <c r="D140" s="80" t="s">
        <v>31</v>
      </c>
      <c r="E140" s="80" t="s">
        <v>221</v>
      </c>
      <c r="F140" s="81" t="str">
        <f>IFERROR(VLOOKUP(E140,客户!B:C,2,FALSE),"/")</f>
        <v>/</v>
      </c>
      <c r="G140" s="80" t="s">
        <v>401</v>
      </c>
      <c r="H140" s="45" t="s">
        <v>123</v>
      </c>
      <c r="I140" s="45" t="s">
        <v>402</v>
      </c>
      <c r="J140" s="108">
        <v>43391</v>
      </c>
      <c r="K140" s="100">
        <v>43442</v>
      </c>
      <c r="L140" s="100">
        <v>43484</v>
      </c>
      <c r="M140" s="178"/>
      <c r="N140" s="162" t="s">
        <v>403</v>
      </c>
      <c r="O140" s="104"/>
      <c r="P140" s="102">
        <f>21121.68+1156</f>
        <v>22277.68</v>
      </c>
      <c r="Q140" s="102"/>
      <c r="R140" s="131"/>
      <c r="S140" s="132"/>
      <c r="T140" s="102">
        <f>15006.13+5000</f>
        <v>20006.13</v>
      </c>
      <c r="U140" s="100"/>
      <c r="V140" s="185" t="s">
        <v>404</v>
      </c>
      <c r="W140" s="170"/>
    </row>
    <row r="141" s="39" customFormat="1" ht="22" hidden="1" customHeight="1" spans="1:23">
      <c r="A141" s="144" t="s">
        <v>405</v>
      </c>
      <c r="B141" s="78" t="s">
        <v>30</v>
      </c>
      <c r="C141" s="79"/>
      <c r="D141" s="80" t="s">
        <v>31</v>
      </c>
      <c r="E141" s="80" t="s">
        <v>301</v>
      </c>
      <c r="F141" s="81" t="str">
        <f>IFERROR(VLOOKUP(E141,客户!B:C,2,FALSE),"/")</f>
        <v>/</v>
      </c>
      <c r="G141" s="80" t="s">
        <v>406</v>
      </c>
      <c r="H141" s="45" t="s">
        <v>407</v>
      </c>
      <c r="I141" s="45"/>
      <c r="J141" s="108">
        <v>43394</v>
      </c>
      <c r="K141" s="100">
        <v>43424</v>
      </c>
      <c r="L141" s="100">
        <v>43445</v>
      </c>
      <c r="M141" s="159" t="s">
        <v>408</v>
      </c>
      <c r="N141" s="162" t="s">
        <v>409</v>
      </c>
      <c r="O141" s="104"/>
      <c r="P141" s="45" t="s">
        <v>410</v>
      </c>
      <c r="Q141" s="102"/>
      <c r="R141" s="131"/>
      <c r="S141" s="132"/>
      <c r="T141" s="102"/>
      <c r="U141" s="100"/>
      <c r="V141" s="130"/>
      <c r="W141" s="186"/>
    </row>
    <row r="142" s="39" customFormat="1" ht="22" hidden="1" customHeight="1" spans="1:23">
      <c r="A142" s="144" t="s">
        <v>411</v>
      </c>
      <c r="B142" s="78" t="s">
        <v>30</v>
      </c>
      <c r="C142" s="79"/>
      <c r="D142" s="80" t="s">
        <v>31</v>
      </c>
      <c r="E142" s="80" t="s">
        <v>412</v>
      </c>
      <c r="F142" s="81">
        <f>IFERROR(VLOOKUP(E142,客户!B:C,2,FALSE),"/")</f>
        <v>0</v>
      </c>
      <c r="G142" s="80" t="s">
        <v>413</v>
      </c>
      <c r="H142" s="45" t="s">
        <v>123</v>
      </c>
      <c r="I142" s="45" t="s">
        <v>414</v>
      </c>
      <c r="J142" s="108">
        <v>43399</v>
      </c>
      <c r="K142" s="100">
        <v>43483</v>
      </c>
      <c r="L142" s="100">
        <v>43523</v>
      </c>
      <c r="M142" s="45" t="s">
        <v>415</v>
      </c>
      <c r="N142" s="108" t="s">
        <v>416</v>
      </c>
      <c r="O142" s="104"/>
      <c r="P142" s="102">
        <v>22228</v>
      </c>
      <c r="Q142" s="102">
        <v>0</v>
      </c>
      <c r="R142" s="131">
        <v>0</v>
      </c>
      <c r="S142" s="132"/>
      <c r="T142" s="102">
        <v>22176</v>
      </c>
      <c r="U142" s="100">
        <v>43524</v>
      </c>
      <c r="V142" s="130"/>
      <c r="W142" s="170"/>
    </row>
    <row r="143" s="39" customFormat="1" ht="22" hidden="1" customHeight="1" spans="1:23">
      <c r="A143" s="144" t="s">
        <v>417</v>
      </c>
      <c r="B143" s="78" t="s">
        <v>30</v>
      </c>
      <c r="C143" s="79"/>
      <c r="D143" s="80" t="s">
        <v>31</v>
      </c>
      <c r="E143" s="80" t="s">
        <v>301</v>
      </c>
      <c r="F143" s="81" t="str">
        <f>IFERROR(VLOOKUP(E143,客户!B:C,2,FALSE),"/")</f>
        <v>/</v>
      </c>
      <c r="G143" s="80" t="s">
        <v>418</v>
      </c>
      <c r="H143" s="144" t="s">
        <v>127</v>
      </c>
      <c r="I143" s="45" t="s">
        <v>419</v>
      </c>
      <c r="J143" s="108">
        <v>43409</v>
      </c>
      <c r="K143" s="100"/>
      <c r="L143" s="179"/>
      <c r="M143" s="159"/>
      <c r="N143" s="108" t="s">
        <v>420</v>
      </c>
      <c r="O143" s="104"/>
      <c r="P143" s="102">
        <v>128994</v>
      </c>
      <c r="Q143" s="102">
        <v>26232</v>
      </c>
      <c r="R143" s="131"/>
      <c r="S143" s="132"/>
      <c r="T143" s="102"/>
      <c r="U143" s="100"/>
      <c r="V143" s="102"/>
      <c r="W143" s="170"/>
    </row>
    <row r="144" s="39" customFormat="1" ht="22" hidden="1" customHeight="1" spans="1:24">
      <c r="A144" s="144" t="s">
        <v>421</v>
      </c>
      <c r="B144" s="78" t="s">
        <v>30</v>
      </c>
      <c r="C144" s="79"/>
      <c r="D144" s="80" t="s">
        <v>31</v>
      </c>
      <c r="E144" s="82" t="s">
        <v>422</v>
      </c>
      <c r="F144" s="81" t="str">
        <f>IFERROR(VLOOKUP(E144,客户!B:C,2,FALSE),"/")</f>
        <v>埃及红线客户配件 样品都要单独显示在箱单发票上</v>
      </c>
      <c r="G144" s="80" t="s">
        <v>423</v>
      </c>
      <c r="H144" s="45" t="s">
        <v>123</v>
      </c>
      <c r="I144" s="45" t="s">
        <v>219</v>
      </c>
      <c r="J144" s="108">
        <v>43413</v>
      </c>
      <c r="K144" s="100">
        <v>43491</v>
      </c>
      <c r="L144" s="100">
        <v>43533</v>
      </c>
      <c r="M144" s="180"/>
      <c r="N144" s="116" t="s">
        <v>424</v>
      </c>
      <c r="O144" s="104"/>
      <c r="P144" s="102">
        <v>23910.45</v>
      </c>
      <c r="Q144" s="102"/>
      <c r="R144" s="131">
        <v>0</v>
      </c>
      <c r="S144" s="132"/>
      <c r="T144" s="102" t="s">
        <v>425</v>
      </c>
      <c r="U144" s="100">
        <v>43528</v>
      </c>
      <c r="V144" s="128">
        <v>16762.26</v>
      </c>
      <c r="W144" s="128">
        <f>P144-V144</f>
        <v>7148.19</v>
      </c>
      <c r="X144" s="187" t="s">
        <v>426</v>
      </c>
    </row>
    <row r="145" s="39" customFormat="1" ht="22" hidden="1" customHeight="1" spans="1:23">
      <c r="A145" s="144" t="s">
        <v>427</v>
      </c>
      <c r="B145" s="78" t="s">
        <v>30</v>
      </c>
      <c r="C145" s="79"/>
      <c r="D145" s="80" t="s">
        <v>31</v>
      </c>
      <c r="E145" s="80" t="s">
        <v>428</v>
      </c>
      <c r="F145" s="81">
        <f>IFERROR(VLOOKUP(E145,客户!B:C,2,FALSE),"/")</f>
        <v>0</v>
      </c>
      <c r="G145" s="80" t="s">
        <v>429</v>
      </c>
      <c r="H145" s="45"/>
      <c r="I145" s="45" t="s">
        <v>419</v>
      </c>
      <c r="J145" s="108">
        <v>43445</v>
      </c>
      <c r="K145" s="100">
        <v>43478</v>
      </c>
      <c r="L145" s="100">
        <v>43494</v>
      </c>
      <c r="M145" s="159"/>
      <c r="N145" s="108" t="s">
        <v>430</v>
      </c>
      <c r="O145" s="104"/>
      <c r="P145" s="102">
        <v>141897</v>
      </c>
      <c r="Q145" s="102">
        <v>14000</v>
      </c>
      <c r="R145" s="131">
        <v>0</v>
      </c>
      <c r="S145" s="132"/>
      <c r="T145" s="102">
        <v>127850</v>
      </c>
      <c r="U145" s="100">
        <v>43487</v>
      </c>
      <c r="V145" s="130"/>
      <c r="W145" s="170"/>
    </row>
    <row r="146" s="39" customFormat="1" ht="22" hidden="1" customHeight="1" spans="1:23">
      <c r="A146" s="144" t="s">
        <v>431</v>
      </c>
      <c r="B146" s="78" t="s">
        <v>30</v>
      </c>
      <c r="C146" s="79"/>
      <c r="D146" s="80" t="s">
        <v>31</v>
      </c>
      <c r="E146" s="80" t="s">
        <v>296</v>
      </c>
      <c r="F146" s="81">
        <f>IFERROR(VLOOKUP(E146,客户!B:C,2,FALSE),"/")</f>
        <v>0</v>
      </c>
      <c r="G146" s="80" t="s">
        <v>432</v>
      </c>
      <c r="H146" s="45"/>
      <c r="I146" s="45"/>
      <c r="J146" s="108">
        <v>43447</v>
      </c>
      <c r="K146" s="100">
        <v>43490</v>
      </c>
      <c r="L146" s="100">
        <v>43530</v>
      </c>
      <c r="M146" s="159" t="s">
        <v>433</v>
      </c>
      <c r="N146" s="108" t="s">
        <v>434</v>
      </c>
      <c r="O146" s="104"/>
      <c r="P146" s="102">
        <v>23679.2</v>
      </c>
      <c r="Q146" s="102">
        <v>7070.76</v>
      </c>
      <c r="R146" s="131">
        <v>0</v>
      </c>
      <c r="S146" s="132"/>
      <c r="T146" s="102">
        <v>16534</v>
      </c>
      <c r="U146" s="100"/>
      <c r="V146" s="130"/>
      <c r="W146" s="170"/>
    </row>
    <row r="147" s="39" customFormat="1" ht="22" hidden="1" customHeight="1" spans="1:23">
      <c r="A147" s="144" t="s">
        <v>435</v>
      </c>
      <c r="B147" s="78" t="s">
        <v>30</v>
      </c>
      <c r="C147" s="79"/>
      <c r="D147" s="80" t="s">
        <v>31</v>
      </c>
      <c r="E147" s="80" t="s">
        <v>436</v>
      </c>
      <c r="F147" s="81" t="str">
        <f>IFERROR(VLOOKUP(E147,客户!B:C,2,FALSE),"/")</f>
        <v>$53.50 TUV Austria administration cost 革力减掉150代理费</v>
      </c>
      <c r="G147" s="80" t="s">
        <v>437</v>
      </c>
      <c r="H147" s="45" t="s">
        <v>123</v>
      </c>
      <c r="I147" s="45" t="s">
        <v>226</v>
      </c>
      <c r="J147" s="108">
        <v>43448</v>
      </c>
      <c r="K147" s="100">
        <v>43519</v>
      </c>
      <c r="L147" s="100">
        <v>43552</v>
      </c>
      <c r="M147" s="159" t="s">
        <v>438</v>
      </c>
      <c r="N147" s="108"/>
      <c r="O147" s="104"/>
      <c r="P147" s="102">
        <v>21014.6</v>
      </c>
      <c r="Q147" s="102">
        <v>6675</v>
      </c>
      <c r="R147" s="131">
        <v>0</v>
      </c>
      <c r="S147" s="132"/>
      <c r="T147" s="102">
        <v>14287</v>
      </c>
      <c r="U147" s="100">
        <v>43532</v>
      </c>
      <c r="V147" s="130"/>
      <c r="W147" s="170"/>
    </row>
    <row r="148" s="39" customFormat="1" ht="22" hidden="1" customHeight="1" spans="1:23">
      <c r="A148" s="144" t="s">
        <v>439</v>
      </c>
      <c r="B148" s="78" t="s">
        <v>30</v>
      </c>
      <c r="C148" s="79"/>
      <c r="D148" s="80" t="s">
        <v>31</v>
      </c>
      <c r="E148" s="80" t="s">
        <v>440</v>
      </c>
      <c r="F148" s="81">
        <f>IFERROR(VLOOKUP(E148,客户!B:C,2,FALSE),"/")</f>
        <v>0</v>
      </c>
      <c r="G148" s="80" t="s">
        <v>441</v>
      </c>
      <c r="H148" s="45" t="s">
        <v>123</v>
      </c>
      <c r="I148" s="45" t="s">
        <v>442</v>
      </c>
      <c r="J148" s="108">
        <v>43468</v>
      </c>
      <c r="K148" s="100">
        <v>43493</v>
      </c>
      <c r="L148" s="100">
        <v>43533</v>
      </c>
      <c r="M148" s="159" t="s">
        <v>443</v>
      </c>
      <c r="N148" s="108" t="s">
        <v>444</v>
      </c>
      <c r="O148" s="104"/>
      <c r="P148" s="102">
        <v>4054.95</v>
      </c>
      <c r="Q148" s="102">
        <v>1200</v>
      </c>
      <c r="R148" s="131">
        <v>0</v>
      </c>
      <c r="S148" s="132"/>
      <c r="T148" s="102">
        <v>2833</v>
      </c>
      <c r="U148" s="100">
        <v>43483</v>
      </c>
      <c r="V148" s="130"/>
      <c r="W148" s="170"/>
    </row>
    <row r="149" s="39" customFormat="1" ht="22" hidden="1" customHeight="1" spans="1:23">
      <c r="A149" s="144" t="s">
        <v>445</v>
      </c>
      <c r="B149" s="78" t="s">
        <v>30</v>
      </c>
      <c r="C149" s="79"/>
      <c r="D149" s="80" t="s">
        <v>31</v>
      </c>
      <c r="E149" s="80" t="s">
        <v>446</v>
      </c>
      <c r="F149" s="81">
        <f>IFERROR(VLOOKUP(E149,客户!B:C,2,FALSE),"/")</f>
        <v>0</v>
      </c>
      <c r="G149" s="80" t="s">
        <v>43</v>
      </c>
      <c r="H149" s="45" t="s">
        <v>123</v>
      </c>
      <c r="I149" s="45" t="s">
        <v>238</v>
      </c>
      <c r="J149" s="108">
        <v>43468</v>
      </c>
      <c r="K149" s="100">
        <v>43500</v>
      </c>
      <c r="L149" s="100">
        <v>43528</v>
      </c>
      <c r="M149" s="159" t="s">
        <v>447</v>
      </c>
      <c r="N149" s="108" t="s">
        <v>448</v>
      </c>
      <c r="O149" s="104"/>
      <c r="P149" s="102">
        <v>24383.35</v>
      </c>
      <c r="Q149" s="102">
        <v>4972.97</v>
      </c>
      <c r="R149" s="131">
        <v>0</v>
      </c>
      <c r="S149" s="132"/>
      <c r="T149" s="102">
        <v>19361</v>
      </c>
      <c r="U149" s="100">
        <v>43525</v>
      </c>
      <c r="V149" s="130"/>
      <c r="W149" s="170"/>
    </row>
    <row r="150" s="39" customFormat="1" ht="22" hidden="1" customHeight="1" spans="1:23">
      <c r="A150" s="144" t="s">
        <v>449</v>
      </c>
      <c r="B150" s="78" t="s">
        <v>30</v>
      </c>
      <c r="C150" s="79"/>
      <c r="D150" s="80" t="s">
        <v>31</v>
      </c>
      <c r="E150" s="80" t="s">
        <v>450</v>
      </c>
      <c r="F150" s="81">
        <f>IFERROR(VLOOKUP(E150,客户!B:C,2,FALSE),"/")</f>
        <v>0</v>
      </c>
      <c r="G150" s="80" t="s">
        <v>43</v>
      </c>
      <c r="H150" s="45" t="s">
        <v>123</v>
      </c>
      <c r="I150" s="45" t="s">
        <v>223</v>
      </c>
      <c r="J150" s="108">
        <v>43469</v>
      </c>
      <c r="K150" s="100">
        <v>43496</v>
      </c>
      <c r="L150" s="100">
        <v>43552</v>
      </c>
      <c r="M150" s="181" t="s">
        <v>451</v>
      </c>
      <c r="N150" s="108" t="s">
        <v>452</v>
      </c>
      <c r="O150" s="104"/>
      <c r="P150" s="102">
        <v>23385.45</v>
      </c>
      <c r="Q150" s="102" t="s">
        <v>453</v>
      </c>
      <c r="R150" s="131"/>
      <c r="S150" s="132"/>
      <c r="T150" s="102">
        <f>14790+8600</f>
        <v>23390</v>
      </c>
      <c r="U150" s="100"/>
      <c r="V150" s="188" t="s">
        <v>454</v>
      </c>
      <c r="W150" s="170"/>
    </row>
    <row r="151" s="39" customFormat="1" ht="22" hidden="1" customHeight="1" spans="1:24">
      <c r="A151" s="144" t="s">
        <v>455</v>
      </c>
      <c r="B151" s="78" t="s">
        <v>30</v>
      </c>
      <c r="C151" s="79"/>
      <c r="D151" s="80" t="s">
        <v>31</v>
      </c>
      <c r="E151" s="80" t="s">
        <v>456</v>
      </c>
      <c r="F151" s="81" t="str">
        <f>IFERROR(VLOOKUP(E151,客户!B:C,2,FALSE),"/")</f>
        <v>埃及红线客户配件 样品都要单独显示在箱单发票上</v>
      </c>
      <c r="G151" s="80" t="s">
        <v>43</v>
      </c>
      <c r="H151" s="45" t="s">
        <v>123</v>
      </c>
      <c r="I151" s="45" t="s">
        <v>219</v>
      </c>
      <c r="J151" s="108">
        <v>43474</v>
      </c>
      <c r="K151" s="100">
        <v>43561</v>
      </c>
      <c r="L151" s="100">
        <v>43589</v>
      </c>
      <c r="M151" s="159" t="s">
        <v>457</v>
      </c>
      <c r="N151" s="159" t="s">
        <v>458</v>
      </c>
      <c r="O151" s="104"/>
      <c r="P151" s="102">
        <v>23425.03</v>
      </c>
      <c r="Q151" s="139"/>
      <c r="R151" s="131">
        <v>0</v>
      </c>
      <c r="S151" s="132"/>
      <c r="T151" s="102" t="s">
        <v>459</v>
      </c>
      <c r="U151" s="100"/>
      <c r="V151" s="128">
        <v>16563.81</v>
      </c>
      <c r="W151" s="128">
        <f>P151-V151</f>
        <v>6861.22</v>
      </c>
      <c r="X151" s="187"/>
    </row>
    <row r="152" s="39" customFormat="1" ht="22" hidden="1" customHeight="1" spans="1:24">
      <c r="A152" s="144" t="s">
        <v>460</v>
      </c>
      <c r="B152" s="78" t="s">
        <v>30</v>
      </c>
      <c r="C152" s="79"/>
      <c r="D152" s="80" t="s">
        <v>31</v>
      </c>
      <c r="E152" s="80" t="s">
        <v>456</v>
      </c>
      <c r="F152" s="81" t="str">
        <f>IFERROR(VLOOKUP(E152,客户!B:C,2,FALSE),"/")</f>
        <v>埃及红线客户配件 样品都要单独显示在箱单发票上</v>
      </c>
      <c r="G152" s="80" t="s">
        <v>43</v>
      </c>
      <c r="H152" s="45" t="s">
        <v>123</v>
      </c>
      <c r="I152" s="45" t="s">
        <v>219</v>
      </c>
      <c r="J152" s="108">
        <v>43481</v>
      </c>
      <c r="K152" s="100">
        <v>43561</v>
      </c>
      <c r="L152" s="100">
        <v>43589</v>
      </c>
      <c r="M152" s="159" t="s">
        <v>461</v>
      </c>
      <c r="N152" s="159" t="s">
        <v>458</v>
      </c>
      <c r="O152" s="104"/>
      <c r="P152" s="102">
        <v>24737.78</v>
      </c>
      <c r="Q152" s="139"/>
      <c r="R152" s="131">
        <v>0</v>
      </c>
      <c r="S152" s="132"/>
      <c r="T152" s="102" t="s">
        <v>462</v>
      </c>
      <c r="U152" s="100"/>
      <c r="V152" s="130"/>
      <c r="W152" s="130"/>
      <c r="X152" s="42"/>
    </row>
    <row r="153" s="39" customFormat="1" ht="22" hidden="1" customHeight="1" spans="1:23">
      <c r="A153" s="144" t="s">
        <v>463</v>
      </c>
      <c r="B153" s="78" t="s">
        <v>30</v>
      </c>
      <c r="C153" s="79"/>
      <c r="D153" s="80" t="s">
        <v>31</v>
      </c>
      <c r="E153" s="80" t="s">
        <v>464</v>
      </c>
      <c r="F153" s="81">
        <f>IFERROR(VLOOKUP(E153,客户!B:C,2,FALSE),"/")</f>
        <v>0</v>
      </c>
      <c r="G153" s="80" t="s">
        <v>43</v>
      </c>
      <c r="H153" s="45" t="s">
        <v>123</v>
      </c>
      <c r="I153" s="45" t="s">
        <v>465</v>
      </c>
      <c r="J153" s="108">
        <v>43493</v>
      </c>
      <c r="K153" s="100">
        <v>43559</v>
      </c>
      <c r="L153" s="100">
        <v>43589</v>
      </c>
      <c r="M153" s="159" t="s">
        <v>466</v>
      </c>
      <c r="N153" s="108" t="s">
        <v>467</v>
      </c>
      <c r="O153" s="104"/>
      <c r="P153" s="102">
        <v>41221.8</v>
      </c>
      <c r="Q153" s="102" t="s">
        <v>468</v>
      </c>
      <c r="R153" s="131">
        <v>0</v>
      </c>
      <c r="S153" s="132"/>
      <c r="T153" s="102" t="s">
        <v>469</v>
      </c>
      <c r="U153" s="100">
        <v>43578</v>
      </c>
      <c r="V153" s="130"/>
      <c r="W153" s="130"/>
    </row>
    <row r="154" s="39" customFormat="1" ht="22" hidden="1" customHeight="1" spans="1:23">
      <c r="A154" s="144" t="s">
        <v>470</v>
      </c>
      <c r="B154" s="78" t="s">
        <v>30</v>
      </c>
      <c r="C154" s="79"/>
      <c r="D154" s="80" t="s">
        <v>31</v>
      </c>
      <c r="E154" s="80" t="s">
        <v>464</v>
      </c>
      <c r="F154" s="81">
        <f>IFERROR(VLOOKUP(E154,客户!B:C,2,FALSE),"/")</f>
        <v>0</v>
      </c>
      <c r="G154" s="80" t="s">
        <v>43</v>
      </c>
      <c r="H154" s="45" t="s">
        <v>123</v>
      </c>
      <c r="I154" s="45" t="s">
        <v>465</v>
      </c>
      <c r="J154" s="108">
        <v>43493</v>
      </c>
      <c r="K154" s="100">
        <v>43559</v>
      </c>
      <c r="L154" s="100">
        <v>43589</v>
      </c>
      <c r="M154" s="159" t="s">
        <v>466</v>
      </c>
      <c r="N154" s="108" t="s">
        <v>467</v>
      </c>
      <c r="O154" s="104"/>
      <c r="P154" s="102"/>
      <c r="Q154" s="102" t="s">
        <v>468</v>
      </c>
      <c r="R154" s="131"/>
      <c r="S154" s="132"/>
      <c r="T154" s="102" t="s">
        <v>471</v>
      </c>
      <c r="U154" s="100">
        <v>43580</v>
      </c>
      <c r="V154" s="130"/>
      <c r="W154" s="189">
        <f>SUBTOTAL(9,W144:W153)</f>
        <v>0</v>
      </c>
    </row>
    <row r="155" s="39" customFormat="1" ht="22" hidden="1" customHeight="1" spans="1:23">
      <c r="A155" s="144" t="s">
        <v>472</v>
      </c>
      <c r="B155" s="78" t="s">
        <v>30</v>
      </c>
      <c r="C155" s="79"/>
      <c r="D155" s="80" t="s">
        <v>31</v>
      </c>
      <c r="E155" s="80" t="s">
        <v>473</v>
      </c>
      <c r="F155" s="81">
        <f>IFERROR(VLOOKUP(E155,客户!B:C,2,FALSE),"/")</f>
        <v>0</v>
      </c>
      <c r="G155" s="80" t="s">
        <v>474</v>
      </c>
      <c r="H155" s="144" t="s">
        <v>127</v>
      </c>
      <c r="I155" s="45" t="s">
        <v>475</v>
      </c>
      <c r="J155" s="108">
        <v>43509</v>
      </c>
      <c r="K155" s="100">
        <v>43554</v>
      </c>
      <c r="L155" s="103">
        <v>43567</v>
      </c>
      <c r="M155" s="181" t="s">
        <v>476</v>
      </c>
      <c r="N155" s="108" t="s">
        <v>477</v>
      </c>
      <c r="O155" s="104"/>
      <c r="P155" s="102">
        <v>115563.28</v>
      </c>
      <c r="Q155" s="102" t="s">
        <v>478</v>
      </c>
      <c r="R155" s="131">
        <v>0</v>
      </c>
      <c r="S155" s="132"/>
      <c r="T155" s="102" t="s">
        <v>479</v>
      </c>
      <c r="U155" s="100">
        <v>43563</v>
      </c>
      <c r="V155" s="130"/>
      <c r="W155" s="170"/>
    </row>
    <row r="156" s="39" customFormat="1" ht="22" hidden="1" customHeight="1" spans="1:23">
      <c r="A156" s="144" t="s">
        <v>480</v>
      </c>
      <c r="B156" s="78" t="s">
        <v>30</v>
      </c>
      <c r="C156" s="79"/>
      <c r="D156" s="80" t="s">
        <v>31</v>
      </c>
      <c r="E156" s="80" t="s">
        <v>481</v>
      </c>
      <c r="F156" s="81" t="str">
        <f>IFERROR(VLOOKUP(E156,客户!B:C,2,FALSE),"/")</f>
        <v>$53.50 TUV Austria administration cost 革力减掉150代理费</v>
      </c>
      <c r="G156" s="80" t="s">
        <v>91</v>
      </c>
      <c r="H156" s="45" t="s">
        <v>123</v>
      </c>
      <c r="I156" s="45" t="s">
        <v>226</v>
      </c>
      <c r="J156" s="108">
        <v>43510</v>
      </c>
      <c r="K156" s="100">
        <v>43578</v>
      </c>
      <c r="L156" s="100">
        <v>43622</v>
      </c>
      <c r="M156" s="181" t="s">
        <v>482</v>
      </c>
      <c r="N156" s="159" t="s">
        <v>483</v>
      </c>
      <c r="O156" s="104"/>
      <c r="P156" s="102">
        <v>18776</v>
      </c>
      <c r="Q156" s="102">
        <v>5786.7</v>
      </c>
      <c r="R156" s="131">
        <v>0</v>
      </c>
      <c r="S156" s="132"/>
      <c r="T156" s="102">
        <v>12938</v>
      </c>
      <c r="U156" s="100">
        <v>43588</v>
      </c>
      <c r="V156" s="130"/>
      <c r="W156" s="170"/>
    </row>
    <row r="157" s="39" customFormat="1" ht="22" hidden="1" customHeight="1" spans="1:23">
      <c r="A157" s="144" t="s">
        <v>484</v>
      </c>
      <c r="B157" s="78" t="s">
        <v>30</v>
      </c>
      <c r="C157" s="79"/>
      <c r="D157" s="80" t="s">
        <v>31</v>
      </c>
      <c r="E157" s="80" t="s">
        <v>446</v>
      </c>
      <c r="F157" s="81">
        <f>IFERROR(VLOOKUP(E157,客户!B:C,2,FALSE),"/")</f>
        <v>0</v>
      </c>
      <c r="G157" s="80" t="s">
        <v>485</v>
      </c>
      <c r="H157" s="45" t="s">
        <v>123</v>
      </c>
      <c r="I157" s="45" t="s">
        <v>238</v>
      </c>
      <c r="J157" s="108">
        <v>43514</v>
      </c>
      <c r="K157" s="100">
        <v>43556</v>
      </c>
      <c r="L157" s="100">
        <v>43584</v>
      </c>
      <c r="M157" s="159" t="s">
        <v>486</v>
      </c>
      <c r="N157" s="108" t="s">
        <v>487</v>
      </c>
      <c r="O157" s="104"/>
      <c r="P157" s="102">
        <v>24292.88</v>
      </c>
      <c r="Q157" s="102">
        <v>4858.5</v>
      </c>
      <c r="R157" s="131">
        <v>0</v>
      </c>
      <c r="S157" s="132"/>
      <c r="T157" s="102">
        <v>14385</v>
      </c>
      <c r="U157" s="100">
        <v>43580</v>
      </c>
      <c r="V157" s="130"/>
      <c r="W157" s="170"/>
    </row>
    <row r="158" s="39" customFormat="1" ht="22" hidden="1" customHeight="1" spans="1:23">
      <c r="A158" s="144" t="s">
        <v>488</v>
      </c>
      <c r="B158" s="78" t="s">
        <v>30</v>
      </c>
      <c r="C158" s="79"/>
      <c r="D158" s="80" t="s">
        <v>31</v>
      </c>
      <c r="E158" s="80" t="s">
        <v>450</v>
      </c>
      <c r="F158" s="81">
        <f>IFERROR(VLOOKUP(E158,客户!B:C,2,FALSE),"/")</f>
        <v>0</v>
      </c>
      <c r="G158" s="80" t="s">
        <v>485</v>
      </c>
      <c r="H158" s="45" t="s">
        <v>123</v>
      </c>
      <c r="I158" s="45" t="s">
        <v>223</v>
      </c>
      <c r="J158" s="108">
        <v>43516</v>
      </c>
      <c r="K158" s="100">
        <v>43556</v>
      </c>
      <c r="L158" s="100">
        <v>43595</v>
      </c>
      <c r="M158" s="159" t="s">
        <v>489</v>
      </c>
      <c r="N158" s="108" t="s">
        <v>490</v>
      </c>
      <c r="O158" s="104"/>
      <c r="P158" s="102">
        <v>22555.63</v>
      </c>
      <c r="Q158" s="102"/>
      <c r="R158" s="131"/>
      <c r="S158" s="132"/>
      <c r="T158" s="102">
        <f>6858+15190</f>
        <v>22048</v>
      </c>
      <c r="U158" s="100">
        <v>43590</v>
      </c>
      <c r="V158" s="130" t="s">
        <v>491</v>
      </c>
      <c r="W158" s="170"/>
    </row>
    <row r="159" s="39" customFormat="1" ht="22" hidden="1" customHeight="1" spans="1:23">
      <c r="A159" s="144" t="s">
        <v>492</v>
      </c>
      <c r="B159" s="78" t="s">
        <v>30</v>
      </c>
      <c r="C159" s="79"/>
      <c r="D159" s="80" t="s">
        <v>31</v>
      </c>
      <c r="E159" s="80" t="s">
        <v>473</v>
      </c>
      <c r="F159" s="81">
        <f>IFERROR(VLOOKUP(E159,客户!B:C,2,FALSE),"/")</f>
        <v>0</v>
      </c>
      <c r="G159" s="80" t="s">
        <v>493</v>
      </c>
      <c r="H159" s="144" t="s">
        <v>127</v>
      </c>
      <c r="I159" s="45" t="s">
        <v>475</v>
      </c>
      <c r="J159" s="108">
        <v>43518</v>
      </c>
      <c r="K159" s="100">
        <v>43609</v>
      </c>
      <c r="L159" s="100">
        <v>43623</v>
      </c>
      <c r="M159" s="159" t="s">
        <v>494</v>
      </c>
      <c r="N159" s="108" t="s">
        <v>495</v>
      </c>
      <c r="O159" s="104"/>
      <c r="P159" s="102">
        <v>17795.22</v>
      </c>
      <c r="Q159" s="102">
        <v>6926</v>
      </c>
      <c r="R159" s="131"/>
      <c r="S159" s="132"/>
      <c r="T159" s="102">
        <v>9960</v>
      </c>
      <c r="U159" s="100">
        <v>43612</v>
      </c>
      <c r="V159" s="130" t="s">
        <v>496</v>
      </c>
      <c r="W159" s="170"/>
    </row>
    <row r="160" s="39" customFormat="1" ht="22" hidden="1" customHeight="1" spans="1:23">
      <c r="A160" s="144" t="s">
        <v>497</v>
      </c>
      <c r="B160" s="78" t="s">
        <v>30</v>
      </c>
      <c r="C160" s="79"/>
      <c r="D160" s="80" t="s">
        <v>31</v>
      </c>
      <c r="E160" s="80" t="s">
        <v>473</v>
      </c>
      <c r="F160" s="81">
        <f>IFERROR(VLOOKUP(E160,客户!B:C,2,FALSE),"/")</f>
        <v>0</v>
      </c>
      <c r="G160" s="80" t="s">
        <v>498</v>
      </c>
      <c r="H160" s="144" t="s">
        <v>127</v>
      </c>
      <c r="I160" s="45" t="s">
        <v>475</v>
      </c>
      <c r="J160" s="108">
        <v>43518</v>
      </c>
      <c r="K160" s="100">
        <v>43619</v>
      </c>
      <c r="L160" s="100">
        <v>43630</v>
      </c>
      <c r="M160" s="159" t="s">
        <v>499</v>
      </c>
      <c r="N160" s="108" t="s">
        <v>500</v>
      </c>
      <c r="O160" s="104"/>
      <c r="P160" s="102">
        <v>11823.83</v>
      </c>
      <c r="Q160" s="102"/>
      <c r="R160" s="131">
        <v>0</v>
      </c>
      <c r="S160" s="132"/>
      <c r="T160" s="102" t="s">
        <v>501</v>
      </c>
      <c r="U160" s="100" t="s">
        <v>502</v>
      </c>
      <c r="V160" s="130"/>
      <c r="W160" s="170"/>
    </row>
    <row r="161" s="39" customFormat="1" ht="22" hidden="1" customHeight="1" spans="1:23">
      <c r="A161" s="144" t="s">
        <v>503</v>
      </c>
      <c r="B161" s="78" t="s">
        <v>30</v>
      </c>
      <c r="C161" s="79"/>
      <c r="D161" s="80" t="s">
        <v>31</v>
      </c>
      <c r="E161" s="80" t="s">
        <v>504</v>
      </c>
      <c r="F161" s="81" t="str">
        <f>IFERROR(VLOOKUP(E161,客户!B:C,2,FALSE),"/")</f>
        <v>收货人可能变 每次和客户确认下收货人 必须受到客户明确回复</v>
      </c>
      <c r="G161" s="80" t="s">
        <v>505</v>
      </c>
      <c r="H161" s="45" t="s">
        <v>123</v>
      </c>
      <c r="I161" s="45" t="s">
        <v>465</v>
      </c>
      <c r="J161" s="108">
        <v>43524</v>
      </c>
      <c r="K161" s="100">
        <v>43578</v>
      </c>
      <c r="L161" s="100">
        <v>43605</v>
      </c>
      <c r="M161" s="159" t="s">
        <v>506</v>
      </c>
      <c r="N161" s="108" t="s">
        <v>507</v>
      </c>
      <c r="O161" s="104"/>
      <c r="P161" s="102">
        <v>47359.3</v>
      </c>
      <c r="Q161" s="102">
        <v>8000</v>
      </c>
      <c r="R161" s="131">
        <v>0</v>
      </c>
      <c r="S161" s="132"/>
      <c r="T161" s="102">
        <v>39359</v>
      </c>
      <c r="U161" s="100">
        <v>43639</v>
      </c>
      <c r="V161" s="130"/>
      <c r="W161" s="170"/>
    </row>
    <row r="162" s="39" customFormat="1" ht="22" hidden="1" customHeight="1" spans="1:23">
      <c r="A162" s="144" t="s">
        <v>508</v>
      </c>
      <c r="B162" s="78" t="s">
        <v>30</v>
      </c>
      <c r="C162" s="79"/>
      <c r="D162" s="80" t="s">
        <v>31</v>
      </c>
      <c r="E162" s="80" t="s">
        <v>60</v>
      </c>
      <c r="F162" s="81" t="str">
        <f>IFERROR(VLOOKUP(E162,客户!B:C,2,FALSE),"/")</f>
        <v>外送费用945人民币+装箱费用 加在发票里</v>
      </c>
      <c r="G162" s="80" t="s">
        <v>509</v>
      </c>
      <c r="H162" s="144" t="s">
        <v>147</v>
      </c>
      <c r="I162" s="45" t="s">
        <v>205</v>
      </c>
      <c r="J162" s="108">
        <v>43528</v>
      </c>
      <c r="K162" s="100">
        <v>43557</v>
      </c>
      <c r="L162" s="100">
        <v>43589</v>
      </c>
      <c r="M162" s="181" t="s">
        <v>510</v>
      </c>
      <c r="N162" s="108" t="s">
        <v>511</v>
      </c>
      <c r="O162" s="104"/>
      <c r="P162" s="102">
        <v>59831.25</v>
      </c>
      <c r="Q162" s="102">
        <v>0</v>
      </c>
      <c r="R162" s="131">
        <v>0</v>
      </c>
      <c r="S162" s="132"/>
      <c r="T162" s="102">
        <v>59831</v>
      </c>
      <c r="U162" s="100"/>
      <c r="V162" s="130"/>
      <c r="W162" s="130">
        <f>W152-61</f>
        <v>-61</v>
      </c>
    </row>
    <row r="163" s="39" customFormat="1" ht="22" hidden="1" customHeight="1" spans="1:23">
      <c r="A163" s="144" t="s">
        <v>512</v>
      </c>
      <c r="B163" s="78" t="s">
        <v>30</v>
      </c>
      <c r="C163" s="79"/>
      <c r="D163" s="80" t="s">
        <v>31</v>
      </c>
      <c r="E163" s="80" t="s">
        <v>60</v>
      </c>
      <c r="F163" s="81" t="str">
        <f>IFERROR(VLOOKUP(E163,客户!B:C,2,FALSE),"/")</f>
        <v>外送费用945人民币+装箱费用 加在发票里</v>
      </c>
      <c r="G163" s="80" t="s">
        <v>513</v>
      </c>
      <c r="H163" s="144" t="s">
        <v>147</v>
      </c>
      <c r="I163" s="45" t="s">
        <v>205</v>
      </c>
      <c r="J163" s="108">
        <v>43528</v>
      </c>
      <c r="K163" s="100">
        <v>43592</v>
      </c>
      <c r="L163" s="100">
        <v>43630</v>
      </c>
      <c r="M163" s="181" t="s">
        <v>514</v>
      </c>
      <c r="N163" s="108" t="s">
        <v>515</v>
      </c>
      <c r="O163" s="104"/>
      <c r="P163" s="102">
        <v>81309.76</v>
      </c>
      <c r="Q163" s="102">
        <v>0</v>
      </c>
      <c r="R163" s="131">
        <v>0</v>
      </c>
      <c r="S163" s="132"/>
      <c r="T163" s="102">
        <v>81224</v>
      </c>
      <c r="U163" s="100">
        <v>43630</v>
      </c>
      <c r="V163" s="130"/>
      <c r="W163" s="170"/>
    </row>
    <row r="164" s="39" customFormat="1" ht="22" hidden="1" customHeight="1" spans="1:23">
      <c r="A164" s="144" t="s">
        <v>516</v>
      </c>
      <c r="B164" s="174" t="s">
        <v>30</v>
      </c>
      <c r="C164" s="175"/>
      <c r="D164" s="80" t="s">
        <v>31</v>
      </c>
      <c r="E164" s="80" t="s">
        <v>60</v>
      </c>
      <c r="F164" s="81" t="str">
        <f>IFERROR(VLOOKUP(E164,客户!B:C,2,FALSE),"/")</f>
        <v>外送费用945人民币+装箱费用 加在发票里</v>
      </c>
      <c r="G164" s="80" t="s">
        <v>513</v>
      </c>
      <c r="H164" s="144" t="s">
        <v>147</v>
      </c>
      <c r="I164" s="45" t="s">
        <v>205</v>
      </c>
      <c r="J164" s="108">
        <v>43528</v>
      </c>
      <c r="K164" s="100">
        <v>43625</v>
      </c>
      <c r="L164" s="100">
        <v>43679</v>
      </c>
      <c r="M164" s="159" t="s">
        <v>517</v>
      </c>
      <c r="N164" s="108" t="s">
        <v>518</v>
      </c>
      <c r="O164" s="104"/>
      <c r="P164" s="102">
        <v>77607.4</v>
      </c>
      <c r="Q164" s="102">
        <v>0</v>
      </c>
      <c r="R164" s="131">
        <v>0</v>
      </c>
      <c r="S164" s="132"/>
      <c r="T164" s="102">
        <v>77108</v>
      </c>
      <c r="U164" s="100">
        <v>43696</v>
      </c>
      <c r="V164" s="130"/>
      <c r="W164" s="170"/>
    </row>
    <row r="165" s="39" customFormat="1" ht="22" hidden="1" customHeight="1" spans="1:23">
      <c r="A165" s="144" t="s">
        <v>519</v>
      </c>
      <c r="B165" s="174" t="s">
        <v>30</v>
      </c>
      <c r="C165" s="175"/>
      <c r="D165" s="80" t="s">
        <v>31</v>
      </c>
      <c r="E165" s="83" t="s">
        <v>520</v>
      </c>
      <c r="F165" s="81">
        <f>IFERROR(VLOOKUP(E165,客户!B:C,2,FALSE),"/")</f>
        <v>0</v>
      </c>
      <c r="G165" s="80" t="s">
        <v>43</v>
      </c>
      <c r="H165" s="45" t="s">
        <v>123</v>
      </c>
      <c r="I165" s="45" t="s">
        <v>465</v>
      </c>
      <c r="J165" s="108">
        <v>43530</v>
      </c>
      <c r="K165" s="100">
        <v>43585</v>
      </c>
      <c r="L165" s="100">
        <v>43616</v>
      </c>
      <c r="M165" s="159" t="s">
        <v>521</v>
      </c>
      <c r="N165" s="108" t="s">
        <v>522</v>
      </c>
      <c r="O165" s="104" t="s">
        <v>523</v>
      </c>
      <c r="P165" s="102">
        <v>45183</v>
      </c>
      <c r="Q165" s="102">
        <v>2200</v>
      </c>
      <c r="R165" s="131">
        <v>0</v>
      </c>
      <c r="S165" s="132"/>
      <c r="T165" s="102" t="s">
        <v>524</v>
      </c>
      <c r="U165" s="100">
        <v>43782</v>
      </c>
      <c r="V165" s="130"/>
      <c r="W165" s="170"/>
    </row>
    <row r="166" s="39" customFormat="1" ht="22" hidden="1" customHeight="1" spans="1:23">
      <c r="A166" s="144" t="s">
        <v>525</v>
      </c>
      <c r="B166" s="174" t="s">
        <v>30</v>
      </c>
      <c r="C166" s="175"/>
      <c r="D166" s="80" t="s">
        <v>31</v>
      </c>
      <c r="E166" s="80" t="s">
        <v>464</v>
      </c>
      <c r="F166" s="81">
        <f>IFERROR(VLOOKUP(E166,客户!B:C,2,FALSE),"/")</f>
        <v>0</v>
      </c>
      <c r="G166" s="80" t="s">
        <v>43</v>
      </c>
      <c r="H166" s="45" t="s">
        <v>123</v>
      </c>
      <c r="I166" s="45" t="s">
        <v>465</v>
      </c>
      <c r="J166" s="108">
        <v>43538</v>
      </c>
      <c r="K166" s="100">
        <v>43585</v>
      </c>
      <c r="L166" s="100">
        <v>43616</v>
      </c>
      <c r="M166" s="159" t="s">
        <v>521</v>
      </c>
      <c r="N166" s="108" t="s">
        <v>522</v>
      </c>
      <c r="O166" s="104" t="s">
        <v>523</v>
      </c>
      <c r="P166" s="102"/>
      <c r="Q166" s="102" t="s">
        <v>526</v>
      </c>
      <c r="R166" s="131"/>
      <c r="S166" s="132"/>
      <c r="T166" s="102">
        <v>3000</v>
      </c>
      <c r="U166" s="100"/>
      <c r="V166" s="130"/>
      <c r="W166" s="170"/>
    </row>
    <row r="167" s="39" customFormat="1" ht="22" hidden="1" customHeight="1" spans="1:23">
      <c r="A167" s="144" t="s">
        <v>527</v>
      </c>
      <c r="B167" s="78" t="s">
        <v>30</v>
      </c>
      <c r="C167" s="79"/>
      <c r="D167" s="80" t="s">
        <v>31</v>
      </c>
      <c r="E167" s="80" t="s">
        <v>528</v>
      </c>
      <c r="F167" s="81" t="str">
        <f>IFERROR(VLOOKUP(E167,客户!B:C,2,FALSE),"/")</f>
        <v>/</v>
      </c>
      <c r="G167" s="80" t="s">
        <v>529</v>
      </c>
      <c r="H167" s="45" t="s">
        <v>123</v>
      </c>
      <c r="I167" s="45" t="s">
        <v>530</v>
      </c>
      <c r="J167" s="108">
        <v>43536</v>
      </c>
      <c r="K167" s="100">
        <v>43581</v>
      </c>
      <c r="L167" s="100">
        <v>43630</v>
      </c>
      <c r="M167" s="181" t="s">
        <v>531</v>
      </c>
      <c r="N167" s="108" t="s">
        <v>532</v>
      </c>
      <c r="O167" s="104"/>
      <c r="P167" s="102">
        <v>26968.88</v>
      </c>
      <c r="Q167" s="102">
        <v>5221.44</v>
      </c>
      <c r="R167" s="131">
        <v>0</v>
      </c>
      <c r="S167" s="132"/>
      <c r="T167" s="102">
        <v>20695</v>
      </c>
      <c r="U167" s="100">
        <v>43635</v>
      </c>
      <c r="V167" s="130"/>
      <c r="W167" s="170"/>
    </row>
    <row r="168" s="39" customFormat="1" ht="22" hidden="1" customHeight="1" spans="1:23">
      <c r="A168" s="144" t="s">
        <v>533</v>
      </c>
      <c r="B168" s="78" t="s">
        <v>30</v>
      </c>
      <c r="C168" s="79"/>
      <c r="D168" s="80" t="s">
        <v>31</v>
      </c>
      <c r="E168" s="80" t="s">
        <v>528</v>
      </c>
      <c r="F168" s="81" t="str">
        <f>IFERROR(VLOOKUP(E168,客户!B:C,2,FALSE),"/")</f>
        <v>/</v>
      </c>
      <c r="G168" s="80" t="s">
        <v>534</v>
      </c>
      <c r="H168" s="45" t="s">
        <v>123</v>
      </c>
      <c r="I168" s="45" t="s">
        <v>530</v>
      </c>
      <c r="J168" s="108">
        <v>43536</v>
      </c>
      <c r="K168" s="100">
        <v>43575</v>
      </c>
      <c r="L168" s="100">
        <v>43623</v>
      </c>
      <c r="M168" s="181" t="s">
        <v>535</v>
      </c>
      <c r="N168" s="108" t="s">
        <v>536</v>
      </c>
      <c r="O168" s="104"/>
      <c r="P168" s="102">
        <v>21553.52</v>
      </c>
      <c r="Q168" s="102">
        <v>4037.82</v>
      </c>
      <c r="R168" s="131">
        <v>0</v>
      </c>
      <c r="S168" s="132"/>
      <c r="T168" s="102">
        <v>17463</v>
      </c>
      <c r="U168" s="100">
        <v>43627</v>
      </c>
      <c r="V168" s="130"/>
      <c r="W168" s="170"/>
    </row>
    <row r="169" s="39" customFormat="1" ht="22" hidden="1" customHeight="1" spans="1:23">
      <c r="A169" s="144" t="s">
        <v>537</v>
      </c>
      <c r="B169" s="78" t="s">
        <v>30</v>
      </c>
      <c r="C169" s="79"/>
      <c r="D169" s="80" t="s">
        <v>31</v>
      </c>
      <c r="E169" s="80" t="s">
        <v>450</v>
      </c>
      <c r="F169" s="81">
        <f>IFERROR(VLOOKUP(E169,客户!B:C,2,FALSE),"/")</f>
        <v>0</v>
      </c>
      <c r="G169" s="80" t="s">
        <v>485</v>
      </c>
      <c r="H169" s="45" t="s">
        <v>123</v>
      </c>
      <c r="I169" s="45" t="s">
        <v>223</v>
      </c>
      <c r="J169" s="108">
        <v>43538</v>
      </c>
      <c r="K169" s="100">
        <v>43569</v>
      </c>
      <c r="L169" s="100">
        <v>43598</v>
      </c>
      <c r="M169" s="159" t="s">
        <v>538</v>
      </c>
      <c r="N169" s="108" t="s">
        <v>539</v>
      </c>
      <c r="O169" s="104"/>
      <c r="P169" s="102">
        <v>21400.25</v>
      </c>
      <c r="Q169" s="139"/>
      <c r="R169" s="131">
        <v>0</v>
      </c>
      <c r="S169" s="132"/>
      <c r="T169" s="102">
        <f>14237+9938</f>
        <v>24175</v>
      </c>
      <c r="U169" s="100">
        <v>43598</v>
      </c>
      <c r="V169" s="130" t="s">
        <v>540</v>
      </c>
      <c r="W169" s="170"/>
    </row>
    <row r="170" s="39" customFormat="1" ht="22" hidden="1" customHeight="1" spans="1:23">
      <c r="A170" s="144" t="s">
        <v>541</v>
      </c>
      <c r="B170" s="78" t="s">
        <v>30</v>
      </c>
      <c r="C170" s="79"/>
      <c r="D170" s="80" t="s">
        <v>31</v>
      </c>
      <c r="E170" s="80" t="s">
        <v>60</v>
      </c>
      <c r="F170" s="81" t="str">
        <f>IFERROR(VLOOKUP(E170,客户!B:C,2,FALSE),"/")</f>
        <v>外送费用945人民币+装箱费用 加在发票里</v>
      </c>
      <c r="G170" s="80" t="s">
        <v>509</v>
      </c>
      <c r="H170" s="144" t="s">
        <v>147</v>
      </c>
      <c r="I170" s="45" t="s">
        <v>542</v>
      </c>
      <c r="J170" s="108">
        <v>43540</v>
      </c>
      <c r="K170" s="100">
        <v>43591</v>
      </c>
      <c r="L170" s="100">
        <v>43618</v>
      </c>
      <c r="M170" s="181" t="s">
        <v>543</v>
      </c>
      <c r="N170" s="108" t="s">
        <v>544</v>
      </c>
      <c r="O170" s="104"/>
      <c r="P170" s="102">
        <v>61867.6</v>
      </c>
      <c r="Q170" s="102"/>
      <c r="R170" s="131">
        <v>0</v>
      </c>
      <c r="S170" s="132"/>
      <c r="T170" s="102">
        <v>61852</v>
      </c>
      <c r="U170" s="100">
        <v>43616</v>
      </c>
      <c r="V170" s="130"/>
      <c r="W170" s="170"/>
    </row>
    <row r="171" s="39" customFormat="1" ht="22" hidden="1" customHeight="1" spans="1:23">
      <c r="A171" s="144" t="s">
        <v>545</v>
      </c>
      <c r="B171" s="78" t="s">
        <v>30</v>
      </c>
      <c r="C171" s="79"/>
      <c r="D171" s="80" t="s">
        <v>31</v>
      </c>
      <c r="E171" s="80" t="s">
        <v>60</v>
      </c>
      <c r="F171" s="81" t="str">
        <f>IFERROR(VLOOKUP(E171,客户!B:C,2,FALSE),"/")</f>
        <v>外送费用945人民币+装箱费用 加在发票里</v>
      </c>
      <c r="G171" s="80" t="s">
        <v>509</v>
      </c>
      <c r="H171" s="144" t="s">
        <v>147</v>
      </c>
      <c r="I171" s="45" t="s">
        <v>542</v>
      </c>
      <c r="J171" s="108">
        <v>43542</v>
      </c>
      <c r="K171" s="100">
        <v>43599</v>
      </c>
      <c r="L171" s="100">
        <v>43641</v>
      </c>
      <c r="M171" s="159" t="s">
        <v>546</v>
      </c>
      <c r="N171" s="108" t="s">
        <v>515</v>
      </c>
      <c r="O171" s="104"/>
      <c r="P171" s="102">
        <v>61269</v>
      </c>
      <c r="Q171" s="102"/>
      <c r="R171" s="131">
        <v>0</v>
      </c>
      <c r="S171" s="132"/>
      <c r="T171" s="102">
        <v>61244</v>
      </c>
      <c r="U171" s="100">
        <v>43648</v>
      </c>
      <c r="V171" s="130"/>
      <c r="W171" s="170"/>
    </row>
    <row r="172" s="39" customFormat="1" ht="22" hidden="1" customHeight="1" spans="1:23">
      <c r="A172" s="144" t="s">
        <v>547</v>
      </c>
      <c r="B172" s="78" t="s">
        <v>30</v>
      </c>
      <c r="C172" s="79"/>
      <c r="D172" s="80" t="s">
        <v>31</v>
      </c>
      <c r="E172" s="82" t="s">
        <v>548</v>
      </c>
      <c r="F172" s="81">
        <f>IFERROR(VLOOKUP(E172,客户!B:C,2,FALSE),"/")</f>
        <v>0</v>
      </c>
      <c r="G172" s="80" t="s">
        <v>549</v>
      </c>
      <c r="H172" s="45" t="s">
        <v>123</v>
      </c>
      <c r="I172" s="45" t="s">
        <v>550</v>
      </c>
      <c r="J172" s="108">
        <v>43552</v>
      </c>
      <c r="K172" s="100">
        <v>43588</v>
      </c>
      <c r="L172" s="100"/>
      <c r="M172" s="178" t="s">
        <v>551</v>
      </c>
      <c r="N172" s="108" t="s">
        <v>552</v>
      </c>
      <c r="O172" s="104"/>
      <c r="P172" s="102">
        <v>28404.7</v>
      </c>
      <c r="Q172" s="102">
        <v>28404</v>
      </c>
      <c r="R172" s="131">
        <v>0</v>
      </c>
      <c r="S172" s="132"/>
      <c r="T172" s="102"/>
      <c r="U172" s="100"/>
      <c r="V172" s="130"/>
      <c r="W172" s="170"/>
    </row>
    <row r="173" s="39" customFormat="1" ht="22" hidden="1" customHeight="1" spans="1:23">
      <c r="A173" s="144" t="s">
        <v>553</v>
      </c>
      <c r="B173" s="78" t="s">
        <v>30</v>
      </c>
      <c r="C173" s="79"/>
      <c r="D173" s="80" t="s">
        <v>31</v>
      </c>
      <c r="E173" s="80" t="s">
        <v>554</v>
      </c>
      <c r="F173" s="81">
        <f>IFERROR(VLOOKUP(E173,客户!B:C,2,FALSE),"/")</f>
        <v>0</v>
      </c>
      <c r="G173" s="80" t="s">
        <v>43</v>
      </c>
      <c r="H173" s="144" t="s">
        <v>396</v>
      </c>
      <c r="I173" s="45" t="s">
        <v>555</v>
      </c>
      <c r="J173" s="108">
        <v>43552</v>
      </c>
      <c r="K173" s="100">
        <v>43594</v>
      </c>
      <c r="L173" s="100"/>
      <c r="M173" s="159" t="s">
        <v>556</v>
      </c>
      <c r="N173" s="108" t="s">
        <v>557</v>
      </c>
      <c r="O173" s="104"/>
      <c r="P173" s="102">
        <v>24751.75</v>
      </c>
      <c r="Q173" s="102">
        <v>7387</v>
      </c>
      <c r="R173" s="131">
        <v>0</v>
      </c>
      <c r="S173" s="132"/>
      <c r="T173" s="102">
        <v>17281</v>
      </c>
      <c r="U173" s="100">
        <v>43600</v>
      </c>
      <c r="V173" s="130"/>
      <c r="W173" s="170"/>
    </row>
    <row r="174" s="39" customFormat="1" ht="22" hidden="1" customHeight="1" spans="1:23">
      <c r="A174" s="144" t="s">
        <v>558</v>
      </c>
      <c r="B174" s="78" t="s">
        <v>30</v>
      </c>
      <c r="C174" s="79"/>
      <c r="D174" s="80" t="s">
        <v>31</v>
      </c>
      <c r="E174" s="80" t="s">
        <v>559</v>
      </c>
      <c r="F174" s="81">
        <f>IFERROR(VLOOKUP(E174,客户!B:C,2,FALSE),"/")</f>
        <v>0</v>
      </c>
      <c r="G174" s="80" t="s">
        <v>86</v>
      </c>
      <c r="H174" s="45" t="s">
        <v>123</v>
      </c>
      <c r="I174" s="45" t="s">
        <v>560</v>
      </c>
      <c r="J174" s="108">
        <v>43553</v>
      </c>
      <c r="K174" s="100">
        <v>43588</v>
      </c>
      <c r="L174" s="100">
        <v>43631</v>
      </c>
      <c r="M174" s="159" t="s">
        <v>561</v>
      </c>
      <c r="N174" s="108" t="s">
        <v>562</v>
      </c>
      <c r="O174" s="104"/>
      <c r="P174" s="102">
        <v>51045.72</v>
      </c>
      <c r="Q174" s="102">
        <v>0</v>
      </c>
      <c r="R174" s="131">
        <v>0</v>
      </c>
      <c r="S174" s="132"/>
      <c r="T174" s="102" t="s">
        <v>563</v>
      </c>
      <c r="U174" s="100">
        <v>43689</v>
      </c>
      <c r="V174" s="130"/>
      <c r="W174" s="170"/>
    </row>
    <row r="175" s="39" customFormat="1" ht="22" hidden="1" customHeight="1" spans="1:23">
      <c r="A175" s="144" t="s">
        <v>564</v>
      </c>
      <c r="B175" s="78" t="s">
        <v>30</v>
      </c>
      <c r="C175" s="79"/>
      <c r="D175" s="80" t="s">
        <v>31</v>
      </c>
      <c r="E175" s="80" t="s">
        <v>559</v>
      </c>
      <c r="F175" s="81">
        <f>IFERROR(VLOOKUP(E175,客户!B:C,2,FALSE),"/")</f>
        <v>0</v>
      </c>
      <c r="G175" s="80" t="s">
        <v>86</v>
      </c>
      <c r="H175" s="45" t="s">
        <v>123</v>
      </c>
      <c r="I175" s="45" t="s">
        <v>560</v>
      </c>
      <c r="J175" s="108">
        <v>43553</v>
      </c>
      <c r="K175" s="100">
        <v>43595</v>
      </c>
      <c r="L175" s="100">
        <v>43635</v>
      </c>
      <c r="M175" s="181" t="s">
        <v>561</v>
      </c>
      <c r="N175" s="108" t="s">
        <v>562</v>
      </c>
      <c r="O175" s="104"/>
      <c r="P175" s="102">
        <v>51073.48</v>
      </c>
      <c r="Q175" s="102"/>
      <c r="R175" s="131">
        <v>0</v>
      </c>
      <c r="S175" s="132"/>
      <c r="T175" s="102">
        <v>50938</v>
      </c>
      <c r="U175" s="100">
        <v>43642</v>
      </c>
      <c r="V175" s="130"/>
      <c r="W175" s="170"/>
    </row>
    <row r="176" s="39" customFormat="1" ht="22" hidden="1" customHeight="1" spans="1:23">
      <c r="A176" s="144" t="s">
        <v>565</v>
      </c>
      <c r="B176" s="78" t="s">
        <v>30</v>
      </c>
      <c r="C176" s="79"/>
      <c r="D176" s="80" t="s">
        <v>31</v>
      </c>
      <c r="E176" s="80" t="s">
        <v>559</v>
      </c>
      <c r="F176" s="81">
        <f>IFERROR(VLOOKUP(E176,客户!B:C,2,FALSE),"/")</f>
        <v>0</v>
      </c>
      <c r="G176" s="80" t="s">
        <v>566</v>
      </c>
      <c r="H176" s="45" t="s">
        <v>123</v>
      </c>
      <c r="I176" s="45" t="s">
        <v>205</v>
      </c>
      <c r="J176" s="108">
        <v>43553</v>
      </c>
      <c r="K176" s="100">
        <v>43575</v>
      </c>
      <c r="L176" s="100">
        <v>43608</v>
      </c>
      <c r="M176" s="181" t="s">
        <v>567</v>
      </c>
      <c r="N176" s="108" t="s">
        <v>562</v>
      </c>
      <c r="O176" s="104"/>
      <c r="P176" s="102">
        <v>26980</v>
      </c>
      <c r="Q176" s="102"/>
      <c r="R176" s="131">
        <v>0</v>
      </c>
      <c r="S176" s="132"/>
      <c r="T176" s="102">
        <v>26835</v>
      </c>
      <c r="U176" s="100">
        <v>43610</v>
      </c>
      <c r="V176" s="130"/>
      <c r="W176" s="170"/>
    </row>
    <row r="177" s="39" customFormat="1" ht="22" hidden="1" customHeight="1" spans="1:23">
      <c r="A177" s="144" t="s">
        <v>568</v>
      </c>
      <c r="B177" s="78" t="s">
        <v>30</v>
      </c>
      <c r="C177" s="79"/>
      <c r="D177" s="80" t="s">
        <v>31</v>
      </c>
      <c r="E177" s="80" t="s">
        <v>450</v>
      </c>
      <c r="F177" s="81">
        <f>IFERROR(VLOOKUP(E177,客户!B:C,2,FALSE),"/")</f>
        <v>0</v>
      </c>
      <c r="G177" s="80" t="s">
        <v>485</v>
      </c>
      <c r="H177" s="45" t="s">
        <v>123</v>
      </c>
      <c r="I177" s="45" t="s">
        <v>223</v>
      </c>
      <c r="J177" s="108">
        <v>43566</v>
      </c>
      <c r="K177" s="108">
        <v>43590</v>
      </c>
      <c r="L177" s="100">
        <v>43618</v>
      </c>
      <c r="M177" s="181" t="s">
        <v>569</v>
      </c>
      <c r="N177" s="108" t="s">
        <v>500</v>
      </c>
      <c r="O177" s="104"/>
      <c r="P177" s="102">
        <v>22779.88</v>
      </c>
      <c r="Q177" s="102"/>
      <c r="R177" s="131"/>
      <c r="S177" s="132"/>
      <c r="T177" s="102">
        <v>15012</v>
      </c>
      <c r="U177" s="100">
        <v>43620</v>
      </c>
      <c r="V177" s="130" t="s">
        <v>570</v>
      </c>
      <c r="W177" s="170"/>
    </row>
    <row r="178" s="39" customFormat="1" ht="22" hidden="1" customHeight="1" spans="1:23">
      <c r="A178" s="144" t="s">
        <v>571</v>
      </c>
      <c r="B178" s="78" t="s">
        <v>30</v>
      </c>
      <c r="C178" s="79"/>
      <c r="D178" s="80" t="s">
        <v>31</v>
      </c>
      <c r="E178" s="80" t="s">
        <v>528</v>
      </c>
      <c r="F178" s="81" t="str">
        <f>IFERROR(VLOOKUP(E178,客户!B:C,2,FALSE),"/")</f>
        <v>/</v>
      </c>
      <c r="G178" s="80" t="s">
        <v>534</v>
      </c>
      <c r="H178" s="45" t="s">
        <v>123</v>
      </c>
      <c r="I178" s="45" t="s">
        <v>530</v>
      </c>
      <c r="J178" s="108">
        <v>43566</v>
      </c>
      <c r="K178" s="108">
        <v>43611</v>
      </c>
      <c r="L178" s="100">
        <v>43652</v>
      </c>
      <c r="M178" s="159" t="s">
        <v>572</v>
      </c>
      <c r="N178" s="108" t="s">
        <v>532</v>
      </c>
      <c r="O178" s="104"/>
      <c r="P178" s="102">
        <v>21282.8</v>
      </c>
      <c r="Q178" s="102">
        <v>4094.9</v>
      </c>
      <c r="R178" s="131">
        <v>0</v>
      </c>
      <c r="S178" s="132"/>
      <c r="T178" s="102">
        <v>17136</v>
      </c>
      <c r="U178" s="100">
        <v>43656</v>
      </c>
      <c r="V178" s="130"/>
      <c r="W178" s="170"/>
    </row>
    <row r="179" s="39" customFormat="1" ht="22" hidden="1" customHeight="1" spans="1:23">
      <c r="A179" s="144" t="s">
        <v>573</v>
      </c>
      <c r="B179" s="78" t="s">
        <v>30</v>
      </c>
      <c r="C179" s="79"/>
      <c r="D179" s="80" t="s">
        <v>31</v>
      </c>
      <c r="E179" s="80" t="s">
        <v>574</v>
      </c>
      <c r="F179" s="81" t="str">
        <f>IFERROR(VLOOKUP(E179,客户!B:C,2,FALSE),"/")</f>
        <v>/</v>
      </c>
      <c r="G179" s="80" t="s">
        <v>43</v>
      </c>
      <c r="H179" s="45" t="s">
        <v>123</v>
      </c>
      <c r="I179" s="45" t="s">
        <v>219</v>
      </c>
      <c r="J179" s="108">
        <v>43571</v>
      </c>
      <c r="K179" s="108">
        <v>43605</v>
      </c>
      <c r="L179" s="100">
        <v>43638</v>
      </c>
      <c r="M179" s="159" t="s">
        <v>575</v>
      </c>
      <c r="N179" s="108" t="s">
        <v>576</v>
      </c>
      <c r="O179" s="104"/>
      <c r="P179" s="102">
        <v>23321.95</v>
      </c>
      <c r="Q179" s="139"/>
      <c r="R179" s="131">
        <v>0</v>
      </c>
      <c r="S179" s="132"/>
      <c r="T179" s="102" t="s">
        <v>577</v>
      </c>
      <c r="U179" s="100">
        <v>43654</v>
      </c>
      <c r="V179" s="130"/>
      <c r="W179" s="170"/>
    </row>
    <row r="180" s="39" customFormat="1" ht="22" hidden="1" customHeight="1" spans="1:23">
      <c r="A180" s="144" t="s">
        <v>578</v>
      </c>
      <c r="B180" s="78" t="s">
        <v>30</v>
      </c>
      <c r="C180" s="79"/>
      <c r="D180" s="80" t="s">
        <v>31</v>
      </c>
      <c r="E180" s="80" t="s">
        <v>428</v>
      </c>
      <c r="F180" s="81">
        <f>IFERROR(VLOOKUP(E180,客户!B:C,2,FALSE),"/")</f>
        <v>0</v>
      </c>
      <c r="G180" s="80" t="s">
        <v>579</v>
      </c>
      <c r="H180" s="45" t="s">
        <v>127</v>
      </c>
      <c r="I180" s="45" t="s">
        <v>580</v>
      </c>
      <c r="J180" s="108">
        <v>43579</v>
      </c>
      <c r="K180" s="108">
        <v>43618</v>
      </c>
      <c r="L180" s="100">
        <v>43634</v>
      </c>
      <c r="M180" s="159" t="s">
        <v>581</v>
      </c>
      <c r="N180" s="108" t="s">
        <v>500</v>
      </c>
      <c r="O180" s="104"/>
      <c r="P180" s="102">
        <v>105227.3</v>
      </c>
      <c r="Q180" s="102" t="s">
        <v>582</v>
      </c>
      <c r="R180" s="131">
        <v>0</v>
      </c>
      <c r="S180" s="132"/>
      <c r="T180" s="102">
        <v>85187</v>
      </c>
      <c r="U180" s="100">
        <v>43628</v>
      </c>
      <c r="V180" s="130"/>
      <c r="W180" s="170"/>
    </row>
    <row r="181" s="39" customFormat="1" ht="22" hidden="1" customHeight="1" spans="1:23">
      <c r="A181" s="144" t="s">
        <v>583</v>
      </c>
      <c r="B181" s="78" t="s">
        <v>30</v>
      </c>
      <c r="C181" s="79"/>
      <c r="D181" s="80" t="s">
        <v>31</v>
      </c>
      <c r="E181" s="80" t="s">
        <v>559</v>
      </c>
      <c r="F181" s="81">
        <f>IFERROR(VLOOKUP(E181,客户!B:C,2,FALSE),"/")</f>
        <v>0</v>
      </c>
      <c r="G181" s="80" t="s">
        <v>86</v>
      </c>
      <c r="H181" s="45" t="s">
        <v>123</v>
      </c>
      <c r="I181" s="45" t="s">
        <v>205</v>
      </c>
      <c r="J181" s="108">
        <v>43579</v>
      </c>
      <c r="K181" s="108">
        <v>43613</v>
      </c>
      <c r="L181" s="100">
        <v>43645</v>
      </c>
      <c r="M181" s="159" t="s">
        <v>584</v>
      </c>
      <c r="N181" s="108" t="s">
        <v>585</v>
      </c>
      <c r="O181" s="104"/>
      <c r="P181" s="102">
        <v>60998.04</v>
      </c>
      <c r="Q181" s="139"/>
      <c r="R181" s="131">
        <v>0</v>
      </c>
      <c r="S181" s="132"/>
      <c r="T181" s="102">
        <v>60858</v>
      </c>
      <c r="U181" s="100">
        <v>43647</v>
      </c>
      <c r="V181" s="130"/>
      <c r="W181" s="170"/>
    </row>
    <row r="182" s="42" customFormat="1" ht="22" hidden="1" customHeight="1" spans="1:23">
      <c r="A182" s="144" t="s">
        <v>586</v>
      </c>
      <c r="B182" s="174" t="s">
        <v>30</v>
      </c>
      <c r="C182" s="175"/>
      <c r="D182" s="80" t="s">
        <v>31</v>
      </c>
      <c r="E182" s="80" t="s">
        <v>559</v>
      </c>
      <c r="F182" s="81">
        <f>IFERROR(VLOOKUP(E182,客户!B:C,2,FALSE),"/")</f>
        <v>0</v>
      </c>
      <c r="G182" s="80" t="s">
        <v>566</v>
      </c>
      <c r="H182" s="45" t="s">
        <v>123</v>
      </c>
      <c r="I182" s="45" t="s">
        <v>205</v>
      </c>
      <c r="J182" s="159">
        <v>43579</v>
      </c>
      <c r="K182" s="159">
        <v>43644</v>
      </c>
      <c r="L182" s="100">
        <v>43677</v>
      </c>
      <c r="M182" s="159" t="s">
        <v>587</v>
      </c>
      <c r="N182" s="159" t="s">
        <v>588</v>
      </c>
      <c r="O182" s="104"/>
      <c r="P182" s="102">
        <v>40665.36</v>
      </c>
      <c r="Q182" s="102">
        <v>0</v>
      </c>
      <c r="R182" s="131">
        <v>0</v>
      </c>
      <c r="S182" s="132"/>
      <c r="T182" s="102">
        <v>40222</v>
      </c>
      <c r="U182" s="100">
        <v>43676</v>
      </c>
      <c r="V182" s="128"/>
      <c r="W182" s="170"/>
    </row>
    <row r="183" s="39" customFormat="1" ht="22" hidden="1" customHeight="1" spans="1:23">
      <c r="A183" s="144" t="s">
        <v>589</v>
      </c>
      <c r="B183" s="78" t="s">
        <v>30</v>
      </c>
      <c r="C183" s="79"/>
      <c r="D183" s="80" t="s">
        <v>31</v>
      </c>
      <c r="E183" s="80" t="s">
        <v>559</v>
      </c>
      <c r="F183" s="81">
        <f>IFERROR(VLOOKUP(E183,客户!B:C,2,FALSE),"/")</f>
        <v>0</v>
      </c>
      <c r="G183" s="80" t="s">
        <v>566</v>
      </c>
      <c r="H183" s="45" t="s">
        <v>123</v>
      </c>
      <c r="I183" s="45" t="s">
        <v>542</v>
      </c>
      <c r="J183" s="108">
        <v>43579</v>
      </c>
      <c r="K183" s="108">
        <v>43623</v>
      </c>
      <c r="L183" s="100">
        <v>43661</v>
      </c>
      <c r="M183" s="159" t="s">
        <v>590</v>
      </c>
      <c r="N183" s="108" t="s">
        <v>591</v>
      </c>
      <c r="O183" s="104"/>
      <c r="P183" s="102">
        <v>40627.36</v>
      </c>
      <c r="Q183" s="139"/>
      <c r="R183" s="131">
        <v>0</v>
      </c>
      <c r="S183" s="132"/>
      <c r="T183" s="102">
        <v>40512</v>
      </c>
      <c r="U183" s="100">
        <v>43655</v>
      </c>
      <c r="V183" s="130"/>
      <c r="W183" s="170"/>
    </row>
    <row r="184" s="39" customFormat="1" ht="22" hidden="1" customHeight="1" spans="1:23">
      <c r="A184" s="144" t="s">
        <v>592</v>
      </c>
      <c r="B184" s="78" t="s">
        <v>30</v>
      </c>
      <c r="C184" s="79"/>
      <c r="D184" s="80" t="s">
        <v>31</v>
      </c>
      <c r="E184" s="80" t="s">
        <v>559</v>
      </c>
      <c r="F184" s="81">
        <f>IFERROR(VLOOKUP(E184,客户!B:C,2,FALSE),"/")</f>
        <v>0</v>
      </c>
      <c r="G184" s="80" t="s">
        <v>86</v>
      </c>
      <c r="H184" s="45" t="s">
        <v>123</v>
      </c>
      <c r="I184" s="45" t="s">
        <v>542</v>
      </c>
      <c r="J184" s="108">
        <v>43579</v>
      </c>
      <c r="K184" s="159">
        <v>43660</v>
      </c>
      <c r="L184" s="100">
        <v>43698</v>
      </c>
      <c r="M184" s="182"/>
      <c r="N184" s="108" t="s">
        <v>593</v>
      </c>
      <c r="O184" s="104"/>
      <c r="P184" s="102">
        <v>60941.04</v>
      </c>
      <c r="Q184" s="102">
        <v>0</v>
      </c>
      <c r="R184" s="131">
        <v>0</v>
      </c>
      <c r="S184" s="132"/>
      <c r="T184" s="102" t="s">
        <v>563</v>
      </c>
      <c r="U184" s="100">
        <v>43691</v>
      </c>
      <c r="V184" s="130"/>
      <c r="W184" s="170"/>
    </row>
    <row r="185" s="39" customFormat="1" ht="22" hidden="1" customHeight="1" spans="1:23">
      <c r="A185" s="144" t="s">
        <v>594</v>
      </c>
      <c r="B185" s="78" t="s">
        <v>30</v>
      </c>
      <c r="C185" s="79"/>
      <c r="D185" s="80" t="s">
        <v>31</v>
      </c>
      <c r="E185" s="80" t="s">
        <v>554</v>
      </c>
      <c r="F185" s="81">
        <f>IFERROR(VLOOKUP(E185,客户!B:C,2,FALSE),"/")</f>
        <v>0</v>
      </c>
      <c r="G185" s="80" t="s">
        <v>485</v>
      </c>
      <c r="H185" s="144" t="s">
        <v>396</v>
      </c>
      <c r="I185" s="45" t="s">
        <v>555</v>
      </c>
      <c r="J185" s="108">
        <v>43581</v>
      </c>
      <c r="K185" s="108">
        <v>43613</v>
      </c>
      <c r="L185" s="100">
        <v>43630</v>
      </c>
      <c r="M185" s="181" t="s">
        <v>595</v>
      </c>
      <c r="N185" s="108" t="s">
        <v>557</v>
      </c>
      <c r="O185" s="104"/>
      <c r="P185" s="102">
        <v>22692.8</v>
      </c>
      <c r="Q185" s="102">
        <v>6807</v>
      </c>
      <c r="R185" s="131">
        <v>0</v>
      </c>
      <c r="S185" s="132"/>
      <c r="T185" s="102">
        <v>15838</v>
      </c>
      <c r="U185" s="100">
        <v>43627</v>
      </c>
      <c r="V185" s="130"/>
      <c r="W185" s="170"/>
    </row>
    <row r="186" s="39" customFormat="1" ht="22" hidden="1" customHeight="1" spans="1:23">
      <c r="A186" s="144" t="s">
        <v>596</v>
      </c>
      <c r="B186" s="78" t="s">
        <v>30</v>
      </c>
      <c r="C186" s="79"/>
      <c r="D186" s="80" t="s">
        <v>31</v>
      </c>
      <c r="E186" s="80" t="s">
        <v>597</v>
      </c>
      <c r="F186" s="81" t="str">
        <f>IFERROR(VLOOKUP(E186,客户!B:C,2,FALSE),"/")</f>
        <v>/</v>
      </c>
      <c r="G186" s="80" t="s">
        <v>598</v>
      </c>
      <c r="H186" s="45" t="s">
        <v>123</v>
      </c>
      <c r="I186" s="45" t="s">
        <v>599</v>
      </c>
      <c r="J186" s="108">
        <v>43581</v>
      </c>
      <c r="K186" s="108">
        <v>43617</v>
      </c>
      <c r="L186" s="100"/>
      <c r="M186" s="159"/>
      <c r="N186" s="108" t="s">
        <v>600</v>
      </c>
      <c r="O186" s="104"/>
      <c r="P186" s="102">
        <v>19744</v>
      </c>
      <c r="Q186" s="102">
        <v>1500</v>
      </c>
      <c r="R186" s="131">
        <v>0</v>
      </c>
      <c r="S186" s="132"/>
      <c r="T186" s="102">
        <v>18244</v>
      </c>
      <c r="U186" s="100">
        <v>43613</v>
      </c>
      <c r="V186" s="130"/>
      <c r="W186" s="170"/>
    </row>
    <row r="187" s="39" customFormat="1" ht="22" hidden="1" customHeight="1" spans="1:23">
      <c r="A187" s="144" t="s">
        <v>601</v>
      </c>
      <c r="B187" s="78" t="s">
        <v>30</v>
      </c>
      <c r="C187" s="79"/>
      <c r="D187" s="80" t="s">
        <v>31</v>
      </c>
      <c r="E187" s="80" t="s">
        <v>528</v>
      </c>
      <c r="F187" s="81" t="str">
        <f>IFERROR(VLOOKUP(E187,客户!B:C,2,FALSE),"/")</f>
        <v>/</v>
      </c>
      <c r="G187" s="80" t="s">
        <v>534</v>
      </c>
      <c r="H187" s="45" t="s">
        <v>123</v>
      </c>
      <c r="I187" s="45" t="s">
        <v>530</v>
      </c>
      <c r="J187" s="108">
        <v>43584</v>
      </c>
      <c r="K187" s="108">
        <v>43623</v>
      </c>
      <c r="L187" s="100">
        <v>43668</v>
      </c>
      <c r="M187" s="181" t="s">
        <v>602</v>
      </c>
      <c r="N187" s="108" t="s">
        <v>603</v>
      </c>
      <c r="O187" s="104"/>
      <c r="P187" s="102">
        <v>21417.04</v>
      </c>
      <c r="Q187" s="102">
        <v>3967</v>
      </c>
      <c r="R187" s="131">
        <v>0</v>
      </c>
      <c r="S187" s="132"/>
      <c r="T187" s="102">
        <v>17417</v>
      </c>
      <c r="U187" s="100">
        <v>43676</v>
      </c>
      <c r="V187" s="130"/>
      <c r="W187" s="170"/>
    </row>
    <row r="188" s="39" customFormat="1" ht="22" hidden="1" customHeight="1" spans="1:23">
      <c r="A188" s="144" t="s">
        <v>604</v>
      </c>
      <c r="B188" s="78" t="s">
        <v>30</v>
      </c>
      <c r="C188" s="79"/>
      <c r="D188" s="80" t="s">
        <v>31</v>
      </c>
      <c r="E188" s="80" t="s">
        <v>450</v>
      </c>
      <c r="F188" s="81">
        <f>IFERROR(VLOOKUP(E188,客户!B:C,2,FALSE),"/")</f>
        <v>0</v>
      </c>
      <c r="G188" s="80" t="s">
        <v>485</v>
      </c>
      <c r="H188" s="45" t="s">
        <v>123</v>
      </c>
      <c r="I188" s="45" t="s">
        <v>223</v>
      </c>
      <c r="J188" s="108">
        <v>43586</v>
      </c>
      <c r="K188" s="108">
        <v>43611</v>
      </c>
      <c r="L188" s="100">
        <v>43636</v>
      </c>
      <c r="M188" s="183" t="s">
        <v>605</v>
      </c>
      <c r="N188" s="108" t="s">
        <v>606</v>
      </c>
      <c r="O188" s="104"/>
      <c r="P188" s="102">
        <v>22510</v>
      </c>
      <c r="Q188" s="102"/>
      <c r="R188" s="131">
        <v>0</v>
      </c>
      <c r="S188" s="132"/>
      <c r="T188" s="102">
        <f>11107+14302</f>
        <v>25409</v>
      </c>
      <c r="U188" s="100"/>
      <c r="V188" s="130" t="s">
        <v>607</v>
      </c>
      <c r="W188" s="170"/>
    </row>
    <row r="189" s="39" customFormat="1" ht="22" hidden="1" customHeight="1" spans="1:23">
      <c r="A189" s="144" t="s">
        <v>608</v>
      </c>
      <c r="B189" s="78" t="s">
        <v>30</v>
      </c>
      <c r="C189" s="79"/>
      <c r="D189" s="80" t="s">
        <v>31</v>
      </c>
      <c r="E189" s="80" t="s">
        <v>609</v>
      </c>
      <c r="F189" s="81" t="str">
        <f>IFERROR(VLOOKUP(E189,客户!B:C,2,FALSE),"/")</f>
        <v>/</v>
      </c>
      <c r="G189" s="80" t="s">
        <v>91</v>
      </c>
      <c r="H189" s="45" t="s">
        <v>123</v>
      </c>
      <c r="I189" s="45" t="s">
        <v>542</v>
      </c>
      <c r="J189" s="108">
        <v>43589</v>
      </c>
      <c r="K189" s="108">
        <v>43638</v>
      </c>
      <c r="L189" s="103"/>
      <c r="M189" s="159" t="s">
        <v>610</v>
      </c>
      <c r="N189" s="108" t="s">
        <v>611</v>
      </c>
      <c r="O189" s="104"/>
      <c r="P189" s="102">
        <v>20977.74</v>
      </c>
      <c r="Q189" s="102">
        <v>6319</v>
      </c>
      <c r="R189" s="131">
        <v>0</v>
      </c>
      <c r="S189" s="132"/>
      <c r="T189" s="102">
        <v>14559</v>
      </c>
      <c r="U189" s="100">
        <v>43651</v>
      </c>
      <c r="V189" s="130"/>
      <c r="W189" s="170"/>
    </row>
    <row r="190" s="39" customFormat="1" ht="22" hidden="1" customHeight="1" spans="1:23">
      <c r="A190" s="144" t="s">
        <v>612</v>
      </c>
      <c r="B190" s="78" t="s">
        <v>30</v>
      </c>
      <c r="C190" s="79"/>
      <c r="D190" s="80" t="s">
        <v>31</v>
      </c>
      <c r="E190" s="80" t="s">
        <v>428</v>
      </c>
      <c r="F190" s="81">
        <f>IFERROR(VLOOKUP(E190,客户!B:C,2,FALSE),"/")</f>
        <v>0</v>
      </c>
      <c r="G190" s="80" t="s">
        <v>613</v>
      </c>
      <c r="H190" s="45" t="s">
        <v>127</v>
      </c>
      <c r="I190" s="45" t="s">
        <v>580</v>
      </c>
      <c r="J190" s="108">
        <v>43607</v>
      </c>
      <c r="K190" s="108">
        <v>43643</v>
      </c>
      <c r="L190" s="100">
        <v>43656</v>
      </c>
      <c r="M190" s="181" t="s">
        <v>614</v>
      </c>
      <c r="N190" s="108" t="s">
        <v>615</v>
      </c>
      <c r="O190" s="104"/>
      <c r="P190" s="102">
        <v>149546.9</v>
      </c>
      <c r="Q190" s="102">
        <v>10000</v>
      </c>
      <c r="R190" s="131">
        <v>0</v>
      </c>
      <c r="S190" s="132"/>
      <c r="T190" s="102">
        <v>139500</v>
      </c>
      <c r="U190" s="100">
        <v>43655</v>
      </c>
      <c r="V190" s="130"/>
      <c r="W190" s="170"/>
    </row>
    <row r="191" s="39" customFormat="1" ht="22" hidden="1" customHeight="1" spans="1:23">
      <c r="A191" s="144" t="s">
        <v>616</v>
      </c>
      <c r="B191" s="78" t="s">
        <v>30</v>
      </c>
      <c r="C191" s="79"/>
      <c r="D191" s="80" t="s">
        <v>31</v>
      </c>
      <c r="E191" s="80" t="s">
        <v>617</v>
      </c>
      <c r="F191" s="81">
        <f>IFERROR(VLOOKUP(E191,客户!B:C,2,FALSE),"/")</f>
        <v>0</v>
      </c>
      <c r="G191" s="80" t="s">
        <v>109</v>
      </c>
      <c r="H191" s="45" t="s">
        <v>123</v>
      </c>
      <c r="I191" s="45" t="s">
        <v>618</v>
      </c>
      <c r="J191" s="108">
        <v>43608</v>
      </c>
      <c r="K191" s="159">
        <v>43662</v>
      </c>
      <c r="L191" s="100">
        <v>43709</v>
      </c>
      <c r="M191" s="181" t="s">
        <v>619</v>
      </c>
      <c r="N191" s="108" t="s">
        <v>620</v>
      </c>
      <c r="O191" s="104"/>
      <c r="P191" s="102">
        <v>25524.7</v>
      </c>
      <c r="Q191" s="102">
        <v>7000</v>
      </c>
      <c r="R191" s="131">
        <v>0</v>
      </c>
      <c r="S191" s="132"/>
      <c r="T191" s="102">
        <v>18499</v>
      </c>
      <c r="U191" s="100">
        <v>43677</v>
      </c>
      <c r="V191" s="130"/>
      <c r="W191" s="170"/>
    </row>
    <row r="192" s="39" customFormat="1" ht="22" hidden="1" customHeight="1" spans="1:23">
      <c r="A192" s="144" t="s">
        <v>621</v>
      </c>
      <c r="B192" s="78" t="s">
        <v>30</v>
      </c>
      <c r="C192" s="79"/>
      <c r="D192" s="80" t="s">
        <v>31</v>
      </c>
      <c r="E192" s="80" t="s">
        <v>450</v>
      </c>
      <c r="F192" s="81">
        <f>IFERROR(VLOOKUP(E192,客户!B:C,2,FALSE),"/")</f>
        <v>0</v>
      </c>
      <c r="G192" s="80" t="s">
        <v>43</v>
      </c>
      <c r="H192" s="45" t="s">
        <v>123</v>
      </c>
      <c r="I192" s="45" t="s">
        <v>223</v>
      </c>
      <c r="J192" s="108">
        <v>43609</v>
      </c>
      <c r="K192" s="108">
        <v>43631</v>
      </c>
      <c r="L192" s="100">
        <v>42926</v>
      </c>
      <c r="M192" s="181"/>
      <c r="N192" s="108" t="s">
        <v>606</v>
      </c>
      <c r="O192" s="104"/>
      <c r="P192" s="102">
        <v>22753.13</v>
      </c>
      <c r="Q192" s="102"/>
      <c r="R192" s="131"/>
      <c r="S192" s="132"/>
      <c r="T192" s="102">
        <f>14976+7745</f>
        <v>22721</v>
      </c>
      <c r="U192" s="100"/>
      <c r="V192" s="130" t="s">
        <v>622</v>
      </c>
      <c r="W192" s="170"/>
    </row>
    <row r="193" s="39" customFormat="1" ht="22" hidden="1" customHeight="1" spans="1:23">
      <c r="A193" s="144" t="s">
        <v>623</v>
      </c>
      <c r="B193" s="174" t="s">
        <v>30</v>
      </c>
      <c r="C193" s="175"/>
      <c r="D193" s="80" t="s">
        <v>31</v>
      </c>
      <c r="E193" s="80" t="s">
        <v>624</v>
      </c>
      <c r="F193" s="81">
        <f>IFERROR(VLOOKUP(E193,客户!B:C,2,FALSE),"/")</f>
        <v>0</v>
      </c>
      <c r="G193" s="80" t="s">
        <v>68</v>
      </c>
      <c r="H193" s="45" t="s">
        <v>123</v>
      </c>
      <c r="I193" s="45" t="s">
        <v>219</v>
      </c>
      <c r="J193" s="108">
        <v>43610</v>
      </c>
      <c r="K193" s="159">
        <v>43679</v>
      </c>
      <c r="L193" s="100">
        <v>43708</v>
      </c>
      <c r="M193" s="181" t="s">
        <v>625</v>
      </c>
      <c r="N193" s="108" t="s">
        <v>626</v>
      </c>
      <c r="O193" s="104"/>
      <c r="P193" s="102">
        <v>42909.23</v>
      </c>
      <c r="Q193" s="102">
        <v>8600</v>
      </c>
      <c r="R193" s="131"/>
      <c r="S193" s="132"/>
      <c r="T193" s="102">
        <v>34729</v>
      </c>
      <c r="U193" s="100"/>
      <c r="V193" s="188" t="s">
        <v>627</v>
      </c>
      <c r="W193" s="170"/>
    </row>
    <row r="194" s="43" customFormat="1" ht="22" hidden="1" customHeight="1" spans="1:23">
      <c r="A194" s="144" t="s">
        <v>628</v>
      </c>
      <c r="B194" s="174" t="s">
        <v>30</v>
      </c>
      <c r="C194" s="175"/>
      <c r="D194" s="45" t="s">
        <v>31</v>
      </c>
      <c r="E194" s="45" t="s">
        <v>629</v>
      </c>
      <c r="F194" s="81" t="str">
        <f>IFERROR(VLOOKUP(E194,客户!B:C,2,FALSE),"/")</f>
        <v>/</v>
      </c>
      <c r="G194" s="45" t="s">
        <v>68</v>
      </c>
      <c r="H194" s="45" t="s">
        <v>123</v>
      </c>
      <c r="I194" s="45" t="s">
        <v>630</v>
      </c>
      <c r="J194" s="108">
        <v>43614</v>
      </c>
      <c r="K194" s="100">
        <v>43657</v>
      </c>
      <c r="L194" s="100">
        <v>43688</v>
      </c>
      <c r="M194" s="196" t="s">
        <v>631</v>
      </c>
      <c r="N194" s="108" t="s">
        <v>632</v>
      </c>
      <c r="O194" s="104"/>
      <c r="P194" s="102">
        <v>42613.6</v>
      </c>
      <c r="Q194" s="102" t="s">
        <v>633</v>
      </c>
      <c r="R194" s="131">
        <v>0</v>
      </c>
      <c r="S194" s="132"/>
      <c r="T194" s="102">
        <v>17785</v>
      </c>
      <c r="U194" s="100">
        <v>43699</v>
      </c>
      <c r="V194" s="130"/>
      <c r="W194" s="210"/>
    </row>
    <row r="195" s="42" customFormat="1" ht="22" hidden="1" customHeight="1" spans="1:23">
      <c r="A195" s="144" t="s">
        <v>634</v>
      </c>
      <c r="B195" s="78" t="s">
        <v>30</v>
      </c>
      <c r="C195" s="79"/>
      <c r="D195" s="80" t="s">
        <v>31</v>
      </c>
      <c r="E195" s="80" t="s">
        <v>446</v>
      </c>
      <c r="F195" s="81">
        <f>IFERROR(VLOOKUP(E195,客户!B:C,2,FALSE),"/")</f>
        <v>0</v>
      </c>
      <c r="G195" s="80" t="s">
        <v>43</v>
      </c>
      <c r="H195" s="45" t="s">
        <v>123</v>
      </c>
      <c r="I195" s="45" t="s">
        <v>238</v>
      </c>
      <c r="J195" s="159">
        <v>43617</v>
      </c>
      <c r="K195" s="159">
        <v>43646</v>
      </c>
      <c r="L195" s="100">
        <v>43675</v>
      </c>
      <c r="M195" s="181" t="s">
        <v>635</v>
      </c>
      <c r="N195" s="159" t="s">
        <v>636</v>
      </c>
      <c r="O195" s="104"/>
      <c r="P195" s="102">
        <v>23408.85</v>
      </c>
      <c r="Q195" s="102">
        <v>4681</v>
      </c>
      <c r="R195" s="131">
        <v>0</v>
      </c>
      <c r="S195" s="132"/>
      <c r="T195" s="102">
        <v>18689</v>
      </c>
      <c r="U195" s="100">
        <v>43671</v>
      </c>
      <c r="V195" s="128"/>
      <c r="W195" s="170"/>
    </row>
    <row r="196" s="39" customFormat="1" ht="22" hidden="1" customHeight="1" spans="1:23">
      <c r="A196" s="144" t="s">
        <v>637</v>
      </c>
      <c r="B196" s="78" t="s">
        <v>30</v>
      </c>
      <c r="C196" s="79"/>
      <c r="D196" s="80" t="s">
        <v>31</v>
      </c>
      <c r="E196" s="80" t="s">
        <v>436</v>
      </c>
      <c r="F196" s="81" t="str">
        <f>IFERROR(VLOOKUP(E196,客户!B:C,2,FALSE),"/")</f>
        <v>$53.50 TUV Austria administration cost 革力减掉150代理费</v>
      </c>
      <c r="G196" s="80" t="s">
        <v>91</v>
      </c>
      <c r="H196" s="45" t="s">
        <v>123</v>
      </c>
      <c r="I196" s="45" t="s">
        <v>226</v>
      </c>
      <c r="J196" s="108">
        <v>43620</v>
      </c>
      <c r="K196" s="108">
        <v>43654</v>
      </c>
      <c r="L196" s="100">
        <v>43692</v>
      </c>
      <c r="M196" s="159" t="s">
        <v>638</v>
      </c>
      <c r="N196" s="108" t="s">
        <v>639</v>
      </c>
      <c r="O196" s="104"/>
      <c r="P196" s="102">
        <v>20171</v>
      </c>
      <c r="Q196" s="102">
        <v>6374</v>
      </c>
      <c r="R196" s="131">
        <v>0</v>
      </c>
      <c r="S196" s="132"/>
      <c r="T196" s="102">
        <v>13745</v>
      </c>
      <c r="U196" s="100">
        <v>43664</v>
      </c>
      <c r="V196" s="130"/>
      <c r="W196" s="170"/>
    </row>
    <row r="197" s="39" customFormat="1" ht="22" hidden="1" customHeight="1" spans="1:23">
      <c r="A197" s="144" t="s">
        <v>640</v>
      </c>
      <c r="B197" s="78" t="s">
        <v>30</v>
      </c>
      <c r="C197" s="79"/>
      <c r="D197" s="80" t="s">
        <v>31</v>
      </c>
      <c r="E197" s="82" t="s">
        <v>641</v>
      </c>
      <c r="F197" s="81">
        <f>IFERROR(VLOOKUP(E197,客户!B:C,2,FALSE),"/")</f>
        <v>0</v>
      </c>
      <c r="G197" s="80" t="s">
        <v>43</v>
      </c>
      <c r="H197" s="45" t="s">
        <v>123</v>
      </c>
      <c r="I197" s="45" t="s">
        <v>642</v>
      </c>
      <c r="J197" s="108">
        <v>43629</v>
      </c>
      <c r="K197" s="108">
        <v>43678</v>
      </c>
      <c r="L197" s="100">
        <v>43718</v>
      </c>
      <c r="M197" s="159" t="s">
        <v>643</v>
      </c>
      <c r="N197" s="108" t="s">
        <v>644</v>
      </c>
      <c r="O197" s="104"/>
      <c r="P197" s="102">
        <v>19824.63</v>
      </c>
      <c r="Q197" s="102">
        <v>5000</v>
      </c>
      <c r="R197" s="131">
        <v>0</v>
      </c>
      <c r="S197" s="132"/>
      <c r="T197" s="102">
        <v>14799</v>
      </c>
      <c r="U197" s="100">
        <v>43698</v>
      </c>
      <c r="V197" s="130"/>
      <c r="W197" s="170"/>
    </row>
    <row r="198" s="39" customFormat="1" ht="22" hidden="1" customHeight="1" spans="1:23">
      <c r="A198" s="144" t="s">
        <v>645</v>
      </c>
      <c r="B198" s="78" t="s">
        <v>30</v>
      </c>
      <c r="C198" s="79"/>
      <c r="D198" s="80" t="s">
        <v>31</v>
      </c>
      <c r="E198" s="80" t="s">
        <v>450</v>
      </c>
      <c r="F198" s="81">
        <f>IFERROR(VLOOKUP(E198,客户!B:C,2,FALSE),"/")</f>
        <v>0</v>
      </c>
      <c r="G198" s="80" t="s">
        <v>43</v>
      </c>
      <c r="H198" s="45" t="s">
        <v>123</v>
      </c>
      <c r="I198" s="45" t="s">
        <v>646</v>
      </c>
      <c r="J198" s="108">
        <v>43636</v>
      </c>
      <c r="K198" s="159">
        <v>43674</v>
      </c>
      <c r="L198" s="100">
        <v>43704</v>
      </c>
      <c r="M198" s="197" t="s">
        <v>647</v>
      </c>
      <c r="N198" s="108" t="s">
        <v>500</v>
      </c>
      <c r="O198" s="104"/>
      <c r="P198" s="102">
        <v>22388.87</v>
      </c>
      <c r="Q198" s="102" t="s">
        <v>453</v>
      </c>
      <c r="R198" s="131"/>
      <c r="S198" s="132"/>
      <c r="T198" s="102">
        <v>15520</v>
      </c>
      <c r="U198" s="100"/>
      <c r="V198" s="188" t="s">
        <v>648</v>
      </c>
      <c r="W198" s="170"/>
    </row>
    <row r="199" s="39" customFormat="1" ht="22" hidden="1" customHeight="1" spans="1:23">
      <c r="A199" s="144" t="s">
        <v>649</v>
      </c>
      <c r="B199" s="78" t="s">
        <v>30</v>
      </c>
      <c r="C199" s="79"/>
      <c r="D199" s="80" t="s">
        <v>31</v>
      </c>
      <c r="E199" s="80" t="s">
        <v>473</v>
      </c>
      <c r="F199" s="81">
        <f>IFERROR(VLOOKUP(E199,客户!B:C,2,FALSE),"/")</f>
        <v>0</v>
      </c>
      <c r="G199" s="80" t="s">
        <v>650</v>
      </c>
      <c r="H199" s="45" t="s">
        <v>127</v>
      </c>
      <c r="I199" s="45" t="s">
        <v>651</v>
      </c>
      <c r="J199" s="108">
        <v>43637</v>
      </c>
      <c r="K199" s="159">
        <v>43659</v>
      </c>
      <c r="L199" s="100">
        <v>43672</v>
      </c>
      <c r="M199" s="181" t="s">
        <v>652</v>
      </c>
      <c r="N199" s="108" t="s">
        <v>653</v>
      </c>
      <c r="O199" s="104"/>
      <c r="P199" s="102">
        <v>18523.26</v>
      </c>
      <c r="Q199" s="211">
        <v>11423</v>
      </c>
      <c r="R199" s="131">
        <v>0</v>
      </c>
      <c r="S199" s="132"/>
      <c r="T199" s="102">
        <v>18523</v>
      </c>
      <c r="U199" s="100">
        <v>43664</v>
      </c>
      <c r="V199" s="130"/>
      <c r="W199" s="170"/>
    </row>
    <row r="200" s="39" customFormat="1" ht="22" hidden="1" customHeight="1" spans="1:23">
      <c r="A200" s="144" t="s">
        <v>654</v>
      </c>
      <c r="B200" s="78" t="s">
        <v>30</v>
      </c>
      <c r="C200" s="79"/>
      <c r="D200" s="80" t="s">
        <v>31</v>
      </c>
      <c r="E200" s="82" t="s">
        <v>655</v>
      </c>
      <c r="F200" s="81">
        <f>IFERROR(VLOOKUP(E200,客户!B:C,2,FALSE),"/")</f>
        <v>0</v>
      </c>
      <c r="G200" s="80" t="s">
        <v>650</v>
      </c>
      <c r="H200" s="45" t="s">
        <v>127</v>
      </c>
      <c r="I200" s="45" t="s">
        <v>651</v>
      </c>
      <c r="J200" s="108">
        <v>43637</v>
      </c>
      <c r="K200" s="159">
        <v>43659</v>
      </c>
      <c r="L200" s="100">
        <v>43672</v>
      </c>
      <c r="M200" s="181" t="s">
        <v>652</v>
      </c>
      <c r="N200" s="108" t="s">
        <v>653</v>
      </c>
      <c r="O200" s="104"/>
      <c r="P200" s="102">
        <v>20403.33</v>
      </c>
      <c r="Q200" s="211"/>
      <c r="R200" s="131"/>
      <c r="S200" s="132"/>
      <c r="T200" s="102">
        <v>8930</v>
      </c>
      <c r="U200" s="100">
        <v>43664</v>
      </c>
      <c r="V200" s="130"/>
      <c r="W200" s="170"/>
    </row>
    <row r="201" s="39" customFormat="1" ht="22" hidden="1" customHeight="1" spans="1:23">
      <c r="A201" s="144" t="s">
        <v>656</v>
      </c>
      <c r="B201" s="78" t="s">
        <v>30</v>
      </c>
      <c r="C201" s="79"/>
      <c r="D201" s="80" t="s">
        <v>31</v>
      </c>
      <c r="E201" s="80" t="s">
        <v>60</v>
      </c>
      <c r="F201" s="81" t="str">
        <f>IFERROR(VLOOKUP(E201,客户!B:C,2,FALSE),"/")</f>
        <v>外送费用945人民币+装箱费用 加在发票里</v>
      </c>
      <c r="G201" s="80" t="s">
        <v>566</v>
      </c>
      <c r="H201" s="144" t="s">
        <v>396</v>
      </c>
      <c r="I201" s="45" t="s">
        <v>205</v>
      </c>
      <c r="J201" s="108">
        <v>43640</v>
      </c>
      <c r="K201" s="159">
        <v>43701</v>
      </c>
      <c r="L201" s="100">
        <v>43733</v>
      </c>
      <c r="M201" s="181" t="s">
        <v>657</v>
      </c>
      <c r="N201" s="198" t="s">
        <v>658</v>
      </c>
      <c r="O201" s="104"/>
      <c r="P201" s="102">
        <v>40648.98</v>
      </c>
      <c r="Q201" s="102">
        <v>0</v>
      </c>
      <c r="R201" s="131">
        <v>0</v>
      </c>
      <c r="S201" s="132"/>
      <c r="T201" s="102">
        <v>40389</v>
      </c>
      <c r="U201" s="212">
        <v>43746</v>
      </c>
      <c r="V201" s="130"/>
      <c r="W201" s="170"/>
    </row>
    <row r="202" s="39" customFormat="1" ht="22" hidden="1" customHeight="1" spans="1:23">
      <c r="A202" s="144" t="s">
        <v>659</v>
      </c>
      <c r="B202" s="78" t="s">
        <v>30</v>
      </c>
      <c r="C202" s="79"/>
      <c r="D202" s="80" t="s">
        <v>31</v>
      </c>
      <c r="E202" s="80" t="s">
        <v>60</v>
      </c>
      <c r="F202" s="81" t="str">
        <f>IFERROR(VLOOKUP(E202,客户!B:C,2,FALSE),"/")</f>
        <v>外送费用945人民币+装箱费用 加在发票里</v>
      </c>
      <c r="G202" s="80" t="s">
        <v>660</v>
      </c>
      <c r="H202" s="45" t="s">
        <v>147</v>
      </c>
      <c r="I202" s="45" t="s">
        <v>205</v>
      </c>
      <c r="J202" s="108">
        <v>43640</v>
      </c>
      <c r="K202" s="159">
        <v>43709</v>
      </c>
      <c r="L202" s="159">
        <v>43748</v>
      </c>
      <c r="M202" s="181" t="s">
        <v>661</v>
      </c>
      <c r="N202" s="198" t="s">
        <v>662</v>
      </c>
      <c r="O202" s="104"/>
      <c r="P202" s="102">
        <v>40377</v>
      </c>
      <c r="Q202" s="102">
        <v>0</v>
      </c>
      <c r="R202" s="131">
        <v>0</v>
      </c>
      <c r="S202" s="132"/>
      <c r="T202" s="102">
        <v>40362.6</v>
      </c>
      <c r="U202" s="100"/>
      <c r="V202" s="130"/>
      <c r="W202" s="170"/>
    </row>
    <row r="203" s="39" customFormat="1" ht="22" hidden="1" customHeight="1" spans="1:23">
      <c r="A203" s="144" t="s">
        <v>663</v>
      </c>
      <c r="B203" s="78" t="s">
        <v>30</v>
      </c>
      <c r="C203" s="79"/>
      <c r="D203" s="80" t="s">
        <v>31</v>
      </c>
      <c r="E203" s="82" t="s">
        <v>664</v>
      </c>
      <c r="F203" s="81" t="str">
        <f>IFERROR(VLOOKUP(E203,客户!B:C,2,FALSE),"/")</f>
        <v>/</v>
      </c>
      <c r="G203" s="80" t="s">
        <v>43</v>
      </c>
      <c r="H203" s="45" t="s">
        <v>123</v>
      </c>
      <c r="I203" s="45" t="s">
        <v>219</v>
      </c>
      <c r="J203" s="108">
        <v>43641</v>
      </c>
      <c r="K203" s="108">
        <v>43675</v>
      </c>
      <c r="L203" s="100">
        <v>43725</v>
      </c>
      <c r="M203" s="181" t="s">
        <v>665</v>
      </c>
      <c r="N203" s="108" t="s">
        <v>666</v>
      </c>
      <c r="O203" s="104" t="s">
        <v>523</v>
      </c>
      <c r="P203" s="102">
        <v>21540.63</v>
      </c>
      <c r="Q203" s="102">
        <v>0</v>
      </c>
      <c r="R203" s="131"/>
      <c r="S203" s="132"/>
      <c r="T203" s="102" t="s">
        <v>667</v>
      </c>
      <c r="U203" s="100">
        <v>43755</v>
      </c>
      <c r="V203" s="130"/>
      <c r="W203" s="170"/>
    </row>
    <row r="204" s="39" customFormat="1" ht="22" hidden="1" customHeight="1" spans="1:23">
      <c r="A204" s="144" t="s">
        <v>668</v>
      </c>
      <c r="B204" s="78" t="s">
        <v>30</v>
      </c>
      <c r="C204" s="79"/>
      <c r="D204" s="80" t="s">
        <v>31</v>
      </c>
      <c r="E204" s="80" t="s">
        <v>669</v>
      </c>
      <c r="F204" s="81">
        <f>IFERROR(VLOOKUP(E204,客户!B:C,2,FALSE),"/")</f>
        <v>0</v>
      </c>
      <c r="G204" s="80" t="s">
        <v>73</v>
      </c>
      <c r="H204" s="45" t="s">
        <v>123</v>
      </c>
      <c r="I204" s="45" t="s">
        <v>205</v>
      </c>
      <c r="J204" s="108">
        <v>43642</v>
      </c>
      <c r="K204" s="108">
        <v>43700</v>
      </c>
      <c r="L204" s="100">
        <v>43730</v>
      </c>
      <c r="M204" s="181" t="s">
        <v>670</v>
      </c>
      <c r="N204" s="108" t="s">
        <v>593</v>
      </c>
      <c r="O204" s="104"/>
      <c r="P204" s="102">
        <v>39060</v>
      </c>
      <c r="Q204" s="102">
        <v>0</v>
      </c>
      <c r="R204" s="131">
        <v>0</v>
      </c>
      <c r="S204" s="132"/>
      <c r="T204" s="213">
        <v>39060</v>
      </c>
      <c r="U204" s="212">
        <v>43738</v>
      </c>
      <c r="V204" s="130"/>
      <c r="W204" s="170"/>
    </row>
    <row r="205" s="39" customFormat="1" ht="22" hidden="1" customHeight="1" spans="1:23">
      <c r="A205" s="144" t="s">
        <v>671</v>
      </c>
      <c r="B205" s="174" t="s">
        <v>30</v>
      </c>
      <c r="C205" s="175"/>
      <c r="D205" s="80" t="s">
        <v>31</v>
      </c>
      <c r="E205" s="80" t="s">
        <v>669</v>
      </c>
      <c r="F205" s="81">
        <f>IFERROR(VLOOKUP(E205,客户!B:C,2,FALSE),"/")</f>
        <v>0</v>
      </c>
      <c r="G205" s="80" t="s">
        <v>234</v>
      </c>
      <c r="H205" s="45" t="s">
        <v>123</v>
      </c>
      <c r="I205" s="45" t="s">
        <v>205</v>
      </c>
      <c r="J205" s="108">
        <v>43642</v>
      </c>
      <c r="K205" s="108">
        <v>43708</v>
      </c>
      <c r="L205" s="159">
        <v>43744</v>
      </c>
      <c r="M205" s="181" t="s">
        <v>672</v>
      </c>
      <c r="N205" s="108" t="s">
        <v>673</v>
      </c>
      <c r="O205" s="104"/>
      <c r="P205" s="102">
        <v>58590</v>
      </c>
      <c r="Q205" s="102">
        <v>0</v>
      </c>
      <c r="R205" s="131">
        <v>0</v>
      </c>
      <c r="S205" s="132"/>
      <c r="T205" s="102">
        <v>58590</v>
      </c>
      <c r="U205" s="100">
        <v>43756</v>
      </c>
      <c r="V205" s="130"/>
      <c r="W205" s="170"/>
    </row>
    <row r="206" s="39" customFormat="1" ht="22" hidden="1" customHeight="1" spans="1:23">
      <c r="A206" s="144" t="s">
        <v>674</v>
      </c>
      <c r="B206" s="174" t="s">
        <v>30</v>
      </c>
      <c r="C206" s="175"/>
      <c r="D206" s="80" t="s">
        <v>31</v>
      </c>
      <c r="E206" s="80" t="s">
        <v>669</v>
      </c>
      <c r="F206" s="81">
        <f>IFERROR(VLOOKUP(E206,客户!B:C,2,FALSE),"/")</f>
        <v>0</v>
      </c>
      <c r="G206" s="80" t="s">
        <v>86</v>
      </c>
      <c r="H206" s="45" t="s">
        <v>123</v>
      </c>
      <c r="I206" s="45" t="s">
        <v>542</v>
      </c>
      <c r="J206" s="108">
        <v>43642</v>
      </c>
      <c r="K206" s="108">
        <v>43722</v>
      </c>
      <c r="L206" s="100">
        <v>43771</v>
      </c>
      <c r="M206" s="181" t="s">
        <v>675</v>
      </c>
      <c r="N206" s="108" t="s">
        <v>676</v>
      </c>
      <c r="O206" s="104"/>
      <c r="P206" s="102">
        <v>59073.44</v>
      </c>
      <c r="Q206" s="102">
        <v>0</v>
      </c>
      <c r="R206" s="131"/>
      <c r="S206" s="132"/>
      <c r="T206" s="102">
        <v>59073.44</v>
      </c>
      <c r="U206" s="100"/>
      <c r="V206" s="130"/>
      <c r="W206" s="170"/>
    </row>
    <row r="207" s="39" customFormat="1" ht="22" hidden="1" customHeight="1" spans="1:23">
      <c r="A207" s="144" t="s">
        <v>677</v>
      </c>
      <c r="B207" s="174" t="s">
        <v>30</v>
      </c>
      <c r="C207" s="175"/>
      <c r="D207" s="80" t="s">
        <v>31</v>
      </c>
      <c r="E207" s="80" t="s">
        <v>60</v>
      </c>
      <c r="F207" s="81" t="str">
        <f>IFERROR(VLOOKUP(E207,客户!B:C,2,FALSE),"/")</f>
        <v>外送费用945人民币+装箱费用 加在发票里</v>
      </c>
      <c r="G207" s="80" t="s">
        <v>566</v>
      </c>
      <c r="H207" s="45" t="s">
        <v>147</v>
      </c>
      <c r="I207" s="45" t="s">
        <v>205</v>
      </c>
      <c r="J207" s="108">
        <v>43649</v>
      </c>
      <c r="K207" s="108">
        <v>43743</v>
      </c>
      <c r="L207" s="100">
        <v>43782</v>
      </c>
      <c r="M207" s="178" t="s">
        <v>678</v>
      </c>
      <c r="N207" s="108" t="s">
        <v>679</v>
      </c>
      <c r="O207" s="104" t="s">
        <v>680</v>
      </c>
      <c r="P207" s="102">
        <v>37497.8</v>
      </c>
      <c r="Q207" s="102">
        <v>0</v>
      </c>
      <c r="R207" s="131"/>
      <c r="S207" s="132"/>
      <c r="T207" s="102">
        <v>37242.37</v>
      </c>
      <c r="U207" s="100">
        <v>43789</v>
      </c>
      <c r="V207" s="130"/>
      <c r="W207" s="170"/>
    </row>
    <row r="208" s="39" customFormat="1" ht="22" hidden="1" customHeight="1" spans="1:23">
      <c r="A208" s="144" t="s">
        <v>681</v>
      </c>
      <c r="B208" s="174" t="s">
        <v>30</v>
      </c>
      <c r="C208" s="175"/>
      <c r="D208" s="80" t="s">
        <v>31</v>
      </c>
      <c r="E208" s="80" t="s">
        <v>60</v>
      </c>
      <c r="F208" s="81" t="str">
        <f>IFERROR(VLOOKUP(E208,客户!B:C,2,FALSE),"/")</f>
        <v>外送费用945人民币+装箱费用 加在发票里</v>
      </c>
      <c r="G208" s="80" t="s">
        <v>566</v>
      </c>
      <c r="H208" s="45" t="s">
        <v>147</v>
      </c>
      <c r="I208" s="45" t="s">
        <v>205</v>
      </c>
      <c r="J208" s="108">
        <v>43651</v>
      </c>
      <c r="K208" s="108">
        <v>43821</v>
      </c>
      <c r="L208" s="100">
        <v>43851</v>
      </c>
      <c r="M208" s="178" t="s">
        <v>682</v>
      </c>
      <c r="N208" s="108" t="s">
        <v>683</v>
      </c>
      <c r="O208" s="104" t="s">
        <v>680</v>
      </c>
      <c r="P208" s="102">
        <v>37182</v>
      </c>
      <c r="Q208" s="102">
        <v>0</v>
      </c>
      <c r="R208" s="131"/>
      <c r="S208" s="132"/>
      <c r="T208" s="102">
        <v>36908.57</v>
      </c>
      <c r="U208" s="100">
        <v>43871</v>
      </c>
      <c r="V208" s="130"/>
      <c r="W208" s="170"/>
    </row>
    <row r="209" s="39" customFormat="1" ht="22" hidden="1" customHeight="1" spans="1:23">
      <c r="A209" s="144" t="s">
        <v>684</v>
      </c>
      <c r="B209" s="174" t="s">
        <v>30</v>
      </c>
      <c r="C209" s="175"/>
      <c r="D209" s="80" t="s">
        <v>31</v>
      </c>
      <c r="E209" s="80" t="s">
        <v>428</v>
      </c>
      <c r="F209" s="81">
        <f>IFERROR(VLOOKUP(E209,客户!B:C,2,FALSE),"/")</f>
        <v>0</v>
      </c>
      <c r="G209" s="80" t="s">
        <v>126</v>
      </c>
      <c r="H209" s="45" t="s">
        <v>127</v>
      </c>
      <c r="I209" s="45" t="s">
        <v>215</v>
      </c>
      <c r="J209" s="108">
        <v>43670</v>
      </c>
      <c r="K209" s="108">
        <v>43706</v>
      </c>
      <c r="L209" s="100">
        <v>43722</v>
      </c>
      <c r="M209" s="181" t="s">
        <v>685</v>
      </c>
      <c r="N209" s="108" t="s">
        <v>686</v>
      </c>
      <c r="O209" s="104"/>
      <c r="P209" s="102">
        <v>84766</v>
      </c>
      <c r="Q209" s="102">
        <v>10000</v>
      </c>
      <c r="R209" s="131">
        <v>0</v>
      </c>
      <c r="S209" s="132"/>
      <c r="T209" s="102">
        <v>74766</v>
      </c>
      <c r="U209" s="100">
        <v>43718</v>
      </c>
      <c r="V209" s="130"/>
      <c r="W209" s="170"/>
    </row>
    <row r="210" s="39" customFormat="1" ht="22" hidden="1" customHeight="1" spans="1:23">
      <c r="A210" s="144" t="s">
        <v>687</v>
      </c>
      <c r="B210" s="174" t="s">
        <v>30</v>
      </c>
      <c r="C210" s="175"/>
      <c r="D210" s="80" t="s">
        <v>31</v>
      </c>
      <c r="E210" s="80" t="s">
        <v>554</v>
      </c>
      <c r="F210" s="81">
        <f>IFERROR(VLOOKUP(E210,客户!B:C,2,FALSE),"/")</f>
        <v>0</v>
      </c>
      <c r="G210" s="80" t="s">
        <v>43</v>
      </c>
      <c r="H210" s="45" t="s">
        <v>147</v>
      </c>
      <c r="I210" s="45" t="s">
        <v>688</v>
      </c>
      <c r="J210" s="108">
        <v>43677</v>
      </c>
      <c r="K210" s="108">
        <v>43708</v>
      </c>
      <c r="L210" s="100">
        <v>43722</v>
      </c>
      <c r="M210" s="181" t="s">
        <v>689</v>
      </c>
      <c r="N210" s="108" t="s">
        <v>690</v>
      </c>
      <c r="O210" s="104"/>
      <c r="P210" s="102">
        <v>20666.9</v>
      </c>
      <c r="Q210" s="102">
        <v>6279</v>
      </c>
      <c r="R210" s="131">
        <v>0</v>
      </c>
      <c r="S210" s="132"/>
      <c r="T210" s="102">
        <v>14351</v>
      </c>
      <c r="U210" s="100">
        <v>43725</v>
      </c>
      <c r="V210" s="130"/>
      <c r="W210" s="170"/>
    </row>
    <row r="211" s="42" customFormat="1" ht="22" hidden="1" customHeight="1" spans="1:23">
      <c r="A211" s="144" t="s">
        <v>691</v>
      </c>
      <c r="B211" s="174" t="s">
        <v>30</v>
      </c>
      <c r="C211" s="175"/>
      <c r="D211" s="45" t="s">
        <v>31</v>
      </c>
      <c r="E211" s="82" t="s">
        <v>692</v>
      </c>
      <c r="F211" s="81">
        <f>IFERROR(VLOOKUP(E211,客户!B:C,2,FALSE),"/")</f>
        <v>0</v>
      </c>
      <c r="G211" s="80" t="s">
        <v>43</v>
      </c>
      <c r="H211" s="45" t="s">
        <v>123</v>
      </c>
      <c r="I211" s="45" t="s">
        <v>693</v>
      </c>
      <c r="J211" s="159">
        <v>43684</v>
      </c>
      <c r="K211" s="159">
        <v>43717</v>
      </c>
      <c r="L211" s="100">
        <v>43752</v>
      </c>
      <c r="M211" s="159" t="s">
        <v>694</v>
      </c>
      <c r="N211" s="165" t="s">
        <v>695</v>
      </c>
      <c r="O211" s="104"/>
      <c r="P211" s="102">
        <v>18383.87</v>
      </c>
      <c r="Q211" s="102">
        <v>3672</v>
      </c>
      <c r="R211" s="131">
        <v>0</v>
      </c>
      <c r="S211" s="132"/>
      <c r="T211" s="102" t="s">
        <v>696</v>
      </c>
      <c r="U211" s="100">
        <v>43747</v>
      </c>
      <c r="V211" s="128"/>
      <c r="W211" s="170"/>
    </row>
    <row r="212" s="39" customFormat="1" ht="22" hidden="1" customHeight="1" spans="1:23">
      <c r="A212" s="144" t="s">
        <v>697</v>
      </c>
      <c r="B212" s="174" t="s">
        <v>30</v>
      </c>
      <c r="C212" s="175"/>
      <c r="D212" s="45" t="s">
        <v>31</v>
      </c>
      <c r="E212" s="82" t="s">
        <v>698</v>
      </c>
      <c r="F212" s="81">
        <f>IFERROR(VLOOKUP(E212,客户!B:C,2,FALSE),"/")</f>
        <v>0</v>
      </c>
      <c r="G212" s="80" t="s">
        <v>36</v>
      </c>
      <c r="H212" s="45" t="s">
        <v>123</v>
      </c>
      <c r="I212" s="45" t="s">
        <v>693</v>
      </c>
      <c r="J212" s="108">
        <v>43684</v>
      </c>
      <c r="K212" s="108">
        <v>43738</v>
      </c>
      <c r="L212" s="100">
        <v>43776</v>
      </c>
      <c r="M212" s="178" t="s">
        <v>699</v>
      </c>
      <c r="N212" s="108" t="s">
        <v>700</v>
      </c>
      <c r="O212" s="104"/>
      <c r="P212" s="102">
        <v>20866.4</v>
      </c>
      <c r="Q212" s="102">
        <v>5000</v>
      </c>
      <c r="R212" s="131"/>
      <c r="S212" s="132"/>
      <c r="T212" s="102">
        <v>15866</v>
      </c>
      <c r="U212" s="100">
        <v>43773</v>
      </c>
      <c r="V212" s="130"/>
      <c r="W212" s="170"/>
    </row>
    <row r="213" s="39" customFormat="1" ht="22" hidden="1" customHeight="1" spans="1:23">
      <c r="A213" s="144" t="s">
        <v>701</v>
      </c>
      <c r="B213" s="174" t="s">
        <v>30</v>
      </c>
      <c r="C213" s="175"/>
      <c r="D213" s="45" t="s">
        <v>31</v>
      </c>
      <c r="E213" s="80" t="s">
        <v>450</v>
      </c>
      <c r="F213" s="81">
        <f>IFERROR(VLOOKUP(E213,客户!B:C,2,FALSE),"/")</f>
        <v>0</v>
      </c>
      <c r="G213" s="80" t="s">
        <v>43</v>
      </c>
      <c r="H213" s="45" t="s">
        <v>123</v>
      </c>
      <c r="I213" s="45" t="s">
        <v>702</v>
      </c>
      <c r="J213" s="108">
        <v>43681</v>
      </c>
      <c r="K213" s="108">
        <v>43701</v>
      </c>
      <c r="L213" s="100">
        <v>43732</v>
      </c>
      <c r="M213" s="181" t="s">
        <v>703</v>
      </c>
      <c r="N213" s="108" t="s">
        <v>606</v>
      </c>
      <c r="O213" s="104"/>
      <c r="P213" s="102">
        <v>21912</v>
      </c>
      <c r="Q213" s="102"/>
      <c r="R213" s="131"/>
      <c r="S213" s="132"/>
      <c r="T213" s="102">
        <v>15351</v>
      </c>
      <c r="U213" s="102">
        <v>6542</v>
      </c>
      <c r="V213" s="188" t="s">
        <v>704</v>
      </c>
      <c r="W213" s="170"/>
    </row>
    <row r="214" s="39" customFormat="1" ht="22" hidden="1" customHeight="1" spans="1:23">
      <c r="A214" s="144" t="s">
        <v>705</v>
      </c>
      <c r="B214" s="174" t="s">
        <v>30</v>
      </c>
      <c r="C214" s="175"/>
      <c r="D214" s="45" t="s">
        <v>31</v>
      </c>
      <c r="E214" s="80" t="s">
        <v>706</v>
      </c>
      <c r="F214" s="81">
        <f>IFERROR(VLOOKUP(E214,客户!B:C,2,FALSE),"/")</f>
        <v>0</v>
      </c>
      <c r="G214" s="80" t="s">
        <v>707</v>
      </c>
      <c r="H214" s="45" t="s">
        <v>186</v>
      </c>
      <c r="I214" s="45"/>
      <c r="J214" s="108">
        <v>43689</v>
      </c>
      <c r="K214" s="108">
        <v>43720</v>
      </c>
      <c r="L214" s="105"/>
      <c r="M214" s="199"/>
      <c r="N214" s="108"/>
      <c r="O214" s="104"/>
      <c r="P214" s="102"/>
      <c r="Q214" s="102" t="s">
        <v>708</v>
      </c>
      <c r="R214" s="131"/>
      <c r="S214" s="132"/>
      <c r="T214" s="102"/>
      <c r="U214" s="100"/>
      <c r="V214" s="130"/>
      <c r="W214" s="170"/>
    </row>
    <row r="215" s="39" customFormat="1" ht="22" hidden="1" customHeight="1" spans="1:23">
      <c r="A215" s="190" t="s">
        <v>709</v>
      </c>
      <c r="B215" s="174" t="s">
        <v>30</v>
      </c>
      <c r="C215" s="175"/>
      <c r="D215" s="45" t="s">
        <v>31</v>
      </c>
      <c r="E215" s="82" t="s">
        <v>710</v>
      </c>
      <c r="F215" s="81">
        <f>IFERROR(VLOOKUP(E215,客户!B:C,2,FALSE),"/")</f>
        <v>0</v>
      </c>
      <c r="G215" s="80" t="s">
        <v>485</v>
      </c>
      <c r="H215" s="45" t="s">
        <v>123</v>
      </c>
      <c r="I215" s="45" t="s">
        <v>711</v>
      </c>
      <c r="J215" s="108">
        <v>43698</v>
      </c>
      <c r="K215" s="108">
        <v>43726</v>
      </c>
      <c r="L215" s="200">
        <v>43752</v>
      </c>
      <c r="M215" s="108" t="s">
        <v>712</v>
      </c>
      <c r="N215" s="108" t="s">
        <v>713</v>
      </c>
      <c r="O215" s="104"/>
      <c r="P215" s="102">
        <v>21104</v>
      </c>
      <c r="Q215" s="102">
        <v>6330</v>
      </c>
      <c r="R215" s="131">
        <v>0</v>
      </c>
      <c r="S215" s="132"/>
      <c r="T215" s="102" t="s">
        <v>714</v>
      </c>
      <c r="U215" s="100">
        <v>43733</v>
      </c>
      <c r="V215" s="130"/>
      <c r="W215" s="170"/>
    </row>
    <row r="216" s="39" customFormat="1" ht="22" hidden="1" customHeight="1" spans="1:23">
      <c r="A216" s="190" t="s">
        <v>715</v>
      </c>
      <c r="B216" s="174" t="s">
        <v>30</v>
      </c>
      <c r="C216" s="175"/>
      <c r="D216" s="45" t="s">
        <v>31</v>
      </c>
      <c r="E216" s="80" t="s">
        <v>706</v>
      </c>
      <c r="F216" s="81">
        <f>IFERROR(VLOOKUP(E216,客户!B:C,2,FALSE),"/")</f>
        <v>0</v>
      </c>
      <c r="G216" s="80" t="s">
        <v>707</v>
      </c>
      <c r="H216" s="45" t="s">
        <v>186</v>
      </c>
      <c r="I216" s="45"/>
      <c r="J216" s="108">
        <v>43700</v>
      </c>
      <c r="K216" s="108">
        <v>43758</v>
      </c>
      <c r="L216" s="100"/>
      <c r="M216" s="201" t="s">
        <v>716</v>
      </c>
      <c r="N216" s="198" t="s">
        <v>717</v>
      </c>
      <c r="O216" s="104"/>
      <c r="P216" s="102"/>
      <c r="Q216" s="102" t="s">
        <v>708</v>
      </c>
      <c r="R216" s="131"/>
      <c r="S216" s="132"/>
      <c r="T216" s="102" t="s">
        <v>718</v>
      </c>
      <c r="U216" s="100">
        <v>43758</v>
      </c>
      <c r="V216" s="130"/>
      <c r="W216" s="170"/>
    </row>
    <row r="217" s="39" customFormat="1" ht="22" hidden="1" customHeight="1" spans="1:23">
      <c r="A217" s="190" t="s">
        <v>719</v>
      </c>
      <c r="B217" s="174" t="s">
        <v>30</v>
      </c>
      <c r="C217" s="175"/>
      <c r="D217" s="45" t="s">
        <v>31</v>
      </c>
      <c r="E217" s="80" t="s">
        <v>559</v>
      </c>
      <c r="F217" s="81">
        <f>IFERROR(VLOOKUP(E217,客户!B:C,2,FALSE),"/")</f>
        <v>0</v>
      </c>
      <c r="G217" s="80" t="s">
        <v>73</v>
      </c>
      <c r="H217" s="45" t="s">
        <v>123</v>
      </c>
      <c r="I217" s="45" t="s">
        <v>205</v>
      </c>
      <c r="J217" s="108">
        <v>43703</v>
      </c>
      <c r="K217" s="202">
        <v>43756</v>
      </c>
      <c r="L217" s="100">
        <v>43791</v>
      </c>
      <c r="M217" s="178" t="s">
        <v>720</v>
      </c>
      <c r="N217" s="108" t="s">
        <v>721</v>
      </c>
      <c r="O217" s="104" t="s">
        <v>680</v>
      </c>
      <c r="P217" s="102">
        <v>30344</v>
      </c>
      <c r="Q217" s="102">
        <v>0</v>
      </c>
      <c r="R217" s="131"/>
      <c r="S217" s="132"/>
      <c r="T217" s="102">
        <v>29969.25</v>
      </c>
      <c r="U217" s="100">
        <v>43794</v>
      </c>
      <c r="V217" s="130"/>
      <c r="W217" s="170"/>
    </row>
    <row r="218" s="39" customFormat="1" ht="22" hidden="1" customHeight="1" spans="1:23">
      <c r="A218" s="144" t="s">
        <v>722</v>
      </c>
      <c r="B218" s="174" t="s">
        <v>30</v>
      </c>
      <c r="C218" s="175"/>
      <c r="D218" s="45" t="s">
        <v>31</v>
      </c>
      <c r="E218" s="80" t="s">
        <v>559</v>
      </c>
      <c r="F218" s="81">
        <f>IFERROR(VLOOKUP(E218,客户!B:C,2,FALSE),"/")</f>
        <v>0</v>
      </c>
      <c r="G218" s="80" t="s">
        <v>73</v>
      </c>
      <c r="H218" s="45" t="s">
        <v>123</v>
      </c>
      <c r="I218" s="45" t="s">
        <v>723</v>
      </c>
      <c r="J218" s="108">
        <v>43714</v>
      </c>
      <c r="K218" s="108">
        <v>43764</v>
      </c>
      <c r="L218" s="100">
        <v>43809</v>
      </c>
      <c r="M218" s="159" t="s">
        <v>724</v>
      </c>
      <c r="N218" s="108" t="s">
        <v>725</v>
      </c>
      <c r="O218" s="104" t="s">
        <v>680</v>
      </c>
      <c r="P218" s="102">
        <v>37153.2</v>
      </c>
      <c r="Q218" s="102"/>
      <c r="R218" s="131"/>
      <c r="S218" s="132"/>
      <c r="T218" s="102">
        <v>37138.2</v>
      </c>
      <c r="U218" s="100">
        <v>43808</v>
      </c>
      <c r="V218" s="130"/>
      <c r="W218" s="170"/>
    </row>
    <row r="219" s="39" customFormat="1" ht="22" hidden="1" customHeight="1" spans="1:23">
      <c r="A219" s="144" t="s">
        <v>726</v>
      </c>
      <c r="B219" s="174" t="s">
        <v>30</v>
      </c>
      <c r="C219" s="175"/>
      <c r="D219" s="45" t="s">
        <v>31</v>
      </c>
      <c r="E219" s="80" t="s">
        <v>669</v>
      </c>
      <c r="F219" s="81">
        <f>IFERROR(VLOOKUP(E219,客户!B:C,2,FALSE),"/")</f>
        <v>0</v>
      </c>
      <c r="G219" s="80" t="s">
        <v>73</v>
      </c>
      <c r="H219" s="45" t="s">
        <v>123</v>
      </c>
      <c r="I219" s="45" t="s">
        <v>723</v>
      </c>
      <c r="J219" s="108">
        <v>43714</v>
      </c>
      <c r="K219" s="108">
        <v>43773</v>
      </c>
      <c r="L219" s="100">
        <v>43815</v>
      </c>
      <c r="M219" s="159" t="s">
        <v>727</v>
      </c>
      <c r="N219" s="108" t="s">
        <v>725</v>
      </c>
      <c r="O219" s="104" t="s">
        <v>680</v>
      </c>
      <c r="P219" s="102">
        <v>37166.8</v>
      </c>
      <c r="Q219" s="102"/>
      <c r="R219" s="131"/>
      <c r="S219" s="132"/>
      <c r="T219" s="102">
        <v>37151.8</v>
      </c>
      <c r="U219" s="100">
        <v>43808</v>
      </c>
      <c r="V219" s="130"/>
      <c r="W219" s="170"/>
    </row>
    <row r="220" s="39" customFormat="1" ht="22" hidden="1" customHeight="1" spans="1:23">
      <c r="A220" s="144" t="s">
        <v>728</v>
      </c>
      <c r="B220" s="174" t="s">
        <v>30</v>
      </c>
      <c r="C220" s="175"/>
      <c r="D220" s="45" t="s">
        <v>31</v>
      </c>
      <c r="E220" s="80" t="s">
        <v>554</v>
      </c>
      <c r="F220" s="81">
        <f>IFERROR(VLOOKUP(E220,客户!B:C,2,FALSE),"/")</f>
        <v>0</v>
      </c>
      <c r="G220" s="80" t="s">
        <v>43</v>
      </c>
      <c r="H220" s="45" t="s">
        <v>147</v>
      </c>
      <c r="I220" s="45" t="s">
        <v>555</v>
      </c>
      <c r="J220" s="108">
        <v>43705</v>
      </c>
      <c r="K220" s="108">
        <v>43740</v>
      </c>
      <c r="L220" s="100">
        <v>43757</v>
      </c>
      <c r="M220" s="159" t="s">
        <v>729</v>
      </c>
      <c r="N220" s="108" t="s">
        <v>730</v>
      </c>
      <c r="O220" s="104"/>
      <c r="P220" s="203">
        <v>21873.2</v>
      </c>
      <c r="Q220" s="102">
        <v>6561</v>
      </c>
      <c r="R220" s="131"/>
      <c r="S220" s="132"/>
      <c r="T220" s="102">
        <v>15276.24</v>
      </c>
      <c r="U220" s="100">
        <v>43753</v>
      </c>
      <c r="V220" s="130"/>
      <c r="W220" s="170"/>
    </row>
    <row r="221" s="42" customFormat="1" ht="22" hidden="1" customHeight="1" spans="1:23">
      <c r="A221" s="144" t="s">
        <v>731</v>
      </c>
      <c r="B221" s="78" t="s">
        <v>30</v>
      </c>
      <c r="C221" s="79"/>
      <c r="D221" s="45" t="s">
        <v>31</v>
      </c>
      <c r="E221" s="80" t="s">
        <v>732</v>
      </c>
      <c r="F221" s="81" t="str">
        <f>IFERROR(VLOOKUP(E221,客户!B:C,2,FALSE),"/")</f>
        <v>/</v>
      </c>
      <c r="G221" s="80" t="s">
        <v>733</v>
      </c>
      <c r="H221" s="45" t="s">
        <v>186</v>
      </c>
      <c r="I221" s="45"/>
      <c r="J221" s="159">
        <v>43715</v>
      </c>
      <c r="K221" s="159"/>
      <c r="L221" s="100"/>
      <c r="M221" s="159"/>
      <c r="N221" s="159"/>
      <c r="O221" s="104"/>
      <c r="P221" s="102"/>
      <c r="Q221" s="102"/>
      <c r="R221" s="131"/>
      <c r="S221" s="132"/>
      <c r="T221" s="102"/>
      <c r="U221" s="100"/>
      <c r="V221" s="128"/>
      <c r="W221" s="170"/>
    </row>
    <row r="222" s="39" customFormat="1" ht="22" hidden="1" customHeight="1" spans="1:23">
      <c r="A222" s="144" t="s">
        <v>734</v>
      </c>
      <c r="B222" s="78" t="s">
        <v>30</v>
      </c>
      <c r="C222" s="79"/>
      <c r="D222" s="45" t="s">
        <v>31</v>
      </c>
      <c r="E222" s="80" t="s">
        <v>735</v>
      </c>
      <c r="F222" s="81">
        <f>IFERROR(VLOOKUP(E222,客户!B:C,2,FALSE),"/")</f>
        <v>0</v>
      </c>
      <c r="G222" s="80" t="s">
        <v>43</v>
      </c>
      <c r="H222" s="45" t="s">
        <v>123</v>
      </c>
      <c r="I222" s="45"/>
      <c r="J222" s="108">
        <v>43717</v>
      </c>
      <c r="K222" s="108">
        <v>43773</v>
      </c>
      <c r="L222" s="100"/>
      <c r="M222" s="165" t="s">
        <v>736</v>
      </c>
      <c r="N222" s="198" t="s">
        <v>737</v>
      </c>
      <c r="O222" s="104"/>
      <c r="P222" s="102">
        <v>16172.5</v>
      </c>
      <c r="Q222" s="102">
        <v>0</v>
      </c>
      <c r="R222" s="131"/>
      <c r="S222" s="132"/>
      <c r="T222" s="102">
        <v>16159.56</v>
      </c>
      <c r="U222" s="100">
        <v>43760</v>
      </c>
      <c r="V222" s="130"/>
      <c r="W222" s="170"/>
    </row>
    <row r="223" s="39" customFormat="1" ht="22" hidden="1" customHeight="1" spans="1:23">
      <c r="A223" s="190" t="s">
        <v>738</v>
      </c>
      <c r="B223" s="78" t="s">
        <v>30</v>
      </c>
      <c r="C223" s="79"/>
      <c r="D223" s="45" t="s">
        <v>31</v>
      </c>
      <c r="E223" s="80" t="s">
        <v>428</v>
      </c>
      <c r="F223" s="81">
        <f>IFERROR(VLOOKUP(E223,客户!B:C,2,FALSE),"/")</f>
        <v>0</v>
      </c>
      <c r="G223" s="80" t="s">
        <v>739</v>
      </c>
      <c r="H223" s="45" t="s">
        <v>127</v>
      </c>
      <c r="I223" s="204" t="s">
        <v>215</v>
      </c>
      <c r="J223" s="108">
        <v>43719</v>
      </c>
      <c r="K223" s="108">
        <v>43770</v>
      </c>
      <c r="L223" s="100">
        <v>43792</v>
      </c>
      <c r="M223" s="159" t="s">
        <v>740</v>
      </c>
      <c r="N223" s="202" t="s">
        <v>741</v>
      </c>
      <c r="O223" s="104" t="s">
        <v>523</v>
      </c>
      <c r="P223" s="102">
        <v>140299.6</v>
      </c>
      <c r="Q223" s="214" t="s">
        <v>742</v>
      </c>
      <c r="R223" s="131"/>
      <c r="S223" s="132"/>
      <c r="T223" s="102">
        <v>90268</v>
      </c>
      <c r="U223" s="100">
        <v>43794</v>
      </c>
      <c r="V223" s="130"/>
      <c r="W223" s="170"/>
    </row>
    <row r="224" s="39" customFormat="1" ht="22" hidden="1" customHeight="1" spans="1:23">
      <c r="A224" s="191" t="s">
        <v>743</v>
      </c>
      <c r="B224" s="78" t="s">
        <v>30</v>
      </c>
      <c r="C224" s="79"/>
      <c r="D224" s="192" t="s">
        <v>31</v>
      </c>
      <c r="E224" s="193" t="s">
        <v>744</v>
      </c>
      <c r="F224" s="81">
        <f>IFERROR(VLOOKUP(E224,客户!B:C,2,FALSE),"/")</f>
        <v>0</v>
      </c>
      <c r="G224" s="194" t="s">
        <v>745</v>
      </c>
      <c r="H224" s="192" t="s">
        <v>123</v>
      </c>
      <c r="I224" s="192" t="s">
        <v>746</v>
      </c>
      <c r="J224" s="104">
        <v>43712</v>
      </c>
      <c r="K224" s="104">
        <v>43752</v>
      </c>
      <c r="L224" s="205">
        <v>43798</v>
      </c>
      <c r="M224" s="206" t="s">
        <v>747</v>
      </c>
      <c r="N224" s="104" t="s">
        <v>748</v>
      </c>
      <c r="O224" s="104"/>
      <c r="P224" s="207">
        <v>18907.95</v>
      </c>
      <c r="Q224" s="207">
        <v>5819</v>
      </c>
      <c r="R224" s="131"/>
      <c r="S224" s="132"/>
      <c r="T224" s="207">
        <v>13028.95</v>
      </c>
      <c r="U224" s="205">
        <v>43775</v>
      </c>
      <c r="V224" s="215"/>
      <c r="W224" s="216"/>
    </row>
    <row r="225" s="39" customFormat="1" ht="22" hidden="1" customHeight="1" spans="1:23">
      <c r="A225" s="191" t="s">
        <v>749</v>
      </c>
      <c r="B225" s="78" t="s">
        <v>30</v>
      </c>
      <c r="C225" s="79"/>
      <c r="D225" s="192" t="s">
        <v>31</v>
      </c>
      <c r="E225" s="80" t="s">
        <v>446</v>
      </c>
      <c r="F225" s="81">
        <f>IFERROR(VLOOKUP(E225,客户!B:C,2,FALSE),"/")</f>
        <v>0</v>
      </c>
      <c r="G225" s="194" t="s">
        <v>750</v>
      </c>
      <c r="H225" s="192" t="s">
        <v>123</v>
      </c>
      <c r="I225" s="192" t="s">
        <v>751</v>
      </c>
      <c r="J225" s="104">
        <v>43724</v>
      </c>
      <c r="K225" s="104"/>
      <c r="L225" s="205"/>
      <c r="M225" s="208" t="s">
        <v>752</v>
      </c>
      <c r="N225" s="104"/>
      <c r="O225" s="104" t="s">
        <v>523</v>
      </c>
      <c r="P225" s="207"/>
      <c r="Q225" s="207"/>
      <c r="R225" s="131"/>
      <c r="S225" s="132"/>
      <c r="T225" s="207"/>
      <c r="U225" s="205"/>
      <c r="V225" s="215"/>
      <c r="W225" s="216"/>
    </row>
    <row r="226" s="39" customFormat="1" ht="22" hidden="1" customHeight="1" spans="1:23">
      <c r="A226" s="190" t="s">
        <v>753</v>
      </c>
      <c r="B226" s="174" t="s">
        <v>30</v>
      </c>
      <c r="C226" s="175"/>
      <c r="D226" s="45" t="s">
        <v>31</v>
      </c>
      <c r="E226" s="80" t="s">
        <v>296</v>
      </c>
      <c r="F226" s="81">
        <f>IFERROR(VLOOKUP(E226,客户!B:C,2,FALSE),"/")</f>
        <v>0</v>
      </c>
      <c r="G226" s="80" t="s">
        <v>754</v>
      </c>
      <c r="H226" s="45" t="s">
        <v>123</v>
      </c>
      <c r="I226" s="45" t="s">
        <v>755</v>
      </c>
      <c r="J226" s="108">
        <v>43733</v>
      </c>
      <c r="K226" s="108">
        <v>43785</v>
      </c>
      <c r="L226" s="100">
        <v>43816</v>
      </c>
      <c r="M226" s="165" t="s">
        <v>756</v>
      </c>
      <c r="N226" s="198" t="s">
        <v>757</v>
      </c>
      <c r="O226" s="104" t="s">
        <v>523</v>
      </c>
      <c r="P226" s="102">
        <v>18438.6</v>
      </c>
      <c r="Q226" s="102">
        <v>5681.94</v>
      </c>
      <c r="R226" s="131"/>
      <c r="S226" s="132"/>
      <c r="T226" s="102">
        <v>12746.66</v>
      </c>
      <c r="U226" s="100">
        <v>43805</v>
      </c>
      <c r="V226" s="130"/>
      <c r="W226" s="170"/>
    </row>
    <row r="227" s="39" customFormat="1" ht="22" hidden="1" customHeight="1" spans="1:23">
      <c r="A227" s="144" t="s">
        <v>758</v>
      </c>
      <c r="B227" s="174" t="s">
        <v>30</v>
      </c>
      <c r="C227" s="175"/>
      <c r="D227" s="45" t="s">
        <v>31</v>
      </c>
      <c r="E227" s="80" t="s">
        <v>450</v>
      </c>
      <c r="F227" s="81">
        <f>IFERROR(VLOOKUP(E227,客户!B:C,2,FALSE),"/")</f>
        <v>0</v>
      </c>
      <c r="G227" s="84" t="s">
        <v>759</v>
      </c>
      <c r="H227" s="45" t="s">
        <v>123</v>
      </c>
      <c r="I227" s="45" t="s">
        <v>760</v>
      </c>
      <c r="J227" s="108">
        <v>43734</v>
      </c>
      <c r="K227" s="108">
        <v>43767</v>
      </c>
      <c r="L227" s="100">
        <v>43803</v>
      </c>
      <c r="M227" s="165" t="s">
        <v>761</v>
      </c>
      <c r="N227" s="108" t="s">
        <v>762</v>
      </c>
      <c r="O227" s="104" t="s">
        <v>523</v>
      </c>
      <c r="P227" s="102">
        <v>20908</v>
      </c>
      <c r="Q227" s="102"/>
      <c r="R227" s="131"/>
      <c r="S227" s="132"/>
      <c r="T227" s="102">
        <f>15035.75+41350/7.0416</f>
        <v>20907.9949443308</v>
      </c>
      <c r="U227" s="102"/>
      <c r="V227" s="188" t="s">
        <v>763</v>
      </c>
      <c r="W227" s="170"/>
    </row>
    <row r="228" s="39" customFormat="1" ht="22" hidden="1" customHeight="1" spans="1:23">
      <c r="A228" s="144" t="s">
        <v>764</v>
      </c>
      <c r="B228" s="174" t="s">
        <v>30</v>
      </c>
      <c r="C228" s="175"/>
      <c r="D228" s="45" t="s">
        <v>31</v>
      </c>
      <c r="E228" s="80" t="s">
        <v>446</v>
      </c>
      <c r="F228" s="81">
        <f>IFERROR(VLOOKUP(E228,客户!B:C,2,FALSE),"/")</f>
        <v>0</v>
      </c>
      <c r="G228" s="84" t="s">
        <v>222</v>
      </c>
      <c r="H228" s="45" t="s">
        <v>123</v>
      </c>
      <c r="I228" s="45" t="s">
        <v>238</v>
      </c>
      <c r="J228" s="108">
        <v>43735</v>
      </c>
      <c r="K228" s="108">
        <v>43808</v>
      </c>
      <c r="L228" s="100">
        <v>43843</v>
      </c>
      <c r="M228" s="178" t="s">
        <v>765</v>
      </c>
      <c r="N228" s="108" t="s">
        <v>766</v>
      </c>
      <c r="O228" s="104" t="s">
        <v>523</v>
      </c>
      <c r="P228" s="102">
        <v>21802.88</v>
      </c>
      <c r="Q228" s="102">
        <v>4306</v>
      </c>
      <c r="R228" s="131"/>
      <c r="S228" s="132"/>
      <c r="T228" s="102">
        <v>17458.82</v>
      </c>
      <c r="U228" s="100">
        <v>43836</v>
      </c>
      <c r="V228" s="130"/>
      <c r="W228" s="170"/>
    </row>
    <row r="229" s="39" customFormat="1" ht="22" hidden="1" customHeight="1" spans="1:23">
      <c r="A229" s="144" t="s">
        <v>767</v>
      </c>
      <c r="B229" s="174" t="s">
        <v>30</v>
      </c>
      <c r="C229" s="175"/>
      <c r="D229" s="45" t="s">
        <v>31</v>
      </c>
      <c r="E229" s="82" t="s">
        <v>768</v>
      </c>
      <c r="F229" s="81">
        <f>IFERROR(VLOOKUP(E229,客户!B:C,2,FALSE),"/")</f>
        <v>0</v>
      </c>
      <c r="G229" s="84" t="s">
        <v>769</v>
      </c>
      <c r="H229" s="45" t="s">
        <v>123</v>
      </c>
      <c r="I229" s="45" t="s">
        <v>770</v>
      </c>
      <c r="J229" s="108">
        <v>43754</v>
      </c>
      <c r="K229" s="108">
        <v>43808</v>
      </c>
      <c r="L229" s="100">
        <v>43834</v>
      </c>
      <c r="M229" s="159" t="s">
        <v>771</v>
      </c>
      <c r="N229" s="108" t="s">
        <v>772</v>
      </c>
      <c r="O229" s="104" t="s">
        <v>523</v>
      </c>
      <c r="P229" s="102">
        <v>20247</v>
      </c>
      <c r="Q229" s="102">
        <v>5593</v>
      </c>
      <c r="R229" s="131"/>
      <c r="S229" s="132"/>
      <c r="T229" s="102">
        <v>14639</v>
      </c>
      <c r="U229" s="100">
        <v>43826</v>
      </c>
      <c r="V229" s="130"/>
      <c r="W229" s="170"/>
    </row>
    <row r="230" s="39" customFormat="1" ht="22" hidden="1" customHeight="1" spans="1:23">
      <c r="A230" s="144" t="s">
        <v>773</v>
      </c>
      <c r="B230" s="174" t="s">
        <v>30</v>
      </c>
      <c r="C230" s="175"/>
      <c r="D230" s="45" t="s">
        <v>31</v>
      </c>
      <c r="E230" s="80" t="s">
        <v>559</v>
      </c>
      <c r="F230" s="81">
        <f>IFERROR(VLOOKUP(E230,客户!B:C,2,FALSE),"/")</f>
        <v>0</v>
      </c>
      <c r="G230" s="84" t="s">
        <v>234</v>
      </c>
      <c r="H230" s="45" t="s">
        <v>123</v>
      </c>
      <c r="I230" s="45" t="s">
        <v>774</v>
      </c>
      <c r="J230" s="108">
        <v>43756</v>
      </c>
      <c r="K230" s="108">
        <v>43832</v>
      </c>
      <c r="L230" s="100">
        <v>43863</v>
      </c>
      <c r="M230" s="159" t="s">
        <v>775</v>
      </c>
      <c r="N230" s="108" t="s">
        <v>776</v>
      </c>
      <c r="O230" s="104" t="s">
        <v>680</v>
      </c>
      <c r="P230" s="102">
        <v>56383.15</v>
      </c>
      <c r="Q230" s="102"/>
      <c r="R230" s="131"/>
      <c r="S230" s="132"/>
      <c r="T230" s="102">
        <v>56131.97</v>
      </c>
      <c r="U230" s="100">
        <v>43872</v>
      </c>
      <c r="V230" s="130"/>
      <c r="W230" s="170"/>
    </row>
    <row r="231" s="39" customFormat="1" ht="22" hidden="1" customHeight="1" spans="1:23">
      <c r="A231" s="144" t="s">
        <v>777</v>
      </c>
      <c r="B231" s="174" t="s">
        <v>30</v>
      </c>
      <c r="C231" s="175"/>
      <c r="D231" s="45" t="s">
        <v>31</v>
      </c>
      <c r="E231" s="80" t="s">
        <v>559</v>
      </c>
      <c r="F231" s="81">
        <f>IFERROR(VLOOKUP(E231,客户!B:C,2,FALSE),"/")</f>
        <v>0</v>
      </c>
      <c r="G231" s="84" t="s">
        <v>73</v>
      </c>
      <c r="H231" s="45" t="s">
        <v>123</v>
      </c>
      <c r="I231" s="45" t="s">
        <v>723</v>
      </c>
      <c r="J231" s="108">
        <v>43756</v>
      </c>
      <c r="K231" s="108">
        <v>43780</v>
      </c>
      <c r="L231" s="100">
        <v>43819</v>
      </c>
      <c r="M231" s="159" t="s">
        <v>778</v>
      </c>
      <c r="N231" s="108" t="s">
        <v>779</v>
      </c>
      <c r="O231" s="104" t="s">
        <v>680</v>
      </c>
      <c r="P231" s="102">
        <v>36878</v>
      </c>
      <c r="Q231" s="102"/>
      <c r="R231" s="131"/>
      <c r="S231" s="132"/>
      <c r="T231" s="102">
        <v>36592</v>
      </c>
      <c r="U231" s="100">
        <v>43824</v>
      </c>
      <c r="V231" s="130"/>
      <c r="W231" s="170"/>
    </row>
    <row r="232" s="39" customFormat="1" ht="22" hidden="1" customHeight="1" spans="1:23">
      <c r="A232" s="144" t="s">
        <v>780</v>
      </c>
      <c r="B232" s="174" t="s">
        <v>30</v>
      </c>
      <c r="C232" s="175"/>
      <c r="D232" s="45" t="s">
        <v>31</v>
      </c>
      <c r="E232" s="80" t="s">
        <v>559</v>
      </c>
      <c r="F232" s="81">
        <f>IFERROR(VLOOKUP(E232,客户!B:C,2,FALSE),"/")</f>
        <v>0</v>
      </c>
      <c r="G232" s="84" t="s">
        <v>93</v>
      </c>
      <c r="H232" s="45" t="s">
        <v>123</v>
      </c>
      <c r="I232" s="45" t="s">
        <v>774</v>
      </c>
      <c r="J232" s="108">
        <v>43756</v>
      </c>
      <c r="K232" s="108">
        <v>43789</v>
      </c>
      <c r="L232" s="100">
        <v>43825</v>
      </c>
      <c r="M232" s="159" t="s">
        <v>781</v>
      </c>
      <c r="N232" s="108" t="s">
        <v>782</v>
      </c>
      <c r="O232" s="104" t="s">
        <v>680</v>
      </c>
      <c r="P232" s="102">
        <v>18659.81</v>
      </c>
      <c r="Q232" s="102"/>
      <c r="R232" s="131"/>
      <c r="S232" s="132"/>
      <c r="T232" s="102">
        <v>18231.16</v>
      </c>
      <c r="U232" s="100">
        <v>43822</v>
      </c>
      <c r="V232" s="130"/>
      <c r="W232" s="170"/>
    </row>
    <row r="233" s="39" customFormat="1" ht="22" hidden="1" customHeight="1" spans="1:23">
      <c r="A233" s="144" t="s">
        <v>783</v>
      </c>
      <c r="B233" s="174" t="s">
        <v>30</v>
      </c>
      <c r="C233" s="175"/>
      <c r="D233" s="45" t="s">
        <v>31</v>
      </c>
      <c r="E233" s="80" t="s">
        <v>559</v>
      </c>
      <c r="F233" s="81">
        <f>IFERROR(VLOOKUP(E233,客户!B:C,2,FALSE),"/")</f>
        <v>0</v>
      </c>
      <c r="G233" s="84" t="s">
        <v>73</v>
      </c>
      <c r="H233" s="45" t="s">
        <v>123</v>
      </c>
      <c r="I233" s="45" t="s">
        <v>774</v>
      </c>
      <c r="J233" s="108">
        <v>43756</v>
      </c>
      <c r="K233" s="108">
        <v>43793</v>
      </c>
      <c r="L233" s="100">
        <v>43827</v>
      </c>
      <c r="M233" s="159" t="s">
        <v>784</v>
      </c>
      <c r="N233" s="108" t="s">
        <v>785</v>
      </c>
      <c r="O233" s="104" t="s">
        <v>680</v>
      </c>
      <c r="P233" s="102">
        <v>36470.48</v>
      </c>
      <c r="Q233" s="102"/>
      <c r="R233" s="131"/>
      <c r="S233" s="132"/>
      <c r="T233" s="102">
        <v>36362</v>
      </c>
      <c r="U233" s="100">
        <v>43825</v>
      </c>
      <c r="V233" s="130"/>
      <c r="W233" s="170"/>
    </row>
    <row r="234" s="39" customFormat="1" ht="22" hidden="1" customHeight="1" spans="1:23">
      <c r="A234" s="144" t="s">
        <v>786</v>
      </c>
      <c r="B234" s="174" t="s">
        <v>30</v>
      </c>
      <c r="C234" s="175"/>
      <c r="D234" s="45" t="s">
        <v>31</v>
      </c>
      <c r="E234" s="80" t="s">
        <v>559</v>
      </c>
      <c r="F234" s="81">
        <f>IFERROR(VLOOKUP(E234,客户!B:C,2,FALSE),"/")</f>
        <v>0</v>
      </c>
      <c r="G234" s="84" t="s">
        <v>93</v>
      </c>
      <c r="H234" s="45" t="s">
        <v>123</v>
      </c>
      <c r="I234" s="45" t="s">
        <v>774</v>
      </c>
      <c r="J234" s="108">
        <v>43756</v>
      </c>
      <c r="K234" s="108">
        <v>43801</v>
      </c>
      <c r="L234" s="100">
        <v>43836</v>
      </c>
      <c r="M234" s="159" t="s">
        <v>787</v>
      </c>
      <c r="N234" s="108" t="s">
        <v>585</v>
      </c>
      <c r="O234" s="104" t="s">
        <v>680</v>
      </c>
      <c r="P234" s="102">
        <v>18507.7</v>
      </c>
      <c r="Q234" s="102"/>
      <c r="R234" s="131"/>
      <c r="S234" s="132"/>
      <c r="T234" s="102">
        <v>18079.07</v>
      </c>
      <c r="U234" s="100">
        <v>43838</v>
      </c>
      <c r="V234" s="130"/>
      <c r="W234" s="170"/>
    </row>
    <row r="235" s="39" customFormat="1" ht="22" hidden="1" customHeight="1" spans="1:23">
      <c r="A235" s="144" t="s">
        <v>788</v>
      </c>
      <c r="B235" s="174" t="s">
        <v>30</v>
      </c>
      <c r="C235" s="175"/>
      <c r="D235" s="45" t="s">
        <v>31</v>
      </c>
      <c r="E235" s="80" t="s">
        <v>559</v>
      </c>
      <c r="F235" s="81">
        <f>IFERROR(VLOOKUP(E235,客户!B:C,2,FALSE),"/")</f>
        <v>0</v>
      </c>
      <c r="G235" s="84" t="s">
        <v>234</v>
      </c>
      <c r="H235" s="45" t="s">
        <v>123</v>
      </c>
      <c r="I235" s="45" t="s">
        <v>774</v>
      </c>
      <c r="J235" s="108">
        <v>43756</v>
      </c>
      <c r="K235" s="108">
        <v>43815</v>
      </c>
      <c r="L235" s="100">
        <v>43847</v>
      </c>
      <c r="M235" s="159" t="s">
        <v>789</v>
      </c>
      <c r="N235" s="108" t="s">
        <v>790</v>
      </c>
      <c r="O235" s="104" t="s">
        <v>680</v>
      </c>
      <c r="P235" s="102">
        <v>55831.05</v>
      </c>
      <c r="Q235" s="102"/>
      <c r="R235" s="131"/>
      <c r="S235" s="132"/>
      <c r="T235" s="102">
        <v>55585.35</v>
      </c>
      <c r="U235" s="100">
        <v>43871</v>
      </c>
      <c r="V235" s="130"/>
      <c r="W235" s="170"/>
    </row>
    <row r="236" s="39" customFormat="1" ht="22" hidden="1" customHeight="1" spans="1:23">
      <c r="A236" s="144" t="s">
        <v>791</v>
      </c>
      <c r="B236" s="174" t="s">
        <v>30</v>
      </c>
      <c r="C236" s="175"/>
      <c r="D236" s="45" t="s">
        <v>31</v>
      </c>
      <c r="E236" s="80" t="s">
        <v>559</v>
      </c>
      <c r="F236" s="81">
        <f>IFERROR(VLOOKUP(E236,客户!B:C,2,FALSE),"/")</f>
        <v>0</v>
      </c>
      <c r="G236" s="84" t="s">
        <v>93</v>
      </c>
      <c r="H236" s="45" t="s">
        <v>123</v>
      </c>
      <c r="I236" s="45" t="s">
        <v>774</v>
      </c>
      <c r="J236" s="108">
        <v>43756</v>
      </c>
      <c r="K236" s="108">
        <v>43820</v>
      </c>
      <c r="L236" s="100">
        <v>43859</v>
      </c>
      <c r="M236" s="159" t="s">
        <v>792</v>
      </c>
      <c r="N236" s="108" t="s">
        <v>790</v>
      </c>
      <c r="O236" s="104" t="s">
        <v>680</v>
      </c>
      <c r="P236" s="102">
        <v>17826.48</v>
      </c>
      <c r="Q236" s="102"/>
      <c r="R236" s="131"/>
      <c r="S236" s="132"/>
      <c r="T236" s="102">
        <v>17648.32</v>
      </c>
      <c r="U236" s="100">
        <v>43871</v>
      </c>
      <c r="V236" s="130"/>
      <c r="W236" s="170"/>
    </row>
    <row r="237" s="39" customFormat="1" ht="22" hidden="1" customHeight="1" spans="1:23">
      <c r="A237" s="144" t="s">
        <v>793</v>
      </c>
      <c r="B237" s="174" t="s">
        <v>30</v>
      </c>
      <c r="C237" s="175"/>
      <c r="D237" s="45" t="s">
        <v>31</v>
      </c>
      <c r="E237" s="80" t="s">
        <v>559</v>
      </c>
      <c r="F237" s="81">
        <f>IFERROR(VLOOKUP(E237,客户!B:C,2,FALSE),"/")</f>
        <v>0</v>
      </c>
      <c r="G237" s="84" t="s">
        <v>234</v>
      </c>
      <c r="H237" s="45" t="s">
        <v>123</v>
      </c>
      <c r="I237" s="45" t="s">
        <v>723</v>
      </c>
      <c r="J237" s="108">
        <v>43756</v>
      </c>
      <c r="K237" s="108">
        <v>43836</v>
      </c>
      <c r="L237" s="100">
        <v>43868</v>
      </c>
      <c r="M237" s="165" t="s">
        <v>794</v>
      </c>
      <c r="N237" s="108" t="s">
        <v>795</v>
      </c>
      <c r="O237" s="104" t="s">
        <v>680</v>
      </c>
      <c r="P237" s="102">
        <v>56237.98</v>
      </c>
      <c r="Q237" s="102"/>
      <c r="R237" s="131"/>
      <c r="S237" s="132"/>
      <c r="T237" s="102">
        <v>55987.05</v>
      </c>
      <c r="U237" s="100">
        <v>43871</v>
      </c>
      <c r="V237" s="130"/>
      <c r="W237" s="170"/>
    </row>
    <row r="238" s="39" customFormat="1" ht="22" hidden="1" customHeight="1" spans="1:23">
      <c r="A238" s="144" t="s">
        <v>796</v>
      </c>
      <c r="B238" s="174" t="s">
        <v>30</v>
      </c>
      <c r="C238" s="175"/>
      <c r="D238" s="45" t="s">
        <v>31</v>
      </c>
      <c r="E238" s="80" t="s">
        <v>559</v>
      </c>
      <c r="F238" s="81">
        <f>IFERROR(VLOOKUP(E238,客户!B:C,2,FALSE),"/")</f>
        <v>0</v>
      </c>
      <c r="G238" s="84" t="s">
        <v>73</v>
      </c>
      <c r="H238" s="45" t="s">
        <v>123</v>
      </c>
      <c r="I238" s="45" t="s">
        <v>723</v>
      </c>
      <c r="J238" s="108">
        <v>43756</v>
      </c>
      <c r="K238" s="108">
        <v>43785</v>
      </c>
      <c r="L238" s="100">
        <v>43828</v>
      </c>
      <c r="M238" s="159" t="s">
        <v>797</v>
      </c>
      <c r="N238" s="108" t="s">
        <v>782</v>
      </c>
      <c r="O238" s="104" t="s">
        <v>680</v>
      </c>
      <c r="P238" s="102">
        <v>37319.62</v>
      </c>
      <c r="Q238" s="102"/>
      <c r="R238" s="131"/>
      <c r="S238" s="132"/>
      <c r="T238" s="102">
        <v>37139</v>
      </c>
      <c r="U238" s="100">
        <v>43826</v>
      </c>
      <c r="V238" s="130"/>
      <c r="W238" s="170"/>
    </row>
    <row r="239" s="39" customFormat="1" ht="22" hidden="1" customHeight="1" spans="1:23">
      <c r="A239" s="144" t="s">
        <v>798</v>
      </c>
      <c r="B239" s="174" t="s">
        <v>30</v>
      </c>
      <c r="C239" s="175"/>
      <c r="D239" s="45" t="s">
        <v>31</v>
      </c>
      <c r="E239" s="83" t="s">
        <v>799</v>
      </c>
      <c r="F239" s="81">
        <f>IFERROR(VLOOKUP(E239,客户!B:C,2,FALSE),"/")</f>
        <v>0</v>
      </c>
      <c r="G239" s="84" t="s">
        <v>93</v>
      </c>
      <c r="H239" s="45" t="s">
        <v>123</v>
      </c>
      <c r="I239" s="45" t="s">
        <v>723</v>
      </c>
      <c r="J239" s="108">
        <v>43756</v>
      </c>
      <c r="K239" s="108">
        <v>43801</v>
      </c>
      <c r="L239" s="100">
        <v>43839</v>
      </c>
      <c r="M239" s="159" t="s">
        <v>800</v>
      </c>
      <c r="N239" s="108" t="s">
        <v>585</v>
      </c>
      <c r="O239" s="104" t="s">
        <v>680</v>
      </c>
      <c r="P239" s="102">
        <v>18507.7</v>
      </c>
      <c r="Q239" s="102"/>
      <c r="R239" s="131"/>
      <c r="S239" s="132"/>
      <c r="T239" s="102">
        <v>18079</v>
      </c>
      <c r="U239" s="100">
        <v>43837</v>
      </c>
      <c r="V239" s="130"/>
      <c r="W239" s="170"/>
    </row>
    <row r="240" s="39" customFormat="1" ht="22" hidden="1" customHeight="1" spans="1:23">
      <c r="A240" s="144" t="s">
        <v>801</v>
      </c>
      <c r="B240" s="174" t="s">
        <v>30</v>
      </c>
      <c r="C240" s="175"/>
      <c r="D240" s="45" t="s">
        <v>31</v>
      </c>
      <c r="E240" s="80" t="s">
        <v>559</v>
      </c>
      <c r="F240" s="81">
        <f>IFERROR(VLOOKUP(E240,客户!B:C,2,FALSE),"/")</f>
        <v>0</v>
      </c>
      <c r="G240" s="84" t="s">
        <v>234</v>
      </c>
      <c r="H240" s="45" t="s">
        <v>123</v>
      </c>
      <c r="I240" s="45" t="s">
        <v>723</v>
      </c>
      <c r="J240" s="108">
        <v>43756</v>
      </c>
      <c r="K240" s="108">
        <v>43816</v>
      </c>
      <c r="L240" s="100">
        <v>43851</v>
      </c>
      <c r="M240" s="159" t="s">
        <v>802</v>
      </c>
      <c r="N240" s="108" t="s">
        <v>790</v>
      </c>
      <c r="O240" s="104" t="s">
        <v>680</v>
      </c>
      <c r="P240" s="102">
        <v>55831.05</v>
      </c>
      <c r="Q240" s="102"/>
      <c r="R240" s="131"/>
      <c r="S240" s="132"/>
      <c r="T240" s="102">
        <v>55580</v>
      </c>
      <c r="U240" s="100">
        <v>43866</v>
      </c>
      <c r="V240" s="130"/>
      <c r="W240" s="170"/>
    </row>
    <row r="241" s="39" customFormat="1" ht="22" hidden="1" customHeight="1" spans="1:23">
      <c r="A241" s="144" t="s">
        <v>803</v>
      </c>
      <c r="B241" s="174" t="s">
        <v>30</v>
      </c>
      <c r="C241" s="175"/>
      <c r="D241" s="45" t="s">
        <v>31</v>
      </c>
      <c r="E241" s="80" t="s">
        <v>559</v>
      </c>
      <c r="F241" s="81">
        <f>IFERROR(VLOOKUP(E241,客户!B:C,2,FALSE),"/")</f>
        <v>0</v>
      </c>
      <c r="G241" s="84" t="s">
        <v>73</v>
      </c>
      <c r="H241" s="45" t="s">
        <v>123</v>
      </c>
      <c r="I241" s="45" t="s">
        <v>723</v>
      </c>
      <c r="J241" s="108">
        <v>43756</v>
      </c>
      <c r="K241" s="108">
        <v>43822</v>
      </c>
      <c r="L241" s="100">
        <v>43858</v>
      </c>
      <c r="M241" s="159" t="s">
        <v>804</v>
      </c>
      <c r="N241" s="108" t="s">
        <v>790</v>
      </c>
      <c r="O241" s="104" t="s">
        <v>680</v>
      </c>
      <c r="P241" s="102">
        <v>35652.96</v>
      </c>
      <c r="Q241" s="102"/>
      <c r="R241" s="131"/>
      <c r="S241" s="132"/>
      <c r="T241" s="102">
        <v>35432.52</v>
      </c>
      <c r="U241" s="100">
        <v>43873</v>
      </c>
      <c r="V241" s="130"/>
      <c r="W241" s="170"/>
    </row>
    <row r="242" s="39" customFormat="1" ht="22" hidden="1" customHeight="1" spans="1:23">
      <c r="A242" s="144" t="s">
        <v>805</v>
      </c>
      <c r="B242" s="174" t="s">
        <v>30</v>
      </c>
      <c r="C242" s="175"/>
      <c r="D242" s="45" t="s">
        <v>31</v>
      </c>
      <c r="E242" s="80" t="s">
        <v>624</v>
      </c>
      <c r="F242" s="81">
        <f>IFERROR(VLOOKUP(E242,客户!B:C,2,FALSE),"/")</f>
        <v>0</v>
      </c>
      <c r="G242" s="84" t="s">
        <v>769</v>
      </c>
      <c r="H242" s="45" t="s">
        <v>123</v>
      </c>
      <c r="I242" s="45" t="s">
        <v>806</v>
      </c>
      <c r="J242" s="108">
        <v>43769</v>
      </c>
      <c r="K242" s="108">
        <v>43813</v>
      </c>
      <c r="L242" s="100">
        <v>43852</v>
      </c>
      <c r="M242" s="178" t="s">
        <v>807</v>
      </c>
      <c r="N242" s="108" t="s">
        <v>808</v>
      </c>
      <c r="O242" s="104" t="s">
        <v>523</v>
      </c>
      <c r="P242" s="102">
        <v>20541.78</v>
      </c>
      <c r="Q242" s="102">
        <v>5000</v>
      </c>
      <c r="R242" s="131"/>
      <c r="S242" s="132"/>
      <c r="T242" s="102">
        <v>15500</v>
      </c>
      <c r="U242" s="100">
        <v>43845</v>
      </c>
      <c r="V242" s="130"/>
      <c r="W242" s="170"/>
    </row>
    <row r="243" s="39" customFormat="1" ht="22" hidden="1" customHeight="1" spans="1:23">
      <c r="A243" s="144" t="s">
        <v>809</v>
      </c>
      <c r="B243" s="174" t="s">
        <v>30</v>
      </c>
      <c r="C243" s="175"/>
      <c r="D243" s="45" t="s">
        <v>31</v>
      </c>
      <c r="E243" s="80" t="s">
        <v>624</v>
      </c>
      <c r="F243" s="81">
        <f>IFERROR(VLOOKUP(E243,客户!B:C,2,FALSE),"/")</f>
        <v>0</v>
      </c>
      <c r="G243" s="84" t="s">
        <v>810</v>
      </c>
      <c r="H243" s="45" t="s">
        <v>123</v>
      </c>
      <c r="I243" s="45" t="s">
        <v>811</v>
      </c>
      <c r="J243" s="108">
        <v>43769</v>
      </c>
      <c r="K243" s="108">
        <v>43841</v>
      </c>
      <c r="L243" s="100">
        <v>43869</v>
      </c>
      <c r="M243" s="159" t="s">
        <v>812</v>
      </c>
      <c r="N243" s="108" t="s">
        <v>813</v>
      </c>
      <c r="O243" s="104" t="s">
        <v>680</v>
      </c>
      <c r="P243" s="102">
        <v>31652.54</v>
      </c>
      <c r="Q243" s="102">
        <v>5058</v>
      </c>
      <c r="R243" s="131"/>
      <c r="S243" s="132"/>
      <c r="T243" s="102">
        <f>3739+4392.4+18409.5</f>
        <v>26540.9</v>
      </c>
      <c r="U243" s="100">
        <v>43881</v>
      </c>
      <c r="V243" s="173" t="s">
        <v>814</v>
      </c>
      <c r="W243" s="217" t="s">
        <v>815</v>
      </c>
    </row>
    <row r="244" s="39" customFormat="1" ht="22" hidden="1" customHeight="1" spans="1:23">
      <c r="A244" s="144" t="s">
        <v>816</v>
      </c>
      <c r="B244" s="174" t="s">
        <v>30</v>
      </c>
      <c r="C244" s="175"/>
      <c r="D244" s="45" t="s">
        <v>31</v>
      </c>
      <c r="E244" s="82" t="s">
        <v>817</v>
      </c>
      <c r="F244" s="81">
        <f>IFERROR(VLOOKUP(E244,客户!B:C,2,FALSE),"/")</f>
        <v>0</v>
      </c>
      <c r="G244" s="84" t="s">
        <v>68</v>
      </c>
      <c r="H244" s="45" t="s">
        <v>123</v>
      </c>
      <c r="I244" s="45" t="s">
        <v>818</v>
      </c>
      <c r="J244" s="108">
        <v>43770</v>
      </c>
      <c r="K244" s="108">
        <v>43816</v>
      </c>
      <c r="L244" s="100">
        <v>43852</v>
      </c>
      <c r="M244" s="159" t="s">
        <v>819</v>
      </c>
      <c r="N244" s="198" t="s">
        <v>820</v>
      </c>
      <c r="O244" s="104" t="s">
        <v>523</v>
      </c>
      <c r="P244" s="102">
        <v>34478.5</v>
      </c>
      <c r="Q244" s="102">
        <v>10580</v>
      </c>
      <c r="R244" s="131"/>
      <c r="S244" s="132"/>
      <c r="T244" s="102" t="s">
        <v>821</v>
      </c>
      <c r="U244" s="100">
        <v>43833</v>
      </c>
      <c r="V244" s="130"/>
      <c r="W244" s="170"/>
    </row>
    <row r="245" s="39" customFormat="1" ht="22" hidden="1" customHeight="1" spans="1:23">
      <c r="A245" s="144" t="s">
        <v>822</v>
      </c>
      <c r="B245" s="174" t="s">
        <v>30</v>
      </c>
      <c r="C245" s="175"/>
      <c r="D245" s="45" t="s">
        <v>31</v>
      </c>
      <c r="E245" s="80" t="s">
        <v>823</v>
      </c>
      <c r="F245" s="81">
        <f>IFERROR(VLOOKUP(E245,客户!B:C,2,FALSE),"/")</f>
        <v>0</v>
      </c>
      <c r="G245" s="84" t="s">
        <v>93</v>
      </c>
      <c r="H245" s="45" t="s">
        <v>123</v>
      </c>
      <c r="I245" s="45" t="s">
        <v>824</v>
      </c>
      <c r="J245" s="108">
        <v>43773</v>
      </c>
      <c r="K245" s="108">
        <v>43819</v>
      </c>
      <c r="L245" s="100">
        <v>43857</v>
      </c>
      <c r="M245" s="159" t="s">
        <v>825</v>
      </c>
      <c r="N245" s="108" t="s">
        <v>826</v>
      </c>
      <c r="O245" s="104" t="s">
        <v>523</v>
      </c>
      <c r="P245" s="102">
        <v>20328.15</v>
      </c>
      <c r="Q245" s="102">
        <v>4153</v>
      </c>
      <c r="R245" s="131"/>
      <c r="S245" s="132"/>
      <c r="T245" s="102">
        <v>16144.5</v>
      </c>
      <c r="U245" s="100">
        <v>43846</v>
      </c>
      <c r="V245" s="130"/>
      <c r="W245" s="170"/>
    </row>
    <row r="246" s="39" customFormat="1" ht="22" hidden="1" customHeight="1" spans="1:23">
      <c r="A246" s="144" t="s">
        <v>827</v>
      </c>
      <c r="B246" s="174" t="s">
        <v>30</v>
      </c>
      <c r="C246" s="175"/>
      <c r="D246" s="45" t="s">
        <v>31</v>
      </c>
      <c r="E246" s="80" t="s">
        <v>60</v>
      </c>
      <c r="F246" s="81" t="str">
        <f>IFERROR(VLOOKUP(E246,客户!B:C,2,FALSE),"/")</f>
        <v>外送费用945人民币+装箱费用 加在发票里</v>
      </c>
      <c r="G246" s="84" t="s">
        <v>234</v>
      </c>
      <c r="H246" s="45" t="s">
        <v>147</v>
      </c>
      <c r="I246" s="45" t="s">
        <v>205</v>
      </c>
      <c r="J246" s="108">
        <v>43777</v>
      </c>
      <c r="K246" s="108">
        <v>43823</v>
      </c>
      <c r="L246" s="100">
        <v>43886</v>
      </c>
      <c r="M246" s="159" t="s">
        <v>828</v>
      </c>
      <c r="N246" s="108" t="s">
        <v>829</v>
      </c>
      <c r="O246" s="104" t="s">
        <v>680</v>
      </c>
      <c r="P246" s="102">
        <v>57543</v>
      </c>
      <c r="Q246" s="102"/>
      <c r="R246" s="131"/>
      <c r="S246" s="132"/>
      <c r="T246" s="102">
        <v>57215.22</v>
      </c>
      <c r="U246" s="100">
        <v>43896</v>
      </c>
      <c r="V246" s="130"/>
      <c r="W246" s="170"/>
    </row>
    <row r="247" s="39" customFormat="1" ht="22" hidden="1" customHeight="1" spans="1:23">
      <c r="A247" s="144" t="s">
        <v>830</v>
      </c>
      <c r="B247" s="174" t="s">
        <v>30</v>
      </c>
      <c r="C247" s="175"/>
      <c r="D247" s="195" t="s">
        <v>31</v>
      </c>
      <c r="E247" s="80" t="s">
        <v>60</v>
      </c>
      <c r="F247" s="81" t="str">
        <f>IFERROR(VLOOKUP(E247,客户!B:C,2,FALSE),"/")</f>
        <v>外送费用945人民币+装箱费用 加在发票里</v>
      </c>
      <c r="G247" s="84" t="s">
        <v>234</v>
      </c>
      <c r="H247" s="45" t="s">
        <v>147</v>
      </c>
      <c r="I247" s="45" t="s">
        <v>205</v>
      </c>
      <c r="J247" s="108">
        <v>43777</v>
      </c>
      <c r="K247" s="108">
        <v>43889</v>
      </c>
      <c r="L247" s="100">
        <v>43923</v>
      </c>
      <c r="M247" s="165" t="s">
        <v>831</v>
      </c>
      <c r="N247" s="108" t="s">
        <v>832</v>
      </c>
      <c r="O247" s="104" t="s">
        <v>680</v>
      </c>
      <c r="P247" s="102">
        <v>57543</v>
      </c>
      <c r="Q247" s="102"/>
      <c r="R247" s="218"/>
      <c r="S247" s="132"/>
      <c r="T247" s="102">
        <v>57296</v>
      </c>
      <c r="U247" s="100"/>
      <c r="V247" s="219" t="s">
        <v>833</v>
      </c>
      <c r="W247" s="170"/>
    </row>
    <row r="248" s="39" customFormat="1" ht="22" hidden="1" customHeight="1" spans="1:23">
      <c r="A248" s="144" t="s">
        <v>834</v>
      </c>
      <c r="B248" s="78" t="s">
        <v>30</v>
      </c>
      <c r="C248" s="79"/>
      <c r="D248" s="45" t="s">
        <v>31</v>
      </c>
      <c r="E248" s="80" t="s">
        <v>835</v>
      </c>
      <c r="F248" s="81" t="str">
        <f>IFERROR(VLOOKUP(E248,客户!B:C,2,FALSE),"/")</f>
        <v>/</v>
      </c>
      <c r="G248" s="80" t="s">
        <v>836</v>
      </c>
      <c r="H248" s="45" t="s">
        <v>123</v>
      </c>
      <c r="I248" s="45" t="s">
        <v>837</v>
      </c>
      <c r="J248" s="108">
        <v>43396</v>
      </c>
      <c r="K248" s="108">
        <v>43419</v>
      </c>
      <c r="L248" s="100">
        <v>43452</v>
      </c>
      <c r="M248" s="159" t="s">
        <v>838</v>
      </c>
      <c r="N248" s="162" t="s">
        <v>839</v>
      </c>
      <c r="O248" s="104"/>
      <c r="P248" s="102">
        <v>52792.69</v>
      </c>
      <c r="Q248" s="102">
        <v>0</v>
      </c>
      <c r="R248" s="131">
        <v>0</v>
      </c>
      <c r="S248" s="132"/>
      <c r="T248" s="102">
        <v>52792.69</v>
      </c>
      <c r="U248" s="100"/>
      <c r="V248" s="102"/>
      <c r="W248" s="170"/>
    </row>
    <row r="249" s="39" customFormat="1" ht="22" hidden="1" customHeight="1" spans="1:23">
      <c r="A249" s="144" t="s">
        <v>840</v>
      </c>
      <c r="B249" s="78" t="s">
        <v>30</v>
      </c>
      <c r="C249" s="79"/>
      <c r="D249" s="45" t="s">
        <v>31</v>
      </c>
      <c r="E249" s="80" t="s">
        <v>835</v>
      </c>
      <c r="F249" s="81" t="str">
        <f>IFERROR(VLOOKUP(E249,客户!B:C,2,FALSE),"/")</f>
        <v>/</v>
      </c>
      <c r="G249" s="80" t="s">
        <v>841</v>
      </c>
      <c r="H249" s="45" t="s">
        <v>123</v>
      </c>
      <c r="I249" s="45" t="s">
        <v>837</v>
      </c>
      <c r="J249" s="108">
        <v>43399</v>
      </c>
      <c r="K249" s="108">
        <v>43441</v>
      </c>
      <c r="L249" s="100">
        <v>43477</v>
      </c>
      <c r="M249" s="159" t="s">
        <v>842</v>
      </c>
      <c r="N249" s="162" t="s">
        <v>843</v>
      </c>
      <c r="O249" s="104"/>
      <c r="P249" s="102">
        <v>50669</v>
      </c>
      <c r="Q249" s="102">
        <v>0</v>
      </c>
      <c r="R249" s="131">
        <v>0</v>
      </c>
      <c r="S249" s="132"/>
      <c r="T249" s="102">
        <v>50537</v>
      </c>
      <c r="U249" s="100">
        <v>43467</v>
      </c>
      <c r="V249" s="130"/>
      <c r="W249" s="170"/>
    </row>
    <row r="250" s="39" customFormat="1" ht="22" hidden="1" customHeight="1" spans="1:23">
      <c r="A250" s="144" t="s">
        <v>844</v>
      </c>
      <c r="B250" s="78" t="s">
        <v>30</v>
      </c>
      <c r="C250" s="79"/>
      <c r="D250" s="45" t="s">
        <v>31</v>
      </c>
      <c r="E250" s="80" t="s">
        <v>835</v>
      </c>
      <c r="F250" s="81" t="str">
        <f>IFERROR(VLOOKUP(E250,客户!B:C,2,FALSE),"/")</f>
        <v>/</v>
      </c>
      <c r="G250" s="80" t="s">
        <v>845</v>
      </c>
      <c r="H250" s="45" t="s">
        <v>123</v>
      </c>
      <c r="I250" s="45" t="s">
        <v>837</v>
      </c>
      <c r="J250" s="108">
        <v>43399</v>
      </c>
      <c r="K250" s="108">
        <v>43463</v>
      </c>
      <c r="L250" s="100">
        <v>43499</v>
      </c>
      <c r="M250" s="159" t="s">
        <v>846</v>
      </c>
      <c r="N250" s="162" t="s">
        <v>847</v>
      </c>
      <c r="O250" s="104"/>
      <c r="P250" s="102">
        <v>59530.34</v>
      </c>
      <c r="Q250" s="102">
        <v>0</v>
      </c>
      <c r="R250" s="131">
        <v>0</v>
      </c>
      <c r="S250" s="132"/>
      <c r="T250" s="102">
        <v>59386</v>
      </c>
      <c r="U250" s="100">
        <v>43489</v>
      </c>
      <c r="V250" s="130"/>
      <c r="W250" s="170"/>
    </row>
    <row r="251" s="39" customFormat="1" ht="22" hidden="1" customHeight="1" spans="1:23">
      <c r="A251" s="144" t="s">
        <v>848</v>
      </c>
      <c r="B251" s="78" t="s">
        <v>30</v>
      </c>
      <c r="C251" s="79"/>
      <c r="D251" s="45" t="s">
        <v>31</v>
      </c>
      <c r="E251" s="80" t="s">
        <v>196</v>
      </c>
      <c r="F251" s="81" t="str">
        <f>IFERROR(VLOOKUP(E251,客户!B:C,2,FALSE),"/")</f>
        <v>/</v>
      </c>
      <c r="G251" s="80" t="s">
        <v>849</v>
      </c>
      <c r="H251" s="45" t="s">
        <v>123</v>
      </c>
      <c r="I251" s="45" t="s">
        <v>837</v>
      </c>
      <c r="J251" s="108">
        <v>43399</v>
      </c>
      <c r="K251" s="108">
        <v>43525</v>
      </c>
      <c r="L251" s="100">
        <v>43564</v>
      </c>
      <c r="M251" s="159" t="s">
        <v>850</v>
      </c>
      <c r="N251" s="108" t="s">
        <v>851</v>
      </c>
      <c r="O251" s="104"/>
      <c r="P251" s="102">
        <v>36004.26</v>
      </c>
      <c r="Q251" s="102">
        <v>0</v>
      </c>
      <c r="R251" s="131">
        <v>0</v>
      </c>
      <c r="S251" s="132"/>
      <c r="T251" s="102">
        <v>35884</v>
      </c>
      <c r="U251" s="100">
        <v>43563</v>
      </c>
      <c r="V251" s="130"/>
      <c r="W251" s="184"/>
    </row>
    <row r="252" s="39" customFormat="1" ht="22" hidden="1" customHeight="1" spans="1:23">
      <c r="A252" s="144" t="s">
        <v>852</v>
      </c>
      <c r="B252" s="78" t="s">
        <v>30</v>
      </c>
      <c r="C252" s="79"/>
      <c r="D252" s="45" t="s">
        <v>31</v>
      </c>
      <c r="E252" s="80" t="s">
        <v>196</v>
      </c>
      <c r="F252" s="81" t="str">
        <f>IFERROR(VLOOKUP(E252,客户!B:C,2,FALSE),"/")</f>
        <v>/</v>
      </c>
      <c r="G252" s="80" t="s">
        <v>853</v>
      </c>
      <c r="H252" s="45" t="s">
        <v>123</v>
      </c>
      <c r="I252" s="45" t="s">
        <v>837</v>
      </c>
      <c r="J252" s="108">
        <v>43399</v>
      </c>
      <c r="K252" s="108">
        <v>43552</v>
      </c>
      <c r="L252" s="100">
        <v>43598</v>
      </c>
      <c r="M252" s="165" t="s">
        <v>854</v>
      </c>
      <c r="N252" s="108" t="s">
        <v>855</v>
      </c>
      <c r="O252" s="104"/>
      <c r="P252" s="102">
        <v>25490.3</v>
      </c>
      <c r="Q252" s="102">
        <v>0</v>
      </c>
      <c r="R252" s="131">
        <v>0</v>
      </c>
      <c r="S252" s="132"/>
      <c r="T252" s="102">
        <v>25383</v>
      </c>
      <c r="U252" s="100">
        <v>43590</v>
      </c>
      <c r="V252" s="130"/>
      <c r="W252" s="184"/>
    </row>
    <row r="253" s="39" customFormat="1" ht="22" hidden="1" customHeight="1" spans="1:23">
      <c r="A253" s="144" t="s">
        <v>856</v>
      </c>
      <c r="B253" s="78" t="s">
        <v>30</v>
      </c>
      <c r="C253" s="79"/>
      <c r="D253" s="45" t="s">
        <v>31</v>
      </c>
      <c r="E253" s="80" t="s">
        <v>60</v>
      </c>
      <c r="F253" s="81" t="str">
        <f>IFERROR(VLOOKUP(E253,客户!B:C,2,FALSE),"/")</f>
        <v>外送费用945人民币+装箱费用 加在发票里</v>
      </c>
      <c r="G253" s="80" t="s">
        <v>857</v>
      </c>
      <c r="H253" s="45" t="s">
        <v>123</v>
      </c>
      <c r="I253" s="45" t="s">
        <v>205</v>
      </c>
      <c r="J253" s="108">
        <v>43514</v>
      </c>
      <c r="K253" s="108">
        <v>43610</v>
      </c>
      <c r="L253" s="100">
        <v>43659</v>
      </c>
      <c r="M253" s="163" t="s">
        <v>858</v>
      </c>
      <c r="N253" s="108" t="s">
        <v>620</v>
      </c>
      <c r="O253" s="104"/>
      <c r="P253" s="102">
        <v>22539.5</v>
      </c>
      <c r="Q253" s="102">
        <v>0</v>
      </c>
      <c r="R253" s="131">
        <v>0</v>
      </c>
      <c r="S253" s="132"/>
      <c r="T253" s="102">
        <v>22119</v>
      </c>
      <c r="U253" s="100">
        <v>43664</v>
      </c>
      <c r="V253" s="130"/>
      <c r="W253" s="170"/>
    </row>
    <row r="254" s="39" customFormat="1" ht="22" hidden="1" customHeight="1" spans="1:23">
      <c r="A254" s="144" t="s">
        <v>859</v>
      </c>
      <c r="B254" s="78" t="s">
        <v>30</v>
      </c>
      <c r="C254" s="79"/>
      <c r="D254" s="45" t="s">
        <v>31</v>
      </c>
      <c r="E254" s="80" t="s">
        <v>860</v>
      </c>
      <c r="F254" s="81" t="str">
        <f>IFERROR(VLOOKUP(E254,客户!B:C,2,FALSE),"/")</f>
        <v>/</v>
      </c>
      <c r="G254" s="80" t="s">
        <v>861</v>
      </c>
      <c r="H254" s="45" t="s">
        <v>123</v>
      </c>
      <c r="I254" s="45" t="s">
        <v>862</v>
      </c>
      <c r="J254" s="108">
        <v>43522</v>
      </c>
      <c r="K254" s="108">
        <v>43533</v>
      </c>
      <c r="L254" s="100">
        <v>43559</v>
      </c>
      <c r="M254" s="159" t="s">
        <v>863</v>
      </c>
      <c r="N254" s="108" t="s">
        <v>864</v>
      </c>
      <c r="O254" s="104"/>
      <c r="P254" s="209"/>
      <c r="Q254" s="102"/>
      <c r="R254" s="131"/>
      <c r="S254" s="132"/>
      <c r="T254" s="102"/>
      <c r="U254" s="100"/>
      <c r="V254" s="130"/>
      <c r="W254" s="170"/>
    </row>
    <row r="255" s="39" customFormat="1" ht="22" hidden="1" customHeight="1" spans="1:23">
      <c r="A255" s="144" t="s">
        <v>865</v>
      </c>
      <c r="B255" s="78" t="s">
        <v>30</v>
      </c>
      <c r="C255" s="79"/>
      <c r="D255" s="45" t="s">
        <v>31</v>
      </c>
      <c r="E255" s="80" t="s">
        <v>60</v>
      </c>
      <c r="F255" s="81" t="str">
        <f>IFERROR(VLOOKUP(E255,客户!B:C,2,FALSE),"/")</f>
        <v>外送费用945人民币+装箱费用 加在发票里</v>
      </c>
      <c r="G255" s="80" t="s">
        <v>866</v>
      </c>
      <c r="H255" s="45" t="s">
        <v>123</v>
      </c>
      <c r="I255" s="45" t="s">
        <v>837</v>
      </c>
      <c r="J255" s="108">
        <v>43529</v>
      </c>
      <c r="K255" s="108">
        <v>43591</v>
      </c>
      <c r="L255" s="100">
        <v>43633</v>
      </c>
      <c r="M255" s="159" t="s">
        <v>867</v>
      </c>
      <c r="N255" s="108" t="s">
        <v>868</v>
      </c>
      <c r="O255" s="104"/>
      <c r="P255" s="102">
        <v>53152.26</v>
      </c>
      <c r="Q255" s="102"/>
      <c r="R255" s="131">
        <v>0</v>
      </c>
      <c r="S255" s="132"/>
      <c r="T255" s="102">
        <v>53012</v>
      </c>
      <c r="U255" s="100">
        <v>43626</v>
      </c>
      <c r="V255" s="130"/>
      <c r="W255" s="170"/>
    </row>
    <row r="256" s="39" customFormat="1" ht="22" hidden="1" customHeight="1" spans="1:23">
      <c r="A256" s="144" t="s">
        <v>869</v>
      </c>
      <c r="B256" s="78" t="s">
        <v>30</v>
      </c>
      <c r="C256" s="79"/>
      <c r="D256" s="45" t="s">
        <v>31</v>
      </c>
      <c r="E256" s="80" t="s">
        <v>60</v>
      </c>
      <c r="F256" s="81" t="str">
        <f>IFERROR(VLOOKUP(E256,客户!B:C,2,FALSE),"/")</f>
        <v>外送费用945人民币+装箱费用 加在发票里</v>
      </c>
      <c r="G256" s="80" t="s">
        <v>870</v>
      </c>
      <c r="H256" s="45" t="s">
        <v>123</v>
      </c>
      <c r="I256" s="45" t="s">
        <v>837</v>
      </c>
      <c r="J256" s="108">
        <v>43529</v>
      </c>
      <c r="K256" s="108">
        <v>43605</v>
      </c>
      <c r="L256" s="100">
        <v>43647</v>
      </c>
      <c r="M256" s="163" t="s">
        <v>871</v>
      </c>
      <c r="N256" s="108" t="s">
        <v>872</v>
      </c>
      <c r="O256" s="104"/>
      <c r="P256" s="102">
        <v>34752.94</v>
      </c>
      <c r="Q256" s="102"/>
      <c r="R256" s="131">
        <v>0</v>
      </c>
      <c r="S256" s="132"/>
      <c r="T256" s="102">
        <v>34635</v>
      </c>
      <c r="U256" s="100">
        <v>43649</v>
      </c>
      <c r="V256" s="130"/>
      <c r="W256" s="170"/>
    </row>
    <row r="257" s="39" customFormat="1" ht="22" hidden="1" customHeight="1" spans="1:23">
      <c r="A257" s="144" t="s">
        <v>873</v>
      </c>
      <c r="B257" s="78" t="s">
        <v>30</v>
      </c>
      <c r="C257" s="79"/>
      <c r="D257" s="45" t="s">
        <v>31</v>
      </c>
      <c r="E257" s="80" t="s">
        <v>60</v>
      </c>
      <c r="F257" s="81" t="str">
        <f>IFERROR(VLOOKUP(E257,客户!B:C,2,FALSE),"/")</f>
        <v>外送费用945人民币+装箱费用 加在发票里</v>
      </c>
      <c r="G257" s="80" t="s">
        <v>373</v>
      </c>
      <c r="H257" s="45" t="s">
        <v>123</v>
      </c>
      <c r="I257" s="45" t="s">
        <v>837</v>
      </c>
      <c r="J257" s="108">
        <v>43529</v>
      </c>
      <c r="K257" s="108">
        <v>43625</v>
      </c>
      <c r="L257" s="100">
        <v>43654</v>
      </c>
      <c r="M257" s="163" t="s">
        <v>874</v>
      </c>
      <c r="N257" s="108" t="s">
        <v>875</v>
      </c>
      <c r="O257" s="104"/>
      <c r="P257" s="230">
        <v>61597.5</v>
      </c>
      <c r="Q257" s="102"/>
      <c r="R257" s="131">
        <v>0</v>
      </c>
      <c r="S257" s="132"/>
      <c r="T257" s="102">
        <v>61446</v>
      </c>
      <c r="U257" s="100">
        <v>43655</v>
      </c>
      <c r="V257" s="130"/>
      <c r="W257" s="170"/>
    </row>
    <row r="258" s="39" customFormat="1" ht="22" hidden="1" customHeight="1" spans="1:23">
      <c r="A258" s="144" t="s">
        <v>876</v>
      </c>
      <c r="B258" s="78" t="s">
        <v>30</v>
      </c>
      <c r="C258" s="79"/>
      <c r="D258" s="45" t="s">
        <v>31</v>
      </c>
      <c r="E258" s="80" t="s">
        <v>473</v>
      </c>
      <c r="F258" s="81">
        <f>IFERROR(VLOOKUP(E258,客户!B:C,2,FALSE),"/")</f>
        <v>0</v>
      </c>
      <c r="G258" s="80" t="s">
        <v>877</v>
      </c>
      <c r="H258" s="144" t="s">
        <v>127</v>
      </c>
      <c r="I258" s="45" t="s">
        <v>475</v>
      </c>
      <c r="J258" s="108">
        <v>43531</v>
      </c>
      <c r="K258" s="108">
        <v>43560</v>
      </c>
      <c r="L258" s="100">
        <v>43574</v>
      </c>
      <c r="M258" s="181" t="s">
        <v>878</v>
      </c>
      <c r="N258" s="108" t="s">
        <v>879</v>
      </c>
      <c r="O258" s="104"/>
      <c r="P258" s="102">
        <v>19334</v>
      </c>
      <c r="Q258" s="102">
        <v>3866.92</v>
      </c>
      <c r="R258" s="131">
        <v>0</v>
      </c>
      <c r="S258" s="132"/>
      <c r="T258" s="102" t="s">
        <v>880</v>
      </c>
      <c r="U258" s="100">
        <v>43572</v>
      </c>
      <c r="V258" s="130"/>
      <c r="W258" s="170"/>
    </row>
    <row r="259" s="39" customFormat="1" ht="22" hidden="1" customHeight="1" spans="1:23">
      <c r="A259" s="144" t="s">
        <v>881</v>
      </c>
      <c r="B259" s="78" t="s">
        <v>30</v>
      </c>
      <c r="C259" s="79"/>
      <c r="D259" s="45" t="s">
        <v>31</v>
      </c>
      <c r="E259" s="80" t="s">
        <v>464</v>
      </c>
      <c r="F259" s="81">
        <f>IFERROR(VLOOKUP(E259,客户!B:C,2,FALSE),"/")</f>
        <v>0</v>
      </c>
      <c r="G259" s="80" t="s">
        <v>882</v>
      </c>
      <c r="H259" s="45" t="s">
        <v>123</v>
      </c>
      <c r="I259" s="45" t="s">
        <v>883</v>
      </c>
      <c r="J259" s="108">
        <v>43534</v>
      </c>
      <c r="K259" s="108">
        <v>43549</v>
      </c>
      <c r="L259" s="100">
        <v>43580</v>
      </c>
      <c r="M259" s="159" t="s">
        <v>466</v>
      </c>
      <c r="N259" s="108"/>
      <c r="O259" s="104"/>
      <c r="P259" s="102">
        <v>12082.4</v>
      </c>
      <c r="Q259" s="102" t="s">
        <v>884</v>
      </c>
      <c r="R259" s="131">
        <v>0</v>
      </c>
      <c r="S259" s="132"/>
      <c r="T259" s="102" t="s">
        <v>885</v>
      </c>
      <c r="U259" s="100">
        <v>43573</v>
      </c>
      <c r="V259" s="130"/>
      <c r="W259" s="170"/>
    </row>
    <row r="260" s="39" customFormat="1" ht="22" hidden="1" customHeight="1" spans="1:23">
      <c r="A260" s="144" t="s">
        <v>886</v>
      </c>
      <c r="B260" s="78" t="s">
        <v>30</v>
      </c>
      <c r="C260" s="79"/>
      <c r="D260" s="45" t="s">
        <v>31</v>
      </c>
      <c r="E260" s="80" t="s">
        <v>860</v>
      </c>
      <c r="F260" s="81" t="str">
        <f>IFERROR(VLOOKUP(E260,客户!B:C,2,FALSE),"/")</f>
        <v>/</v>
      </c>
      <c r="G260" s="80" t="s">
        <v>887</v>
      </c>
      <c r="H260" s="45" t="s">
        <v>123</v>
      </c>
      <c r="I260" s="45" t="s">
        <v>862</v>
      </c>
      <c r="J260" s="108">
        <v>43522</v>
      </c>
      <c r="K260" s="108">
        <v>43607</v>
      </c>
      <c r="L260" s="100">
        <v>43631</v>
      </c>
      <c r="M260" s="159" t="s">
        <v>888</v>
      </c>
      <c r="N260" s="108" t="s">
        <v>889</v>
      </c>
      <c r="O260" s="104"/>
      <c r="P260" s="102"/>
      <c r="Q260" s="102"/>
      <c r="R260" s="131"/>
      <c r="S260" s="132"/>
      <c r="T260" s="102"/>
      <c r="U260" s="100"/>
      <c r="V260" s="130"/>
      <c r="W260" s="170"/>
    </row>
    <row r="261" s="39" customFormat="1" ht="22" hidden="1" customHeight="1" spans="1:23">
      <c r="A261" s="144" t="s">
        <v>890</v>
      </c>
      <c r="B261" s="78" t="s">
        <v>30</v>
      </c>
      <c r="C261" s="79"/>
      <c r="D261" s="45" t="s">
        <v>31</v>
      </c>
      <c r="E261" s="80" t="s">
        <v>60</v>
      </c>
      <c r="F261" s="81" t="str">
        <f>IFERROR(VLOOKUP(E261,客户!B:C,2,FALSE),"/")</f>
        <v>外送费用945人民币+装箱费用 加在发票里</v>
      </c>
      <c r="G261" s="80" t="s">
        <v>234</v>
      </c>
      <c r="H261" s="45" t="s">
        <v>147</v>
      </c>
      <c r="I261" s="45" t="s">
        <v>723</v>
      </c>
      <c r="J261" s="108">
        <v>43780</v>
      </c>
      <c r="K261" s="108">
        <v>43834</v>
      </c>
      <c r="L261" s="100">
        <v>43865</v>
      </c>
      <c r="M261" s="159" t="s">
        <v>891</v>
      </c>
      <c r="N261" s="108" t="s">
        <v>892</v>
      </c>
      <c r="O261" s="104" t="s">
        <v>680</v>
      </c>
      <c r="P261" s="102">
        <v>60474</v>
      </c>
      <c r="Q261" s="102"/>
      <c r="R261" s="131"/>
      <c r="S261" s="132"/>
      <c r="T261" s="102">
        <v>60276.41</v>
      </c>
      <c r="U261" s="100">
        <v>43866</v>
      </c>
      <c r="V261" s="130"/>
      <c r="W261" s="170"/>
    </row>
    <row r="262" s="39" customFormat="1" ht="22" hidden="1" customHeight="1" spans="1:23">
      <c r="A262" s="144" t="s">
        <v>893</v>
      </c>
      <c r="B262" s="78" t="s">
        <v>30</v>
      </c>
      <c r="C262" s="79"/>
      <c r="D262" s="45" t="s">
        <v>31</v>
      </c>
      <c r="E262" s="80" t="s">
        <v>456</v>
      </c>
      <c r="F262" s="81" t="str">
        <f>IFERROR(VLOOKUP(E262,客户!B:C,2,FALSE),"/")</f>
        <v>埃及红线客户配件 样品都要单独显示在箱单发票上</v>
      </c>
      <c r="G262" s="80" t="s">
        <v>894</v>
      </c>
      <c r="H262" s="45" t="s">
        <v>123</v>
      </c>
      <c r="I262" s="45" t="s">
        <v>895</v>
      </c>
      <c r="J262" s="108">
        <v>43781</v>
      </c>
      <c r="K262" s="108">
        <v>43841</v>
      </c>
      <c r="L262" s="100">
        <v>43877</v>
      </c>
      <c r="M262" s="108" t="s">
        <v>896</v>
      </c>
      <c r="N262" s="108" t="s">
        <v>897</v>
      </c>
      <c r="O262" s="104" t="s">
        <v>680</v>
      </c>
      <c r="P262" s="102">
        <v>16960</v>
      </c>
      <c r="Q262" s="102"/>
      <c r="R262" s="131"/>
      <c r="S262" s="132"/>
      <c r="T262" s="102">
        <v>16566.95</v>
      </c>
      <c r="U262" s="102">
        <v>346</v>
      </c>
      <c r="V262" s="219" t="s">
        <v>898</v>
      </c>
      <c r="W262" s="170"/>
    </row>
    <row r="263" s="39" customFormat="1" ht="22" hidden="1" customHeight="1" spans="1:23">
      <c r="A263" s="144" t="s">
        <v>899</v>
      </c>
      <c r="B263" s="174" t="s">
        <v>30</v>
      </c>
      <c r="C263" s="175"/>
      <c r="D263" s="45" t="s">
        <v>31</v>
      </c>
      <c r="E263" s="80" t="s">
        <v>554</v>
      </c>
      <c r="F263" s="81">
        <f>IFERROR(VLOOKUP(E263,客户!B:C,2,FALSE),"/")</f>
        <v>0</v>
      </c>
      <c r="G263" s="80" t="s">
        <v>43</v>
      </c>
      <c r="H263" s="45" t="s">
        <v>147</v>
      </c>
      <c r="I263" s="45" t="s">
        <v>900</v>
      </c>
      <c r="J263" s="108">
        <v>43782</v>
      </c>
      <c r="K263" s="108">
        <v>43816</v>
      </c>
      <c r="L263" s="100">
        <v>43831</v>
      </c>
      <c r="M263" s="159" t="s">
        <v>901</v>
      </c>
      <c r="N263" s="108" t="s">
        <v>902</v>
      </c>
      <c r="O263" s="104" t="s">
        <v>523</v>
      </c>
      <c r="P263" s="102">
        <v>19648.7</v>
      </c>
      <c r="Q263" s="102">
        <v>5894.61</v>
      </c>
      <c r="R263" s="131"/>
      <c r="S263" s="132"/>
      <c r="T263" s="102">
        <v>13714.09</v>
      </c>
      <c r="U263" s="102"/>
      <c r="V263" s="130"/>
      <c r="W263" s="170"/>
    </row>
    <row r="264" s="39" customFormat="1" ht="22" hidden="1" customHeight="1" spans="1:23">
      <c r="A264" s="144" t="s">
        <v>903</v>
      </c>
      <c r="B264" s="174" t="s">
        <v>30</v>
      </c>
      <c r="C264" s="175"/>
      <c r="D264" s="45" t="s">
        <v>31</v>
      </c>
      <c r="E264" s="80" t="s">
        <v>450</v>
      </c>
      <c r="F264" s="81">
        <f>IFERROR(VLOOKUP(E264,客户!B:C,2,FALSE),"/")</f>
        <v>0</v>
      </c>
      <c r="G264" s="80" t="s">
        <v>43</v>
      </c>
      <c r="H264" s="45" t="s">
        <v>123</v>
      </c>
      <c r="I264" s="45" t="s">
        <v>904</v>
      </c>
      <c r="J264" s="108">
        <v>43785</v>
      </c>
      <c r="K264" s="108">
        <v>43829</v>
      </c>
      <c r="L264" s="100">
        <v>43857</v>
      </c>
      <c r="M264" s="164" t="s">
        <v>905</v>
      </c>
      <c r="N264" s="108" t="s">
        <v>906</v>
      </c>
      <c r="O264" s="104" t="s">
        <v>523</v>
      </c>
      <c r="P264" s="102">
        <v>21449.65</v>
      </c>
      <c r="Q264" s="102"/>
      <c r="R264" s="131"/>
      <c r="S264" s="132"/>
      <c r="T264" s="102">
        <f>44550/6.88+14976.75</f>
        <v>21452.0406976744</v>
      </c>
      <c r="U264" s="102"/>
      <c r="V264" s="188" t="s">
        <v>907</v>
      </c>
      <c r="W264" s="170"/>
    </row>
    <row r="265" s="39" customFormat="1" ht="22" hidden="1" customHeight="1" spans="1:23">
      <c r="A265" s="144" t="s">
        <v>908</v>
      </c>
      <c r="B265" s="174" t="s">
        <v>30</v>
      </c>
      <c r="C265" s="175"/>
      <c r="D265" s="45" t="s">
        <v>31</v>
      </c>
      <c r="E265" s="80" t="s">
        <v>296</v>
      </c>
      <c r="F265" s="81">
        <f>IFERROR(VLOOKUP(E265,客户!B:C,2,FALSE),"/")</f>
        <v>0</v>
      </c>
      <c r="G265" s="80" t="s">
        <v>43</v>
      </c>
      <c r="H265" s="45" t="s">
        <v>123</v>
      </c>
      <c r="I265" s="45" t="s">
        <v>909</v>
      </c>
      <c r="J265" s="108">
        <v>43785</v>
      </c>
      <c r="K265" s="108">
        <v>43826</v>
      </c>
      <c r="L265" s="100">
        <v>43859</v>
      </c>
      <c r="M265" s="159" t="s">
        <v>910</v>
      </c>
      <c r="N265" s="198" t="s">
        <v>911</v>
      </c>
      <c r="O265" s="104" t="s">
        <v>523</v>
      </c>
      <c r="P265" s="102">
        <v>20704.33</v>
      </c>
      <c r="Q265" s="102">
        <v>6138.06</v>
      </c>
      <c r="R265" s="131"/>
      <c r="S265" s="132"/>
      <c r="T265" s="102">
        <v>14531.27</v>
      </c>
      <c r="U265" s="102"/>
      <c r="V265" s="130"/>
      <c r="W265" s="170"/>
    </row>
    <row r="266" s="39" customFormat="1" ht="22" hidden="1" customHeight="1" spans="1:23">
      <c r="A266" s="144" t="s">
        <v>912</v>
      </c>
      <c r="B266" s="174" t="s">
        <v>30</v>
      </c>
      <c r="C266" s="175"/>
      <c r="D266" s="45" t="s">
        <v>31</v>
      </c>
      <c r="E266" s="80" t="s">
        <v>624</v>
      </c>
      <c r="F266" s="81">
        <f>IFERROR(VLOOKUP(E266,客户!B:C,2,FALSE),"/")</f>
        <v>0</v>
      </c>
      <c r="G266" s="80" t="s">
        <v>913</v>
      </c>
      <c r="H266" s="45" t="s">
        <v>123</v>
      </c>
      <c r="I266" s="45" t="s">
        <v>806</v>
      </c>
      <c r="J266" s="108">
        <v>43786</v>
      </c>
      <c r="K266" s="108">
        <v>43847</v>
      </c>
      <c r="L266" s="100">
        <v>43887</v>
      </c>
      <c r="M266" s="159" t="s">
        <v>914</v>
      </c>
      <c r="N266" s="108" t="s">
        <v>915</v>
      </c>
      <c r="O266" s="104" t="s">
        <v>680</v>
      </c>
      <c r="P266" s="102">
        <v>20541.78</v>
      </c>
      <c r="Q266" s="102">
        <v>3960</v>
      </c>
      <c r="R266" s="131"/>
      <c r="S266" s="132"/>
      <c r="T266" s="102">
        <v>16644</v>
      </c>
      <c r="U266" s="102"/>
      <c r="V266" s="188" t="s">
        <v>916</v>
      </c>
      <c r="W266" s="170"/>
    </row>
    <row r="267" s="39" customFormat="1" ht="22" hidden="1" customHeight="1" spans="1:23">
      <c r="A267" s="144" t="s">
        <v>917</v>
      </c>
      <c r="B267" s="174" t="s">
        <v>30</v>
      </c>
      <c r="C267" s="175"/>
      <c r="D267" s="45" t="s">
        <v>31</v>
      </c>
      <c r="E267" s="80" t="s">
        <v>554</v>
      </c>
      <c r="F267" s="81">
        <f>IFERROR(VLOOKUP(E267,客户!B:C,2,FALSE),"/")</f>
        <v>0</v>
      </c>
      <c r="G267" s="80" t="s">
        <v>43</v>
      </c>
      <c r="H267" s="45" t="s">
        <v>147</v>
      </c>
      <c r="I267" s="45" t="s">
        <v>900</v>
      </c>
      <c r="J267" s="108">
        <v>43809</v>
      </c>
      <c r="K267" s="108">
        <v>43853</v>
      </c>
      <c r="L267" s="100">
        <v>43868</v>
      </c>
      <c r="M267" s="159" t="s">
        <v>918</v>
      </c>
      <c r="N267" s="108" t="s">
        <v>919</v>
      </c>
      <c r="O267" s="104" t="s">
        <v>523</v>
      </c>
      <c r="P267" s="102">
        <v>21758.6</v>
      </c>
      <c r="Q267" s="102">
        <v>6527</v>
      </c>
      <c r="R267" s="131"/>
      <c r="S267" s="132"/>
      <c r="T267" s="102">
        <v>15197.02</v>
      </c>
      <c r="U267" s="102"/>
      <c r="V267" s="130"/>
      <c r="W267" s="170"/>
    </row>
    <row r="268" s="39" customFormat="1" ht="22" hidden="1" customHeight="1" spans="1:23">
      <c r="A268" s="144" t="s">
        <v>920</v>
      </c>
      <c r="B268" s="174" t="s">
        <v>30</v>
      </c>
      <c r="C268" s="175"/>
      <c r="D268" s="45" t="s">
        <v>31</v>
      </c>
      <c r="E268" s="80" t="s">
        <v>450</v>
      </c>
      <c r="F268" s="81">
        <f>IFERROR(VLOOKUP(E268,客户!B:C,2,FALSE),"/")</f>
        <v>0</v>
      </c>
      <c r="G268" s="80" t="s">
        <v>43</v>
      </c>
      <c r="H268" s="45" t="s">
        <v>123</v>
      </c>
      <c r="I268" s="45" t="s">
        <v>904</v>
      </c>
      <c r="J268" s="108">
        <v>43811</v>
      </c>
      <c r="K268" s="108">
        <v>43842</v>
      </c>
      <c r="L268" s="100">
        <v>43871</v>
      </c>
      <c r="M268" s="165" t="s">
        <v>921</v>
      </c>
      <c r="N268" s="108" t="s">
        <v>922</v>
      </c>
      <c r="O268" s="104" t="s">
        <v>523</v>
      </c>
      <c r="P268" s="102">
        <v>21684.05</v>
      </c>
      <c r="Q268" s="102"/>
      <c r="R268" s="131">
        <v>0</v>
      </c>
      <c r="S268" s="132"/>
      <c r="T268" s="102">
        <f>14968.75+46514/7</f>
        <v>21613.6071428571</v>
      </c>
      <c r="U268" s="102"/>
      <c r="V268" s="188" t="s">
        <v>923</v>
      </c>
      <c r="W268" s="170"/>
    </row>
    <row r="269" s="39" customFormat="1" ht="22" hidden="1" customHeight="1" spans="1:23">
      <c r="A269" s="144" t="s">
        <v>924</v>
      </c>
      <c r="B269" s="174" t="s">
        <v>30</v>
      </c>
      <c r="C269" s="175"/>
      <c r="D269" s="45" t="s">
        <v>31</v>
      </c>
      <c r="E269" s="82" t="s">
        <v>692</v>
      </c>
      <c r="F269" s="81">
        <f>IFERROR(VLOOKUP(E269,客户!B:C,2,FALSE),"/")</f>
        <v>0</v>
      </c>
      <c r="G269" s="80" t="s">
        <v>43</v>
      </c>
      <c r="H269" s="45" t="s">
        <v>123</v>
      </c>
      <c r="I269" s="45" t="s">
        <v>925</v>
      </c>
      <c r="J269" s="108">
        <v>43811</v>
      </c>
      <c r="K269" s="108">
        <v>43841</v>
      </c>
      <c r="L269" s="100">
        <v>43877</v>
      </c>
      <c r="M269" s="159" t="s">
        <v>926</v>
      </c>
      <c r="N269" s="198" t="s">
        <v>927</v>
      </c>
      <c r="O269" s="104" t="s">
        <v>523</v>
      </c>
      <c r="P269" s="102">
        <v>17360.95</v>
      </c>
      <c r="Q269" s="102">
        <v>3595</v>
      </c>
      <c r="R269" s="241"/>
      <c r="S269" s="242"/>
      <c r="T269" s="102">
        <v>13726.88</v>
      </c>
      <c r="U269" s="102"/>
      <c r="V269" s="130" t="s">
        <v>928</v>
      </c>
      <c r="W269" s="170"/>
    </row>
    <row r="270" s="39" customFormat="1" ht="22" hidden="1" customHeight="1" spans="1:23">
      <c r="A270" s="144" t="s">
        <v>929</v>
      </c>
      <c r="B270" s="174" t="s">
        <v>30</v>
      </c>
      <c r="C270" s="175"/>
      <c r="D270" s="45" t="s">
        <v>31</v>
      </c>
      <c r="E270" s="82" t="s">
        <v>422</v>
      </c>
      <c r="F270" s="81" t="str">
        <f>IFERROR(VLOOKUP(E270,客户!B:C,2,FALSE),"/")</f>
        <v>埃及红线客户配件 样品都要单独显示在箱单发票上</v>
      </c>
      <c r="G270" s="80" t="s">
        <v>43</v>
      </c>
      <c r="H270" s="45" t="s">
        <v>123</v>
      </c>
      <c r="I270" s="45" t="s">
        <v>806</v>
      </c>
      <c r="J270" s="108">
        <v>43819</v>
      </c>
      <c r="K270" s="108">
        <v>43854</v>
      </c>
      <c r="L270" s="100">
        <v>43894</v>
      </c>
      <c r="M270" s="165" t="s">
        <v>930</v>
      </c>
      <c r="N270" s="198" t="s">
        <v>931</v>
      </c>
      <c r="O270" s="104" t="s">
        <v>523</v>
      </c>
      <c r="P270" s="102">
        <v>21564.5</v>
      </c>
      <c r="Q270" s="102"/>
      <c r="R270" s="131"/>
      <c r="S270" s="132"/>
      <c r="T270" s="102">
        <v>19578</v>
      </c>
      <c r="U270" s="102">
        <v>1986.5</v>
      </c>
      <c r="V270" s="219"/>
      <c r="W270" s="170"/>
    </row>
    <row r="271" s="39" customFormat="1" ht="22" hidden="1" customHeight="1" spans="1:23">
      <c r="A271" s="144" t="s">
        <v>932</v>
      </c>
      <c r="B271" s="174" t="s">
        <v>30</v>
      </c>
      <c r="C271" s="175"/>
      <c r="D271" s="45" t="s">
        <v>31</v>
      </c>
      <c r="E271" s="82" t="s">
        <v>933</v>
      </c>
      <c r="F271" s="81">
        <f>IFERROR(VLOOKUP(E271,客户!B:C,2,FALSE),"/")</f>
        <v>0</v>
      </c>
      <c r="G271" s="84" t="s">
        <v>934</v>
      </c>
      <c r="H271" s="45" t="s">
        <v>123</v>
      </c>
      <c r="I271" s="45" t="s">
        <v>935</v>
      </c>
      <c r="J271" s="108">
        <v>43819</v>
      </c>
      <c r="K271" s="159">
        <v>43974</v>
      </c>
      <c r="L271" s="100">
        <v>44008</v>
      </c>
      <c r="M271" s="165" t="s">
        <v>936</v>
      </c>
      <c r="N271" s="198" t="s">
        <v>937</v>
      </c>
      <c r="O271" s="104" t="s">
        <v>523</v>
      </c>
      <c r="P271" s="102">
        <v>23061.36</v>
      </c>
      <c r="Q271" s="102">
        <v>7240</v>
      </c>
      <c r="R271" s="131"/>
      <c r="S271" s="132"/>
      <c r="T271" s="102">
        <v>15821.36</v>
      </c>
      <c r="U271" s="102"/>
      <c r="V271" s="243" t="s">
        <v>938</v>
      </c>
      <c r="W271" s="170"/>
    </row>
    <row r="272" s="39" customFormat="1" ht="22" hidden="1" customHeight="1" spans="1:23">
      <c r="A272" s="144" t="s">
        <v>939</v>
      </c>
      <c r="B272" s="174" t="s">
        <v>30</v>
      </c>
      <c r="C272" s="175"/>
      <c r="D272" s="45" t="s">
        <v>31</v>
      </c>
      <c r="E272" s="82" t="s">
        <v>940</v>
      </c>
      <c r="F272" s="81">
        <f>IFERROR(VLOOKUP(E272,客户!B:C,2,FALSE),"/")</f>
        <v>0</v>
      </c>
      <c r="G272" s="84" t="s">
        <v>941</v>
      </c>
      <c r="H272" s="45" t="s">
        <v>123</v>
      </c>
      <c r="I272" s="45" t="s">
        <v>238</v>
      </c>
      <c r="J272" s="108">
        <v>43827</v>
      </c>
      <c r="K272" s="159">
        <v>43919</v>
      </c>
      <c r="L272" s="100">
        <v>43955</v>
      </c>
      <c r="M272" s="165" t="s">
        <v>942</v>
      </c>
      <c r="N272" s="198" t="s">
        <v>943</v>
      </c>
      <c r="O272" s="104" t="s">
        <v>523</v>
      </c>
      <c r="P272" s="102">
        <v>22894.28</v>
      </c>
      <c r="Q272" s="102">
        <v>4614.82</v>
      </c>
      <c r="R272" s="131"/>
      <c r="S272" s="132"/>
      <c r="T272" s="102">
        <v>18241.46</v>
      </c>
      <c r="U272" s="102"/>
      <c r="V272" s="219" t="s">
        <v>944</v>
      </c>
      <c r="W272" s="170"/>
    </row>
    <row r="273" s="39" customFormat="1" ht="22" hidden="1" customHeight="1" spans="1:23">
      <c r="A273" s="144" t="s">
        <v>945</v>
      </c>
      <c r="B273" s="174" t="s">
        <v>30</v>
      </c>
      <c r="C273" s="175"/>
      <c r="D273" s="45" t="s">
        <v>31</v>
      </c>
      <c r="E273" s="80" t="s">
        <v>428</v>
      </c>
      <c r="F273" s="81">
        <f>IFERROR(VLOOKUP(E273,客户!B:C,2,FALSE),"/")</f>
        <v>0</v>
      </c>
      <c r="G273" s="84" t="s">
        <v>946</v>
      </c>
      <c r="H273" s="45" t="s">
        <v>127</v>
      </c>
      <c r="I273" s="45" t="s">
        <v>947</v>
      </c>
      <c r="J273" s="108">
        <v>43832</v>
      </c>
      <c r="K273" s="108">
        <v>43967</v>
      </c>
      <c r="L273" s="100">
        <v>43983</v>
      </c>
      <c r="M273" s="165" t="s">
        <v>948</v>
      </c>
      <c r="N273" s="198" t="s">
        <v>949</v>
      </c>
      <c r="O273" s="104" t="s">
        <v>523</v>
      </c>
      <c r="P273" s="102">
        <v>60692</v>
      </c>
      <c r="Q273" s="102">
        <v>6000</v>
      </c>
      <c r="R273" s="131"/>
      <c r="S273" s="132"/>
      <c r="T273" s="102">
        <v>54660</v>
      </c>
      <c r="U273" s="102"/>
      <c r="V273" s="244" t="s">
        <v>950</v>
      </c>
      <c r="W273" s="170"/>
    </row>
    <row r="274" s="39" customFormat="1" ht="22" hidden="1" customHeight="1" spans="1:23">
      <c r="A274" s="144" t="s">
        <v>951</v>
      </c>
      <c r="B274" s="174" t="s">
        <v>30</v>
      </c>
      <c r="C274" s="175"/>
      <c r="D274" s="45" t="s">
        <v>31</v>
      </c>
      <c r="E274" s="82" t="s">
        <v>952</v>
      </c>
      <c r="F274" s="81">
        <f>IFERROR(VLOOKUP(E274,客户!B:C,2,FALSE),"/")</f>
        <v>0</v>
      </c>
      <c r="G274" s="84" t="s">
        <v>953</v>
      </c>
      <c r="H274" s="45" t="s">
        <v>127</v>
      </c>
      <c r="I274" s="45" t="s">
        <v>947</v>
      </c>
      <c r="J274" s="108">
        <v>43832</v>
      </c>
      <c r="K274" s="159">
        <v>43918</v>
      </c>
      <c r="L274" s="100">
        <v>43934</v>
      </c>
      <c r="M274" s="165" t="s">
        <v>954</v>
      </c>
      <c r="N274" s="198" t="s">
        <v>955</v>
      </c>
      <c r="O274" s="104" t="s">
        <v>523</v>
      </c>
      <c r="P274" s="102">
        <v>38720</v>
      </c>
      <c r="Q274" s="102">
        <v>15000</v>
      </c>
      <c r="R274" s="241"/>
      <c r="S274" s="242"/>
      <c r="T274" s="102">
        <v>23688</v>
      </c>
      <c r="U274" s="102"/>
      <c r="V274" s="245" t="s">
        <v>956</v>
      </c>
      <c r="W274" s="170"/>
    </row>
    <row r="275" s="39" customFormat="1" ht="22" hidden="1" customHeight="1" spans="1:23">
      <c r="A275" s="144" t="s">
        <v>957</v>
      </c>
      <c r="B275" s="174" t="s">
        <v>30</v>
      </c>
      <c r="C275" s="175"/>
      <c r="D275" s="45" t="s">
        <v>31</v>
      </c>
      <c r="E275" s="82" t="s">
        <v>952</v>
      </c>
      <c r="F275" s="81"/>
      <c r="G275" s="84" t="s">
        <v>953</v>
      </c>
      <c r="H275" s="45" t="s">
        <v>127</v>
      </c>
      <c r="I275" s="45" t="s">
        <v>947</v>
      </c>
      <c r="J275" s="108">
        <v>43832</v>
      </c>
      <c r="K275" s="159">
        <v>43939</v>
      </c>
      <c r="L275" s="100">
        <v>43955</v>
      </c>
      <c r="M275" s="165" t="s">
        <v>958</v>
      </c>
      <c r="N275" s="198" t="s">
        <v>959</v>
      </c>
      <c r="O275" s="104" t="s">
        <v>523</v>
      </c>
      <c r="P275" s="102">
        <v>39571.2</v>
      </c>
      <c r="Q275" s="102">
        <v>4500</v>
      </c>
      <c r="R275" s="241"/>
      <c r="S275" s="242"/>
      <c r="T275" s="102">
        <v>35040</v>
      </c>
      <c r="U275" s="102"/>
      <c r="V275" s="245" t="s">
        <v>960</v>
      </c>
      <c r="W275" s="170"/>
    </row>
    <row r="276" s="39" customFormat="1" ht="22" hidden="1" customHeight="1" spans="1:23">
      <c r="A276" s="144" t="s">
        <v>961</v>
      </c>
      <c r="B276" s="174" t="s">
        <v>30</v>
      </c>
      <c r="C276" s="175"/>
      <c r="D276" s="45" t="s">
        <v>31</v>
      </c>
      <c r="E276" s="82" t="s">
        <v>744</v>
      </c>
      <c r="F276" s="81">
        <f>IFERROR(VLOOKUP(E276,客户!B:C,2,FALSE),"/")</f>
        <v>0</v>
      </c>
      <c r="G276" s="84" t="s">
        <v>941</v>
      </c>
      <c r="H276" s="45" t="s">
        <v>123</v>
      </c>
      <c r="I276" s="45" t="s">
        <v>962</v>
      </c>
      <c r="J276" s="108">
        <v>43838</v>
      </c>
      <c r="K276" s="108">
        <v>43937</v>
      </c>
      <c r="L276" s="100">
        <v>43966</v>
      </c>
      <c r="M276" s="165" t="s">
        <v>963</v>
      </c>
      <c r="N276" s="198" t="s">
        <v>964</v>
      </c>
      <c r="O276" s="104" t="s">
        <v>523</v>
      </c>
      <c r="P276" s="102">
        <v>16630.7</v>
      </c>
      <c r="Q276" s="102">
        <v>4918.95</v>
      </c>
      <c r="R276" s="241"/>
      <c r="S276" s="242"/>
      <c r="T276" s="102">
        <v>11666.75</v>
      </c>
      <c r="U276" s="102"/>
      <c r="V276" s="243" t="s">
        <v>965</v>
      </c>
      <c r="W276" s="170"/>
    </row>
    <row r="277" s="39" customFormat="1" ht="22" hidden="1" customHeight="1" spans="1:23">
      <c r="A277" s="220" t="s">
        <v>966</v>
      </c>
      <c r="B277" s="174" t="s">
        <v>30</v>
      </c>
      <c r="C277" s="175"/>
      <c r="D277" s="45" t="s">
        <v>31</v>
      </c>
      <c r="E277" s="82" t="s">
        <v>967</v>
      </c>
      <c r="F277" s="81">
        <f>IFERROR(VLOOKUP(E277,客户!B:C,2,FALSE),"/")</f>
        <v>0</v>
      </c>
      <c r="G277" s="84" t="s">
        <v>941</v>
      </c>
      <c r="H277" s="45" t="s">
        <v>123</v>
      </c>
      <c r="I277" s="231" t="s">
        <v>968</v>
      </c>
      <c r="J277" s="108">
        <v>43846</v>
      </c>
      <c r="K277" s="108">
        <v>44117</v>
      </c>
      <c r="L277" s="100"/>
      <c r="M277" s="165" t="s">
        <v>969</v>
      </c>
      <c r="N277" s="108"/>
      <c r="O277" s="104" t="s">
        <v>970</v>
      </c>
      <c r="P277" s="102">
        <v>7635</v>
      </c>
      <c r="Q277" s="102"/>
      <c r="R277" s="241"/>
      <c r="S277" s="242"/>
      <c r="T277" s="102">
        <v>7635</v>
      </c>
      <c r="U277" s="102"/>
      <c r="V277" s="130"/>
      <c r="W277" s="170"/>
    </row>
    <row r="278" s="39" customFormat="1" ht="22" hidden="1" customHeight="1" spans="1:23">
      <c r="A278" s="144" t="s">
        <v>971</v>
      </c>
      <c r="B278" s="174" t="s">
        <v>30</v>
      </c>
      <c r="C278" s="175"/>
      <c r="D278" s="45" t="s">
        <v>31</v>
      </c>
      <c r="E278" s="82" t="s">
        <v>972</v>
      </c>
      <c r="F278" s="81" t="str">
        <f>IFERROR(VLOOKUP(E278,客户!B:C,2,FALSE),"/")</f>
        <v>$53.50 TUV Austria administration cost 革力减掉150代理费</v>
      </c>
      <c r="G278" s="84" t="s">
        <v>973</v>
      </c>
      <c r="H278" s="45" t="s">
        <v>123</v>
      </c>
      <c r="I278" s="45" t="s">
        <v>340</v>
      </c>
      <c r="J278" s="108">
        <v>43847</v>
      </c>
      <c r="K278" s="159">
        <v>43983</v>
      </c>
      <c r="L278" s="100">
        <v>44018</v>
      </c>
      <c r="M278" s="165" t="s">
        <v>974</v>
      </c>
      <c r="N278" s="198" t="s">
        <v>975</v>
      </c>
      <c r="O278" s="104" t="s">
        <v>523</v>
      </c>
      <c r="P278" s="102">
        <v>18247.93</v>
      </c>
      <c r="Q278" s="102">
        <v>5632</v>
      </c>
      <c r="R278" s="241"/>
      <c r="S278" s="242"/>
      <c r="T278" s="102">
        <v>12566.97</v>
      </c>
      <c r="U278" s="102"/>
      <c r="V278" s="246" t="s">
        <v>976</v>
      </c>
      <c r="W278" s="170"/>
    </row>
    <row r="279" s="39" customFormat="1" ht="22" hidden="1" customHeight="1" spans="1:23">
      <c r="A279" s="144" t="s">
        <v>977</v>
      </c>
      <c r="B279" s="174" t="s">
        <v>30</v>
      </c>
      <c r="C279" s="175"/>
      <c r="D279" s="45" t="s">
        <v>31</v>
      </c>
      <c r="E279" s="82" t="s">
        <v>978</v>
      </c>
      <c r="F279" s="81" t="str">
        <f>IFERROR(VLOOKUP(E279,客户!B:C,2,FALSE),"/")</f>
        <v>收货人可能变 每次和客户确认下收货人 必须受到客户明确回复</v>
      </c>
      <c r="G279" s="84" t="s">
        <v>979</v>
      </c>
      <c r="H279" s="45" t="s">
        <v>123</v>
      </c>
      <c r="I279" s="45" t="s">
        <v>980</v>
      </c>
      <c r="J279" s="108">
        <v>43865</v>
      </c>
      <c r="K279" s="108">
        <v>43935</v>
      </c>
      <c r="L279" s="100">
        <v>43960</v>
      </c>
      <c r="M279" s="165" t="s">
        <v>981</v>
      </c>
      <c r="N279" s="198" t="s">
        <v>982</v>
      </c>
      <c r="O279" s="104" t="s">
        <v>523</v>
      </c>
      <c r="P279" s="102">
        <v>41435.95</v>
      </c>
      <c r="Q279" s="102">
        <v>12000</v>
      </c>
      <c r="R279" s="241"/>
      <c r="S279" s="242"/>
      <c r="T279" s="102">
        <v>7000</v>
      </c>
      <c r="U279" s="102">
        <v>26000</v>
      </c>
      <c r="V279" s="219" t="s">
        <v>983</v>
      </c>
      <c r="W279" s="170"/>
    </row>
    <row r="280" s="39" customFormat="1" ht="22" hidden="1" customHeight="1" spans="1:23">
      <c r="A280" s="144" t="s">
        <v>984</v>
      </c>
      <c r="B280" s="174" t="s">
        <v>30</v>
      </c>
      <c r="C280" s="175"/>
      <c r="D280" s="45" t="s">
        <v>31</v>
      </c>
      <c r="E280" s="82" t="s">
        <v>768</v>
      </c>
      <c r="F280" s="81">
        <f>IFERROR(VLOOKUP(E280,客户!B:C,2,FALSE),"/")</f>
        <v>0</v>
      </c>
      <c r="G280" s="84" t="s">
        <v>985</v>
      </c>
      <c r="H280" s="45" t="s">
        <v>123</v>
      </c>
      <c r="I280" s="45" t="s">
        <v>986</v>
      </c>
      <c r="J280" s="108">
        <v>43867</v>
      </c>
      <c r="K280" s="108">
        <v>43997</v>
      </c>
      <c r="L280" s="100">
        <v>44023</v>
      </c>
      <c r="M280" s="165" t="s">
        <v>987</v>
      </c>
      <c r="N280" s="198" t="s">
        <v>988</v>
      </c>
      <c r="O280" s="104" t="s">
        <v>523</v>
      </c>
      <c r="P280" s="102">
        <v>20523.5</v>
      </c>
      <c r="Q280" s="102">
        <v>6157</v>
      </c>
      <c r="R280" s="241"/>
      <c r="S280" s="242"/>
      <c r="T280" s="102">
        <v>14346.5</v>
      </c>
      <c r="U280" s="102"/>
      <c r="V280" s="246" t="s">
        <v>989</v>
      </c>
      <c r="W280" s="170"/>
    </row>
    <row r="281" s="39" customFormat="1" ht="22" hidden="1" customHeight="1" spans="1:23">
      <c r="A281" s="144" t="s">
        <v>990</v>
      </c>
      <c r="B281" s="174" t="s">
        <v>30</v>
      </c>
      <c r="C281" s="175"/>
      <c r="D281" s="45" t="s">
        <v>31</v>
      </c>
      <c r="E281" s="82" t="s">
        <v>991</v>
      </c>
      <c r="F281" s="81" t="str">
        <f>IFERROR(VLOOKUP(E281,客户!B:C,2,FALSE),"/")</f>
        <v>外送费用945人民币+装箱费用 加在发票里</v>
      </c>
      <c r="G281" s="84" t="s">
        <v>234</v>
      </c>
      <c r="H281" s="45" t="s">
        <v>147</v>
      </c>
      <c r="I281" s="45" t="s">
        <v>992</v>
      </c>
      <c r="J281" s="108">
        <v>43867</v>
      </c>
      <c r="K281" s="108">
        <v>43947</v>
      </c>
      <c r="L281" s="232">
        <v>43987</v>
      </c>
      <c r="M281" s="165" t="s">
        <v>993</v>
      </c>
      <c r="N281" s="198" t="s">
        <v>994</v>
      </c>
      <c r="O281" s="104" t="s">
        <v>680</v>
      </c>
      <c r="P281" s="102">
        <v>56038</v>
      </c>
      <c r="Q281" s="102"/>
      <c r="R281" s="241"/>
      <c r="S281" s="242"/>
      <c r="T281" s="102">
        <v>55715.39</v>
      </c>
      <c r="U281" s="102"/>
      <c r="V281" s="130"/>
      <c r="W281" s="170"/>
    </row>
    <row r="282" s="39" customFormat="1" ht="22" hidden="1" customHeight="1" spans="1:23">
      <c r="A282" s="144" t="s">
        <v>995</v>
      </c>
      <c r="B282" s="174" t="s">
        <v>30</v>
      </c>
      <c r="C282" s="175"/>
      <c r="D282" s="45" t="s">
        <v>31</v>
      </c>
      <c r="E282" s="82" t="s">
        <v>991</v>
      </c>
      <c r="F282" s="81" t="str">
        <f>IFERROR(VLOOKUP(E282,客户!B:C,2,FALSE),"/")</f>
        <v>外送费用945人民币+装箱费用 加在发票里</v>
      </c>
      <c r="G282" s="84" t="s">
        <v>996</v>
      </c>
      <c r="H282" s="45" t="s">
        <v>147</v>
      </c>
      <c r="I282" s="45" t="s">
        <v>997</v>
      </c>
      <c r="J282" s="108">
        <v>43867</v>
      </c>
      <c r="K282" s="108">
        <v>44010</v>
      </c>
      <c r="L282" s="232">
        <v>44045</v>
      </c>
      <c r="M282" s="165" t="s">
        <v>998</v>
      </c>
      <c r="N282" s="198" t="s">
        <v>999</v>
      </c>
      <c r="O282" s="104" t="s">
        <v>680</v>
      </c>
      <c r="P282" s="102">
        <v>59970</v>
      </c>
      <c r="Q282" s="102"/>
      <c r="R282" s="241"/>
      <c r="S282" s="242"/>
      <c r="T282" s="102">
        <v>59970</v>
      </c>
      <c r="U282" s="102"/>
      <c r="V282" s="130"/>
      <c r="W282" s="170"/>
    </row>
    <row r="283" s="39" customFormat="1" ht="22" hidden="1" customHeight="1" spans="1:23">
      <c r="A283" s="144" t="s">
        <v>1000</v>
      </c>
      <c r="B283" s="174" t="s">
        <v>30</v>
      </c>
      <c r="C283" s="175"/>
      <c r="D283" s="45" t="s">
        <v>31</v>
      </c>
      <c r="E283" s="82" t="s">
        <v>991</v>
      </c>
      <c r="F283" s="81" t="str">
        <f>IFERROR(VLOOKUP(E283,客户!B:C,2,FALSE),"/")</f>
        <v>外送费用945人民币+装箱费用 加在发票里</v>
      </c>
      <c r="G283" s="84" t="s">
        <v>234</v>
      </c>
      <c r="H283" s="45" t="s">
        <v>147</v>
      </c>
      <c r="I283" s="45" t="s">
        <v>1001</v>
      </c>
      <c r="J283" s="108">
        <v>43873</v>
      </c>
      <c r="K283" s="159">
        <v>43988</v>
      </c>
      <c r="L283" s="100">
        <v>44027</v>
      </c>
      <c r="M283" s="198" t="s">
        <v>1002</v>
      </c>
      <c r="N283" s="198" t="s">
        <v>1003</v>
      </c>
      <c r="O283" s="104" t="s">
        <v>680</v>
      </c>
      <c r="P283" s="102">
        <v>59242</v>
      </c>
      <c r="Q283" s="102"/>
      <c r="R283" s="241"/>
      <c r="S283" s="242"/>
      <c r="T283" s="102">
        <v>59074.84</v>
      </c>
      <c r="U283" s="102"/>
      <c r="V283" s="130"/>
      <c r="W283" s="170"/>
    </row>
    <row r="284" s="39" customFormat="1" ht="22" hidden="1" customHeight="1" spans="1:23">
      <c r="A284" s="144" t="s">
        <v>1004</v>
      </c>
      <c r="B284" s="174" t="s">
        <v>30</v>
      </c>
      <c r="C284" s="175"/>
      <c r="D284" s="45" t="s">
        <v>31</v>
      </c>
      <c r="E284" s="80" t="s">
        <v>60</v>
      </c>
      <c r="F284" s="81" t="str">
        <f>IFERROR(VLOOKUP(E284,客户!B:C,2,FALSE),"/")</f>
        <v>外送费用945人民币+装箱费用 加在发票里</v>
      </c>
      <c r="G284" s="84" t="s">
        <v>1005</v>
      </c>
      <c r="H284" s="45" t="s">
        <v>147</v>
      </c>
      <c r="I284" s="45" t="s">
        <v>1001</v>
      </c>
      <c r="J284" s="108">
        <v>43873</v>
      </c>
      <c r="K284" s="108">
        <v>44018</v>
      </c>
      <c r="L284" s="100">
        <v>44063</v>
      </c>
      <c r="M284" s="165" t="s">
        <v>1006</v>
      </c>
      <c r="N284" s="198" t="s">
        <v>1007</v>
      </c>
      <c r="O284" s="104" t="s">
        <v>680</v>
      </c>
      <c r="P284" s="102">
        <v>40649</v>
      </c>
      <c r="Q284" s="102"/>
      <c r="R284" s="241"/>
      <c r="S284" s="242"/>
      <c r="T284" s="102">
        <v>40649</v>
      </c>
      <c r="U284" s="102"/>
      <c r="V284" s="130"/>
      <c r="W284" s="170"/>
    </row>
    <row r="285" s="39" customFormat="1" ht="22" hidden="1" customHeight="1" spans="1:23">
      <c r="A285" s="144" t="s">
        <v>1008</v>
      </c>
      <c r="B285" s="174" t="s">
        <v>30</v>
      </c>
      <c r="C285" s="175"/>
      <c r="D285" s="45" t="s">
        <v>31</v>
      </c>
      <c r="E285" s="82" t="s">
        <v>817</v>
      </c>
      <c r="F285" s="81">
        <f>IFERROR(VLOOKUP(E285,客户!B:C,2,FALSE),"/")</f>
        <v>0</v>
      </c>
      <c r="G285" s="84" t="s">
        <v>43</v>
      </c>
      <c r="H285" s="45" t="s">
        <v>123</v>
      </c>
      <c r="I285" s="45" t="s">
        <v>1009</v>
      </c>
      <c r="J285" s="108">
        <v>43878</v>
      </c>
      <c r="K285" s="159">
        <v>44184</v>
      </c>
      <c r="L285" s="100">
        <v>44244</v>
      </c>
      <c r="M285" s="165" t="s">
        <v>1010</v>
      </c>
      <c r="N285" s="198" t="s">
        <v>1011</v>
      </c>
      <c r="O285" s="104" t="s">
        <v>523</v>
      </c>
      <c r="P285" s="102">
        <v>20517.11</v>
      </c>
      <c r="Q285" s="102">
        <v>5000</v>
      </c>
      <c r="R285" s="241"/>
      <c r="S285" s="242"/>
      <c r="T285" s="102">
        <v>10893.73</v>
      </c>
      <c r="U285" s="102">
        <f>29800/6.447</f>
        <v>4622.30494803785</v>
      </c>
      <c r="V285" s="130"/>
      <c r="W285" s="170"/>
    </row>
    <row r="286" s="39" customFormat="1" ht="22" hidden="1" customHeight="1" spans="1:23">
      <c r="A286" s="144" t="s">
        <v>1012</v>
      </c>
      <c r="B286" s="174" t="s">
        <v>30</v>
      </c>
      <c r="C286" s="175"/>
      <c r="D286" s="45" t="s">
        <v>31</v>
      </c>
      <c r="E286" s="82" t="s">
        <v>817</v>
      </c>
      <c r="F286" s="81">
        <f>IFERROR(VLOOKUP(E286,客户!B:C,2,FALSE),"/")</f>
        <v>0</v>
      </c>
      <c r="G286" s="84" t="s">
        <v>43</v>
      </c>
      <c r="H286" s="45" t="s">
        <v>123</v>
      </c>
      <c r="I286" s="45" t="s">
        <v>1013</v>
      </c>
      <c r="J286" s="108">
        <v>43878</v>
      </c>
      <c r="K286" s="108">
        <v>44017</v>
      </c>
      <c r="L286" s="100">
        <v>44052</v>
      </c>
      <c r="M286" s="165" t="s">
        <v>1014</v>
      </c>
      <c r="N286" s="198" t="s">
        <v>1015</v>
      </c>
      <c r="O286" s="104" t="s">
        <v>523</v>
      </c>
      <c r="P286" s="102">
        <v>17260</v>
      </c>
      <c r="Q286" s="102">
        <v>5000</v>
      </c>
      <c r="R286" s="241"/>
      <c r="S286" s="242"/>
      <c r="T286" s="102">
        <v>10764.75</v>
      </c>
      <c r="U286" s="102">
        <f>9779/6.54</f>
        <v>1495.25993883792</v>
      </c>
      <c r="V286" s="219" t="s">
        <v>1016</v>
      </c>
      <c r="W286" s="170"/>
    </row>
    <row r="287" s="39" customFormat="1" ht="22" hidden="1" customHeight="1" spans="1:23">
      <c r="A287" s="144" t="s">
        <v>1017</v>
      </c>
      <c r="B287" s="174" t="s">
        <v>30</v>
      </c>
      <c r="C287" s="175"/>
      <c r="D287" s="45" t="s">
        <v>31</v>
      </c>
      <c r="E287" s="82" t="s">
        <v>991</v>
      </c>
      <c r="F287" s="81" t="str">
        <f>IFERROR(VLOOKUP(E287,客户!B:C,2,FALSE),"/")</f>
        <v>外送费用945人民币+装箱费用 加在发票里</v>
      </c>
      <c r="G287" s="84" t="s">
        <v>1018</v>
      </c>
      <c r="H287" s="45" t="s">
        <v>147</v>
      </c>
      <c r="I287" s="45" t="s">
        <v>997</v>
      </c>
      <c r="J287" s="108">
        <v>43886</v>
      </c>
      <c r="K287" s="108">
        <v>44058</v>
      </c>
      <c r="L287" s="100">
        <v>44099</v>
      </c>
      <c r="M287" s="165" t="s">
        <v>1019</v>
      </c>
      <c r="N287" s="198" t="s">
        <v>1020</v>
      </c>
      <c r="O287" s="104" t="s">
        <v>680</v>
      </c>
      <c r="P287" s="102">
        <v>62229.2</v>
      </c>
      <c r="Q287" s="102"/>
      <c r="R287" s="241"/>
      <c r="S287" s="242"/>
      <c r="T287" s="102">
        <v>62229.2</v>
      </c>
      <c r="U287" s="102"/>
      <c r="V287" s="130"/>
      <c r="W287" s="170"/>
    </row>
    <row r="288" s="44" customFormat="1" ht="22" hidden="1"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3">
        <v>43886</v>
      </c>
      <c r="K288" s="233">
        <v>44110</v>
      </c>
      <c r="L288" s="234">
        <v>44147</v>
      </c>
      <c r="M288" s="235" t="s">
        <v>1023</v>
      </c>
      <c r="N288" s="236" t="s">
        <v>1024</v>
      </c>
      <c r="O288" s="237" t="s">
        <v>680</v>
      </c>
      <c r="P288" s="238">
        <v>81829.2</v>
      </c>
      <c r="Q288" s="238"/>
      <c r="R288" s="241"/>
      <c r="S288" s="247"/>
      <c r="T288" s="238">
        <v>81829.2</v>
      </c>
      <c r="U288" s="238"/>
      <c r="V288" s="248"/>
      <c r="W288" s="249"/>
    </row>
    <row r="289" s="44" customFormat="1" ht="22" hidden="1"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3">
        <v>43888</v>
      </c>
      <c r="K289" s="239">
        <v>44133</v>
      </c>
      <c r="L289" s="234">
        <v>44170</v>
      </c>
      <c r="M289" s="235" t="s">
        <v>1027</v>
      </c>
      <c r="N289" s="236" t="s">
        <v>1028</v>
      </c>
      <c r="O289" s="237" t="s">
        <v>680</v>
      </c>
      <c r="P289" s="238">
        <v>42314</v>
      </c>
      <c r="Q289" s="238"/>
      <c r="R289" s="241"/>
      <c r="S289" s="247"/>
      <c r="T289" s="238">
        <v>42314</v>
      </c>
      <c r="U289" s="238"/>
      <c r="V289" s="248"/>
      <c r="W289" s="249"/>
    </row>
    <row r="290" s="39" customFormat="1" ht="22" hidden="1" customHeight="1" spans="1:23">
      <c r="A290" s="144" t="s">
        <v>1029</v>
      </c>
      <c r="B290" s="174" t="s">
        <v>30</v>
      </c>
      <c r="C290" s="175"/>
      <c r="D290" s="45" t="s">
        <v>31</v>
      </c>
      <c r="E290" s="80" t="s">
        <v>60</v>
      </c>
      <c r="F290" s="81" t="str">
        <f>IFERROR(VLOOKUP(E290,客户!B:C,2,FALSE),"/")</f>
        <v>外送费用945人民币+装箱费用 加在发票里</v>
      </c>
      <c r="G290" s="84" t="s">
        <v>1026</v>
      </c>
      <c r="H290" s="45" t="s">
        <v>396</v>
      </c>
      <c r="I290" s="45" t="s">
        <v>1030</v>
      </c>
      <c r="J290" s="108">
        <v>43888</v>
      </c>
      <c r="K290" s="108">
        <v>44029</v>
      </c>
      <c r="L290" s="100">
        <v>44070</v>
      </c>
      <c r="M290" s="165" t="s">
        <v>1031</v>
      </c>
      <c r="N290" s="198" t="s">
        <v>1032</v>
      </c>
      <c r="O290" s="104" t="s">
        <v>680</v>
      </c>
      <c r="P290" s="102">
        <v>42400</v>
      </c>
      <c r="Q290" s="102"/>
      <c r="R290" s="241"/>
      <c r="S290" s="242"/>
      <c r="T290" s="102">
        <v>42400</v>
      </c>
      <c r="U290" s="102"/>
      <c r="V290" s="130"/>
      <c r="W290" s="170"/>
    </row>
    <row r="291" s="39" customFormat="1" ht="22" hidden="1" customHeight="1" spans="1:23">
      <c r="A291" s="144" t="s">
        <v>1033</v>
      </c>
      <c r="B291" s="174" t="s">
        <v>30</v>
      </c>
      <c r="C291" s="175"/>
      <c r="D291" s="45" t="s">
        <v>31</v>
      </c>
      <c r="E291" s="80" t="s">
        <v>1034</v>
      </c>
      <c r="F291" s="81" t="str">
        <f>IFERROR(VLOOKUP(E291,客户!B:C,2,FALSE),"/")</f>
        <v>邮寄地址地区用2222</v>
      </c>
      <c r="G291" s="84" t="s">
        <v>93</v>
      </c>
      <c r="H291" s="45" t="s">
        <v>123</v>
      </c>
      <c r="I291" s="45" t="s">
        <v>1035</v>
      </c>
      <c r="J291" s="108">
        <v>43893</v>
      </c>
      <c r="K291" s="108">
        <v>43915</v>
      </c>
      <c r="L291" s="100">
        <v>43927</v>
      </c>
      <c r="M291" s="159" t="s">
        <v>1036</v>
      </c>
      <c r="N291" s="198" t="s">
        <v>1037</v>
      </c>
      <c r="O291" s="104" t="s">
        <v>523</v>
      </c>
      <c r="P291" s="102">
        <v>19364.18</v>
      </c>
      <c r="Q291" s="102">
        <v>5795</v>
      </c>
      <c r="R291" s="241">
        <v>0</v>
      </c>
      <c r="S291" s="242"/>
      <c r="T291" s="102">
        <v>13176.97</v>
      </c>
      <c r="U291" s="102">
        <f>2761.2/7.08</f>
        <v>390</v>
      </c>
      <c r="V291" s="173" t="s">
        <v>1038</v>
      </c>
      <c r="W291" s="170"/>
    </row>
    <row r="292" s="39" customFormat="1" ht="22" hidden="1" customHeight="1" spans="1:23">
      <c r="A292" s="144" t="s">
        <v>1039</v>
      </c>
      <c r="B292" s="174" t="s">
        <v>30</v>
      </c>
      <c r="C292" s="175"/>
      <c r="D292" s="45" t="s">
        <v>31</v>
      </c>
      <c r="E292" s="82" t="s">
        <v>1040</v>
      </c>
      <c r="F292" s="81">
        <f>IFERROR(VLOOKUP(E292,客户!B:C,2,FALSE),"/")</f>
        <v>0</v>
      </c>
      <c r="G292" s="84" t="s">
        <v>941</v>
      </c>
      <c r="H292" s="45" t="s">
        <v>123</v>
      </c>
      <c r="I292" s="45" t="s">
        <v>904</v>
      </c>
      <c r="J292" s="108">
        <v>43895</v>
      </c>
      <c r="K292" s="159">
        <v>43997</v>
      </c>
      <c r="L292" s="100">
        <v>44030</v>
      </c>
      <c r="M292" s="165" t="s">
        <v>1041</v>
      </c>
      <c r="N292" s="198" t="s">
        <v>1042</v>
      </c>
      <c r="O292" s="104" t="s">
        <v>523</v>
      </c>
      <c r="P292" s="102">
        <v>19593.46</v>
      </c>
      <c r="Q292" s="102"/>
      <c r="R292" s="241"/>
      <c r="S292" s="242"/>
      <c r="T292" s="102">
        <v>15322.5</v>
      </c>
      <c r="U292" s="102">
        <f>29490/6.97</f>
        <v>4230.98995695839</v>
      </c>
      <c r="V292" s="173"/>
      <c r="W292" s="170"/>
    </row>
    <row r="293" s="39" customFormat="1" ht="22" hidden="1" customHeight="1" spans="1:23">
      <c r="A293" s="144" t="s">
        <v>1043</v>
      </c>
      <c r="B293" s="174" t="s">
        <v>30</v>
      </c>
      <c r="C293" s="175"/>
      <c r="D293" s="45" t="s">
        <v>31</v>
      </c>
      <c r="E293" s="82" t="s">
        <v>1040</v>
      </c>
      <c r="F293" s="81">
        <f>IFERROR(VLOOKUP(E293,客户!B:C,2,FALSE),"/")</f>
        <v>0</v>
      </c>
      <c r="G293" s="84" t="s">
        <v>941</v>
      </c>
      <c r="H293" s="45" t="s">
        <v>123</v>
      </c>
      <c r="I293" s="45" t="s">
        <v>904</v>
      </c>
      <c r="J293" s="108">
        <v>43895</v>
      </c>
      <c r="K293" s="159">
        <v>44045</v>
      </c>
      <c r="L293" s="100">
        <v>44076</v>
      </c>
      <c r="M293" s="165" t="s">
        <v>1044</v>
      </c>
      <c r="N293" s="198" t="s">
        <v>1045</v>
      </c>
      <c r="O293" s="104" t="s">
        <v>523</v>
      </c>
      <c r="P293" s="102">
        <v>20989.63</v>
      </c>
      <c r="Q293" s="102"/>
      <c r="R293" s="241"/>
      <c r="S293" s="242"/>
      <c r="T293" s="102">
        <v>15849.38</v>
      </c>
      <c r="U293" s="102">
        <f>34950/6.81</f>
        <v>5132.15859030837</v>
      </c>
      <c r="V293" s="173" t="s">
        <v>1046</v>
      </c>
      <c r="W293" s="170"/>
    </row>
    <row r="294" s="39" customFormat="1" ht="22" hidden="1" customHeight="1" spans="1:23">
      <c r="A294" s="144" t="s">
        <v>1047</v>
      </c>
      <c r="B294" s="174" t="s">
        <v>30</v>
      </c>
      <c r="C294" s="175"/>
      <c r="D294" s="45" t="s">
        <v>31</v>
      </c>
      <c r="E294" s="82" t="s">
        <v>692</v>
      </c>
      <c r="F294" s="81">
        <f>IFERROR(VLOOKUP(E294,客户!B:C,2,FALSE),"/")</f>
        <v>0</v>
      </c>
      <c r="G294" s="84" t="s">
        <v>1048</v>
      </c>
      <c r="H294" s="45" t="s">
        <v>123</v>
      </c>
      <c r="I294" s="45" t="s">
        <v>925</v>
      </c>
      <c r="J294" s="108">
        <v>43895</v>
      </c>
      <c r="K294" s="108">
        <v>44031</v>
      </c>
      <c r="L294" s="100">
        <v>44066</v>
      </c>
      <c r="M294" s="165" t="s">
        <v>1049</v>
      </c>
      <c r="N294" s="198" t="s">
        <v>1050</v>
      </c>
      <c r="O294" s="104" t="s">
        <v>523</v>
      </c>
      <c r="P294" s="102">
        <v>16692.71</v>
      </c>
      <c r="Q294" s="102">
        <v>2505</v>
      </c>
      <c r="R294" s="241"/>
      <c r="S294" s="242"/>
      <c r="T294" s="102">
        <v>8347</v>
      </c>
      <c r="U294" s="102">
        <v>5840.63</v>
      </c>
      <c r="V294" s="219" t="s">
        <v>1051</v>
      </c>
      <c r="W294" s="170"/>
    </row>
    <row r="295" s="39" customFormat="1" ht="22" hidden="1" customHeight="1" spans="1:23">
      <c r="A295" s="144" t="s">
        <v>1052</v>
      </c>
      <c r="B295" s="174" t="s">
        <v>30</v>
      </c>
      <c r="C295" s="175"/>
      <c r="D295" s="45" t="s">
        <v>31</v>
      </c>
      <c r="E295" s="80" t="s">
        <v>706</v>
      </c>
      <c r="F295" s="81">
        <f>IFERROR(VLOOKUP(E295,客户!B:C,2,FALSE),"/")</f>
        <v>0</v>
      </c>
      <c r="G295" s="84" t="s">
        <v>1053</v>
      </c>
      <c r="H295" s="45" t="s">
        <v>186</v>
      </c>
      <c r="I295" s="45"/>
      <c r="J295" s="108">
        <v>43895</v>
      </c>
      <c r="K295" s="108">
        <v>44084</v>
      </c>
      <c r="L295" s="100"/>
      <c r="M295" s="165" t="s">
        <v>1054</v>
      </c>
      <c r="N295" s="108"/>
      <c r="O295" s="104" t="s">
        <v>970</v>
      </c>
      <c r="P295" s="240">
        <v>115080</v>
      </c>
      <c r="Q295" s="240">
        <v>25000</v>
      </c>
      <c r="R295" s="241"/>
      <c r="S295" s="242"/>
      <c r="T295" s="240">
        <v>92330</v>
      </c>
      <c r="U295" s="240">
        <v>11664</v>
      </c>
      <c r="V295" s="219" t="s">
        <v>1055</v>
      </c>
      <c r="W295" s="170"/>
    </row>
    <row r="296" s="39" customFormat="1" ht="22" hidden="1" customHeight="1" spans="1:23">
      <c r="A296" s="144" t="s">
        <v>1056</v>
      </c>
      <c r="B296" s="174" t="s">
        <v>30</v>
      </c>
      <c r="C296" s="175"/>
      <c r="D296" s="45" t="s">
        <v>31</v>
      </c>
      <c r="E296" s="80" t="s">
        <v>706</v>
      </c>
      <c r="F296" s="81">
        <f>IFERROR(VLOOKUP(E296,客户!B:C,2,FALSE),"/")</f>
        <v>0</v>
      </c>
      <c r="G296" s="84" t="s">
        <v>1053</v>
      </c>
      <c r="H296" s="45" t="s">
        <v>186</v>
      </c>
      <c r="I296" s="45"/>
      <c r="J296" s="108">
        <v>43895</v>
      </c>
      <c r="K296" s="108">
        <v>43974</v>
      </c>
      <c r="L296" s="100"/>
      <c r="M296" s="165" t="s">
        <v>1057</v>
      </c>
      <c r="N296" s="198" t="s">
        <v>717</v>
      </c>
      <c r="O296" s="104" t="s">
        <v>970</v>
      </c>
      <c r="P296" s="102" t="s">
        <v>1058</v>
      </c>
      <c r="Q296" s="102" t="s">
        <v>1059</v>
      </c>
      <c r="R296" s="241"/>
      <c r="S296" s="242"/>
      <c r="T296" s="102" t="s">
        <v>1060</v>
      </c>
      <c r="U296" s="100"/>
      <c r="V296" s="219" t="s">
        <v>1061</v>
      </c>
      <c r="W296" s="170"/>
    </row>
    <row r="297" s="39" customFormat="1" ht="22" hidden="1" customHeight="1" spans="1:23">
      <c r="A297" s="144" t="s">
        <v>1062</v>
      </c>
      <c r="B297" s="174" t="s">
        <v>30</v>
      </c>
      <c r="C297" s="175"/>
      <c r="D297" s="45" t="s">
        <v>31</v>
      </c>
      <c r="E297" s="80" t="s">
        <v>706</v>
      </c>
      <c r="F297" s="81">
        <f>IFERROR(VLOOKUP(E297,客户!B:C,2,FALSE),"/")</f>
        <v>0</v>
      </c>
      <c r="G297" s="80" t="s">
        <v>1053</v>
      </c>
      <c r="H297" s="45" t="s">
        <v>186</v>
      </c>
      <c r="I297" s="45"/>
      <c r="J297" s="108">
        <v>43895</v>
      </c>
      <c r="K297" s="108">
        <v>43998</v>
      </c>
      <c r="L297" s="100"/>
      <c r="M297" s="165" t="s">
        <v>1063</v>
      </c>
      <c r="N297" s="108"/>
      <c r="O297" s="104" t="s">
        <v>970</v>
      </c>
      <c r="P297" s="102" t="s">
        <v>1064</v>
      </c>
      <c r="Q297" s="102" t="s">
        <v>1059</v>
      </c>
      <c r="R297" s="241"/>
      <c r="S297" s="242"/>
      <c r="T297" s="102" t="s">
        <v>1065</v>
      </c>
      <c r="U297" s="100"/>
      <c r="V297" s="130"/>
      <c r="W297" s="170"/>
    </row>
    <row r="298" s="39" customFormat="1" ht="22" hidden="1" customHeight="1" spans="1:23">
      <c r="A298" s="144" t="s">
        <v>1066</v>
      </c>
      <c r="B298" s="174" t="s">
        <v>30</v>
      </c>
      <c r="C298" s="175"/>
      <c r="D298" s="45" t="s">
        <v>31</v>
      </c>
      <c r="E298" s="82" t="s">
        <v>1067</v>
      </c>
      <c r="F298" s="81">
        <f>IFERROR(VLOOKUP(E298,客户!B:C,2,FALSE),"/")</f>
        <v>0</v>
      </c>
      <c r="G298" s="80" t="s">
        <v>1053</v>
      </c>
      <c r="H298" s="45" t="s">
        <v>186</v>
      </c>
      <c r="I298" s="45"/>
      <c r="J298" s="108">
        <v>43899</v>
      </c>
      <c r="K298" s="108">
        <v>43998</v>
      </c>
      <c r="L298" s="100"/>
      <c r="M298" s="165" t="s">
        <v>1068</v>
      </c>
      <c r="N298" s="108"/>
      <c r="O298" s="104" t="s">
        <v>970</v>
      </c>
      <c r="P298" s="102" t="s">
        <v>1064</v>
      </c>
      <c r="Q298" s="102" t="s">
        <v>1059</v>
      </c>
      <c r="R298" s="241"/>
      <c r="S298" s="242"/>
      <c r="T298" s="102" t="s">
        <v>1065</v>
      </c>
      <c r="U298" s="100"/>
      <c r="V298" s="130"/>
      <c r="W298" s="170"/>
    </row>
    <row r="299" s="39" customFormat="1" ht="22" hidden="1" customHeight="1" spans="1:23">
      <c r="A299" s="220" t="s">
        <v>1069</v>
      </c>
      <c r="B299" s="174" t="s">
        <v>30</v>
      </c>
      <c r="C299" s="175"/>
      <c r="D299" s="45" t="s">
        <v>31</v>
      </c>
      <c r="E299" s="82" t="s">
        <v>1070</v>
      </c>
      <c r="F299" s="81">
        <f>IFERROR(VLOOKUP(E299,客户!B:C,2,FALSE),"/")</f>
        <v>0</v>
      </c>
      <c r="G299" s="80" t="s">
        <v>200</v>
      </c>
      <c r="H299" s="45" t="s">
        <v>123</v>
      </c>
      <c r="I299" s="45" t="s">
        <v>210</v>
      </c>
      <c r="J299" s="108">
        <v>43901</v>
      </c>
      <c r="K299" s="108">
        <v>44025</v>
      </c>
      <c r="L299" s="100">
        <v>44062</v>
      </c>
      <c r="M299" s="165" t="s">
        <v>1071</v>
      </c>
      <c r="N299" s="198" t="s">
        <v>1072</v>
      </c>
      <c r="O299" s="104" t="s">
        <v>680</v>
      </c>
      <c r="P299" s="102">
        <v>57011.01</v>
      </c>
      <c r="Q299" s="102"/>
      <c r="R299" s="241"/>
      <c r="S299" s="242"/>
      <c r="T299" s="102">
        <v>57011.01</v>
      </c>
      <c r="U299" s="100"/>
      <c r="V299" s="130"/>
      <c r="W299" s="170"/>
    </row>
    <row r="300" s="39" customFormat="1" ht="22" hidden="1" customHeight="1" spans="1:23">
      <c r="A300" s="220" t="s">
        <v>1073</v>
      </c>
      <c r="B300" s="174" t="s">
        <v>30</v>
      </c>
      <c r="C300" s="175"/>
      <c r="D300" s="45" t="s">
        <v>31</v>
      </c>
      <c r="E300" s="82" t="s">
        <v>1070</v>
      </c>
      <c r="F300" s="81">
        <f>IFERROR(VLOOKUP(E300,客户!B:C,2,FALSE),"/")</f>
        <v>0</v>
      </c>
      <c r="G300" s="80" t="s">
        <v>200</v>
      </c>
      <c r="H300" s="45" t="s">
        <v>123</v>
      </c>
      <c r="I300" s="45" t="s">
        <v>210</v>
      </c>
      <c r="J300" s="108">
        <v>43901</v>
      </c>
      <c r="K300" s="108">
        <v>44036</v>
      </c>
      <c r="L300" s="100">
        <v>44068</v>
      </c>
      <c r="M300" s="165" t="s">
        <v>1074</v>
      </c>
      <c r="N300" s="198" t="s">
        <v>721</v>
      </c>
      <c r="O300" s="104" t="s">
        <v>680</v>
      </c>
      <c r="P300" s="102">
        <v>57059.59</v>
      </c>
      <c r="Q300" s="102"/>
      <c r="R300" s="241"/>
      <c r="S300" s="242"/>
      <c r="T300" s="102">
        <v>57059.59</v>
      </c>
      <c r="U300" s="100"/>
      <c r="V300" s="130"/>
      <c r="W300" s="170"/>
    </row>
    <row r="301" s="39" customFormat="1" ht="22" hidden="1" customHeight="1" spans="1:23">
      <c r="A301" s="144" t="s">
        <v>1075</v>
      </c>
      <c r="B301" s="174" t="s">
        <v>30</v>
      </c>
      <c r="C301" s="175"/>
      <c r="D301" s="45" t="s">
        <v>31</v>
      </c>
      <c r="E301" s="82" t="s">
        <v>1076</v>
      </c>
      <c r="F301" s="81">
        <f>IFERROR(VLOOKUP(E301,客户!B:C,2,FALSE),"/")</f>
        <v>0</v>
      </c>
      <c r="G301" s="80" t="s">
        <v>1077</v>
      </c>
      <c r="H301" s="45" t="s">
        <v>127</v>
      </c>
      <c r="I301" s="45" t="s">
        <v>1078</v>
      </c>
      <c r="J301" s="108">
        <v>43906</v>
      </c>
      <c r="K301" s="108">
        <v>44006</v>
      </c>
      <c r="L301" s="100">
        <v>44019</v>
      </c>
      <c r="M301" s="165" t="s">
        <v>1079</v>
      </c>
      <c r="N301" s="198" t="s">
        <v>1080</v>
      </c>
      <c r="O301" s="104" t="s">
        <v>523</v>
      </c>
      <c r="P301" s="102">
        <v>50634.6</v>
      </c>
      <c r="Q301" s="102">
        <v>15189</v>
      </c>
      <c r="R301" s="241"/>
      <c r="S301" s="242"/>
      <c r="T301" s="102">
        <v>4220.66</v>
      </c>
      <c r="U301" s="102">
        <v>31139.14</v>
      </c>
      <c r="V301" s="243" t="s">
        <v>1081</v>
      </c>
      <c r="W301" s="170"/>
    </row>
    <row r="302" s="39" customFormat="1" ht="22" hidden="1" customHeight="1" spans="1:23">
      <c r="A302" s="144" t="s">
        <v>1082</v>
      </c>
      <c r="B302" s="174" t="s">
        <v>30</v>
      </c>
      <c r="C302" s="175"/>
      <c r="D302" s="45" t="s">
        <v>31</v>
      </c>
      <c r="E302" s="82" t="s">
        <v>1083</v>
      </c>
      <c r="F302" s="81">
        <f>IFERROR(VLOOKUP(E302,客户!B:C,2,FALSE),"/")</f>
        <v>0</v>
      </c>
      <c r="G302" s="80" t="s">
        <v>1048</v>
      </c>
      <c r="H302" s="45" t="s">
        <v>147</v>
      </c>
      <c r="I302" s="45" t="s">
        <v>1084</v>
      </c>
      <c r="J302" s="108">
        <v>43908</v>
      </c>
      <c r="K302" s="100">
        <v>43945</v>
      </c>
      <c r="L302" s="100">
        <v>43958</v>
      </c>
      <c r="M302" s="165" t="s">
        <v>1085</v>
      </c>
      <c r="N302" s="198" t="s">
        <v>1086</v>
      </c>
      <c r="O302" s="104" t="s">
        <v>523</v>
      </c>
      <c r="P302" s="102">
        <v>21341.63</v>
      </c>
      <c r="Q302" s="102">
        <v>6405</v>
      </c>
      <c r="R302" s="241"/>
      <c r="S302" s="242"/>
      <c r="T302" s="102">
        <v>14899.05</v>
      </c>
      <c r="U302" s="100"/>
      <c r="V302" s="219" t="s">
        <v>1087</v>
      </c>
      <c r="W302" s="170"/>
    </row>
    <row r="303" s="39" customFormat="1" ht="22" hidden="1" customHeight="1" spans="1:23">
      <c r="A303" s="144" t="s">
        <v>1088</v>
      </c>
      <c r="B303" s="174" t="s">
        <v>30</v>
      </c>
      <c r="C303" s="175"/>
      <c r="D303" s="45" t="s">
        <v>31</v>
      </c>
      <c r="E303" s="82" t="s">
        <v>1083</v>
      </c>
      <c r="F303" s="81">
        <f>IFERROR(VLOOKUP(E303,客户!B:C,2,FALSE),"/")</f>
        <v>0</v>
      </c>
      <c r="G303" s="80" t="s">
        <v>1048</v>
      </c>
      <c r="H303" s="45" t="s">
        <v>147</v>
      </c>
      <c r="I303" s="45" t="s">
        <v>1084</v>
      </c>
      <c r="J303" s="108">
        <v>43921</v>
      </c>
      <c r="K303" s="108">
        <v>43984</v>
      </c>
      <c r="L303" s="100">
        <v>43996</v>
      </c>
      <c r="M303" s="165" t="s">
        <v>1089</v>
      </c>
      <c r="N303" s="198" t="s">
        <v>1090</v>
      </c>
      <c r="O303" s="104" t="s">
        <v>523</v>
      </c>
      <c r="P303" s="102">
        <v>22124.38</v>
      </c>
      <c r="Q303" s="102">
        <v>6637.31</v>
      </c>
      <c r="R303" s="241"/>
      <c r="S303" s="242"/>
      <c r="T303" s="102">
        <v>15453.07</v>
      </c>
      <c r="U303" s="100"/>
      <c r="V303" s="246" t="s">
        <v>1091</v>
      </c>
      <c r="W303" s="170"/>
    </row>
    <row r="304" s="39" customFormat="1" ht="22" hidden="1" customHeight="1" spans="1:23">
      <c r="A304" s="144" t="s">
        <v>1092</v>
      </c>
      <c r="B304" s="174" t="s">
        <v>30</v>
      </c>
      <c r="C304" s="175"/>
      <c r="D304" s="45" t="s">
        <v>31</v>
      </c>
      <c r="E304" s="82" t="s">
        <v>1093</v>
      </c>
      <c r="F304" s="81">
        <f>IFERROR(VLOOKUP(E304,客户!B:C,2,FALSE),"/")</f>
        <v>0</v>
      </c>
      <c r="G304" s="80" t="s">
        <v>1094</v>
      </c>
      <c r="H304" s="45" t="s">
        <v>123</v>
      </c>
      <c r="I304" s="45" t="s">
        <v>1095</v>
      </c>
      <c r="J304" s="108">
        <v>43926</v>
      </c>
      <c r="K304" s="108">
        <v>43983</v>
      </c>
      <c r="L304" s="100">
        <v>44024</v>
      </c>
      <c r="M304" s="165" t="s">
        <v>1096</v>
      </c>
      <c r="N304" s="198" t="s">
        <v>1097</v>
      </c>
      <c r="O304" s="104" t="s">
        <v>523</v>
      </c>
      <c r="P304" s="102">
        <v>19353</v>
      </c>
      <c r="Q304" s="102">
        <v>5000</v>
      </c>
      <c r="R304" s="241"/>
      <c r="S304" s="242"/>
      <c r="T304" s="102">
        <v>14315</v>
      </c>
      <c r="U304" s="100"/>
      <c r="V304" s="243" t="s">
        <v>1098</v>
      </c>
      <c r="W304" s="170"/>
    </row>
    <row r="305" s="39" customFormat="1" ht="22" hidden="1" customHeight="1" spans="1:23">
      <c r="A305" s="144" t="s">
        <v>1099</v>
      </c>
      <c r="B305" s="174" t="s">
        <v>30</v>
      </c>
      <c r="C305" s="175"/>
      <c r="D305" s="45" t="s">
        <v>31</v>
      </c>
      <c r="E305" s="82" t="s">
        <v>1100</v>
      </c>
      <c r="F305" s="81">
        <f>IFERROR(VLOOKUP(E305,客户!B:C,2,FALSE),"/")</f>
        <v>0</v>
      </c>
      <c r="G305" s="80" t="s">
        <v>1101</v>
      </c>
      <c r="H305" s="45" t="s">
        <v>123</v>
      </c>
      <c r="I305" s="45" t="s">
        <v>1102</v>
      </c>
      <c r="J305" s="108">
        <v>43931</v>
      </c>
      <c r="K305" s="108">
        <v>43981</v>
      </c>
      <c r="L305" s="100">
        <v>44029</v>
      </c>
      <c r="M305" s="165" t="s">
        <v>1103</v>
      </c>
      <c r="N305" s="108" t="s">
        <v>1104</v>
      </c>
      <c r="O305" s="104" t="s">
        <v>523</v>
      </c>
      <c r="P305" s="102">
        <f>69683.66+1126.59</f>
        <v>70810.25</v>
      </c>
      <c r="Q305" s="102">
        <v>8783</v>
      </c>
      <c r="R305" s="241"/>
      <c r="S305" s="242"/>
      <c r="T305" s="102">
        <f>46405+13000</f>
        <v>59405</v>
      </c>
      <c r="U305" s="102">
        <v>1518</v>
      </c>
      <c r="V305" s="130" t="s">
        <v>1105</v>
      </c>
      <c r="W305" s="170"/>
    </row>
    <row r="306" s="39" customFormat="1" ht="22" hidden="1" customHeight="1" spans="1:23">
      <c r="A306" s="144" t="s">
        <v>1106</v>
      </c>
      <c r="B306" s="174" t="s">
        <v>30</v>
      </c>
      <c r="C306" s="175"/>
      <c r="D306" s="45" t="s">
        <v>31</v>
      </c>
      <c r="E306" s="82" t="s">
        <v>1100</v>
      </c>
      <c r="F306" s="81">
        <f>IFERROR(VLOOKUP(E306,客户!B:C,2,FALSE),"/")</f>
        <v>0</v>
      </c>
      <c r="G306" s="80" t="s">
        <v>1107</v>
      </c>
      <c r="H306" s="45" t="s">
        <v>123</v>
      </c>
      <c r="I306" s="45" t="s">
        <v>1108</v>
      </c>
      <c r="J306" s="108">
        <v>43931</v>
      </c>
      <c r="K306" s="108">
        <v>43994</v>
      </c>
      <c r="L306" s="100">
        <v>44034</v>
      </c>
      <c r="M306" s="165" t="s">
        <v>1109</v>
      </c>
      <c r="N306" s="198" t="s">
        <v>1110</v>
      </c>
      <c r="O306" s="104" t="s">
        <v>523</v>
      </c>
      <c r="P306" s="102">
        <v>24576.24</v>
      </c>
      <c r="Q306" s="102">
        <v>3001</v>
      </c>
      <c r="R306" s="241"/>
      <c r="S306" s="242"/>
      <c r="T306" s="102">
        <v>22756</v>
      </c>
      <c r="U306" s="102"/>
      <c r="V306" s="219" t="s">
        <v>1111</v>
      </c>
      <c r="W306" s="170"/>
    </row>
    <row r="307" s="39" customFormat="1" ht="22" hidden="1" customHeight="1" spans="1:23">
      <c r="A307" s="144" t="s">
        <v>1112</v>
      </c>
      <c r="B307" s="174" t="s">
        <v>30</v>
      </c>
      <c r="C307" s="175"/>
      <c r="D307" s="45" t="s">
        <v>31</v>
      </c>
      <c r="E307" s="82" t="s">
        <v>1113</v>
      </c>
      <c r="F307" s="81" t="str">
        <f>IFERROR(VLOOKUP(E307,客户!B:C,2,FALSE),"/")</f>
        <v>收货人可能变 每次和客户确认下收货人 必须受到客户明确回复</v>
      </c>
      <c r="G307" s="80" t="s">
        <v>979</v>
      </c>
      <c r="H307" s="45" t="s">
        <v>123</v>
      </c>
      <c r="I307" s="45" t="s">
        <v>980</v>
      </c>
      <c r="J307" s="108">
        <v>43938</v>
      </c>
      <c r="K307" s="108">
        <v>44064</v>
      </c>
      <c r="L307" s="100">
        <v>44099</v>
      </c>
      <c r="M307" s="165" t="s">
        <v>1114</v>
      </c>
      <c r="N307" s="108" t="s">
        <v>1115</v>
      </c>
      <c r="O307" s="104" t="s">
        <v>523</v>
      </c>
      <c r="P307" s="102">
        <v>38762.1</v>
      </c>
      <c r="Q307" s="102">
        <f>8000+3568</f>
        <v>11568</v>
      </c>
      <c r="R307" s="241"/>
      <c r="S307" s="242"/>
      <c r="T307" s="102">
        <v>27194</v>
      </c>
      <c r="U307" s="100"/>
      <c r="V307" s="130"/>
      <c r="W307" s="170"/>
    </row>
    <row r="308" s="39" customFormat="1" ht="22" hidden="1" customHeight="1" spans="1:23">
      <c r="A308" s="144" t="s">
        <v>1116</v>
      </c>
      <c r="B308" s="174" t="s">
        <v>30</v>
      </c>
      <c r="C308" s="175"/>
      <c r="D308" s="45" t="s">
        <v>31</v>
      </c>
      <c r="E308" s="82" t="s">
        <v>1117</v>
      </c>
      <c r="F308" s="81">
        <f>IFERROR(VLOOKUP(E308,客户!B:C,2,FALSE),"/")</f>
        <v>0</v>
      </c>
      <c r="G308" s="80" t="s">
        <v>1118</v>
      </c>
      <c r="H308" s="229" t="s">
        <v>186</v>
      </c>
      <c r="I308" s="45"/>
      <c r="J308" s="108">
        <v>43960</v>
      </c>
      <c r="K308" s="108">
        <v>43983</v>
      </c>
      <c r="L308" s="100"/>
      <c r="M308" s="165" t="s">
        <v>1119</v>
      </c>
      <c r="N308" s="108"/>
      <c r="O308" s="104" t="s">
        <v>970</v>
      </c>
      <c r="P308" s="240">
        <v>900</v>
      </c>
      <c r="Q308" s="102"/>
      <c r="R308" s="241"/>
      <c r="S308" s="242"/>
      <c r="T308" s="240">
        <v>900</v>
      </c>
      <c r="U308" s="100"/>
      <c r="V308" s="130"/>
      <c r="W308" s="170"/>
    </row>
    <row r="309" s="39" customFormat="1" ht="22" hidden="1" customHeight="1" spans="1:23">
      <c r="A309" s="144" t="s">
        <v>1120</v>
      </c>
      <c r="B309" s="174" t="s">
        <v>30</v>
      </c>
      <c r="C309" s="175"/>
      <c r="D309" s="45" t="s">
        <v>31</v>
      </c>
      <c r="E309" s="82" t="s">
        <v>1121</v>
      </c>
      <c r="F309" s="81">
        <f>IFERROR(VLOOKUP(E309,客户!B:C,2,FALSE),"/")</f>
        <v>0</v>
      </c>
      <c r="G309" s="80" t="s">
        <v>1122</v>
      </c>
      <c r="H309" s="229" t="s">
        <v>127</v>
      </c>
      <c r="I309" s="45" t="s">
        <v>1123</v>
      </c>
      <c r="J309" s="108">
        <v>43970</v>
      </c>
      <c r="K309" s="108">
        <v>44009</v>
      </c>
      <c r="L309" s="100">
        <v>44025</v>
      </c>
      <c r="M309" s="165" t="s">
        <v>1124</v>
      </c>
      <c r="N309" s="198" t="s">
        <v>1125</v>
      </c>
      <c r="O309" s="104" t="s">
        <v>523</v>
      </c>
      <c r="P309" s="102">
        <v>59709.8</v>
      </c>
      <c r="Q309" s="102">
        <f>6000+10000</f>
        <v>16000</v>
      </c>
      <c r="R309" s="241"/>
      <c r="S309" s="242"/>
      <c r="T309" s="102">
        <v>43666.6</v>
      </c>
      <c r="U309" s="100"/>
      <c r="V309" s="243" t="s">
        <v>1126</v>
      </c>
      <c r="W309" s="170"/>
    </row>
    <row r="310" s="39" customFormat="1" ht="22" hidden="1" customHeight="1" spans="1:23">
      <c r="A310" s="144" t="s">
        <v>1127</v>
      </c>
      <c r="B310" s="174" t="s">
        <v>30</v>
      </c>
      <c r="C310" s="175"/>
      <c r="D310" s="45" t="s">
        <v>31</v>
      </c>
      <c r="E310" s="82" t="s">
        <v>1128</v>
      </c>
      <c r="F310" s="81">
        <f>IFERROR(VLOOKUP(E310,客户!B:C,2,FALSE),"/")</f>
        <v>0</v>
      </c>
      <c r="G310" s="80" t="s">
        <v>68</v>
      </c>
      <c r="H310" s="45" t="s">
        <v>123</v>
      </c>
      <c r="I310" s="45" t="s">
        <v>1129</v>
      </c>
      <c r="J310" s="108">
        <v>43984</v>
      </c>
      <c r="K310" s="159">
        <v>44044</v>
      </c>
      <c r="L310" s="100">
        <v>44072</v>
      </c>
      <c r="M310" s="165" t="s">
        <v>1130</v>
      </c>
      <c r="N310" s="198" t="s">
        <v>1131</v>
      </c>
      <c r="O310" s="104" t="s">
        <v>523</v>
      </c>
      <c r="P310" s="102">
        <v>35471.25</v>
      </c>
      <c r="Q310" s="102">
        <v>7100</v>
      </c>
      <c r="R310" s="241"/>
      <c r="S310" s="242"/>
      <c r="T310" s="102">
        <v>28371.07</v>
      </c>
      <c r="U310" s="100"/>
      <c r="V310" s="130"/>
      <c r="W310" s="170"/>
    </row>
    <row r="311" s="39" customFormat="1" ht="22" hidden="1" customHeight="1" spans="1:23">
      <c r="A311" s="144" t="s">
        <v>1132</v>
      </c>
      <c r="B311" s="174" t="s">
        <v>30</v>
      </c>
      <c r="C311" s="175"/>
      <c r="D311" s="45" t="s">
        <v>31</v>
      </c>
      <c r="E311" s="82" t="s">
        <v>1133</v>
      </c>
      <c r="F311" s="81">
        <f>IFERROR(VLOOKUP(E311,客户!B:C,2,FALSE),"/")</f>
        <v>0</v>
      </c>
      <c r="G311" s="80" t="s">
        <v>985</v>
      </c>
      <c r="H311" s="45" t="s">
        <v>147</v>
      </c>
      <c r="I311" s="45" t="s">
        <v>1134</v>
      </c>
      <c r="J311" s="108">
        <v>43985</v>
      </c>
      <c r="K311" s="108">
        <v>44013</v>
      </c>
      <c r="L311" s="100">
        <v>44022</v>
      </c>
      <c r="M311" s="165" t="s">
        <v>1135</v>
      </c>
      <c r="N311" s="198" t="s">
        <v>1136</v>
      </c>
      <c r="O311" s="104" t="s">
        <v>523</v>
      </c>
      <c r="P311" s="102">
        <v>20302.95</v>
      </c>
      <c r="Q311" s="102">
        <v>6090</v>
      </c>
      <c r="R311" s="241"/>
      <c r="S311" s="242"/>
      <c r="T311" s="102">
        <v>14178.06</v>
      </c>
      <c r="U311" s="100"/>
      <c r="V311" s="243" t="s">
        <v>1137</v>
      </c>
      <c r="W311" s="170"/>
    </row>
    <row r="312" s="39" customFormat="1" ht="22" hidden="1" customHeight="1" spans="1:23">
      <c r="A312" s="144" t="s">
        <v>1138</v>
      </c>
      <c r="B312" s="174" t="s">
        <v>30</v>
      </c>
      <c r="C312" s="175"/>
      <c r="D312" s="45" t="s">
        <v>31</v>
      </c>
      <c r="E312" s="82" t="s">
        <v>933</v>
      </c>
      <c r="F312" s="81">
        <f>IFERROR(VLOOKUP(E312,客户!B:C,2,FALSE),"/")</f>
        <v>0</v>
      </c>
      <c r="G312" s="80" t="s">
        <v>1139</v>
      </c>
      <c r="H312" s="45" t="s">
        <v>123</v>
      </c>
      <c r="I312" s="45" t="s">
        <v>1140</v>
      </c>
      <c r="J312" s="108">
        <v>43993</v>
      </c>
      <c r="K312" s="108">
        <v>44037</v>
      </c>
      <c r="L312" s="100">
        <v>44062</v>
      </c>
      <c r="M312" s="165" t="s">
        <v>1141</v>
      </c>
      <c r="N312" s="198" t="s">
        <v>1142</v>
      </c>
      <c r="O312" s="104" t="s">
        <v>523</v>
      </c>
      <c r="P312" s="102">
        <v>22439.91</v>
      </c>
      <c r="Q312" s="102">
        <v>6770.4</v>
      </c>
      <c r="R312" s="241"/>
      <c r="S312" s="242"/>
      <c r="T312" s="102">
        <f>935.84+14733.67</f>
        <v>15669.51</v>
      </c>
      <c r="U312" s="100"/>
      <c r="V312" s="130"/>
      <c r="W312" s="170"/>
    </row>
    <row r="313" s="39" customFormat="1" ht="22" hidden="1" customHeight="1" spans="1:23">
      <c r="A313" s="144" t="s">
        <v>1143</v>
      </c>
      <c r="B313" s="174" t="s">
        <v>30</v>
      </c>
      <c r="C313" s="175"/>
      <c r="D313" s="45" t="s">
        <v>31</v>
      </c>
      <c r="E313" s="82" t="s">
        <v>952</v>
      </c>
      <c r="F313" s="81">
        <f>IFERROR(VLOOKUP(E313,客户!B:C,2,FALSE),"/")</f>
        <v>0</v>
      </c>
      <c r="G313" s="80" t="s">
        <v>1144</v>
      </c>
      <c r="H313" s="45" t="s">
        <v>127</v>
      </c>
      <c r="I313" s="45" t="s">
        <v>1123</v>
      </c>
      <c r="J313" s="108">
        <v>43993</v>
      </c>
      <c r="K313" s="108">
        <v>44037</v>
      </c>
      <c r="L313" s="100">
        <v>44053</v>
      </c>
      <c r="M313" s="165" t="s">
        <v>1145</v>
      </c>
      <c r="N313" s="198" t="s">
        <v>1146</v>
      </c>
      <c r="O313" s="104" t="s">
        <v>523</v>
      </c>
      <c r="P313" s="102">
        <v>80532.7</v>
      </c>
      <c r="Q313" s="102">
        <f>10000+10000</f>
        <v>20000</v>
      </c>
      <c r="R313" s="241"/>
      <c r="S313" s="242"/>
      <c r="T313" s="102">
        <v>60533</v>
      </c>
      <c r="U313" s="100"/>
      <c r="V313" s="130"/>
      <c r="W313" s="170"/>
    </row>
    <row r="314" s="39" customFormat="1" ht="22" hidden="1" customHeight="1" spans="1:23">
      <c r="A314" s="144" t="s">
        <v>1147</v>
      </c>
      <c r="B314" s="174" t="s">
        <v>30</v>
      </c>
      <c r="C314" s="175"/>
      <c r="D314" s="45" t="s">
        <v>31</v>
      </c>
      <c r="E314" s="82" t="s">
        <v>940</v>
      </c>
      <c r="F314" s="81">
        <f>IFERROR(VLOOKUP(E314,客户!B:C,2,FALSE),"/")</f>
        <v>0</v>
      </c>
      <c r="G314" s="80" t="s">
        <v>1148</v>
      </c>
      <c r="H314" s="45" t="s">
        <v>123</v>
      </c>
      <c r="I314" s="45" t="s">
        <v>1149</v>
      </c>
      <c r="J314" s="108">
        <v>44000</v>
      </c>
      <c r="K314" s="108">
        <v>44038</v>
      </c>
      <c r="L314" s="100">
        <v>44077</v>
      </c>
      <c r="M314" s="198" t="s">
        <v>1150</v>
      </c>
      <c r="N314" s="198" t="s">
        <v>1151</v>
      </c>
      <c r="O314" s="104" t="s">
        <v>523</v>
      </c>
      <c r="P314" s="102">
        <v>20390.75</v>
      </c>
      <c r="Q314" s="102">
        <v>4015</v>
      </c>
      <c r="R314" s="241"/>
      <c r="S314" s="242"/>
      <c r="T314" s="102">
        <v>16375.75</v>
      </c>
      <c r="U314" s="100"/>
      <c r="V314" s="130"/>
      <c r="W314" s="170"/>
    </row>
    <row r="315" s="39" customFormat="1" ht="22" hidden="1" customHeight="1" spans="1:23">
      <c r="A315" s="144" t="s">
        <v>1152</v>
      </c>
      <c r="B315" s="174" t="s">
        <v>30</v>
      </c>
      <c r="C315" s="175"/>
      <c r="D315" s="45" t="s">
        <v>31</v>
      </c>
      <c r="E315" s="82" t="s">
        <v>1153</v>
      </c>
      <c r="F315" s="81">
        <f>IFERROR(VLOOKUP(E315,客户!B:C,2,FALSE),"/")</f>
        <v>0</v>
      </c>
      <c r="G315" s="80" t="s">
        <v>1154</v>
      </c>
      <c r="H315" s="45" t="s">
        <v>123</v>
      </c>
      <c r="I315" s="45" t="s">
        <v>909</v>
      </c>
      <c r="J315" s="108">
        <v>44003</v>
      </c>
      <c r="K315" s="159">
        <v>44041</v>
      </c>
      <c r="L315" s="100">
        <v>44087</v>
      </c>
      <c r="M315" s="165" t="s">
        <v>1155</v>
      </c>
      <c r="N315" s="198" t="s">
        <v>1156</v>
      </c>
      <c r="O315" s="104" t="s">
        <v>523</v>
      </c>
      <c r="P315" s="102">
        <v>21296.35</v>
      </c>
      <c r="Q315" s="102">
        <v>6265.27</v>
      </c>
      <c r="R315" s="241"/>
      <c r="S315" s="242"/>
      <c r="T315" s="102">
        <v>15031.08</v>
      </c>
      <c r="U315" s="100"/>
      <c r="V315" s="130"/>
      <c r="W315" s="170"/>
    </row>
    <row r="316" s="39" customFormat="1" ht="22" hidden="1" customHeight="1" spans="1:23">
      <c r="A316" s="144" t="s">
        <v>1157</v>
      </c>
      <c r="B316" s="174" t="s">
        <v>30</v>
      </c>
      <c r="C316" s="175"/>
      <c r="D316" s="45" t="s">
        <v>31</v>
      </c>
      <c r="E316" s="82" t="s">
        <v>1070</v>
      </c>
      <c r="F316" s="81">
        <f>IFERROR(VLOOKUP(E316,客户!B:C,2,FALSE),"/")</f>
        <v>0</v>
      </c>
      <c r="G316" s="80" t="s">
        <v>566</v>
      </c>
      <c r="H316" s="45" t="s">
        <v>123</v>
      </c>
      <c r="I316" s="45" t="s">
        <v>1158</v>
      </c>
      <c r="J316" s="108">
        <v>44005</v>
      </c>
      <c r="K316" s="159">
        <v>44060</v>
      </c>
      <c r="L316" s="100">
        <v>44097</v>
      </c>
      <c r="M316" s="165" t="s">
        <v>1159</v>
      </c>
      <c r="N316" s="198" t="s">
        <v>1160</v>
      </c>
      <c r="O316" s="104" t="s">
        <v>680</v>
      </c>
      <c r="P316" s="102">
        <v>38379.36</v>
      </c>
      <c r="Q316" s="102"/>
      <c r="R316" s="241"/>
      <c r="S316" s="242"/>
      <c r="T316" s="102">
        <v>38379.36</v>
      </c>
      <c r="U316" s="100"/>
      <c r="V316" s="130"/>
      <c r="W316" s="170"/>
    </row>
    <row r="317" s="39" customFormat="1" ht="22" hidden="1" customHeight="1" spans="1:23">
      <c r="A317" s="144" t="s">
        <v>1161</v>
      </c>
      <c r="B317" s="174" t="s">
        <v>30</v>
      </c>
      <c r="C317" s="175"/>
      <c r="D317" s="45" t="s">
        <v>31</v>
      </c>
      <c r="E317" s="82" t="s">
        <v>1070</v>
      </c>
      <c r="F317" s="81">
        <f>IFERROR(VLOOKUP(E317,客户!B:C,2,FALSE),"/")</f>
        <v>0</v>
      </c>
      <c r="G317" s="80" t="s">
        <v>86</v>
      </c>
      <c r="H317" s="45" t="s">
        <v>123</v>
      </c>
      <c r="I317" s="45" t="s">
        <v>1158</v>
      </c>
      <c r="J317" s="108">
        <v>44005</v>
      </c>
      <c r="K317" s="108">
        <v>44087</v>
      </c>
      <c r="L317" s="100">
        <v>44125</v>
      </c>
      <c r="M317" s="165" t="s">
        <v>1162</v>
      </c>
      <c r="N317" s="198" t="s">
        <v>1160</v>
      </c>
      <c r="O317" s="104" t="s">
        <v>523</v>
      </c>
      <c r="P317" s="102">
        <v>57569.04</v>
      </c>
      <c r="Q317" s="102"/>
      <c r="R317" s="241"/>
      <c r="S317" s="242"/>
      <c r="T317" s="102">
        <v>57569.04</v>
      </c>
      <c r="U317" s="100"/>
      <c r="V317" s="130"/>
      <c r="W317" s="170"/>
    </row>
    <row r="318" s="39" customFormat="1" ht="22" hidden="1" customHeight="1" spans="1:23">
      <c r="A318" s="144" t="s">
        <v>1163</v>
      </c>
      <c r="B318" s="174" t="s">
        <v>30</v>
      </c>
      <c r="C318" s="175"/>
      <c r="D318" s="45" t="s">
        <v>31</v>
      </c>
      <c r="E318" s="82" t="s">
        <v>1070</v>
      </c>
      <c r="F318" s="81">
        <f>IFERROR(VLOOKUP(E318,客户!B:C,2,FALSE),"/")</f>
        <v>0</v>
      </c>
      <c r="G318" s="80" t="s">
        <v>566</v>
      </c>
      <c r="H318" s="45" t="s">
        <v>123</v>
      </c>
      <c r="I318" s="45" t="s">
        <v>1164</v>
      </c>
      <c r="J318" s="108">
        <v>44005</v>
      </c>
      <c r="K318" s="159">
        <v>44045</v>
      </c>
      <c r="L318" s="100">
        <v>44083</v>
      </c>
      <c r="M318" s="165" t="s">
        <v>1165</v>
      </c>
      <c r="N318" s="198" t="s">
        <v>1160</v>
      </c>
      <c r="O318" s="104" t="s">
        <v>680</v>
      </c>
      <c r="P318" s="102">
        <v>38737</v>
      </c>
      <c r="Q318" s="102"/>
      <c r="R318" s="241"/>
      <c r="S318" s="242"/>
      <c r="T318" s="102">
        <v>38737</v>
      </c>
      <c r="U318" s="100"/>
      <c r="V318" s="130"/>
      <c r="W318" s="170"/>
    </row>
    <row r="319" s="39" customFormat="1" ht="25" hidden="1" customHeight="1" spans="1:23">
      <c r="A319" s="144" t="s">
        <v>1166</v>
      </c>
      <c r="B319" s="174" t="s">
        <v>30</v>
      </c>
      <c r="C319" s="175"/>
      <c r="D319" s="45" t="s">
        <v>31</v>
      </c>
      <c r="E319" s="82" t="s">
        <v>1167</v>
      </c>
      <c r="F319" s="81">
        <f>IFERROR(VLOOKUP(E319,客户!B:C,2,FALSE),"/")</f>
        <v>0</v>
      </c>
      <c r="G319" s="80" t="s">
        <v>1139</v>
      </c>
      <c r="H319" s="45" t="s">
        <v>123</v>
      </c>
      <c r="I319" s="45" t="s">
        <v>1168</v>
      </c>
      <c r="J319" s="108">
        <v>44019</v>
      </c>
      <c r="K319" s="159">
        <v>44056</v>
      </c>
      <c r="L319" s="100">
        <v>44080</v>
      </c>
      <c r="M319" s="165" t="s">
        <v>1169</v>
      </c>
      <c r="N319" s="198" t="s">
        <v>1142</v>
      </c>
      <c r="O319" s="104" t="s">
        <v>523</v>
      </c>
      <c r="P319" s="102">
        <v>22841.99</v>
      </c>
      <c r="Q319" s="102">
        <v>7122</v>
      </c>
      <c r="R319" s="241"/>
      <c r="S319" s="242"/>
      <c r="T319" s="102">
        <v>15719.99</v>
      </c>
      <c r="U319" s="100"/>
      <c r="V319" s="130"/>
      <c r="W319" s="170"/>
    </row>
    <row r="320" s="39" customFormat="1" ht="25" hidden="1" customHeight="1" spans="1:23">
      <c r="A320" s="144" t="s">
        <v>1170</v>
      </c>
      <c r="B320" s="174" t="s">
        <v>30</v>
      </c>
      <c r="C320" s="175"/>
      <c r="D320" s="45" t="s">
        <v>31</v>
      </c>
      <c r="E320" s="82" t="s">
        <v>1167</v>
      </c>
      <c r="F320" s="81">
        <f>IFERROR(VLOOKUP(E320,客户!B:C,2,FALSE),"/")</f>
        <v>0</v>
      </c>
      <c r="G320" s="80" t="s">
        <v>1171</v>
      </c>
      <c r="H320" s="45" t="s">
        <v>123</v>
      </c>
      <c r="I320" s="45" t="s">
        <v>1168</v>
      </c>
      <c r="J320" s="108">
        <v>44028</v>
      </c>
      <c r="K320" s="108">
        <v>44073</v>
      </c>
      <c r="L320" s="100">
        <v>44097</v>
      </c>
      <c r="M320" s="165" t="s">
        <v>1172</v>
      </c>
      <c r="N320" s="198" t="s">
        <v>1142</v>
      </c>
      <c r="O320" s="104" t="s">
        <v>523</v>
      </c>
      <c r="P320" s="102">
        <v>21528.44</v>
      </c>
      <c r="Q320" s="102">
        <v>7300</v>
      </c>
      <c r="R320" s="241"/>
      <c r="S320" s="242"/>
      <c r="T320" s="102">
        <f>10000+4228.44</f>
        <v>14228.44</v>
      </c>
      <c r="U320" s="100"/>
      <c r="V320" s="130"/>
      <c r="W320" s="170"/>
    </row>
    <row r="321" s="39" customFormat="1" ht="25" hidden="1" customHeight="1" spans="1:23">
      <c r="A321" s="144" t="s">
        <v>1173</v>
      </c>
      <c r="B321" s="174" t="s">
        <v>30</v>
      </c>
      <c r="C321" s="175"/>
      <c r="D321" s="45" t="s">
        <v>31</v>
      </c>
      <c r="E321" s="82" t="s">
        <v>1174</v>
      </c>
      <c r="F321" s="81" t="str">
        <f>IFERROR(VLOOKUP(E321,客户!B:C,2,FALSE),"/")</f>
        <v>$53.50 TUV Austria administration cost 革力减掉150代理费</v>
      </c>
      <c r="G321" s="80" t="s">
        <v>1175</v>
      </c>
      <c r="H321" s="45" t="s">
        <v>123</v>
      </c>
      <c r="I321" s="45" t="s">
        <v>1176</v>
      </c>
      <c r="J321" s="108">
        <v>44036</v>
      </c>
      <c r="K321" s="108">
        <v>44060</v>
      </c>
      <c r="L321" s="100">
        <v>44100</v>
      </c>
      <c r="M321" s="164" t="s">
        <v>1177</v>
      </c>
      <c r="N321" s="198" t="s">
        <v>1178</v>
      </c>
      <c r="O321" s="104" t="s">
        <v>523</v>
      </c>
      <c r="P321" s="102">
        <v>19640</v>
      </c>
      <c r="Q321" s="102">
        <v>5892</v>
      </c>
      <c r="R321" s="241"/>
      <c r="S321" s="242"/>
      <c r="T321" s="102">
        <v>13748</v>
      </c>
      <c r="U321" s="100"/>
      <c r="V321" s="130" t="s">
        <v>1179</v>
      </c>
      <c r="W321" s="170"/>
    </row>
    <row r="322" s="39" customFormat="1" ht="25" hidden="1" customHeight="1" spans="1:23">
      <c r="A322" s="145" t="s">
        <v>1180</v>
      </c>
      <c r="B322" s="174" t="s">
        <v>30</v>
      </c>
      <c r="C322" s="175"/>
      <c r="D322" s="45" t="s">
        <v>31</v>
      </c>
      <c r="E322" s="82" t="s">
        <v>1083</v>
      </c>
      <c r="F322" s="81">
        <f>IFERROR(VLOOKUP(E322,客户!B:C,2,FALSE),"/")</f>
        <v>0</v>
      </c>
      <c r="G322" s="80" t="s">
        <v>1181</v>
      </c>
      <c r="H322" s="45" t="s">
        <v>147</v>
      </c>
      <c r="I322" s="45" t="s">
        <v>1182</v>
      </c>
      <c r="J322" s="108">
        <v>44041</v>
      </c>
      <c r="K322" s="159">
        <v>44082</v>
      </c>
      <c r="L322" s="100">
        <v>44092</v>
      </c>
      <c r="M322" s="165" t="s">
        <v>1183</v>
      </c>
      <c r="N322" s="198" t="s">
        <v>1184</v>
      </c>
      <c r="O322" s="104" t="s">
        <v>523</v>
      </c>
      <c r="P322" s="102">
        <v>21822.75</v>
      </c>
      <c r="Q322" s="102">
        <v>6546.83</v>
      </c>
      <c r="R322" s="241"/>
      <c r="S322" s="242"/>
      <c r="T322" s="102">
        <v>15275.92</v>
      </c>
      <c r="U322" s="100"/>
      <c r="V322" s="130"/>
      <c r="W322" s="170"/>
    </row>
    <row r="323" s="39" customFormat="1" ht="25" hidden="1" customHeight="1" spans="1:23">
      <c r="A323" s="144" t="s">
        <v>1185</v>
      </c>
      <c r="B323" s="174" t="s">
        <v>30</v>
      </c>
      <c r="C323" s="175"/>
      <c r="D323" s="45" t="s">
        <v>31</v>
      </c>
      <c r="E323" s="82" t="s">
        <v>1121</v>
      </c>
      <c r="F323" s="81">
        <f>IFERROR(VLOOKUP(E323,客户!B:C,2,FALSE),"/")</f>
        <v>0</v>
      </c>
      <c r="G323" s="80" t="s">
        <v>1186</v>
      </c>
      <c r="H323" s="45" t="s">
        <v>127</v>
      </c>
      <c r="I323" s="45" t="s">
        <v>580</v>
      </c>
      <c r="J323" s="108">
        <v>44047</v>
      </c>
      <c r="K323" s="159">
        <v>44079</v>
      </c>
      <c r="L323" s="100">
        <v>44095</v>
      </c>
      <c r="M323" s="165" t="s">
        <v>1187</v>
      </c>
      <c r="N323" s="198" t="s">
        <v>1188</v>
      </c>
      <c r="O323" s="104" t="s">
        <v>523</v>
      </c>
      <c r="P323" s="102">
        <v>60903.61</v>
      </c>
      <c r="Q323" s="102">
        <v>18000</v>
      </c>
      <c r="R323" s="241"/>
      <c r="S323" s="242"/>
      <c r="T323" s="102">
        <v>42904</v>
      </c>
      <c r="U323" s="100"/>
      <c r="V323" s="130"/>
      <c r="W323" s="170"/>
    </row>
    <row r="324" s="39" customFormat="1" ht="25" hidden="1" customHeight="1" spans="1:23">
      <c r="A324" s="144" t="s">
        <v>1189</v>
      </c>
      <c r="B324" s="174" t="s">
        <v>30</v>
      </c>
      <c r="C324" s="175"/>
      <c r="D324" s="45" t="s">
        <v>31</v>
      </c>
      <c r="E324" s="82" t="s">
        <v>1190</v>
      </c>
      <c r="F324" s="81">
        <f>IFERROR(VLOOKUP(E324,客户!B:C,2,FALSE),"/")</f>
        <v>0</v>
      </c>
      <c r="G324" s="80" t="s">
        <v>1191</v>
      </c>
      <c r="H324" s="45" t="s">
        <v>123</v>
      </c>
      <c r="I324" s="45" t="s">
        <v>997</v>
      </c>
      <c r="J324" s="108">
        <v>44049</v>
      </c>
      <c r="K324" s="159">
        <v>44080</v>
      </c>
      <c r="L324" s="100">
        <v>44111</v>
      </c>
      <c r="M324" s="165" t="s">
        <v>1192</v>
      </c>
      <c r="N324" s="198" t="s">
        <v>1160</v>
      </c>
      <c r="O324" s="104" t="s">
        <v>680</v>
      </c>
      <c r="P324" s="102">
        <v>39516</v>
      </c>
      <c r="Q324" s="102"/>
      <c r="R324" s="241"/>
      <c r="S324" s="242"/>
      <c r="T324" s="102">
        <v>39516</v>
      </c>
      <c r="U324" s="100"/>
      <c r="V324" s="130"/>
      <c r="W324" s="170"/>
    </row>
    <row r="325" s="39" customFormat="1" ht="22" hidden="1" customHeight="1" spans="1:23">
      <c r="A325" s="144" t="s">
        <v>1193</v>
      </c>
      <c r="B325" s="174" t="s">
        <v>30</v>
      </c>
      <c r="C325" s="175"/>
      <c r="D325" s="45" t="s">
        <v>31</v>
      </c>
      <c r="E325" s="82" t="s">
        <v>1040</v>
      </c>
      <c r="F325" s="81">
        <f>IFERROR(VLOOKUP(E325,客户!B:C,2,FALSE),"/")</f>
        <v>0</v>
      </c>
      <c r="G325" s="80" t="s">
        <v>985</v>
      </c>
      <c r="H325" s="45" t="s">
        <v>123</v>
      </c>
      <c r="I325" s="45" t="s">
        <v>1194</v>
      </c>
      <c r="J325" s="108">
        <v>44049</v>
      </c>
      <c r="K325" s="159">
        <v>44081</v>
      </c>
      <c r="L325" s="100">
        <v>44113</v>
      </c>
      <c r="M325" s="165" t="s">
        <v>1195</v>
      </c>
      <c r="N325" s="198" t="s">
        <v>1196</v>
      </c>
      <c r="O325" s="104" t="s">
        <v>523</v>
      </c>
      <c r="P325" s="102">
        <v>21568.39</v>
      </c>
      <c r="Q325" s="102"/>
      <c r="R325" s="241"/>
      <c r="S325" s="242"/>
      <c r="T325" s="102">
        <v>15878.38</v>
      </c>
      <c r="U325" s="102">
        <v>5690.01</v>
      </c>
      <c r="V325" s="130"/>
      <c r="W325" s="170"/>
    </row>
    <row r="326" s="39" customFormat="1" ht="22" hidden="1" customHeight="1" spans="1:23">
      <c r="A326" s="144" t="s">
        <v>1197</v>
      </c>
      <c r="B326" s="174" t="s">
        <v>30</v>
      </c>
      <c r="C326" s="175"/>
      <c r="D326" s="45" t="s">
        <v>31</v>
      </c>
      <c r="E326" s="82" t="s">
        <v>698</v>
      </c>
      <c r="F326" s="81">
        <f>IFERROR(VLOOKUP(E326,客户!B:C,2,FALSE),"/")</f>
        <v>0</v>
      </c>
      <c r="G326" s="80" t="s">
        <v>1198</v>
      </c>
      <c r="H326" s="45" t="s">
        <v>123</v>
      </c>
      <c r="I326" s="45" t="s">
        <v>1095</v>
      </c>
      <c r="J326" s="108">
        <v>44054</v>
      </c>
      <c r="K326" s="108">
        <v>44089</v>
      </c>
      <c r="L326" s="100">
        <v>44135</v>
      </c>
      <c r="M326" s="165" t="s">
        <v>1199</v>
      </c>
      <c r="N326" s="198" t="s">
        <v>1200</v>
      </c>
      <c r="O326" s="104" t="s">
        <v>523</v>
      </c>
      <c r="P326" s="102">
        <v>21029.5</v>
      </c>
      <c r="Q326" s="102">
        <v>6000</v>
      </c>
      <c r="R326" s="241"/>
      <c r="S326" s="242"/>
      <c r="T326" s="102">
        <v>15029.5</v>
      </c>
      <c r="U326" s="100"/>
      <c r="V326" s="130"/>
      <c r="W326" s="170"/>
    </row>
    <row r="327" s="39" customFormat="1" ht="22" hidden="1" customHeight="1" spans="1:23">
      <c r="A327" s="144" t="s">
        <v>1201</v>
      </c>
      <c r="B327" s="174" t="s">
        <v>30</v>
      </c>
      <c r="C327" s="175"/>
      <c r="D327" s="45" t="s">
        <v>31</v>
      </c>
      <c r="E327" s="82" t="s">
        <v>641</v>
      </c>
      <c r="F327" s="81">
        <f>IFERROR(VLOOKUP(E327,客户!B:C,2,FALSE),"/")</f>
        <v>0</v>
      </c>
      <c r="G327" s="80" t="s">
        <v>1202</v>
      </c>
      <c r="H327" s="45" t="s">
        <v>123</v>
      </c>
      <c r="I327" s="45" t="s">
        <v>1203</v>
      </c>
      <c r="J327" s="108">
        <v>44054</v>
      </c>
      <c r="K327" s="159">
        <v>44083</v>
      </c>
      <c r="L327" s="100">
        <v>44113</v>
      </c>
      <c r="M327" s="250" t="s">
        <v>1204</v>
      </c>
      <c r="N327" s="198" t="s">
        <v>1205</v>
      </c>
      <c r="O327" s="104" t="s">
        <v>523</v>
      </c>
      <c r="P327" s="102">
        <v>22499.25</v>
      </c>
      <c r="Q327" s="102">
        <v>7000</v>
      </c>
      <c r="R327" s="241"/>
      <c r="S327" s="242"/>
      <c r="T327" s="102">
        <v>15499.25</v>
      </c>
      <c r="U327" s="100"/>
      <c r="V327" s="130"/>
      <c r="W327" s="170"/>
    </row>
    <row r="328" s="39" customFormat="1" ht="22" hidden="1" customHeight="1" spans="1:23">
      <c r="A328" s="144" t="s">
        <v>1206</v>
      </c>
      <c r="B328" s="174" t="s">
        <v>30</v>
      </c>
      <c r="C328" s="175"/>
      <c r="D328" s="45" t="s">
        <v>31</v>
      </c>
      <c r="E328" s="82" t="s">
        <v>933</v>
      </c>
      <c r="F328" s="81">
        <f>IFERROR(VLOOKUP(E328,客户!B:C,2,FALSE),"/")</f>
        <v>0</v>
      </c>
      <c r="G328" s="80" t="s">
        <v>1207</v>
      </c>
      <c r="H328" s="45" t="s">
        <v>123</v>
      </c>
      <c r="I328" s="45" t="s">
        <v>550</v>
      </c>
      <c r="J328" s="108">
        <v>44060</v>
      </c>
      <c r="K328" s="108">
        <v>44090</v>
      </c>
      <c r="L328" s="100">
        <v>44123</v>
      </c>
      <c r="M328" s="165" t="s">
        <v>1208</v>
      </c>
      <c r="N328" s="198" t="s">
        <v>1142</v>
      </c>
      <c r="O328" s="104" t="s">
        <v>523</v>
      </c>
      <c r="P328" s="102">
        <v>26809.82</v>
      </c>
      <c r="Q328" s="102">
        <v>7700</v>
      </c>
      <c r="R328" s="241"/>
      <c r="S328" s="242"/>
      <c r="T328" s="102">
        <v>19109.82</v>
      </c>
      <c r="U328" s="100"/>
      <c r="V328" s="130"/>
      <c r="W328" s="170"/>
    </row>
    <row r="329" s="39" customFormat="1" ht="22" hidden="1" customHeight="1" spans="1:23">
      <c r="A329" s="144" t="s">
        <v>1209</v>
      </c>
      <c r="B329" s="174" t="s">
        <v>30</v>
      </c>
      <c r="C329" s="175"/>
      <c r="D329" s="45" t="s">
        <v>31</v>
      </c>
      <c r="E329" s="82" t="s">
        <v>1210</v>
      </c>
      <c r="F329" s="81">
        <f>IFERROR(VLOOKUP(E329,客户!B:C,2,FALSE),"/")</f>
        <v>0</v>
      </c>
      <c r="G329" s="80" t="s">
        <v>43</v>
      </c>
      <c r="H329" s="45" t="s">
        <v>123</v>
      </c>
      <c r="I329" s="45" t="s">
        <v>1211</v>
      </c>
      <c r="J329" s="108">
        <v>44069</v>
      </c>
      <c r="K329" s="159">
        <v>44092</v>
      </c>
      <c r="L329" s="100">
        <v>44123</v>
      </c>
      <c r="M329" s="165" t="s">
        <v>1212</v>
      </c>
      <c r="N329" s="198" t="s">
        <v>1213</v>
      </c>
      <c r="O329" s="104" t="s">
        <v>523</v>
      </c>
      <c r="P329" s="102">
        <v>22469.8</v>
      </c>
      <c r="Q329" s="102">
        <f>2500+2500</f>
        <v>5000</v>
      </c>
      <c r="R329" s="241"/>
      <c r="S329" s="242"/>
      <c r="T329" s="102">
        <v>5000</v>
      </c>
      <c r="U329" s="102">
        <f>5000+2469+5000</f>
        <v>12469</v>
      </c>
      <c r="V329" s="130"/>
      <c r="W329" s="170"/>
    </row>
    <row r="330" s="39" customFormat="1" ht="22" hidden="1" customHeight="1" spans="1:23">
      <c r="A330" s="144" t="s">
        <v>1214</v>
      </c>
      <c r="B330" s="174" t="s">
        <v>30</v>
      </c>
      <c r="C330" s="175"/>
      <c r="D330" s="45" t="s">
        <v>31</v>
      </c>
      <c r="E330" s="82" t="s">
        <v>1215</v>
      </c>
      <c r="F330" s="81" t="str">
        <f>IFERROR(VLOOKUP(E330,客户!B:C,2,FALSE),"/")</f>
        <v>埃及红线客户配件 样品都要单独显示在箱单发票上</v>
      </c>
      <c r="G330" s="80" t="s">
        <v>1216</v>
      </c>
      <c r="H330" s="45" t="s">
        <v>123</v>
      </c>
      <c r="I330" s="45" t="s">
        <v>1217</v>
      </c>
      <c r="J330" s="108">
        <v>44072</v>
      </c>
      <c r="K330" s="108">
        <v>44106</v>
      </c>
      <c r="L330" s="200">
        <v>44177</v>
      </c>
      <c r="M330" s="165" t="s">
        <v>1218</v>
      </c>
      <c r="N330" s="198" t="s">
        <v>1219</v>
      </c>
      <c r="O330" s="104" t="s">
        <v>523</v>
      </c>
      <c r="P330" s="102">
        <v>20293.6</v>
      </c>
      <c r="Q330" s="102"/>
      <c r="R330" s="241"/>
      <c r="S330" s="242"/>
      <c r="T330" s="102">
        <v>18578</v>
      </c>
      <c r="U330" s="102">
        <v>1715.6</v>
      </c>
      <c r="V330" s="219" t="s">
        <v>1220</v>
      </c>
      <c r="W330" s="170"/>
    </row>
    <row r="331" s="39" customFormat="1" ht="22" hidden="1" customHeight="1" spans="1:23">
      <c r="A331" s="144" t="s">
        <v>1221</v>
      </c>
      <c r="B331" s="174" t="s">
        <v>30</v>
      </c>
      <c r="C331" s="175"/>
      <c r="D331" s="45" t="s">
        <v>31</v>
      </c>
      <c r="E331" s="82" t="s">
        <v>1121</v>
      </c>
      <c r="F331" s="81">
        <f>IFERROR(VLOOKUP(E331,客户!B:C,2,FALSE),"/")</f>
        <v>0</v>
      </c>
      <c r="G331" s="80" t="s">
        <v>1222</v>
      </c>
      <c r="H331" s="45" t="s">
        <v>127</v>
      </c>
      <c r="I331" s="45" t="s">
        <v>1223</v>
      </c>
      <c r="J331" s="108">
        <v>44079</v>
      </c>
      <c r="K331" s="108">
        <v>44121</v>
      </c>
      <c r="L331" s="100">
        <v>44137</v>
      </c>
      <c r="M331" s="165" t="s">
        <v>1224</v>
      </c>
      <c r="N331" s="198" t="s">
        <v>1225</v>
      </c>
      <c r="O331" s="104" t="s">
        <v>523</v>
      </c>
      <c r="P331" s="102">
        <v>87801.39</v>
      </c>
      <c r="Q331" s="102">
        <f>10000+10000+10000</f>
        <v>30000</v>
      </c>
      <c r="R331" s="241"/>
      <c r="S331" s="242"/>
      <c r="T331" s="102">
        <v>57801.39</v>
      </c>
      <c r="U331" s="100"/>
      <c r="V331" s="130"/>
      <c r="W331" s="170"/>
    </row>
    <row r="332" s="39" customFormat="1" ht="22" hidden="1" customHeight="1" spans="1:23">
      <c r="A332" s="144" t="s">
        <v>1226</v>
      </c>
      <c r="B332" s="174" t="s">
        <v>30</v>
      </c>
      <c r="C332" s="175"/>
      <c r="D332" s="45" t="s">
        <v>31</v>
      </c>
      <c r="E332" s="82" t="s">
        <v>1190</v>
      </c>
      <c r="F332" s="81">
        <f>IFERROR(VLOOKUP(E332,客户!B:C,2,FALSE),"/")</f>
        <v>0</v>
      </c>
      <c r="G332" s="80" t="s">
        <v>234</v>
      </c>
      <c r="H332" s="45" t="s">
        <v>123</v>
      </c>
      <c r="I332" s="45" t="s">
        <v>1227</v>
      </c>
      <c r="J332" s="108">
        <v>44089</v>
      </c>
      <c r="K332" s="159">
        <v>44138</v>
      </c>
      <c r="L332" s="100">
        <v>44167</v>
      </c>
      <c r="M332" s="165" t="s">
        <v>1228</v>
      </c>
      <c r="N332" s="198" t="s">
        <v>1160</v>
      </c>
      <c r="O332" s="104" t="s">
        <v>680</v>
      </c>
      <c r="P332" s="102">
        <v>60404.7</v>
      </c>
      <c r="Q332" s="102"/>
      <c r="R332" s="241"/>
      <c r="S332" s="242"/>
      <c r="T332" s="102">
        <v>60404.7</v>
      </c>
      <c r="U332" s="100"/>
      <c r="V332" s="130"/>
      <c r="W332" s="170"/>
    </row>
    <row r="333" s="39" customFormat="1" ht="22" hidden="1" customHeight="1" spans="1:23">
      <c r="A333" s="144" t="s">
        <v>1229</v>
      </c>
      <c r="B333" s="174" t="s">
        <v>30</v>
      </c>
      <c r="C333" s="175"/>
      <c r="D333" s="45" t="s">
        <v>31</v>
      </c>
      <c r="E333" s="82" t="s">
        <v>1190</v>
      </c>
      <c r="F333" s="81">
        <f>IFERROR(VLOOKUP(E333,客户!B:C,2,FALSE),"/")</f>
        <v>0</v>
      </c>
      <c r="G333" s="80" t="s">
        <v>566</v>
      </c>
      <c r="H333" s="45" t="s">
        <v>123</v>
      </c>
      <c r="I333" s="45" t="s">
        <v>1230</v>
      </c>
      <c r="J333" s="108">
        <v>44089</v>
      </c>
      <c r="K333" s="159">
        <v>44130</v>
      </c>
      <c r="L333" s="100">
        <v>44174</v>
      </c>
      <c r="M333" s="165" t="s">
        <v>1231</v>
      </c>
      <c r="N333" s="198" t="s">
        <v>1232</v>
      </c>
      <c r="O333" s="104" t="s">
        <v>680</v>
      </c>
      <c r="P333" s="102">
        <v>40200.5</v>
      </c>
      <c r="Q333" s="102"/>
      <c r="R333" s="241"/>
      <c r="S333" s="242"/>
      <c r="T333" s="102">
        <v>40200.5</v>
      </c>
      <c r="U333" s="100"/>
      <c r="V333" s="130"/>
      <c r="W333" s="170"/>
    </row>
    <row r="334" s="39" customFormat="1" ht="22" hidden="1" customHeight="1" spans="1:23">
      <c r="A334" s="144" t="s">
        <v>1233</v>
      </c>
      <c r="B334" s="174" t="s">
        <v>30</v>
      </c>
      <c r="C334" s="175"/>
      <c r="D334" s="45" t="s">
        <v>31</v>
      </c>
      <c r="E334" s="82" t="s">
        <v>1167</v>
      </c>
      <c r="F334" s="81">
        <f>IFERROR(VLOOKUP(E334,客户!B:C,2,FALSE),"/")</f>
        <v>0</v>
      </c>
      <c r="G334" s="80" t="s">
        <v>1234</v>
      </c>
      <c r="H334" s="45" t="s">
        <v>123</v>
      </c>
      <c r="I334" s="45" t="s">
        <v>550</v>
      </c>
      <c r="J334" s="108">
        <v>44090</v>
      </c>
      <c r="K334" s="159">
        <v>44136</v>
      </c>
      <c r="L334" s="100">
        <v>44166</v>
      </c>
      <c r="M334" s="165" t="s">
        <v>1235</v>
      </c>
      <c r="N334" s="198" t="s">
        <v>1236</v>
      </c>
      <c r="O334" s="104" t="s">
        <v>523</v>
      </c>
      <c r="P334" s="102">
        <v>28641.87</v>
      </c>
      <c r="Q334" s="102">
        <v>8400</v>
      </c>
      <c r="R334" s="241"/>
      <c r="S334" s="242"/>
      <c r="T334" s="102">
        <v>20241.87</v>
      </c>
      <c r="U334" s="100"/>
      <c r="V334" s="130"/>
      <c r="W334" s="170"/>
    </row>
    <row r="335" s="39" customFormat="1" ht="22" hidden="1" customHeight="1" spans="1:23">
      <c r="A335" s="144" t="s">
        <v>1237</v>
      </c>
      <c r="B335" s="174" t="s">
        <v>30</v>
      </c>
      <c r="C335" s="175"/>
      <c r="D335" s="45" t="s">
        <v>31</v>
      </c>
      <c r="E335" s="82" t="s">
        <v>1238</v>
      </c>
      <c r="F335" s="81"/>
      <c r="G335" s="80" t="s">
        <v>985</v>
      </c>
      <c r="H335" s="45" t="s">
        <v>123</v>
      </c>
      <c r="I335" s="45" t="s">
        <v>1194</v>
      </c>
      <c r="J335" s="108">
        <v>44091</v>
      </c>
      <c r="K335" s="159">
        <v>44130</v>
      </c>
      <c r="L335" s="100">
        <v>44165</v>
      </c>
      <c r="M335" s="165" t="s">
        <v>1239</v>
      </c>
      <c r="N335" s="198" t="s">
        <v>1240</v>
      </c>
      <c r="O335" s="104" t="s">
        <v>523</v>
      </c>
      <c r="P335" s="102">
        <v>21709.71</v>
      </c>
      <c r="Q335" s="102"/>
      <c r="R335" s="241"/>
      <c r="S335" s="242"/>
      <c r="T335" s="102">
        <f>4129.44+2433.27</f>
        <v>6562.71</v>
      </c>
      <c r="U335" s="102">
        <v>15147</v>
      </c>
      <c r="V335" s="130"/>
      <c r="W335" s="170"/>
    </row>
    <row r="336" s="39" customFormat="1" ht="22" hidden="1" customHeight="1" spans="1:23">
      <c r="A336" s="144" t="s">
        <v>1241</v>
      </c>
      <c r="B336" s="174" t="s">
        <v>30</v>
      </c>
      <c r="C336" s="175"/>
      <c r="D336" s="45" t="s">
        <v>31</v>
      </c>
      <c r="E336" s="82" t="s">
        <v>1100</v>
      </c>
      <c r="F336" s="81">
        <f>IFERROR(VLOOKUP(E336,客户!B:C,2,FALSE),"/")</f>
        <v>0</v>
      </c>
      <c r="G336" s="80" t="s">
        <v>985</v>
      </c>
      <c r="H336" s="45" t="s">
        <v>123</v>
      </c>
      <c r="I336" s="45" t="s">
        <v>806</v>
      </c>
      <c r="J336" s="108">
        <v>44092</v>
      </c>
      <c r="K336" s="159">
        <v>44143</v>
      </c>
      <c r="L336" s="100">
        <v>44193</v>
      </c>
      <c r="M336" s="165" t="s">
        <v>1242</v>
      </c>
      <c r="N336" s="198" t="s">
        <v>1243</v>
      </c>
      <c r="O336" s="104" t="s">
        <v>523</v>
      </c>
      <c r="P336" s="102">
        <v>20908.08</v>
      </c>
      <c r="Q336" s="102">
        <v>3500</v>
      </c>
      <c r="R336" s="241"/>
      <c r="S336" s="242"/>
      <c r="T336" s="102">
        <v>17402.49</v>
      </c>
      <c r="U336" s="100"/>
      <c r="V336" s="130"/>
      <c r="W336" s="170"/>
    </row>
    <row r="337" s="39" customFormat="1" ht="22" hidden="1" customHeight="1" spans="1:23">
      <c r="A337" s="144" t="s">
        <v>1244</v>
      </c>
      <c r="B337" s="174" t="s">
        <v>30</v>
      </c>
      <c r="C337" s="175"/>
      <c r="D337" s="45" t="s">
        <v>31</v>
      </c>
      <c r="E337" s="82" t="s">
        <v>1245</v>
      </c>
      <c r="F337" s="81">
        <f>IFERROR(VLOOKUP(E337,客户!B:C,2,FALSE),"/")</f>
        <v>0</v>
      </c>
      <c r="G337" s="80" t="s">
        <v>1246</v>
      </c>
      <c r="H337" s="45" t="s">
        <v>186</v>
      </c>
      <c r="I337" s="45"/>
      <c r="J337" s="108">
        <v>44096</v>
      </c>
      <c r="K337" s="108">
        <v>44113</v>
      </c>
      <c r="L337" s="100"/>
      <c r="M337" s="165" t="s">
        <v>1247</v>
      </c>
      <c r="N337" s="198"/>
      <c r="O337" s="104" t="s">
        <v>970</v>
      </c>
      <c r="P337" s="240">
        <v>23000</v>
      </c>
      <c r="Q337" s="240">
        <v>6000</v>
      </c>
      <c r="R337" s="241"/>
      <c r="S337" s="242"/>
      <c r="T337" s="240">
        <v>17000</v>
      </c>
      <c r="U337" s="100"/>
      <c r="V337" s="130"/>
      <c r="W337" s="170"/>
    </row>
    <row r="338" s="39" customFormat="1" ht="22" hidden="1" customHeight="1" spans="1:23">
      <c r="A338" s="144" t="s">
        <v>1248</v>
      </c>
      <c r="B338" s="174" t="s">
        <v>30</v>
      </c>
      <c r="C338" s="175"/>
      <c r="D338" s="45" t="s">
        <v>31</v>
      </c>
      <c r="E338" s="82" t="s">
        <v>1249</v>
      </c>
      <c r="F338" s="81">
        <f>IFERROR(VLOOKUP(E338,客户!B:C,2,FALSE),"/")</f>
        <v>0</v>
      </c>
      <c r="G338" s="80" t="s">
        <v>43</v>
      </c>
      <c r="H338" s="45" t="s">
        <v>123</v>
      </c>
      <c r="I338" s="45" t="s">
        <v>1250</v>
      </c>
      <c r="J338" s="108">
        <v>44101</v>
      </c>
      <c r="K338" s="159">
        <v>44167</v>
      </c>
      <c r="L338" s="100">
        <v>44201</v>
      </c>
      <c r="M338" s="165" t="s">
        <v>1251</v>
      </c>
      <c r="N338" s="198" t="s">
        <v>1252</v>
      </c>
      <c r="O338" s="104" t="s">
        <v>523</v>
      </c>
      <c r="P338" s="102">
        <v>20744.3</v>
      </c>
      <c r="Q338" s="102">
        <v>6147.9</v>
      </c>
      <c r="R338" s="241"/>
      <c r="S338" s="242"/>
      <c r="T338" s="102">
        <v>14596.4</v>
      </c>
      <c r="U338" s="100"/>
      <c r="V338" s="130"/>
      <c r="W338" s="170"/>
    </row>
    <row r="339" s="39" customFormat="1" ht="22" hidden="1" customHeight="1" spans="1:23">
      <c r="A339" s="144" t="s">
        <v>1253</v>
      </c>
      <c r="B339" s="174" t="s">
        <v>30</v>
      </c>
      <c r="C339" s="175"/>
      <c r="D339" s="45" t="s">
        <v>31</v>
      </c>
      <c r="E339" s="82" t="s">
        <v>1083</v>
      </c>
      <c r="F339" s="81">
        <f>IFERROR(VLOOKUP(E339,客户!B:C,2,FALSE),"/")</f>
        <v>0</v>
      </c>
      <c r="G339" s="80" t="s">
        <v>43</v>
      </c>
      <c r="H339" s="45" t="s">
        <v>147</v>
      </c>
      <c r="I339" s="45" t="s">
        <v>232</v>
      </c>
      <c r="J339" s="108">
        <v>44103</v>
      </c>
      <c r="K339" s="159">
        <v>44142</v>
      </c>
      <c r="L339" s="100">
        <v>44159</v>
      </c>
      <c r="M339" s="165" t="s">
        <v>1254</v>
      </c>
      <c r="N339" s="198" t="s">
        <v>1255</v>
      </c>
      <c r="O339" s="104" t="s">
        <v>523</v>
      </c>
      <c r="P339" s="102">
        <v>21831.93</v>
      </c>
      <c r="Q339" s="102">
        <v>6640.82</v>
      </c>
      <c r="R339" s="241"/>
      <c r="S339" s="242"/>
      <c r="T339" s="102">
        <v>15191</v>
      </c>
      <c r="U339" s="100"/>
      <c r="V339" s="130"/>
      <c r="W339" s="170"/>
    </row>
    <row r="340" s="39" customFormat="1" ht="22" hidden="1" customHeight="1" spans="1:23">
      <c r="A340" s="144" t="s">
        <v>1256</v>
      </c>
      <c r="B340" s="174" t="s">
        <v>30</v>
      </c>
      <c r="C340" s="175"/>
      <c r="D340" s="45" t="s">
        <v>31</v>
      </c>
      <c r="E340" s="82" t="s">
        <v>1257</v>
      </c>
      <c r="F340" s="81">
        <f>IFERROR(VLOOKUP(E340,客户!B:C,2,FALSE),"/")</f>
        <v>0</v>
      </c>
      <c r="G340" s="80" t="s">
        <v>43</v>
      </c>
      <c r="H340" s="45" t="s">
        <v>123</v>
      </c>
      <c r="I340" s="45" t="s">
        <v>1149</v>
      </c>
      <c r="J340" s="108">
        <v>44109</v>
      </c>
      <c r="K340" s="159">
        <v>44184</v>
      </c>
      <c r="L340" s="100">
        <v>44210</v>
      </c>
      <c r="M340" s="165" t="s">
        <v>1258</v>
      </c>
      <c r="N340" s="198" t="s">
        <v>1259</v>
      </c>
      <c r="O340" s="104" t="s">
        <v>523</v>
      </c>
      <c r="P340" s="102">
        <v>23627.9</v>
      </c>
      <c r="Q340" s="102">
        <v>4815.05</v>
      </c>
      <c r="R340" s="241"/>
      <c r="S340" s="242"/>
      <c r="T340" s="102">
        <v>18812.85</v>
      </c>
      <c r="U340" s="100"/>
      <c r="V340" s="130"/>
      <c r="W340" s="170"/>
    </row>
    <row r="341" s="39" customFormat="1" ht="22" hidden="1" customHeight="1" spans="1:23">
      <c r="A341" s="144" t="s">
        <v>1260</v>
      </c>
      <c r="B341" s="174" t="s">
        <v>30</v>
      </c>
      <c r="C341" s="175"/>
      <c r="D341" s="45" t="s">
        <v>31</v>
      </c>
      <c r="E341" s="82" t="s">
        <v>1167</v>
      </c>
      <c r="F341" s="81">
        <f>IFERROR(VLOOKUP(E341,客户!B:C,2,FALSE),"/")</f>
        <v>0</v>
      </c>
      <c r="G341" s="80" t="s">
        <v>1261</v>
      </c>
      <c r="H341" s="45" t="s">
        <v>123</v>
      </c>
      <c r="I341" s="45" t="s">
        <v>550</v>
      </c>
      <c r="J341" s="108">
        <v>44109</v>
      </c>
      <c r="K341" s="159">
        <v>44163</v>
      </c>
      <c r="L341" s="100">
        <v>44191</v>
      </c>
      <c r="M341" s="165" t="s">
        <v>1262</v>
      </c>
      <c r="N341" s="198" t="s">
        <v>1263</v>
      </c>
      <c r="O341" s="104" t="s">
        <v>523</v>
      </c>
      <c r="P341" s="102">
        <v>26775.05</v>
      </c>
      <c r="Q341" s="102">
        <v>8100</v>
      </c>
      <c r="R341" s="241"/>
      <c r="S341" s="242"/>
      <c r="T341" s="102">
        <v>18675.05</v>
      </c>
      <c r="U341" s="100"/>
      <c r="V341" s="130"/>
      <c r="W341" s="170"/>
    </row>
    <row r="342" s="39" customFormat="1" ht="22" hidden="1" customHeight="1" spans="1:23">
      <c r="A342" s="144" t="s">
        <v>1264</v>
      </c>
      <c r="B342" s="174" t="s">
        <v>30</v>
      </c>
      <c r="C342" s="175"/>
      <c r="D342" s="45" t="s">
        <v>31</v>
      </c>
      <c r="E342" s="82" t="s">
        <v>1265</v>
      </c>
      <c r="F342" s="81" t="str">
        <f>IFERROR(VLOOKUP(E342,客户!B:C,2,FALSE),"/")</f>
        <v>外送费用945人民币+装箱费用 加在发票里</v>
      </c>
      <c r="G342" s="80" t="s">
        <v>1266</v>
      </c>
      <c r="H342" s="45" t="s">
        <v>147</v>
      </c>
      <c r="I342" s="45" t="s">
        <v>997</v>
      </c>
      <c r="J342" s="108">
        <v>44117</v>
      </c>
      <c r="K342" s="159">
        <v>44158</v>
      </c>
      <c r="L342" s="100">
        <v>44200</v>
      </c>
      <c r="M342" s="165" t="s">
        <v>1267</v>
      </c>
      <c r="N342" s="198" t="s">
        <v>1268</v>
      </c>
      <c r="O342" s="104" t="s">
        <v>680</v>
      </c>
      <c r="P342" s="102">
        <v>65744.7</v>
      </c>
      <c r="Q342" s="102"/>
      <c r="R342" s="241"/>
      <c r="S342" s="242"/>
      <c r="T342" s="102">
        <v>65744.7</v>
      </c>
      <c r="U342" s="100"/>
      <c r="V342" s="130"/>
      <c r="W342" s="170"/>
    </row>
    <row r="343" s="39" customFormat="1" ht="22" hidden="1" customHeight="1" spans="1:23">
      <c r="A343" s="144" t="s">
        <v>1269</v>
      </c>
      <c r="B343" s="174" t="s">
        <v>30</v>
      </c>
      <c r="C343" s="175"/>
      <c r="D343" s="45" t="s">
        <v>31</v>
      </c>
      <c r="E343" s="82" t="s">
        <v>1265</v>
      </c>
      <c r="F343" s="81" t="str">
        <f>IFERROR(VLOOKUP(E343,客户!B:C,2,FALSE),"/")</f>
        <v>外送费用945人民币+装箱费用 加在发票里</v>
      </c>
      <c r="G343" s="80" t="s">
        <v>1270</v>
      </c>
      <c r="H343" s="45" t="s">
        <v>147</v>
      </c>
      <c r="I343" s="45" t="s">
        <v>997</v>
      </c>
      <c r="J343" s="108">
        <v>44117</v>
      </c>
      <c r="K343" s="159">
        <v>44235</v>
      </c>
      <c r="L343" s="100">
        <v>44277</v>
      </c>
      <c r="M343" s="165" t="s">
        <v>1271</v>
      </c>
      <c r="N343" s="198" t="s">
        <v>1272</v>
      </c>
      <c r="O343" s="104" t="s">
        <v>680</v>
      </c>
      <c r="P343" s="102">
        <v>90311.4</v>
      </c>
      <c r="Q343" s="240"/>
      <c r="R343" s="241"/>
      <c r="S343" s="242"/>
      <c r="T343" s="102">
        <v>90311.4</v>
      </c>
      <c r="U343" s="100"/>
      <c r="V343" s="130"/>
      <c r="W343" s="170"/>
    </row>
    <row r="344" s="39" customFormat="1" ht="22" hidden="1" customHeight="1" spans="1:23">
      <c r="A344" s="144" t="s">
        <v>1273</v>
      </c>
      <c r="B344" s="174" t="s">
        <v>30</v>
      </c>
      <c r="C344" s="175"/>
      <c r="D344" s="45" t="s">
        <v>31</v>
      </c>
      <c r="E344" s="82" t="s">
        <v>1274</v>
      </c>
      <c r="F344" s="81">
        <f>IFERROR(VLOOKUP(E344,客户!B:C,2,FALSE),"/")</f>
        <v>0</v>
      </c>
      <c r="G344" s="80" t="s">
        <v>1275</v>
      </c>
      <c r="H344" s="45" t="s">
        <v>123</v>
      </c>
      <c r="I344" s="45" t="s">
        <v>925</v>
      </c>
      <c r="J344" s="108">
        <v>44120</v>
      </c>
      <c r="K344" s="159">
        <v>44191</v>
      </c>
      <c r="L344" s="100">
        <v>44245</v>
      </c>
      <c r="M344" s="165" t="s">
        <v>1276</v>
      </c>
      <c r="N344" s="198" t="s">
        <v>1277</v>
      </c>
      <c r="O344" s="104" t="s">
        <v>523</v>
      </c>
      <c r="P344" s="102">
        <v>38129.69</v>
      </c>
      <c r="Q344" s="102">
        <v>9524.1</v>
      </c>
      <c r="R344" s="241"/>
      <c r="S344" s="242"/>
      <c r="T344" s="102">
        <v>28605.59</v>
      </c>
      <c r="U344" s="100"/>
      <c r="V344" s="130"/>
      <c r="W344" s="170"/>
    </row>
    <row r="345" s="39" customFormat="1" ht="22" hidden="1" customHeight="1" spans="1:23">
      <c r="A345" s="144" t="s">
        <v>1278</v>
      </c>
      <c r="B345" s="174" t="s">
        <v>30</v>
      </c>
      <c r="C345" s="175"/>
      <c r="D345" s="45" t="s">
        <v>31</v>
      </c>
      <c r="E345" s="82" t="s">
        <v>1190</v>
      </c>
      <c r="F345" s="81">
        <f>IFERROR(VLOOKUP(E345,客户!B:C,2,FALSE),"/")</f>
        <v>0</v>
      </c>
      <c r="G345" s="80" t="s">
        <v>1279</v>
      </c>
      <c r="H345" s="45" t="s">
        <v>123</v>
      </c>
      <c r="I345" s="45" t="s">
        <v>1280</v>
      </c>
      <c r="J345" s="108">
        <v>44125</v>
      </c>
      <c r="K345" s="108">
        <v>44172</v>
      </c>
      <c r="L345" s="100">
        <v>44196</v>
      </c>
      <c r="M345" s="165" t="s">
        <v>1281</v>
      </c>
      <c r="N345" s="198" t="s">
        <v>1282</v>
      </c>
      <c r="O345" s="104" t="s">
        <v>1283</v>
      </c>
      <c r="P345" s="102">
        <v>61200</v>
      </c>
      <c r="Q345" s="102"/>
      <c r="R345" s="241"/>
      <c r="S345" s="242"/>
      <c r="T345" s="102">
        <v>61200</v>
      </c>
      <c r="U345" s="100"/>
      <c r="V345" s="219" t="s">
        <v>1284</v>
      </c>
      <c r="W345" s="170"/>
    </row>
    <row r="346" s="39" customFormat="1" ht="22" hidden="1" customHeight="1" spans="1:23">
      <c r="A346" s="144" t="s">
        <v>1285</v>
      </c>
      <c r="B346" s="174" t="s">
        <v>30</v>
      </c>
      <c r="C346" s="175"/>
      <c r="D346" s="45" t="s">
        <v>31</v>
      </c>
      <c r="E346" s="82" t="s">
        <v>1190</v>
      </c>
      <c r="F346" s="81">
        <f>IFERROR(VLOOKUP(E346,客户!B:C,2,FALSE),"/")</f>
        <v>0</v>
      </c>
      <c r="G346" s="80" t="s">
        <v>1286</v>
      </c>
      <c r="H346" s="45" t="s">
        <v>123</v>
      </c>
      <c r="I346" s="45" t="s">
        <v>1280</v>
      </c>
      <c r="J346" s="108">
        <v>44125</v>
      </c>
      <c r="K346" s="159">
        <v>44188</v>
      </c>
      <c r="L346" s="100">
        <v>44225</v>
      </c>
      <c r="M346" s="177" t="s">
        <v>1287</v>
      </c>
      <c r="N346" s="198" t="s">
        <v>1288</v>
      </c>
      <c r="O346" s="104" t="s">
        <v>1283</v>
      </c>
      <c r="P346" s="102">
        <v>62544</v>
      </c>
      <c r="Q346" s="102"/>
      <c r="R346" s="241"/>
      <c r="S346" s="242"/>
      <c r="T346" s="102">
        <v>62544</v>
      </c>
      <c r="U346" s="100"/>
      <c r="V346" s="130"/>
      <c r="W346" s="170"/>
    </row>
    <row r="347" s="39" customFormat="1" ht="22" hidden="1" customHeight="1" spans="1:23">
      <c r="A347" s="144" t="s">
        <v>1289</v>
      </c>
      <c r="B347" s="174" t="s">
        <v>30</v>
      </c>
      <c r="C347" s="175"/>
      <c r="D347" s="45" t="s">
        <v>31</v>
      </c>
      <c r="E347" s="82" t="s">
        <v>1190</v>
      </c>
      <c r="F347" s="81">
        <f>IFERROR(VLOOKUP(E347,客户!B:C,2,FALSE),"/")</f>
        <v>0</v>
      </c>
      <c r="G347" s="80" t="s">
        <v>1290</v>
      </c>
      <c r="H347" s="45" t="s">
        <v>123</v>
      </c>
      <c r="I347" s="45" t="s">
        <v>1280</v>
      </c>
      <c r="J347" s="108">
        <v>44125</v>
      </c>
      <c r="K347" s="159">
        <v>44191</v>
      </c>
      <c r="L347" s="200">
        <v>44227</v>
      </c>
      <c r="M347" s="165" t="s">
        <v>1291</v>
      </c>
      <c r="N347" s="198" t="s">
        <v>1292</v>
      </c>
      <c r="O347" s="104" t="s">
        <v>1283</v>
      </c>
      <c r="P347" s="102">
        <v>41882</v>
      </c>
      <c r="Q347" s="102"/>
      <c r="R347" s="241"/>
      <c r="S347" s="242"/>
      <c r="T347" s="102">
        <v>41882</v>
      </c>
      <c r="U347" s="100"/>
      <c r="V347" s="130"/>
      <c r="W347" s="170"/>
    </row>
    <row r="348" s="39" customFormat="1" ht="22" hidden="1" customHeight="1" spans="1:23">
      <c r="A348" s="144" t="s">
        <v>1293</v>
      </c>
      <c r="B348" s="174" t="s">
        <v>30</v>
      </c>
      <c r="C348" s="175"/>
      <c r="D348" s="45" t="s">
        <v>31</v>
      </c>
      <c r="E348" s="82" t="s">
        <v>1190</v>
      </c>
      <c r="F348" s="81">
        <f>IFERROR(VLOOKUP(E348,客户!B:C,2,FALSE),"/")</f>
        <v>0</v>
      </c>
      <c r="G348" s="80" t="s">
        <v>1286</v>
      </c>
      <c r="H348" s="45" t="s">
        <v>123</v>
      </c>
      <c r="I348" s="45" t="s">
        <v>723</v>
      </c>
      <c r="J348" s="108">
        <v>44125</v>
      </c>
      <c r="K348" s="159">
        <v>44173</v>
      </c>
      <c r="L348" s="100">
        <v>44214</v>
      </c>
      <c r="M348" s="251" t="s">
        <v>1294</v>
      </c>
      <c r="N348" s="198" t="s">
        <v>1295</v>
      </c>
      <c r="O348" s="104" t="s">
        <v>1283</v>
      </c>
      <c r="P348" s="102">
        <v>62162.15</v>
      </c>
      <c r="Q348" s="102"/>
      <c r="R348" s="241"/>
      <c r="S348" s="242"/>
      <c r="T348" s="102">
        <v>62162.15</v>
      </c>
      <c r="U348" s="100"/>
      <c r="V348" s="219" t="s">
        <v>1296</v>
      </c>
      <c r="W348" s="170"/>
    </row>
    <row r="349" s="39" customFormat="1" ht="22" hidden="1" customHeight="1" spans="1:23">
      <c r="A349" s="144" t="s">
        <v>1297</v>
      </c>
      <c r="B349" s="174" t="s">
        <v>30</v>
      </c>
      <c r="C349" s="175"/>
      <c r="D349" s="45" t="s">
        <v>31</v>
      </c>
      <c r="E349" s="82" t="s">
        <v>1190</v>
      </c>
      <c r="F349" s="81">
        <f>IFERROR(VLOOKUP(E349,客户!B:C,2,FALSE),"/")</f>
        <v>0</v>
      </c>
      <c r="G349" s="80" t="s">
        <v>1298</v>
      </c>
      <c r="H349" s="45" t="s">
        <v>123</v>
      </c>
      <c r="I349" s="45" t="s">
        <v>723</v>
      </c>
      <c r="J349" s="108">
        <v>44125</v>
      </c>
      <c r="K349" s="159">
        <v>44156</v>
      </c>
      <c r="L349" s="100">
        <v>44194</v>
      </c>
      <c r="M349" s="165" t="s">
        <v>1299</v>
      </c>
      <c r="N349" s="198" t="s">
        <v>1292</v>
      </c>
      <c r="O349" s="104" t="s">
        <v>1283</v>
      </c>
      <c r="P349" s="102">
        <v>122706.9</v>
      </c>
      <c r="Q349" s="102"/>
      <c r="R349" s="241"/>
      <c r="S349" s="242"/>
      <c r="T349" s="102">
        <v>122706.9</v>
      </c>
      <c r="U349" s="100"/>
      <c r="V349" s="219" t="s">
        <v>1300</v>
      </c>
      <c r="W349" s="170"/>
    </row>
    <row r="350" s="39" customFormat="1" ht="22" hidden="1" customHeight="1" spans="1:23">
      <c r="A350" s="144" t="s">
        <v>1301</v>
      </c>
      <c r="B350" s="174" t="s">
        <v>30</v>
      </c>
      <c r="C350" s="175"/>
      <c r="D350" s="45" t="s">
        <v>31</v>
      </c>
      <c r="E350" s="82" t="s">
        <v>1190</v>
      </c>
      <c r="F350" s="81">
        <f>IFERROR(VLOOKUP(E350,客户!B:C,2,FALSE),"/")</f>
        <v>0</v>
      </c>
      <c r="G350" s="80" t="s">
        <v>1290</v>
      </c>
      <c r="H350" s="45" t="s">
        <v>123</v>
      </c>
      <c r="I350" s="45" t="s">
        <v>1230</v>
      </c>
      <c r="J350" s="108">
        <v>44125</v>
      </c>
      <c r="K350" s="159">
        <v>44191</v>
      </c>
      <c r="L350" s="200">
        <v>44231</v>
      </c>
      <c r="M350" s="198" t="s">
        <v>1302</v>
      </c>
      <c r="N350" s="198" t="s">
        <v>1292</v>
      </c>
      <c r="O350" s="104" t="s">
        <v>1283</v>
      </c>
      <c r="P350" s="102">
        <v>41539.75</v>
      </c>
      <c r="Q350" s="102"/>
      <c r="R350" s="241"/>
      <c r="S350" s="242"/>
      <c r="T350" s="102">
        <v>41539.75</v>
      </c>
      <c r="U350" s="100"/>
      <c r="V350" s="130"/>
      <c r="W350" s="170"/>
    </row>
    <row r="351" s="39" customFormat="1" ht="22" hidden="1" customHeight="1" spans="1:23">
      <c r="A351" s="144" t="s">
        <v>1303</v>
      </c>
      <c r="B351" s="174" t="s">
        <v>30</v>
      </c>
      <c r="C351" s="175"/>
      <c r="D351" s="45" t="s">
        <v>31</v>
      </c>
      <c r="E351" s="82" t="s">
        <v>1190</v>
      </c>
      <c r="F351" s="81">
        <f>IFERROR(VLOOKUP(E351,客户!B:C,2,FALSE),"/")</f>
        <v>0</v>
      </c>
      <c r="G351" s="80" t="s">
        <v>1290</v>
      </c>
      <c r="H351" s="45" t="s">
        <v>123</v>
      </c>
      <c r="I351" s="45" t="s">
        <v>1230</v>
      </c>
      <c r="J351" s="108">
        <v>44125</v>
      </c>
      <c r="K351" s="108">
        <v>44196</v>
      </c>
      <c r="L351" s="100">
        <v>44239</v>
      </c>
      <c r="M351" s="198" t="s">
        <v>1304</v>
      </c>
      <c r="N351" s="198" t="s">
        <v>1305</v>
      </c>
      <c r="O351" s="104" t="s">
        <v>1283</v>
      </c>
      <c r="P351" s="102">
        <v>41745</v>
      </c>
      <c r="Q351" s="102"/>
      <c r="R351" s="241"/>
      <c r="S351" s="242"/>
      <c r="T351" s="102">
        <v>41745</v>
      </c>
      <c r="U351" s="100"/>
      <c r="V351" s="130"/>
      <c r="W351" s="170"/>
    </row>
    <row r="352" s="39" customFormat="1" ht="22" hidden="1" customHeight="1" spans="1:23">
      <c r="A352" s="144" t="s">
        <v>1306</v>
      </c>
      <c r="B352" s="174" t="s">
        <v>30</v>
      </c>
      <c r="C352" s="175"/>
      <c r="D352" s="45" t="s">
        <v>31</v>
      </c>
      <c r="E352" s="82" t="s">
        <v>1190</v>
      </c>
      <c r="F352" s="81">
        <f>IFERROR(VLOOKUP(E352,客户!B:C,2,FALSE),"/")</f>
        <v>0</v>
      </c>
      <c r="G352" s="80" t="s">
        <v>1307</v>
      </c>
      <c r="H352" s="45" t="s">
        <v>123</v>
      </c>
      <c r="I352" s="45" t="s">
        <v>1230</v>
      </c>
      <c r="J352" s="108">
        <v>44125</v>
      </c>
      <c r="K352" s="159">
        <v>44218</v>
      </c>
      <c r="L352" s="100">
        <v>44257</v>
      </c>
      <c r="M352" s="165" t="s">
        <v>1308</v>
      </c>
      <c r="N352" s="198" t="s">
        <v>1288</v>
      </c>
      <c r="O352" s="104" t="s">
        <v>1283</v>
      </c>
      <c r="P352" s="102">
        <v>62878.2</v>
      </c>
      <c r="Q352" s="102"/>
      <c r="R352" s="241"/>
      <c r="S352" s="242"/>
      <c r="T352" s="102">
        <v>62878.2</v>
      </c>
      <c r="U352" s="100"/>
      <c r="V352" s="130"/>
      <c r="W352" s="170"/>
    </row>
    <row r="353" s="39" customFormat="1" ht="22" hidden="1" customHeight="1" spans="1:23">
      <c r="A353" s="144" t="s">
        <v>1309</v>
      </c>
      <c r="B353" s="174" t="s">
        <v>30</v>
      </c>
      <c r="C353" s="175"/>
      <c r="D353" s="45" t="s">
        <v>31</v>
      </c>
      <c r="E353" s="82" t="s">
        <v>1121</v>
      </c>
      <c r="F353" s="81">
        <f>IFERROR(VLOOKUP(E353,客户!B:C,2,FALSE),"/")</f>
        <v>0</v>
      </c>
      <c r="G353" s="80" t="s">
        <v>1310</v>
      </c>
      <c r="H353" s="45" t="s">
        <v>127</v>
      </c>
      <c r="I353" s="45" t="s">
        <v>215</v>
      </c>
      <c r="J353" s="108">
        <v>44126</v>
      </c>
      <c r="K353" s="159">
        <v>44159</v>
      </c>
      <c r="L353" s="100">
        <v>44172</v>
      </c>
      <c r="M353" s="165" t="s">
        <v>1311</v>
      </c>
      <c r="N353" s="198" t="s">
        <v>1312</v>
      </c>
      <c r="O353" s="104" t="s">
        <v>523</v>
      </c>
      <c r="P353" s="240">
        <v>467294.2</v>
      </c>
      <c r="Q353" s="240">
        <v>99940</v>
      </c>
      <c r="R353" s="241"/>
      <c r="S353" s="242"/>
      <c r="T353" s="240">
        <v>367354.2</v>
      </c>
      <c r="U353" s="100"/>
      <c r="V353" s="130"/>
      <c r="W353" s="170"/>
    </row>
    <row r="354" s="39" customFormat="1" ht="22" hidden="1" customHeight="1" spans="1:23">
      <c r="A354" s="144" t="s">
        <v>1313</v>
      </c>
      <c r="B354" s="174" t="s">
        <v>30</v>
      </c>
      <c r="C354" s="175"/>
      <c r="D354" s="45" t="s">
        <v>31</v>
      </c>
      <c r="E354" s="82" t="s">
        <v>1167</v>
      </c>
      <c r="F354" s="81"/>
      <c r="G354" s="80" t="s">
        <v>1314</v>
      </c>
      <c r="H354" s="45" t="s">
        <v>123</v>
      </c>
      <c r="I354" s="45" t="s">
        <v>550</v>
      </c>
      <c r="J354" s="108">
        <v>44147</v>
      </c>
      <c r="K354" s="159">
        <v>44203</v>
      </c>
      <c r="L354" s="100">
        <v>44224</v>
      </c>
      <c r="M354" s="165" t="s">
        <v>1315</v>
      </c>
      <c r="N354" s="198" t="s">
        <v>1316</v>
      </c>
      <c r="O354" s="104" t="s">
        <v>523</v>
      </c>
      <c r="P354" s="102">
        <v>57061.02</v>
      </c>
      <c r="Q354" s="102">
        <v>16200</v>
      </c>
      <c r="R354" s="241"/>
      <c r="S354" s="242"/>
      <c r="T354" s="102">
        <v>40861.02</v>
      </c>
      <c r="U354" s="100"/>
      <c r="V354" s="130"/>
      <c r="W354" s="170"/>
    </row>
    <row r="355" s="39" customFormat="1" ht="22" hidden="1" customHeight="1" spans="1:23">
      <c r="A355" s="144" t="s">
        <v>1317</v>
      </c>
      <c r="B355" s="174" t="s">
        <v>30</v>
      </c>
      <c r="C355" s="175"/>
      <c r="D355" s="45" t="s">
        <v>31</v>
      </c>
      <c r="E355" s="82" t="s">
        <v>1121</v>
      </c>
      <c r="F355" s="81">
        <f>IFERROR(VLOOKUP(E355,客户!B:C,2,FALSE),"/")</f>
        <v>0</v>
      </c>
      <c r="G355" s="80" t="s">
        <v>1318</v>
      </c>
      <c r="H355" s="45" t="s">
        <v>123</v>
      </c>
      <c r="I355" s="45" t="s">
        <v>215</v>
      </c>
      <c r="J355" s="108">
        <v>44148</v>
      </c>
      <c r="K355" s="159">
        <v>44200</v>
      </c>
      <c r="L355" s="100">
        <v>44215</v>
      </c>
      <c r="M355" s="165" t="s">
        <v>1319</v>
      </c>
      <c r="N355" s="198" t="s">
        <v>1320</v>
      </c>
      <c r="O355" s="104" t="s">
        <v>523</v>
      </c>
      <c r="P355" s="240">
        <v>476819</v>
      </c>
      <c r="Q355" s="240">
        <v>100000</v>
      </c>
      <c r="R355" s="241"/>
      <c r="S355" s="242"/>
      <c r="T355" s="240">
        <v>376819</v>
      </c>
      <c r="U355" s="242"/>
      <c r="V355" s="130"/>
      <c r="W355" s="170"/>
    </row>
    <row r="356" s="39" customFormat="1" ht="22" hidden="1" customHeight="1" spans="1:23">
      <c r="A356" s="144" t="s">
        <v>1321</v>
      </c>
      <c r="B356" s="174" t="s">
        <v>30</v>
      </c>
      <c r="C356" s="175"/>
      <c r="D356" s="45" t="s">
        <v>31</v>
      </c>
      <c r="E356" s="82" t="s">
        <v>1121</v>
      </c>
      <c r="F356" s="81">
        <f>IFERROR(VLOOKUP(E356,客户!B:C,2,FALSE),"/")</f>
        <v>0</v>
      </c>
      <c r="G356" s="80" t="s">
        <v>1322</v>
      </c>
      <c r="H356" s="45" t="s">
        <v>123</v>
      </c>
      <c r="I356" s="45" t="s">
        <v>215</v>
      </c>
      <c r="J356" s="108">
        <v>44148</v>
      </c>
      <c r="K356" s="159">
        <v>44200</v>
      </c>
      <c r="L356" s="100">
        <v>44215</v>
      </c>
      <c r="M356" s="165" t="s">
        <v>1323</v>
      </c>
      <c r="N356" s="198" t="s">
        <v>1324</v>
      </c>
      <c r="O356" s="104" t="s">
        <v>523</v>
      </c>
      <c r="P356" s="240">
        <v>330566</v>
      </c>
      <c r="Q356" s="240"/>
      <c r="R356" s="241"/>
      <c r="S356" s="242"/>
      <c r="T356" s="240">
        <v>330566</v>
      </c>
      <c r="U356" s="100"/>
      <c r="V356" s="130"/>
      <c r="W356" s="170"/>
    </row>
    <row r="357" s="39" customFormat="1" ht="22" hidden="1" customHeight="1" spans="1:23">
      <c r="A357" s="144" t="s">
        <v>1325</v>
      </c>
      <c r="B357" s="174" t="s">
        <v>30</v>
      </c>
      <c r="C357" s="175"/>
      <c r="D357" s="45" t="s">
        <v>31</v>
      </c>
      <c r="E357" s="82" t="s">
        <v>1326</v>
      </c>
      <c r="F357" s="81">
        <f>IFERROR(VLOOKUP(E357,客户!B:C,2,FALSE),"/")</f>
        <v>0</v>
      </c>
      <c r="G357" s="80" t="s">
        <v>390</v>
      </c>
      <c r="H357" s="45" t="s">
        <v>123</v>
      </c>
      <c r="I357" s="45" t="s">
        <v>1327</v>
      </c>
      <c r="J357" s="108">
        <v>44148</v>
      </c>
      <c r="K357" s="159">
        <v>44195</v>
      </c>
      <c r="L357" s="100">
        <v>44226</v>
      </c>
      <c r="M357" s="198" t="s">
        <v>1328</v>
      </c>
      <c r="N357" s="198" t="s">
        <v>1329</v>
      </c>
      <c r="O357" s="104" t="s">
        <v>523</v>
      </c>
      <c r="P357" s="102">
        <v>22280.9</v>
      </c>
      <c r="Q357" s="102">
        <v>6413.48</v>
      </c>
      <c r="R357" s="241"/>
      <c r="S357" s="242"/>
      <c r="T357" s="102">
        <v>15867.42</v>
      </c>
      <c r="U357" s="100"/>
      <c r="V357" s="130"/>
      <c r="W357" s="170"/>
    </row>
    <row r="358" s="39" customFormat="1" ht="22" hidden="1" customHeight="1" spans="1:23">
      <c r="A358" s="144" t="s">
        <v>1330</v>
      </c>
      <c r="B358" s="174" t="s">
        <v>30</v>
      </c>
      <c r="C358" s="175"/>
      <c r="D358" s="45" t="s">
        <v>31</v>
      </c>
      <c r="E358" s="82" t="s">
        <v>1326</v>
      </c>
      <c r="F358" s="81">
        <f>IFERROR(VLOOKUP(E358,客户!B:C,2,FALSE),"/")</f>
        <v>0</v>
      </c>
      <c r="G358" s="80" t="s">
        <v>390</v>
      </c>
      <c r="H358" s="45" t="s">
        <v>123</v>
      </c>
      <c r="I358" s="45" t="s">
        <v>909</v>
      </c>
      <c r="J358" s="108">
        <v>44148</v>
      </c>
      <c r="K358" s="159">
        <v>44215</v>
      </c>
      <c r="L358" s="100">
        <v>44248</v>
      </c>
      <c r="M358" s="165" t="s">
        <v>1331</v>
      </c>
      <c r="N358" s="198" t="s">
        <v>1332</v>
      </c>
      <c r="O358" s="104" t="s">
        <v>523</v>
      </c>
      <c r="P358" s="169">
        <v>23178</v>
      </c>
      <c r="Q358" s="102">
        <v>6953.4</v>
      </c>
      <c r="R358" s="241"/>
      <c r="S358" s="242"/>
      <c r="T358" s="102">
        <v>16224.6</v>
      </c>
      <c r="U358" s="100"/>
      <c r="V358" s="130"/>
      <c r="W358" s="170"/>
    </row>
    <row r="359" s="39" customFormat="1" ht="22" hidden="1" customHeight="1" spans="1:23">
      <c r="A359" s="145" t="s">
        <v>1333</v>
      </c>
      <c r="B359" s="174" t="s">
        <v>30</v>
      </c>
      <c r="C359" s="175"/>
      <c r="D359" s="45" t="s">
        <v>31</v>
      </c>
      <c r="E359" s="82" t="s">
        <v>1190</v>
      </c>
      <c r="F359" s="81">
        <f>IFERROR(VLOOKUP(E359,客户!B:C,2,FALSE),"/")</f>
        <v>0</v>
      </c>
      <c r="G359" s="80" t="s">
        <v>1334</v>
      </c>
      <c r="H359" s="45" t="s">
        <v>123</v>
      </c>
      <c r="I359" s="45" t="s">
        <v>1335</v>
      </c>
      <c r="J359" s="108">
        <v>44151</v>
      </c>
      <c r="K359" s="159">
        <v>44237</v>
      </c>
      <c r="L359" s="100">
        <v>44279</v>
      </c>
      <c r="M359" s="165" t="s">
        <v>1336</v>
      </c>
      <c r="N359" s="198" t="s">
        <v>1337</v>
      </c>
      <c r="O359" s="104" t="s">
        <v>523</v>
      </c>
      <c r="P359" s="102">
        <v>85438.16</v>
      </c>
      <c r="Q359" s="102"/>
      <c r="R359" s="241"/>
      <c r="S359" s="242"/>
      <c r="T359" s="102">
        <v>85438.16</v>
      </c>
      <c r="U359" s="100"/>
      <c r="V359" s="130"/>
      <c r="W359" s="170"/>
    </row>
    <row r="360" s="39" customFormat="1" ht="22" hidden="1" customHeight="1" spans="1:23">
      <c r="A360" s="144" t="s">
        <v>1338</v>
      </c>
      <c r="B360" s="174" t="s">
        <v>30</v>
      </c>
      <c r="C360" s="175"/>
      <c r="D360" s="45" t="s">
        <v>31</v>
      </c>
      <c r="E360" s="82" t="s">
        <v>1339</v>
      </c>
      <c r="F360" s="81">
        <f>IFERROR(VLOOKUP(E360,客户!B:C,2,FALSE),"/")</f>
        <v>0</v>
      </c>
      <c r="G360" s="80" t="s">
        <v>1340</v>
      </c>
      <c r="H360" s="45" t="s">
        <v>123</v>
      </c>
      <c r="I360" s="45" t="s">
        <v>1341</v>
      </c>
      <c r="J360" s="108">
        <v>44167</v>
      </c>
      <c r="K360" s="159">
        <v>44202</v>
      </c>
      <c r="L360" s="100"/>
      <c r="M360" s="165" t="s">
        <v>1342</v>
      </c>
      <c r="N360" s="198" t="s">
        <v>1343</v>
      </c>
      <c r="O360" s="104" t="s">
        <v>970</v>
      </c>
      <c r="P360" s="102">
        <v>2400</v>
      </c>
      <c r="Q360" s="102"/>
      <c r="R360" s="241"/>
      <c r="S360" s="242"/>
      <c r="T360" s="102">
        <v>2400</v>
      </c>
      <c r="U360" s="100"/>
      <c r="V360" s="130"/>
      <c r="W360" s="170"/>
    </row>
    <row r="361" s="39" customFormat="1" ht="22" hidden="1" customHeight="1" spans="1:23">
      <c r="A361" s="144" t="s">
        <v>1344</v>
      </c>
      <c r="B361" s="174" t="s">
        <v>30</v>
      </c>
      <c r="C361" s="175"/>
      <c r="D361" s="45" t="s">
        <v>31</v>
      </c>
      <c r="E361" s="82" t="s">
        <v>1345</v>
      </c>
      <c r="F361" s="81" t="str">
        <f>IFERROR(VLOOKUP(E361,客户!B:C,2,FALSE),"/")</f>
        <v>J4159还差USD265.65没付齐 J4220还有定金5674.3 账上剩5408.65</v>
      </c>
      <c r="G361" s="80" t="s">
        <v>1198</v>
      </c>
      <c r="H361" s="45" t="s">
        <v>123</v>
      </c>
      <c r="I361" s="45" t="s">
        <v>1346</v>
      </c>
      <c r="J361" s="108">
        <v>44167</v>
      </c>
      <c r="K361" s="159">
        <v>44211</v>
      </c>
      <c r="L361" s="100">
        <v>44244</v>
      </c>
      <c r="M361" s="165" t="s">
        <v>1347</v>
      </c>
      <c r="N361" s="198" t="s">
        <v>1348</v>
      </c>
      <c r="O361" s="104" t="s">
        <v>523</v>
      </c>
      <c r="P361" s="102">
        <v>24039.71</v>
      </c>
      <c r="Q361" s="102">
        <v>7047.14</v>
      </c>
      <c r="R361" s="241"/>
      <c r="S361" s="242"/>
      <c r="T361" s="102">
        <v>16992.57</v>
      </c>
      <c r="U361" s="100"/>
      <c r="V361" s="130"/>
      <c r="W361" s="170"/>
    </row>
    <row r="362" s="39" customFormat="1" ht="22" hidden="1" customHeight="1" spans="1:23">
      <c r="A362" s="144" t="s">
        <v>1349</v>
      </c>
      <c r="B362" s="174" t="s">
        <v>30</v>
      </c>
      <c r="C362" s="175"/>
      <c r="D362" s="45" t="s">
        <v>31</v>
      </c>
      <c r="E362" s="82" t="s">
        <v>1238</v>
      </c>
      <c r="F362" s="81">
        <f>IFERROR(VLOOKUP(E362,客户!B:C,2,FALSE),"/")</f>
        <v>0</v>
      </c>
      <c r="G362" s="80" t="s">
        <v>1350</v>
      </c>
      <c r="H362" s="45" t="s">
        <v>123</v>
      </c>
      <c r="I362" s="45" t="s">
        <v>1351</v>
      </c>
      <c r="J362" s="108">
        <v>44169</v>
      </c>
      <c r="K362" s="159">
        <v>44228</v>
      </c>
      <c r="L362" s="100">
        <v>44275</v>
      </c>
      <c r="M362" s="165" t="s">
        <v>1352</v>
      </c>
      <c r="N362" s="198" t="s">
        <v>1353</v>
      </c>
      <c r="O362" s="104" t="s">
        <v>523</v>
      </c>
      <c r="P362" s="102">
        <v>25027.16</v>
      </c>
      <c r="Q362" s="102"/>
      <c r="R362" s="241"/>
      <c r="S362" s="242"/>
      <c r="T362" s="102">
        <v>16557.5</v>
      </c>
      <c r="U362" s="102">
        <v>8469.66</v>
      </c>
      <c r="V362" s="130"/>
      <c r="W362" s="170"/>
    </row>
    <row r="363" s="39" customFormat="1" ht="22" hidden="1" customHeight="1" spans="1:23">
      <c r="A363" s="144" t="s">
        <v>1354</v>
      </c>
      <c r="B363" s="174" t="s">
        <v>30</v>
      </c>
      <c r="C363" s="175"/>
      <c r="D363" s="45" t="s">
        <v>31</v>
      </c>
      <c r="E363" s="82" t="s">
        <v>1121</v>
      </c>
      <c r="F363" s="81">
        <f>IFERROR(VLOOKUP(E363,客户!B:C,2,FALSE),"/")</f>
        <v>0</v>
      </c>
      <c r="G363" s="80" t="s">
        <v>1355</v>
      </c>
      <c r="H363" s="45" t="s">
        <v>123</v>
      </c>
      <c r="I363" s="45" t="s">
        <v>215</v>
      </c>
      <c r="J363" s="108">
        <v>44179</v>
      </c>
      <c r="K363" s="159">
        <v>44235</v>
      </c>
      <c r="L363" s="100">
        <v>44259</v>
      </c>
      <c r="M363" s="165" t="s">
        <v>1356</v>
      </c>
      <c r="N363" s="198" t="s">
        <v>1357</v>
      </c>
      <c r="O363" s="104" t="s">
        <v>523</v>
      </c>
      <c r="P363" s="102">
        <v>77665.36</v>
      </c>
      <c r="Q363" s="102">
        <v>15000</v>
      </c>
      <c r="R363" s="241"/>
      <c r="S363" s="242"/>
      <c r="T363" s="102">
        <v>62666</v>
      </c>
      <c r="U363" s="100"/>
      <c r="V363" s="130"/>
      <c r="W363" s="170"/>
    </row>
    <row r="364" s="39" customFormat="1" ht="22" hidden="1" customHeight="1" spans="1:23">
      <c r="A364" s="144" t="s">
        <v>1358</v>
      </c>
      <c r="B364" s="174" t="s">
        <v>30</v>
      </c>
      <c r="C364" s="175"/>
      <c r="D364" s="45" t="s">
        <v>31</v>
      </c>
      <c r="E364" s="82" t="s">
        <v>1190</v>
      </c>
      <c r="F364" s="81">
        <f>IFERROR(VLOOKUP(E364,客户!B:C,2,FALSE),"/")</f>
        <v>0</v>
      </c>
      <c r="G364" s="80" t="s">
        <v>1359</v>
      </c>
      <c r="H364" s="45" t="s">
        <v>123</v>
      </c>
      <c r="I364" s="45" t="s">
        <v>542</v>
      </c>
      <c r="J364" s="108">
        <v>44183</v>
      </c>
      <c r="K364" s="159">
        <v>44324</v>
      </c>
      <c r="L364" s="100">
        <v>44351</v>
      </c>
      <c r="M364" s="165" t="s">
        <v>1360</v>
      </c>
      <c r="N364" s="198" t="s">
        <v>1292</v>
      </c>
      <c r="O364" s="104" t="s">
        <v>680</v>
      </c>
      <c r="P364" s="102">
        <v>46751.37</v>
      </c>
      <c r="Q364" s="102"/>
      <c r="R364" s="241"/>
      <c r="S364" s="242"/>
      <c r="T364" s="102">
        <v>46751.37</v>
      </c>
      <c r="U364" s="100"/>
      <c r="V364" s="130"/>
      <c r="W364" s="170"/>
    </row>
    <row r="365" s="39" customFormat="1" ht="22" hidden="1" customHeight="1" spans="1:23">
      <c r="A365" s="144" t="s">
        <v>1361</v>
      </c>
      <c r="B365" s="174" t="s">
        <v>30</v>
      </c>
      <c r="C365" s="175"/>
      <c r="D365" s="45" t="s">
        <v>31</v>
      </c>
      <c r="E365" s="82" t="s">
        <v>1190</v>
      </c>
      <c r="F365" s="81">
        <f>IFERROR(VLOOKUP(E365,客户!B:C,2,FALSE),"/")</f>
        <v>0</v>
      </c>
      <c r="G365" s="80" t="s">
        <v>1362</v>
      </c>
      <c r="H365" s="45" t="s">
        <v>123</v>
      </c>
      <c r="I365" s="45" t="s">
        <v>542</v>
      </c>
      <c r="J365" s="108">
        <v>44183</v>
      </c>
      <c r="K365" s="159">
        <v>44344</v>
      </c>
      <c r="L365" s="100">
        <v>44379</v>
      </c>
      <c r="M365" s="165" t="s">
        <v>1363</v>
      </c>
      <c r="N365" s="198"/>
      <c r="O365" s="104" t="s">
        <v>680</v>
      </c>
      <c r="P365" s="102">
        <v>23251.63</v>
      </c>
      <c r="Q365" s="102"/>
      <c r="R365" s="241"/>
      <c r="S365" s="242"/>
      <c r="T365" s="102">
        <v>23251.63</v>
      </c>
      <c r="U365" s="100"/>
      <c r="V365" s="130"/>
      <c r="W365" s="170"/>
    </row>
    <row r="366" s="39" customFormat="1" ht="22" hidden="1" customHeight="1" spans="1:23">
      <c r="A366" s="144" t="s">
        <v>1364</v>
      </c>
      <c r="B366" s="174" t="s">
        <v>30</v>
      </c>
      <c r="C366" s="175"/>
      <c r="D366" s="45" t="s">
        <v>31</v>
      </c>
      <c r="E366" s="82" t="s">
        <v>1265</v>
      </c>
      <c r="F366" s="81" t="str">
        <f>IFERROR(VLOOKUP(E366,客户!B:C,2,FALSE),"/")</f>
        <v>外送费用945人民币+装箱费用 加在发票里</v>
      </c>
      <c r="G366" s="80" t="s">
        <v>1365</v>
      </c>
      <c r="H366" s="45" t="s">
        <v>147</v>
      </c>
      <c r="I366" s="45" t="s">
        <v>997</v>
      </c>
      <c r="J366" s="108">
        <v>44196</v>
      </c>
      <c r="K366" s="159">
        <v>44300</v>
      </c>
      <c r="L366" s="100">
        <v>44350</v>
      </c>
      <c r="M366" s="165" t="s">
        <v>1366</v>
      </c>
      <c r="N366" s="198" t="s">
        <v>1367</v>
      </c>
      <c r="O366" s="104" t="s">
        <v>680</v>
      </c>
      <c r="P366" s="102">
        <v>101525</v>
      </c>
      <c r="Q366" s="102"/>
      <c r="R366" s="241"/>
      <c r="S366" s="242"/>
      <c r="T366" s="102">
        <v>101525</v>
      </c>
      <c r="U366" s="100"/>
      <c r="V366" s="130"/>
      <c r="W366" s="170"/>
    </row>
    <row r="367" s="39" customFormat="1" ht="22" hidden="1" customHeight="1" spans="1:23">
      <c r="A367" s="144" t="s">
        <v>1368</v>
      </c>
      <c r="B367" s="174" t="s">
        <v>30</v>
      </c>
      <c r="C367" s="175"/>
      <c r="D367" s="45" t="s">
        <v>31</v>
      </c>
      <c r="E367" s="82" t="s">
        <v>1167</v>
      </c>
      <c r="F367" s="81">
        <f>IFERROR(VLOOKUP(E367,客户!B:C,2,FALSE),"/")</f>
        <v>0</v>
      </c>
      <c r="G367" s="80" t="s">
        <v>1369</v>
      </c>
      <c r="H367" s="45" t="s">
        <v>123</v>
      </c>
      <c r="I367" s="45" t="s">
        <v>1370</v>
      </c>
      <c r="J367" s="108">
        <v>44201</v>
      </c>
      <c r="K367" s="159">
        <v>44247</v>
      </c>
      <c r="L367" s="100">
        <v>44277</v>
      </c>
      <c r="M367" s="165" t="s">
        <v>1371</v>
      </c>
      <c r="N367" s="198" t="s">
        <v>1372</v>
      </c>
      <c r="O367" s="104" t="s">
        <v>523</v>
      </c>
      <c r="P367" s="102">
        <v>37191.49</v>
      </c>
      <c r="Q367" s="102">
        <v>11200</v>
      </c>
      <c r="R367" s="241"/>
      <c r="S367" s="242"/>
      <c r="T367" s="102">
        <f>7623+18368.49</f>
        <v>25991.49</v>
      </c>
      <c r="U367" s="100"/>
      <c r="V367" s="130"/>
      <c r="W367" s="170"/>
    </row>
    <row r="368" s="39" customFormat="1" ht="22" hidden="1" customHeight="1" spans="1:23">
      <c r="A368" s="144" t="s">
        <v>1373</v>
      </c>
      <c r="B368" s="174" t="s">
        <v>30</v>
      </c>
      <c r="C368" s="175"/>
      <c r="D368" s="45" t="s">
        <v>31</v>
      </c>
      <c r="E368" s="82" t="s">
        <v>1117</v>
      </c>
      <c r="F368" s="81">
        <f>IFERROR(VLOOKUP(E368,客户!B:C,2,FALSE),"/")</f>
        <v>0</v>
      </c>
      <c r="G368" s="80" t="s">
        <v>1374</v>
      </c>
      <c r="H368" s="229" t="s">
        <v>970</v>
      </c>
      <c r="I368" s="45"/>
      <c r="J368" s="108">
        <v>44201</v>
      </c>
      <c r="K368" s="159">
        <v>44216</v>
      </c>
      <c r="L368" s="100"/>
      <c r="M368" s="165" t="s">
        <v>1375</v>
      </c>
      <c r="N368" s="198"/>
      <c r="O368" s="104" t="s">
        <v>970</v>
      </c>
      <c r="P368" s="240">
        <v>60740</v>
      </c>
      <c r="Q368" s="240">
        <v>20000</v>
      </c>
      <c r="R368" s="241"/>
      <c r="S368" s="242"/>
      <c r="T368" s="240">
        <v>40740</v>
      </c>
      <c r="U368" s="100"/>
      <c r="V368" s="130"/>
      <c r="W368" s="170"/>
    </row>
    <row r="369" s="39" customFormat="1" ht="22" hidden="1" customHeight="1" spans="1:23">
      <c r="A369" s="144" t="s">
        <v>1376</v>
      </c>
      <c r="B369" s="174" t="s">
        <v>30</v>
      </c>
      <c r="C369" s="175"/>
      <c r="D369" s="45" t="s">
        <v>31</v>
      </c>
      <c r="E369" s="82" t="s">
        <v>1377</v>
      </c>
      <c r="F369" s="81"/>
      <c r="G369" s="80" t="s">
        <v>1378</v>
      </c>
      <c r="H369" s="45" t="s">
        <v>123</v>
      </c>
      <c r="I369" s="45" t="s">
        <v>1095</v>
      </c>
      <c r="J369" s="108">
        <v>44203</v>
      </c>
      <c r="K369" s="159">
        <v>44324</v>
      </c>
      <c r="L369" s="100">
        <v>44363</v>
      </c>
      <c r="M369" s="165" t="s">
        <v>1379</v>
      </c>
      <c r="N369" s="198" t="s">
        <v>1380</v>
      </c>
      <c r="O369" s="104" t="s">
        <v>523</v>
      </c>
      <c r="P369" s="102">
        <v>25048.15</v>
      </c>
      <c r="Q369" s="102">
        <v>4000</v>
      </c>
      <c r="R369" s="241"/>
      <c r="S369" s="242"/>
      <c r="T369" s="102">
        <v>21048.15</v>
      </c>
      <c r="U369" s="100"/>
      <c r="V369" s="130"/>
      <c r="W369" s="170"/>
    </row>
    <row r="370" s="39" customFormat="1" ht="22" hidden="1" customHeight="1" spans="1:23">
      <c r="A370" s="144" t="s">
        <v>1381</v>
      </c>
      <c r="B370" s="174" t="s">
        <v>30</v>
      </c>
      <c r="C370" s="175"/>
      <c r="D370" s="45" t="s">
        <v>31</v>
      </c>
      <c r="E370" s="82" t="s">
        <v>1113</v>
      </c>
      <c r="F370" s="81" t="str">
        <f>IFERROR(VLOOKUP(E370,客户!B:C,2,FALSE),"/")</f>
        <v>收货人可能变 每次和客户确认下收货人 必须受到客户明确回复</v>
      </c>
      <c r="G370" s="80" t="s">
        <v>1382</v>
      </c>
      <c r="H370" s="45" t="s">
        <v>123</v>
      </c>
      <c r="I370" s="45" t="s">
        <v>980</v>
      </c>
      <c r="J370" s="108">
        <v>44208</v>
      </c>
      <c r="K370" s="159">
        <v>44343</v>
      </c>
      <c r="L370" s="100">
        <v>44394</v>
      </c>
      <c r="M370" s="165" t="s">
        <v>1383</v>
      </c>
      <c r="N370" s="108" t="s">
        <v>1384</v>
      </c>
      <c r="O370" s="104" t="s">
        <v>523</v>
      </c>
      <c r="P370" s="102">
        <v>56661.25</v>
      </c>
      <c r="Q370" s="102">
        <v>10000</v>
      </c>
      <c r="R370" s="241"/>
      <c r="S370" s="242"/>
      <c r="T370" s="102">
        <v>18000</v>
      </c>
      <c r="U370" s="102">
        <f>185438/6.47</f>
        <v>28661.2055641422</v>
      </c>
      <c r="V370" s="130"/>
      <c r="W370" s="170"/>
    </row>
    <row r="371" s="39" customFormat="1" ht="22" hidden="1" customHeight="1" spans="1:23">
      <c r="A371" s="144" t="s">
        <v>1385</v>
      </c>
      <c r="B371" s="174" t="s">
        <v>30</v>
      </c>
      <c r="C371" s="175"/>
      <c r="D371" s="45" t="s">
        <v>31</v>
      </c>
      <c r="E371" s="82" t="s">
        <v>1257</v>
      </c>
      <c r="F371" s="81">
        <f>IFERROR(VLOOKUP(E371,客户!B:C,2,FALSE),"/")</f>
        <v>0</v>
      </c>
      <c r="G371" s="80" t="s">
        <v>1202</v>
      </c>
      <c r="H371" s="45" t="s">
        <v>123</v>
      </c>
      <c r="I371" s="45" t="s">
        <v>1149</v>
      </c>
      <c r="J371" s="108">
        <v>44218</v>
      </c>
      <c r="K371" s="159">
        <v>44290</v>
      </c>
      <c r="L371" s="100">
        <v>44311</v>
      </c>
      <c r="M371" s="165" t="s">
        <v>1386</v>
      </c>
      <c r="N371" s="198" t="s">
        <v>1387</v>
      </c>
      <c r="O371" s="104" t="s">
        <v>523</v>
      </c>
      <c r="P371" s="102">
        <v>27186.72</v>
      </c>
      <c r="Q371" s="102">
        <v>5025.17</v>
      </c>
      <c r="R371" s="241"/>
      <c r="S371" s="242"/>
      <c r="T371" s="102">
        <v>22161.55</v>
      </c>
      <c r="U371" s="100"/>
      <c r="V371" s="130"/>
      <c r="W371" s="170"/>
    </row>
    <row r="372" s="39" customFormat="1" ht="22" hidden="1" customHeight="1" spans="1:23">
      <c r="A372" s="144" t="s">
        <v>1388</v>
      </c>
      <c r="B372" s="174" t="s">
        <v>30</v>
      </c>
      <c r="C372" s="175"/>
      <c r="D372" s="45" t="s">
        <v>31</v>
      </c>
      <c r="E372" s="82" t="s">
        <v>1389</v>
      </c>
      <c r="F372" s="81">
        <f>IFERROR(VLOOKUP(E372,客户!B:C,2,FALSE),"/")</f>
        <v>0</v>
      </c>
      <c r="G372" s="80" t="s">
        <v>1390</v>
      </c>
      <c r="H372" s="45" t="s">
        <v>127</v>
      </c>
      <c r="I372" s="45" t="s">
        <v>1391</v>
      </c>
      <c r="J372" s="108">
        <v>44226</v>
      </c>
      <c r="K372" s="159">
        <v>44315</v>
      </c>
      <c r="L372" s="100">
        <v>44327</v>
      </c>
      <c r="M372" s="165" t="s">
        <v>1392</v>
      </c>
      <c r="N372" s="198" t="s">
        <v>1393</v>
      </c>
      <c r="O372" s="104" t="s">
        <v>523</v>
      </c>
      <c r="P372" s="102">
        <v>18261.02</v>
      </c>
      <c r="Q372" s="102">
        <v>5476</v>
      </c>
      <c r="R372" s="241"/>
      <c r="S372" s="242"/>
      <c r="T372" s="102">
        <v>9814.15</v>
      </c>
      <c r="U372" s="102">
        <v>2963.18</v>
      </c>
      <c r="V372" s="130"/>
      <c r="W372" s="170"/>
    </row>
    <row r="373" s="39" customFormat="1" ht="22" hidden="1" customHeight="1" spans="1:23">
      <c r="A373" s="144" t="s">
        <v>1394</v>
      </c>
      <c r="B373" s="174" t="s">
        <v>30</v>
      </c>
      <c r="C373" s="175"/>
      <c r="D373" s="229" t="s">
        <v>31</v>
      </c>
      <c r="E373" s="82" t="s">
        <v>1265</v>
      </c>
      <c r="F373" s="81" t="str">
        <f>IFERROR(VLOOKUP(E373,客户!B:C,2,FALSE),"/")</f>
        <v>外送费用945人民币+装箱费用 加在发票里</v>
      </c>
      <c r="G373" s="80" t="s">
        <v>1395</v>
      </c>
      <c r="H373" s="45" t="s">
        <v>147</v>
      </c>
      <c r="I373" s="45" t="s">
        <v>997</v>
      </c>
      <c r="J373" s="108">
        <v>44231</v>
      </c>
      <c r="K373" s="159">
        <v>44336</v>
      </c>
      <c r="L373" s="100">
        <v>44370</v>
      </c>
      <c r="M373" s="165" t="s">
        <v>1396</v>
      </c>
      <c r="N373" s="198" t="s">
        <v>1397</v>
      </c>
      <c r="O373" s="104" t="s">
        <v>680</v>
      </c>
      <c r="P373" s="102">
        <v>104894.17</v>
      </c>
      <c r="Q373" s="102"/>
      <c r="R373" s="241"/>
      <c r="S373" s="242"/>
      <c r="T373" s="102">
        <v>104894.17</v>
      </c>
      <c r="U373" s="100"/>
      <c r="V373" s="130"/>
      <c r="W373" s="170"/>
    </row>
    <row r="374" s="39" customFormat="1" ht="22" hidden="1" customHeight="1" spans="1:23">
      <c r="A374" s="144" t="s">
        <v>1398</v>
      </c>
      <c r="B374" s="174" t="s">
        <v>30</v>
      </c>
      <c r="C374" s="175"/>
      <c r="D374" s="229" t="s">
        <v>31</v>
      </c>
      <c r="E374" s="82" t="s">
        <v>1265</v>
      </c>
      <c r="F374" s="81" t="str">
        <f>IFERROR(VLOOKUP(E374,客户!B:C,2,FALSE),"/")</f>
        <v>外送费用945人民币+装箱费用 加在发票里</v>
      </c>
      <c r="G374" s="80" t="s">
        <v>1399</v>
      </c>
      <c r="H374" s="45" t="s">
        <v>147</v>
      </c>
      <c r="I374" s="45" t="s">
        <v>997</v>
      </c>
      <c r="J374" s="108">
        <v>44231</v>
      </c>
      <c r="K374" s="159">
        <v>44487</v>
      </c>
      <c r="L374" s="100">
        <v>44521</v>
      </c>
      <c r="M374" s="165" t="s">
        <v>1400</v>
      </c>
      <c r="N374" s="108"/>
      <c r="O374" s="104" t="s">
        <v>680</v>
      </c>
      <c r="P374" s="139"/>
      <c r="Q374" s="102"/>
      <c r="R374" s="241"/>
      <c r="S374" s="242"/>
      <c r="T374" s="240"/>
      <c r="U374" s="100"/>
      <c r="V374" s="130"/>
      <c r="W374" s="170"/>
    </row>
    <row r="375" s="39" customFormat="1" ht="22" hidden="1" customHeight="1" spans="1:23">
      <c r="A375" s="144" t="s">
        <v>1401</v>
      </c>
      <c r="B375" s="174" t="s">
        <v>30</v>
      </c>
      <c r="C375" s="175"/>
      <c r="D375" s="229" t="s">
        <v>31</v>
      </c>
      <c r="E375" s="82" t="s">
        <v>1265</v>
      </c>
      <c r="F375" s="81" t="str">
        <f>IFERROR(VLOOKUP(E375,客户!B:C,2,FALSE),"/")</f>
        <v>外送费用945人民币+装箱费用 加在发票里</v>
      </c>
      <c r="G375" s="80" t="s">
        <v>1399</v>
      </c>
      <c r="H375" s="45" t="s">
        <v>147</v>
      </c>
      <c r="I375" s="45" t="s">
        <v>997</v>
      </c>
      <c r="J375" s="108">
        <v>44231</v>
      </c>
      <c r="K375" s="159">
        <v>44358</v>
      </c>
      <c r="L375" s="100">
        <v>44403</v>
      </c>
      <c r="M375" s="165" t="s">
        <v>1402</v>
      </c>
      <c r="N375" s="198" t="s">
        <v>1403</v>
      </c>
      <c r="O375" s="104" t="s">
        <v>680</v>
      </c>
      <c r="P375" s="102">
        <v>54178.1</v>
      </c>
      <c r="Q375" s="102">
        <f>9574*2</f>
        <v>19148</v>
      </c>
      <c r="R375" s="241"/>
      <c r="S375" s="242"/>
      <c r="T375" s="102">
        <v>35030.1</v>
      </c>
      <c r="U375" s="100"/>
      <c r="V375" s="130"/>
      <c r="W375" s="170"/>
    </row>
    <row r="376" s="39" customFormat="1" ht="22" hidden="1" customHeight="1" spans="1:23">
      <c r="A376" s="144" t="s">
        <v>1404</v>
      </c>
      <c r="B376" s="174" t="s">
        <v>30</v>
      </c>
      <c r="C376" s="175"/>
      <c r="D376" s="229" t="s">
        <v>31</v>
      </c>
      <c r="E376" s="82" t="s">
        <v>1265</v>
      </c>
      <c r="F376" s="81" t="str">
        <f>IFERROR(VLOOKUP(E376,客户!B:C,2,FALSE),"/")</f>
        <v>外送费用945人民币+装箱费用 加在发票里</v>
      </c>
      <c r="G376" s="80" t="s">
        <v>1399</v>
      </c>
      <c r="H376" s="45" t="s">
        <v>147</v>
      </c>
      <c r="I376" s="45" t="s">
        <v>542</v>
      </c>
      <c r="J376" s="108">
        <v>44231</v>
      </c>
      <c r="K376" s="159">
        <v>44347</v>
      </c>
      <c r="L376" s="100">
        <v>44387</v>
      </c>
      <c r="M376" s="165" t="s">
        <v>1405</v>
      </c>
      <c r="N376" s="198" t="s">
        <v>1406</v>
      </c>
      <c r="O376" s="104" t="s">
        <v>680</v>
      </c>
      <c r="P376" s="102">
        <v>53757.46</v>
      </c>
      <c r="Q376" s="102"/>
      <c r="R376" s="241"/>
      <c r="S376" s="242"/>
      <c r="T376" s="102">
        <v>53757.46</v>
      </c>
      <c r="U376" s="100"/>
      <c r="V376" s="130"/>
      <c r="W376" s="170"/>
    </row>
    <row r="377" s="39" customFormat="1" ht="22" hidden="1" customHeight="1" spans="1:23">
      <c r="A377" s="144" t="s">
        <v>1407</v>
      </c>
      <c r="B377" s="174" t="s">
        <v>30</v>
      </c>
      <c r="C377" s="175"/>
      <c r="D377" s="45" t="s">
        <v>31</v>
      </c>
      <c r="E377" s="82" t="s">
        <v>1326</v>
      </c>
      <c r="F377" s="81">
        <f>IFERROR(VLOOKUP(E377,客户!B:C,2,FALSE),"/")</f>
        <v>0</v>
      </c>
      <c r="G377" s="80" t="s">
        <v>985</v>
      </c>
      <c r="H377" s="45" t="s">
        <v>123</v>
      </c>
      <c r="I377" s="45" t="s">
        <v>909</v>
      </c>
      <c r="J377" s="108">
        <v>44232</v>
      </c>
      <c r="K377" s="159">
        <v>44299</v>
      </c>
      <c r="L377" s="100">
        <v>44367</v>
      </c>
      <c r="M377" s="165" t="s">
        <v>1408</v>
      </c>
      <c r="N377" s="198" t="s">
        <v>1409</v>
      </c>
      <c r="O377" s="104" t="s">
        <v>523</v>
      </c>
      <c r="P377" s="102">
        <v>23780</v>
      </c>
      <c r="Q377" s="102">
        <v>4756</v>
      </c>
      <c r="R377" s="241"/>
      <c r="S377" s="242"/>
      <c r="T377" s="102">
        <v>19024</v>
      </c>
      <c r="U377" s="100"/>
      <c r="V377" s="130"/>
      <c r="W377" s="170"/>
    </row>
    <row r="378" s="39" customFormat="1" ht="22" hidden="1" customHeight="1" spans="1:23">
      <c r="A378" s="144" t="s">
        <v>1410</v>
      </c>
      <c r="B378" s="174" t="s">
        <v>30</v>
      </c>
      <c r="C378" s="175"/>
      <c r="D378" s="45" t="s">
        <v>31</v>
      </c>
      <c r="E378" s="82" t="s">
        <v>1117</v>
      </c>
      <c r="F378" s="81">
        <f>IFERROR(VLOOKUP(E378,客户!B:C,2,FALSE),"/")</f>
        <v>0</v>
      </c>
      <c r="G378" s="80" t="s">
        <v>985</v>
      </c>
      <c r="H378" s="45" t="s">
        <v>123</v>
      </c>
      <c r="I378" s="45" t="s">
        <v>1411</v>
      </c>
      <c r="J378" s="108">
        <v>44236</v>
      </c>
      <c r="K378" s="159">
        <v>44325</v>
      </c>
      <c r="L378" s="100"/>
      <c r="M378" s="165" t="s">
        <v>1412</v>
      </c>
      <c r="N378" s="198" t="s">
        <v>1413</v>
      </c>
      <c r="O378" s="104" t="s">
        <v>970</v>
      </c>
      <c r="P378" s="102">
        <v>24385.81</v>
      </c>
      <c r="Q378" s="102"/>
      <c r="R378" s="241"/>
      <c r="S378" s="242"/>
      <c r="T378" s="102">
        <v>24385.81</v>
      </c>
      <c r="U378" s="100"/>
      <c r="V378" s="130"/>
      <c r="W378" s="170"/>
    </row>
    <row r="379" s="39" customFormat="1" ht="22" hidden="1" customHeight="1" spans="1:23">
      <c r="A379" s="144" t="s">
        <v>1414</v>
      </c>
      <c r="B379" s="174" t="s">
        <v>30</v>
      </c>
      <c r="C379" s="175"/>
      <c r="D379" s="45" t="s">
        <v>31</v>
      </c>
      <c r="E379" s="82" t="s">
        <v>1415</v>
      </c>
      <c r="F379" s="81">
        <f>IFERROR(VLOOKUP(E379,客户!B:C,2,FALSE),"/")</f>
        <v>0</v>
      </c>
      <c r="G379" s="80" t="s">
        <v>985</v>
      </c>
      <c r="H379" s="45" t="s">
        <v>123</v>
      </c>
      <c r="I379" s="45" t="s">
        <v>1203</v>
      </c>
      <c r="J379" s="108">
        <v>44257</v>
      </c>
      <c r="K379" s="116">
        <v>44299</v>
      </c>
      <c r="L379" s="100">
        <v>44335</v>
      </c>
      <c r="M379" s="165" t="s">
        <v>1416</v>
      </c>
      <c r="N379" s="198" t="s">
        <v>1417</v>
      </c>
      <c r="O379" s="104" t="s">
        <v>523</v>
      </c>
      <c r="P379" s="102">
        <v>28173.95</v>
      </c>
      <c r="Q379" s="102">
        <v>8000</v>
      </c>
      <c r="R379" s="241"/>
      <c r="S379" s="242"/>
      <c r="T379" s="102">
        <v>20173.95</v>
      </c>
      <c r="U379" s="100"/>
      <c r="V379" s="130"/>
      <c r="W379" s="170"/>
    </row>
    <row r="380" s="39" customFormat="1" ht="22" hidden="1" customHeight="1" spans="1:23">
      <c r="A380" s="144" t="s">
        <v>1418</v>
      </c>
      <c r="B380" s="174" t="s">
        <v>30</v>
      </c>
      <c r="C380" s="175"/>
      <c r="D380" s="45" t="s">
        <v>31</v>
      </c>
      <c r="E380" s="82" t="s">
        <v>1121</v>
      </c>
      <c r="F380" s="81">
        <f>IFERROR(VLOOKUP(E380,客户!B:C,2,FALSE),"/")</f>
        <v>0</v>
      </c>
      <c r="G380" s="80" t="s">
        <v>1419</v>
      </c>
      <c r="H380" s="45" t="s">
        <v>123</v>
      </c>
      <c r="I380" s="45" t="s">
        <v>215</v>
      </c>
      <c r="J380" s="108">
        <v>44257</v>
      </c>
      <c r="K380" s="159">
        <v>44295</v>
      </c>
      <c r="L380" s="100">
        <v>44312</v>
      </c>
      <c r="M380" s="165" t="s">
        <v>1420</v>
      </c>
      <c r="N380" s="198" t="s">
        <v>1421</v>
      </c>
      <c r="O380" s="104" t="s">
        <v>523</v>
      </c>
      <c r="P380" s="102">
        <v>48899.94</v>
      </c>
      <c r="Q380" s="102"/>
      <c r="R380" s="241"/>
      <c r="S380" s="242"/>
      <c r="T380" s="102">
        <v>48899.94</v>
      </c>
      <c r="U380" s="100"/>
      <c r="V380" s="130"/>
      <c r="W380" s="170"/>
    </row>
    <row r="381" s="39" customFormat="1" ht="22" hidden="1" customHeight="1" spans="1:23">
      <c r="A381" s="144" t="s">
        <v>1422</v>
      </c>
      <c r="B381" s="174" t="s">
        <v>30</v>
      </c>
      <c r="C381" s="175"/>
      <c r="D381" s="45" t="s">
        <v>31</v>
      </c>
      <c r="E381" s="82" t="s">
        <v>1121</v>
      </c>
      <c r="F381" s="81">
        <f>IFERROR(VLOOKUP(E381,客户!B:C,2,FALSE),"/")</f>
        <v>0</v>
      </c>
      <c r="G381" s="80" t="s">
        <v>1186</v>
      </c>
      <c r="H381" s="45" t="s">
        <v>123</v>
      </c>
      <c r="I381" s="45" t="s">
        <v>215</v>
      </c>
      <c r="J381" s="108">
        <v>44257</v>
      </c>
      <c r="K381" s="116">
        <v>44310</v>
      </c>
      <c r="L381" s="100">
        <v>44326</v>
      </c>
      <c r="M381" s="165" t="s">
        <v>1423</v>
      </c>
      <c r="N381" s="198" t="s">
        <v>1424</v>
      </c>
      <c r="O381" s="104" t="s">
        <v>523</v>
      </c>
      <c r="P381" s="102">
        <v>82954.3</v>
      </c>
      <c r="Q381" s="102">
        <v>15000</v>
      </c>
      <c r="R381" s="241"/>
      <c r="S381" s="242"/>
      <c r="T381" s="102">
        <v>67955</v>
      </c>
      <c r="U381" s="100"/>
      <c r="V381" s="130"/>
      <c r="W381" s="170"/>
    </row>
    <row r="382" s="39" customFormat="1" ht="22" hidden="1" customHeight="1" spans="1:23">
      <c r="A382" s="144" t="s">
        <v>1425</v>
      </c>
      <c r="B382" s="174" t="s">
        <v>30</v>
      </c>
      <c r="C382" s="175"/>
      <c r="D382" s="45" t="s">
        <v>31</v>
      </c>
      <c r="E382" s="82" t="s">
        <v>1167</v>
      </c>
      <c r="F382" s="81">
        <f>IFERROR(VLOOKUP(E382,客户!B:C,2,FALSE),"/")</f>
        <v>0</v>
      </c>
      <c r="G382" s="80" t="s">
        <v>1369</v>
      </c>
      <c r="H382" s="45" t="s">
        <v>123</v>
      </c>
      <c r="I382" s="45" t="s">
        <v>1370</v>
      </c>
      <c r="J382" s="108">
        <v>44258</v>
      </c>
      <c r="K382" s="116">
        <v>44288</v>
      </c>
      <c r="L382" s="100">
        <v>44308</v>
      </c>
      <c r="M382" s="165" t="s">
        <v>1426</v>
      </c>
      <c r="N382" s="198" t="s">
        <v>1427</v>
      </c>
      <c r="O382" s="104" t="s">
        <v>523</v>
      </c>
      <c r="P382" s="102">
        <v>34548.34</v>
      </c>
      <c r="Q382" s="102">
        <v>10208.98</v>
      </c>
      <c r="R382" s="241"/>
      <c r="S382" s="242"/>
      <c r="T382" s="102">
        <v>24339.36</v>
      </c>
      <c r="U382" s="100"/>
      <c r="V382" s="130"/>
      <c r="W382" s="170"/>
    </row>
    <row r="383" s="39" customFormat="1" ht="22" hidden="1" customHeight="1" spans="1:23">
      <c r="A383" s="144" t="s">
        <v>1428</v>
      </c>
      <c r="B383" s="174" t="s">
        <v>30</v>
      </c>
      <c r="C383" s="175"/>
      <c r="D383" s="45" t="s">
        <v>31</v>
      </c>
      <c r="E383" s="82" t="s">
        <v>1429</v>
      </c>
      <c r="F383" s="81">
        <f>IFERROR(VLOOKUP(E383,客户!B:C,2,FALSE),"/")</f>
        <v>0</v>
      </c>
      <c r="G383" s="80" t="s">
        <v>1430</v>
      </c>
      <c r="H383" s="45" t="s">
        <v>127</v>
      </c>
      <c r="I383" s="45" t="s">
        <v>1431</v>
      </c>
      <c r="J383" s="108">
        <v>44260</v>
      </c>
      <c r="K383" s="159">
        <v>44324</v>
      </c>
      <c r="L383" s="200">
        <v>44419</v>
      </c>
      <c r="M383" s="165" t="s">
        <v>1432</v>
      </c>
      <c r="N383" s="198" t="s">
        <v>1433</v>
      </c>
      <c r="O383" s="104" t="s">
        <v>680</v>
      </c>
      <c r="P383" s="102">
        <v>98963.74</v>
      </c>
      <c r="Q383" s="102"/>
      <c r="R383" s="241"/>
      <c r="S383" s="242"/>
      <c r="T383" s="102">
        <v>98963.74</v>
      </c>
      <c r="U383" s="100"/>
      <c r="V383" s="130"/>
      <c r="W383" s="170"/>
    </row>
    <row r="384" s="39" customFormat="1" ht="22" hidden="1" customHeight="1" spans="1:23">
      <c r="A384" s="144" t="s">
        <v>1434</v>
      </c>
      <c r="B384" s="174" t="s">
        <v>30</v>
      </c>
      <c r="C384" s="175"/>
      <c r="D384" s="45" t="s">
        <v>31</v>
      </c>
      <c r="E384" s="82" t="s">
        <v>1274</v>
      </c>
      <c r="F384" s="81">
        <f>IFERROR(VLOOKUP(E384,客户!B:C,2,FALSE),"/")</f>
        <v>0</v>
      </c>
      <c r="G384" s="80" t="s">
        <v>985</v>
      </c>
      <c r="H384" s="45" t="s">
        <v>123</v>
      </c>
      <c r="I384" s="45" t="s">
        <v>925</v>
      </c>
      <c r="J384" s="108">
        <v>44260</v>
      </c>
      <c r="K384" s="159">
        <v>44318</v>
      </c>
      <c r="L384" s="100">
        <v>44375</v>
      </c>
      <c r="M384" s="165" t="s">
        <v>1435</v>
      </c>
      <c r="N384" s="198" t="s">
        <v>1436</v>
      </c>
      <c r="O384" s="104" t="s">
        <v>523</v>
      </c>
      <c r="P384" s="102">
        <v>22183.65</v>
      </c>
      <c r="Q384" s="102">
        <v>6650</v>
      </c>
      <c r="R384" s="241"/>
      <c r="S384" s="242"/>
      <c r="T384" s="102">
        <v>15533.65</v>
      </c>
      <c r="U384" s="100"/>
      <c r="V384" s="130"/>
      <c r="W384" s="170"/>
    </row>
    <row r="385" s="39" customFormat="1" ht="22" hidden="1" customHeight="1" spans="1:23">
      <c r="A385" s="144" t="s">
        <v>1437</v>
      </c>
      <c r="B385" s="174" t="s">
        <v>30</v>
      </c>
      <c r="C385" s="175"/>
      <c r="D385" s="45" t="s">
        <v>31</v>
      </c>
      <c r="E385" s="82" t="s">
        <v>1238</v>
      </c>
      <c r="F385" s="81">
        <f>IFERROR(VLOOKUP(E385,客户!B:C,2,FALSE),"/")</f>
        <v>0</v>
      </c>
      <c r="G385" s="80" t="s">
        <v>985</v>
      </c>
      <c r="H385" s="45" t="s">
        <v>123</v>
      </c>
      <c r="I385" s="45" t="s">
        <v>760</v>
      </c>
      <c r="J385" s="108">
        <v>44261</v>
      </c>
      <c r="K385" s="116">
        <v>44289</v>
      </c>
      <c r="L385" s="100">
        <v>44322</v>
      </c>
      <c r="M385" s="165" t="s">
        <v>1438</v>
      </c>
      <c r="N385" s="198" t="s">
        <v>1439</v>
      </c>
      <c r="O385" s="104" t="s">
        <v>523</v>
      </c>
      <c r="P385" s="102">
        <v>27263.5</v>
      </c>
      <c r="Q385" s="102"/>
      <c r="R385" s="241"/>
      <c r="S385" s="242"/>
      <c r="T385" s="102">
        <v>14992.91</v>
      </c>
      <c r="U385" s="102">
        <v>12270.59</v>
      </c>
      <c r="V385" s="130"/>
      <c r="W385" s="170"/>
    </row>
    <row r="386" s="39" customFormat="1" ht="22" hidden="1" customHeight="1" spans="1:23">
      <c r="A386" s="144" t="s">
        <v>1440</v>
      </c>
      <c r="B386" s="174" t="s">
        <v>30</v>
      </c>
      <c r="C386" s="175"/>
      <c r="D386" s="229" t="s">
        <v>3</v>
      </c>
      <c r="E386" s="82" t="s">
        <v>1441</v>
      </c>
      <c r="F386" s="81">
        <f>IFERROR(VLOOKUP(E386,客户!B:C,2,FALSE),"/")</f>
        <v>0</v>
      </c>
      <c r="G386" s="80" t="s">
        <v>1442</v>
      </c>
      <c r="H386" s="45" t="s">
        <v>127</v>
      </c>
      <c r="I386" s="45" t="s">
        <v>1431</v>
      </c>
      <c r="J386" s="108">
        <v>44265</v>
      </c>
      <c r="K386" s="178"/>
      <c r="L386" s="100"/>
      <c r="M386" s="165" t="s">
        <v>1443</v>
      </c>
      <c r="N386" s="108"/>
      <c r="O386" s="104" t="s">
        <v>680</v>
      </c>
      <c r="P386" s="139">
        <v>129123.29</v>
      </c>
      <c r="Q386" s="102"/>
      <c r="R386" s="241"/>
      <c r="S386" s="242"/>
      <c r="T386" s="102"/>
      <c r="U386" s="100"/>
      <c r="V386" s="130"/>
      <c r="W386" s="170"/>
    </row>
    <row r="387" s="39" customFormat="1" ht="22" hidden="1" customHeight="1" spans="1:23">
      <c r="A387" s="190" t="s">
        <v>1444</v>
      </c>
      <c r="B387" s="174" t="s">
        <v>30</v>
      </c>
      <c r="C387" s="175"/>
      <c r="D387" s="229" t="s">
        <v>31</v>
      </c>
      <c r="E387" s="82" t="s">
        <v>1257</v>
      </c>
      <c r="F387" s="81">
        <f>IFERROR(VLOOKUP(E387,客户!B:C,2,FALSE),"/")</f>
        <v>0</v>
      </c>
      <c r="G387" s="80" t="s">
        <v>43</v>
      </c>
      <c r="H387" s="45" t="s">
        <v>123</v>
      </c>
      <c r="I387" s="45" t="s">
        <v>751</v>
      </c>
      <c r="J387" s="108">
        <v>44274</v>
      </c>
      <c r="K387" s="159">
        <v>44436</v>
      </c>
      <c r="L387" s="100">
        <v>44474</v>
      </c>
      <c r="M387" s="165" t="s">
        <v>1445</v>
      </c>
      <c r="N387" s="198" t="s">
        <v>1446</v>
      </c>
      <c r="O387" s="104" t="s">
        <v>523</v>
      </c>
      <c r="P387" s="102">
        <v>32318.43</v>
      </c>
      <c r="Q387" s="102">
        <v>5638.56</v>
      </c>
      <c r="R387" s="241"/>
      <c r="S387" s="242"/>
      <c r="T387" s="102">
        <v>26679.87</v>
      </c>
      <c r="U387" s="100"/>
      <c r="V387" s="130"/>
      <c r="W387" s="170"/>
    </row>
    <row r="388" s="39" customFormat="1" ht="22" hidden="1" customHeight="1" spans="1:23">
      <c r="A388" s="144" t="s">
        <v>1447</v>
      </c>
      <c r="B388" s="174" t="s">
        <v>30</v>
      </c>
      <c r="C388" s="175"/>
      <c r="D388" s="45" t="s">
        <v>31</v>
      </c>
      <c r="E388" s="82" t="s">
        <v>1345</v>
      </c>
      <c r="F388" s="81" t="str">
        <f>IFERROR(VLOOKUP(E388,客户!B:C,2,FALSE),"/")</f>
        <v>J4159还差USD265.65没付齐 J4220还有定金5674.3 账上剩5408.65</v>
      </c>
      <c r="G388" s="80" t="s">
        <v>1198</v>
      </c>
      <c r="H388" s="45" t="s">
        <v>123</v>
      </c>
      <c r="I388" s="45" t="s">
        <v>1346</v>
      </c>
      <c r="J388" s="108">
        <v>44274</v>
      </c>
      <c r="K388" s="159">
        <v>44302</v>
      </c>
      <c r="L388" s="100">
        <v>44338</v>
      </c>
      <c r="M388" s="165" t="s">
        <v>1448</v>
      </c>
      <c r="N388" s="198" t="s">
        <v>1449</v>
      </c>
      <c r="O388" s="104" t="s">
        <v>523</v>
      </c>
      <c r="P388" s="102">
        <v>26397.73</v>
      </c>
      <c r="Q388" s="102">
        <v>7832.82</v>
      </c>
      <c r="R388" s="241"/>
      <c r="S388" s="242"/>
      <c r="T388" s="102">
        <v>18564.91</v>
      </c>
      <c r="U388" s="100"/>
      <c r="V388" s="130"/>
      <c r="W388" s="170"/>
    </row>
    <row r="389" s="39" customFormat="1" ht="22" hidden="1" customHeight="1" spans="1:23">
      <c r="A389" s="144" t="s">
        <v>1450</v>
      </c>
      <c r="B389" s="174" t="s">
        <v>30</v>
      </c>
      <c r="C389" s="175"/>
      <c r="D389" s="229" t="s">
        <v>31</v>
      </c>
      <c r="E389" s="82" t="s">
        <v>1190</v>
      </c>
      <c r="F389" s="81">
        <f>IFERROR(VLOOKUP(E389,客户!B:C,2,FALSE),"/")</f>
        <v>0</v>
      </c>
      <c r="G389" s="80" t="s">
        <v>1279</v>
      </c>
      <c r="H389" s="45" t="s">
        <v>123</v>
      </c>
      <c r="I389" s="45" t="s">
        <v>1451</v>
      </c>
      <c r="J389" s="108">
        <v>44280</v>
      </c>
      <c r="K389" s="159">
        <v>44425</v>
      </c>
      <c r="L389" s="100">
        <v>44468</v>
      </c>
      <c r="M389" s="165" t="s">
        <v>1452</v>
      </c>
      <c r="N389" s="198" t="s">
        <v>1453</v>
      </c>
      <c r="O389" s="104" t="s">
        <v>680</v>
      </c>
      <c r="P389" s="102">
        <v>78693.24</v>
      </c>
      <c r="Q389" s="102"/>
      <c r="R389" s="241"/>
      <c r="S389" s="242"/>
      <c r="T389" s="102">
        <v>78693.24</v>
      </c>
      <c r="U389" s="100"/>
      <c r="V389" s="130"/>
      <c r="W389" s="170"/>
    </row>
    <row r="390" s="39" customFormat="1" ht="22" hidden="1" customHeight="1" spans="1:23">
      <c r="A390" s="144" t="s">
        <v>1454</v>
      </c>
      <c r="B390" s="174" t="s">
        <v>30</v>
      </c>
      <c r="C390" s="175"/>
      <c r="D390" s="229" t="s">
        <v>31</v>
      </c>
      <c r="E390" s="82" t="s">
        <v>1190</v>
      </c>
      <c r="F390" s="81">
        <f>IFERROR(VLOOKUP(E390,客户!B:C,2,FALSE),"/")</f>
        <v>0</v>
      </c>
      <c r="G390" s="80" t="s">
        <v>1455</v>
      </c>
      <c r="H390" s="45" t="s">
        <v>123</v>
      </c>
      <c r="I390" s="45" t="s">
        <v>997</v>
      </c>
      <c r="J390" s="108">
        <v>44280</v>
      </c>
      <c r="K390" s="159">
        <v>44383</v>
      </c>
      <c r="L390" s="100">
        <v>44421</v>
      </c>
      <c r="M390" s="165" t="s">
        <v>1456</v>
      </c>
      <c r="N390" s="198" t="s">
        <v>1292</v>
      </c>
      <c r="O390" s="104" t="s">
        <v>680</v>
      </c>
      <c r="P390" s="102">
        <v>52462.16</v>
      </c>
      <c r="Q390" s="102"/>
      <c r="R390" s="241"/>
      <c r="S390" s="242"/>
      <c r="T390" s="102">
        <v>52462.16</v>
      </c>
      <c r="U390" s="100"/>
      <c r="V390" s="130"/>
      <c r="W390" s="170"/>
    </row>
    <row r="391" s="39" customFormat="1" ht="22" hidden="1" customHeight="1" spans="1:23">
      <c r="A391" s="144" t="s">
        <v>1457</v>
      </c>
      <c r="B391" s="174" t="s">
        <v>30</v>
      </c>
      <c r="C391" s="175"/>
      <c r="D391" s="229" t="s">
        <v>31</v>
      </c>
      <c r="E391" s="82" t="s">
        <v>1190</v>
      </c>
      <c r="F391" s="81">
        <f>IFERROR(VLOOKUP(E391,客户!B:C,2,FALSE),"/")</f>
        <v>0</v>
      </c>
      <c r="G391" s="80" t="s">
        <v>1198</v>
      </c>
      <c r="H391" s="45" t="s">
        <v>123</v>
      </c>
      <c r="I391" s="45" t="s">
        <v>542</v>
      </c>
      <c r="J391" s="108">
        <v>44280</v>
      </c>
      <c r="K391" s="159">
        <v>44344</v>
      </c>
      <c r="L391" s="100">
        <v>44379</v>
      </c>
      <c r="M391" s="165" t="s">
        <v>1458</v>
      </c>
      <c r="N391" s="198" t="s">
        <v>1459</v>
      </c>
      <c r="O391" s="104" t="s">
        <v>680</v>
      </c>
      <c r="P391" s="102">
        <v>26526.2</v>
      </c>
      <c r="Q391" s="102"/>
      <c r="R391" s="241"/>
      <c r="S391" s="242"/>
      <c r="T391" s="102">
        <v>26526.2</v>
      </c>
      <c r="U391" s="100"/>
      <c r="V391" s="130"/>
      <c r="W391" s="170"/>
    </row>
    <row r="392" s="39" customFormat="1" ht="22" hidden="1" customHeight="1" spans="1:23">
      <c r="A392" s="144" t="s">
        <v>1460</v>
      </c>
      <c r="B392" s="174" t="s">
        <v>30</v>
      </c>
      <c r="C392" s="175"/>
      <c r="D392" s="229" t="s">
        <v>31</v>
      </c>
      <c r="E392" s="82" t="s">
        <v>1249</v>
      </c>
      <c r="F392" s="81">
        <f>IFERROR(VLOOKUP(E392,客户!B:C,2,FALSE),"/")</f>
        <v>0</v>
      </c>
      <c r="G392" s="80" t="s">
        <v>941</v>
      </c>
      <c r="H392" s="45" t="s">
        <v>123</v>
      </c>
      <c r="I392" s="45" t="s">
        <v>1250</v>
      </c>
      <c r="J392" s="108">
        <v>44281</v>
      </c>
      <c r="K392" s="159">
        <v>44346</v>
      </c>
      <c r="L392" s="100">
        <v>44377</v>
      </c>
      <c r="M392" s="165" t="s">
        <v>1461</v>
      </c>
      <c r="N392" s="198" t="s">
        <v>1462</v>
      </c>
      <c r="O392" s="104" t="s">
        <v>523</v>
      </c>
      <c r="P392" s="102">
        <v>24624.49</v>
      </c>
      <c r="Q392" s="102">
        <v>7482</v>
      </c>
      <c r="R392" s="241"/>
      <c r="S392" s="242"/>
      <c r="T392" s="102">
        <v>17142.49</v>
      </c>
      <c r="U392" s="100"/>
      <c r="V392" s="130"/>
      <c r="W392" s="170"/>
    </row>
    <row r="393" s="39" customFormat="1" ht="22" hidden="1" customHeight="1" spans="1:23">
      <c r="A393" s="144" t="s">
        <v>1463</v>
      </c>
      <c r="B393" s="174" t="s">
        <v>30</v>
      </c>
      <c r="C393" s="175"/>
      <c r="D393" s="45" t="s">
        <v>31</v>
      </c>
      <c r="E393" s="82" t="s">
        <v>1117</v>
      </c>
      <c r="F393" s="81">
        <f>IFERROR(VLOOKUP(E393,客户!B:C,2,FALSE),"/")</f>
        <v>0</v>
      </c>
      <c r="G393" s="80" t="s">
        <v>1464</v>
      </c>
      <c r="H393" s="45" t="s">
        <v>186</v>
      </c>
      <c r="I393" s="45"/>
      <c r="J393" s="108">
        <v>44281</v>
      </c>
      <c r="K393" s="159">
        <v>44299</v>
      </c>
      <c r="L393" s="100"/>
      <c r="M393" s="165" t="s">
        <v>1465</v>
      </c>
      <c r="N393" s="108"/>
      <c r="O393" s="104" t="s">
        <v>970</v>
      </c>
      <c r="P393" s="240">
        <v>12800</v>
      </c>
      <c r="Q393" s="102"/>
      <c r="R393" s="241"/>
      <c r="S393" s="242"/>
      <c r="T393" s="240">
        <v>12800</v>
      </c>
      <c r="U393" s="100"/>
      <c r="V393" s="130"/>
      <c r="W393" s="170"/>
    </row>
    <row r="394" s="39" customFormat="1" ht="22" hidden="1" customHeight="1" spans="1:23">
      <c r="A394" s="190" t="s">
        <v>1466</v>
      </c>
      <c r="B394" s="174" t="s">
        <v>30</v>
      </c>
      <c r="C394" s="175"/>
      <c r="D394" s="229" t="s">
        <v>31</v>
      </c>
      <c r="E394" s="82" t="s">
        <v>1117</v>
      </c>
      <c r="F394" s="81">
        <f>IFERROR(VLOOKUP(E394,客户!B:C,2,FALSE),"/")</f>
        <v>0</v>
      </c>
      <c r="G394" s="80" t="s">
        <v>941</v>
      </c>
      <c r="H394" s="45" t="s">
        <v>123</v>
      </c>
      <c r="I394" s="45" t="s">
        <v>1467</v>
      </c>
      <c r="J394" s="108">
        <v>44284</v>
      </c>
      <c r="K394" s="159">
        <v>44385</v>
      </c>
      <c r="L394" s="100"/>
      <c r="M394" s="165" t="s">
        <v>1468</v>
      </c>
      <c r="N394" s="198" t="s">
        <v>1469</v>
      </c>
      <c r="O394" s="104" t="s">
        <v>970</v>
      </c>
      <c r="P394" s="102">
        <v>18524.33</v>
      </c>
      <c r="Q394" s="102">
        <v>5000</v>
      </c>
      <c r="R394" s="241"/>
      <c r="S394" s="242"/>
      <c r="T394" s="102">
        <v>13524.33</v>
      </c>
      <c r="U394" s="100"/>
      <c r="V394" s="130"/>
      <c r="W394" s="170"/>
    </row>
    <row r="395" s="39" customFormat="1" ht="22" hidden="1" customHeight="1" spans="1:23">
      <c r="A395" s="144" t="s">
        <v>1470</v>
      </c>
      <c r="B395" s="174" t="s">
        <v>30</v>
      </c>
      <c r="C395" s="175"/>
      <c r="D395" s="229" t="s">
        <v>31</v>
      </c>
      <c r="E395" s="82" t="s">
        <v>1265</v>
      </c>
      <c r="F395" s="81"/>
      <c r="G395" s="80" t="s">
        <v>1471</v>
      </c>
      <c r="H395" s="45" t="s">
        <v>147</v>
      </c>
      <c r="I395" s="45" t="s">
        <v>997</v>
      </c>
      <c r="J395" s="108">
        <v>44286</v>
      </c>
      <c r="K395" s="159">
        <v>44487</v>
      </c>
      <c r="L395" s="100">
        <v>44521</v>
      </c>
      <c r="M395" s="165" t="s">
        <v>1472</v>
      </c>
      <c r="N395" s="198" t="s">
        <v>1473</v>
      </c>
      <c r="O395" s="104" t="s">
        <v>680</v>
      </c>
      <c r="P395" s="102">
        <v>127028.3</v>
      </c>
      <c r="Q395" s="102">
        <f>9574*2+9574*2</f>
        <v>38296</v>
      </c>
      <c r="R395" s="241"/>
      <c r="S395" s="242"/>
      <c r="T395" s="102">
        <v>88732.3</v>
      </c>
      <c r="U395" s="100"/>
      <c r="V395" s="130"/>
      <c r="W395" s="170"/>
    </row>
    <row r="396" s="39" customFormat="1" ht="22" hidden="1" customHeight="1" spans="1:23">
      <c r="A396" s="144" t="s">
        <v>1474</v>
      </c>
      <c r="B396" s="174" t="s">
        <v>30</v>
      </c>
      <c r="C396" s="175"/>
      <c r="D396" s="229" t="s">
        <v>31</v>
      </c>
      <c r="E396" s="82" t="s">
        <v>1265</v>
      </c>
      <c r="F396" s="81"/>
      <c r="G396" s="80" t="s">
        <v>1475</v>
      </c>
      <c r="H396" s="45" t="s">
        <v>147</v>
      </c>
      <c r="I396" s="45" t="s">
        <v>997</v>
      </c>
      <c r="J396" s="108">
        <v>44286</v>
      </c>
      <c r="K396" s="159">
        <v>44358</v>
      </c>
      <c r="L396" s="100">
        <v>44403</v>
      </c>
      <c r="M396" s="165" t="s">
        <v>1476</v>
      </c>
      <c r="N396" s="198" t="s">
        <v>1403</v>
      </c>
      <c r="O396" s="104" t="s">
        <v>680</v>
      </c>
      <c r="P396" s="102">
        <v>30764.68</v>
      </c>
      <c r="Q396" s="102">
        <v>9574</v>
      </c>
      <c r="R396" s="241"/>
      <c r="S396" s="242"/>
      <c r="T396" s="102">
        <v>21190.68</v>
      </c>
      <c r="U396" s="100"/>
      <c r="V396" s="130"/>
      <c r="W396" s="170"/>
    </row>
    <row r="397" s="39" customFormat="1" ht="22" hidden="1" customHeight="1" spans="1:23">
      <c r="A397" s="144" t="s">
        <v>1477</v>
      </c>
      <c r="B397" s="174" t="s">
        <v>30</v>
      </c>
      <c r="C397" s="175"/>
      <c r="D397" s="229" t="s">
        <v>31</v>
      </c>
      <c r="E397" s="82" t="s">
        <v>1265</v>
      </c>
      <c r="F397" s="81"/>
      <c r="G397" s="80" t="s">
        <v>1478</v>
      </c>
      <c r="H397" s="45" t="s">
        <v>147</v>
      </c>
      <c r="I397" s="45" t="s">
        <v>997</v>
      </c>
      <c r="J397" s="108">
        <v>44286</v>
      </c>
      <c r="K397" s="159">
        <v>44368</v>
      </c>
      <c r="L397" s="100">
        <v>44404</v>
      </c>
      <c r="M397" s="165" t="s">
        <v>1479</v>
      </c>
      <c r="N397" s="198" t="s">
        <v>1480</v>
      </c>
      <c r="O397" s="104" t="s">
        <v>680</v>
      </c>
      <c r="P397" s="102">
        <v>93180.08</v>
      </c>
      <c r="Q397" s="102">
        <f>9574*3</f>
        <v>28722</v>
      </c>
      <c r="R397" s="241"/>
      <c r="S397" s="242"/>
      <c r="T397" s="102">
        <v>64458.08</v>
      </c>
      <c r="U397" s="100"/>
      <c r="V397" s="130"/>
      <c r="W397" s="170"/>
    </row>
    <row r="398" s="39" customFormat="1" ht="22" hidden="1" customHeight="1" spans="1:23">
      <c r="A398" s="145" t="s">
        <v>1481</v>
      </c>
      <c r="B398" s="174" t="s">
        <v>30</v>
      </c>
      <c r="C398" s="175"/>
      <c r="D398" s="229" t="s">
        <v>31</v>
      </c>
      <c r="E398" s="82" t="s">
        <v>1265</v>
      </c>
      <c r="F398" s="81"/>
      <c r="G398" s="80" t="s">
        <v>1482</v>
      </c>
      <c r="H398" s="45" t="s">
        <v>147</v>
      </c>
      <c r="I398" s="45" t="s">
        <v>997</v>
      </c>
      <c r="J398" s="108">
        <v>44286</v>
      </c>
      <c r="K398" s="159">
        <v>44441</v>
      </c>
      <c r="L398" s="100">
        <v>44497</v>
      </c>
      <c r="M398" s="165" t="s">
        <v>1483</v>
      </c>
      <c r="N398" s="198" t="s">
        <v>1484</v>
      </c>
      <c r="O398" s="104" t="s">
        <v>680</v>
      </c>
      <c r="P398" s="102">
        <v>126426.12</v>
      </c>
      <c r="Q398" s="102">
        <f>9574*4</f>
        <v>38296</v>
      </c>
      <c r="R398" s="241"/>
      <c r="S398" s="242"/>
      <c r="T398" s="102">
        <v>88130.12</v>
      </c>
      <c r="U398" s="100"/>
      <c r="V398" s="130"/>
      <c r="W398" s="170"/>
    </row>
    <row r="399" s="39" customFormat="1" ht="22" hidden="1" customHeight="1" spans="1:23">
      <c r="A399" s="144" t="s">
        <v>1485</v>
      </c>
      <c r="B399" s="174" t="s">
        <v>30</v>
      </c>
      <c r="C399" s="175"/>
      <c r="D399" s="229" t="s">
        <v>31</v>
      </c>
      <c r="E399" s="82" t="s">
        <v>1167</v>
      </c>
      <c r="F399" s="81">
        <f>IFERROR(VLOOKUP(E399,客户!B:C,2,FALSE),"/")</f>
        <v>0</v>
      </c>
      <c r="G399" s="80" t="s">
        <v>1369</v>
      </c>
      <c r="H399" s="45" t="s">
        <v>123</v>
      </c>
      <c r="I399" s="45" t="s">
        <v>1370</v>
      </c>
      <c r="J399" s="108">
        <v>44295</v>
      </c>
      <c r="K399" s="159">
        <v>44365</v>
      </c>
      <c r="L399" s="200">
        <v>44386</v>
      </c>
      <c r="M399" s="165" t="s">
        <v>1486</v>
      </c>
      <c r="N399" s="198" t="s">
        <v>1487</v>
      </c>
      <c r="O399" s="104" t="s">
        <v>523</v>
      </c>
      <c r="P399" s="102">
        <v>36184.76</v>
      </c>
      <c r="Q399" s="102">
        <v>10800</v>
      </c>
      <c r="R399" s="241"/>
      <c r="S399" s="242"/>
      <c r="T399" s="102">
        <v>25384.76</v>
      </c>
      <c r="U399" s="100"/>
      <c r="V399" s="130"/>
      <c r="W399" s="170"/>
    </row>
    <row r="400" s="39" customFormat="1" ht="22" hidden="1" customHeight="1" spans="1:23">
      <c r="A400" s="144" t="s">
        <v>1488</v>
      </c>
      <c r="B400" s="174" t="s">
        <v>30</v>
      </c>
      <c r="C400" s="175"/>
      <c r="D400" s="229" t="s">
        <v>31</v>
      </c>
      <c r="E400" s="82" t="s">
        <v>1121</v>
      </c>
      <c r="F400" s="81">
        <f>IFERROR(VLOOKUP(E400,客户!B:C,2,FALSE),"/")</f>
        <v>0</v>
      </c>
      <c r="G400" s="80" t="s">
        <v>1186</v>
      </c>
      <c r="H400" s="45" t="s">
        <v>123</v>
      </c>
      <c r="I400" s="45" t="s">
        <v>215</v>
      </c>
      <c r="J400" s="108">
        <v>44295</v>
      </c>
      <c r="K400" s="159">
        <v>44334</v>
      </c>
      <c r="L400" s="100">
        <v>44354</v>
      </c>
      <c r="M400" s="165" t="s">
        <v>1489</v>
      </c>
      <c r="N400" s="198" t="s">
        <v>1490</v>
      </c>
      <c r="O400" s="104" t="s">
        <v>523</v>
      </c>
      <c r="P400" s="102">
        <v>89200.44</v>
      </c>
      <c r="Q400" s="102">
        <v>10000</v>
      </c>
      <c r="R400" s="241"/>
      <c r="S400" s="242"/>
      <c r="T400" s="102">
        <v>79201</v>
      </c>
      <c r="U400" s="100"/>
      <c r="V400" s="130"/>
      <c r="W400" s="170"/>
    </row>
    <row r="401" s="39" customFormat="1" ht="22" hidden="1" customHeight="1" spans="1:23">
      <c r="A401" s="144" t="s">
        <v>1491</v>
      </c>
      <c r="B401" s="174" t="s">
        <v>30</v>
      </c>
      <c r="C401" s="175"/>
      <c r="D401" s="229" t="s">
        <v>31</v>
      </c>
      <c r="E401" s="82" t="s">
        <v>1345</v>
      </c>
      <c r="F401" s="81" t="str">
        <f>IFERROR(VLOOKUP(E401,客户!B:C,2,FALSE),"/")</f>
        <v>J4159还差USD265.65没付齐 J4220还有定金5674.3 账上剩5408.65</v>
      </c>
      <c r="G401" s="80" t="s">
        <v>1198</v>
      </c>
      <c r="H401" s="45" t="s">
        <v>123</v>
      </c>
      <c r="I401" s="45" t="s">
        <v>1346</v>
      </c>
      <c r="J401" s="108">
        <v>44305</v>
      </c>
      <c r="K401" s="159">
        <v>44369</v>
      </c>
      <c r="L401" s="100">
        <v>44420</v>
      </c>
      <c r="M401" s="165" t="s">
        <v>1492</v>
      </c>
      <c r="N401" s="198" t="s">
        <v>1493</v>
      </c>
      <c r="O401" s="104" t="s">
        <v>523</v>
      </c>
      <c r="P401" s="102">
        <v>24813.78</v>
      </c>
      <c r="Q401" s="102">
        <v>7495</v>
      </c>
      <c r="R401" s="241"/>
      <c r="S401" s="242"/>
      <c r="T401" s="102">
        <v>17318.78</v>
      </c>
      <c r="U401" s="100"/>
      <c r="V401" s="130"/>
      <c r="W401" s="170"/>
    </row>
    <row r="402" s="39" customFormat="1" ht="22" hidden="1" customHeight="1" spans="1:23">
      <c r="A402" s="144" t="s">
        <v>1494</v>
      </c>
      <c r="B402" s="174" t="s">
        <v>30</v>
      </c>
      <c r="C402" s="175"/>
      <c r="D402" s="229" t="s">
        <v>31</v>
      </c>
      <c r="E402" s="82" t="s">
        <v>1238</v>
      </c>
      <c r="F402" s="81">
        <f>IFERROR(VLOOKUP(E402,客户!B:C,2,FALSE),"/")</f>
        <v>0</v>
      </c>
      <c r="G402" s="80" t="s">
        <v>941</v>
      </c>
      <c r="H402" s="45" t="s">
        <v>123</v>
      </c>
      <c r="I402" s="45" t="s">
        <v>760</v>
      </c>
      <c r="J402" s="108">
        <v>44307</v>
      </c>
      <c r="K402" s="159">
        <v>44340</v>
      </c>
      <c r="L402" s="100">
        <v>44375</v>
      </c>
      <c r="M402" s="165" t="s">
        <v>1495</v>
      </c>
      <c r="N402" s="198" t="s">
        <v>1496</v>
      </c>
      <c r="O402" s="104" t="s">
        <v>523</v>
      </c>
      <c r="P402" s="102">
        <v>29510.8</v>
      </c>
      <c r="Q402" s="102">
        <v>4229.41</v>
      </c>
      <c r="R402" s="241"/>
      <c r="S402" s="242"/>
      <c r="T402" s="102">
        <v>16004</v>
      </c>
      <c r="U402" s="102">
        <f>P402-Q402-T402</f>
        <v>9277.39</v>
      </c>
      <c r="V402" s="219" t="s">
        <v>1497</v>
      </c>
      <c r="W402" s="170"/>
    </row>
    <row r="403" s="39" customFormat="1" ht="22" hidden="1" customHeight="1" spans="1:23">
      <c r="A403" s="190" t="s">
        <v>1498</v>
      </c>
      <c r="B403" s="174" t="s">
        <v>30</v>
      </c>
      <c r="C403" s="175"/>
      <c r="D403" s="229" t="s">
        <v>31</v>
      </c>
      <c r="E403" s="82" t="s">
        <v>1274</v>
      </c>
      <c r="F403" s="81">
        <f>IFERROR(VLOOKUP(E403,客户!B:C,2,FALSE),"/")</f>
        <v>0</v>
      </c>
      <c r="G403" s="80" t="s">
        <v>985</v>
      </c>
      <c r="H403" s="45" t="s">
        <v>123</v>
      </c>
      <c r="I403" s="45" t="s">
        <v>925</v>
      </c>
      <c r="J403" s="108">
        <v>44308</v>
      </c>
      <c r="K403" s="159">
        <v>44357</v>
      </c>
      <c r="L403" s="200">
        <v>44395</v>
      </c>
      <c r="M403" s="165" t="s">
        <v>1499</v>
      </c>
      <c r="N403" s="198" t="s">
        <v>1500</v>
      </c>
      <c r="O403" s="104" t="s">
        <v>523</v>
      </c>
      <c r="P403" s="102">
        <v>25079.25</v>
      </c>
      <c r="Q403" s="102">
        <v>7594</v>
      </c>
      <c r="R403" s="241"/>
      <c r="S403" s="242"/>
      <c r="T403" s="102">
        <v>17485.25</v>
      </c>
      <c r="U403" s="100"/>
      <c r="V403" s="130"/>
      <c r="W403" s="170"/>
    </row>
    <row r="404" s="39" customFormat="1" ht="22" hidden="1" customHeight="1" spans="1:23">
      <c r="A404" s="144" t="s">
        <v>1501</v>
      </c>
      <c r="B404" s="174" t="s">
        <v>30</v>
      </c>
      <c r="C404" s="175"/>
      <c r="D404" s="229" t="s">
        <v>31</v>
      </c>
      <c r="E404" s="82" t="s">
        <v>1502</v>
      </c>
      <c r="F404" s="81">
        <f>IFERROR(VLOOKUP(E404,客户!B:C,2,FALSE),"/")</f>
        <v>0</v>
      </c>
      <c r="G404" s="80" t="s">
        <v>1503</v>
      </c>
      <c r="H404" s="45" t="s">
        <v>123</v>
      </c>
      <c r="I404" s="45" t="s">
        <v>1504</v>
      </c>
      <c r="J404" s="108">
        <v>44308</v>
      </c>
      <c r="K404" s="159">
        <v>44347</v>
      </c>
      <c r="L404" s="100">
        <v>44401</v>
      </c>
      <c r="M404" s="165" t="s">
        <v>1505</v>
      </c>
      <c r="N404" s="198" t="s">
        <v>1506</v>
      </c>
      <c r="O404" s="104" t="s">
        <v>1283</v>
      </c>
      <c r="P404" s="102">
        <v>9810</v>
      </c>
      <c r="Q404" s="102"/>
      <c r="R404" s="241">
        <v>9810</v>
      </c>
      <c r="S404" s="242"/>
      <c r="T404" s="240"/>
      <c r="U404" s="100"/>
      <c r="V404" s="130"/>
      <c r="W404" s="170"/>
    </row>
    <row r="405" s="39" customFormat="1" ht="22" hidden="1" customHeight="1" spans="1:23">
      <c r="A405" s="144" t="s">
        <v>1507</v>
      </c>
      <c r="B405" s="174" t="s">
        <v>30</v>
      </c>
      <c r="C405" s="175"/>
      <c r="D405" s="229" t="s">
        <v>31</v>
      </c>
      <c r="E405" s="82" t="s">
        <v>1508</v>
      </c>
      <c r="F405" s="81"/>
      <c r="G405" s="80" t="s">
        <v>985</v>
      </c>
      <c r="H405" s="45" t="s">
        <v>123</v>
      </c>
      <c r="I405" s="45" t="s">
        <v>1509</v>
      </c>
      <c r="J405" s="108">
        <v>44312</v>
      </c>
      <c r="K405" s="159">
        <v>44355</v>
      </c>
      <c r="L405" s="100">
        <v>44474</v>
      </c>
      <c r="M405" s="165" t="s">
        <v>1510</v>
      </c>
      <c r="N405" s="198" t="s">
        <v>1511</v>
      </c>
      <c r="O405" s="104" t="s">
        <v>523</v>
      </c>
      <c r="P405" s="102">
        <v>28783.125</v>
      </c>
      <c r="Q405" s="102">
        <v>8000</v>
      </c>
      <c r="R405" s="241"/>
      <c r="S405" s="242"/>
      <c r="T405" s="102">
        <v>20783.13</v>
      </c>
      <c r="U405" s="100"/>
      <c r="V405" s="130"/>
      <c r="W405" s="170"/>
    </row>
    <row r="406" s="39" customFormat="1" ht="22" hidden="1" customHeight="1" spans="1:23">
      <c r="A406" s="144" t="s">
        <v>1512</v>
      </c>
      <c r="B406" s="174" t="s">
        <v>30</v>
      </c>
      <c r="C406" s="175"/>
      <c r="D406" s="229" t="s">
        <v>31</v>
      </c>
      <c r="E406" s="82" t="s">
        <v>1513</v>
      </c>
      <c r="F406" s="81">
        <f>IFERROR(VLOOKUP(E406,客户!B:C,2,FALSE),"/")</f>
        <v>0</v>
      </c>
      <c r="G406" s="82" t="s">
        <v>1514</v>
      </c>
      <c r="H406" s="45" t="s">
        <v>186</v>
      </c>
      <c r="I406" s="45"/>
      <c r="J406" s="108">
        <v>44323</v>
      </c>
      <c r="K406" s="159">
        <v>44354</v>
      </c>
      <c r="L406" s="100"/>
      <c r="M406" s="165" t="s">
        <v>1515</v>
      </c>
      <c r="N406" s="108"/>
      <c r="O406" s="104" t="s">
        <v>970</v>
      </c>
      <c r="P406" s="240">
        <v>25000</v>
      </c>
      <c r="Q406" s="240">
        <v>7500</v>
      </c>
      <c r="R406" s="241"/>
      <c r="S406" s="242"/>
      <c r="T406" s="240">
        <v>17500</v>
      </c>
      <c r="U406" s="100"/>
      <c r="V406" s="130"/>
      <c r="W406" s="170"/>
    </row>
    <row r="407" s="39" customFormat="1" ht="22" hidden="1" customHeight="1" spans="1:23">
      <c r="A407" s="144" t="s">
        <v>1516</v>
      </c>
      <c r="B407" s="174" t="s">
        <v>30</v>
      </c>
      <c r="C407" s="175"/>
      <c r="D407" s="229" t="s">
        <v>31</v>
      </c>
      <c r="E407" s="82" t="s">
        <v>1345</v>
      </c>
      <c r="F407" s="81" t="str">
        <f>IFERROR(VLOOKUP(E407,客户!B:C,2,FALSE),"/")</f>
        <v>J4159还差USD265.65没付齐 J4220还有定金5674.3 账上剩5408.65</v>
      </c>
      <c r="G407" s="82" t="s">
        <v>1517</v>
      </c>
      <c r="H407" s="45" t="s">
        <v>123</v>
      </c>
      <c r="I407" s="45" t="s">
        <v>1346</v>
      </c>
      <c r="J407" s="108">
        <v>44329</v>
      </c>
      <c r="K407" s="159">
        <v>44380</v>
      </c>
      <c r="L407" s="100">
        <v>44420</v>
      </c>
      <c r="M407" s="165" t="s">
        <v>1518</v>
      </c>
      <c r="N407" s="198" t="s">
        <v>1493</v>
      </c>
      <c r="O407" s="104" t="s">
        <v>523</v>
      </c>
      <c r="P407" s="102">
        <v>33684.15</v>
      </c>
      <c r="Q407" s="102">
        <v>10105.25</v>
      </c>
      <c r="R407" s="241"/>
      <c r="S407" s="242"/>
      <c r="T407" s="102">
        <v>23578.9</v>
      </c>
      <c r="U407" s="100"/>
      <c r="V407" s="130"/>
      <c r="W407" s="170"/>
    </row>
    <row r="408" s="39" customFormat="1" ht="22" hidden="1" customHeight="1" spans="1:23">
      <c r="A408" s="144" t="s">
        <v>1519</v>
      </c>
      <c r="B408" s="174" t="s">
        <v>30</v>
      </c>
      <c r="C408" s="175"/>
      <c r="D408" s="229" t="s">
        <v>31</v>
      </c>
      <c r="E408" s="82" t="s">
        <v>1117</v>
      </c>
      <c r="F408" s="81">
        <f>IFERROR(VLOOKUP(E408,客户!B:C,2,FALSE),"/")</f>
        <v>0</v>
      </c>
      <c r="G408" s="82" t="s">
        <v>1520</v>
      </c>
      <c r="H408" s="45" t="s">
        <v>186</v>
      </c>
      <c r="I408" s="45"/>
      <c r="J408" s="108">
        <v>44335</v>
      </c>
      <c r="K408" s="159">
        <v>44347</v>
      </c>
      <c r="L408" s="100"/>
      <c r="M408" s="165" t="s">
        <v>1463</v>
      </c>
      <c r="N408" s="108"/>
      <c r="O408" s="104" t="s">
        <v>970</v>
      </c>
      <c r="P408" s="240">
        <v>19050</v>
      </c>
      <c r="Q408" s="240">
        <v>5000</v>
      </c>
      <c r="R408" s="241"/>
      <c r="S408" s="242"/>
      <c r="T408" s="240">
        <v>14050</v>
      </c>
      <c r="U408" s="100"/>
      <c r="V408" s="130"/>
      <c r="W408" s="170"/>
    </row>
    <row r="409" s="39" customFormat="1" ht="22" hidden="1" customHeight="1" spans="1:23">
      <c r="A409" s="144" t="s">
        <v>1521</v>
      </c>
      <c r="B409" s="174" t="s">
        <v>30</v>
      </c>
      <c r="C409" s="175"/>
      <c r="D409" s="229" t="s">
        <v>31</v>
      </c>
      <c r="E409" s="82" t="s">
        <v>1083</v>
      </c>
      <c r="F409" s="81">
        <f>IFERROR(VLOOKUP(E409,客户!B:C,2,FALSE),"/")</f>
        <v>0</v>
      </c>
      <c r="G409" s="82" t="s">
        <v>1522</v>
      </c>
      <c r="H409" s="45" t="s">
        <v>123</v>
      </c>
      <c r="I409" s="45" t="s">
        <v>1523</v>
      </c>
      <c r="J409" s="108">
        <v>44337</v>
      </c>
      <c r="K409" s="159">
        <v>44374</v>
      </c>
      <c r="L409" s="100">
        <v>44390</v>
      </c>
      <c r="M409" s="165" t="s">
        <v>1524</v>
      </c>
      <c r="N409" s="198" t="s">
        <v>1525</v>
      </c>
      <c r="O409" s="104" t="s">
        <v>523</v>
      </c>
      <c r="P409" s="102">
        <v>31700.5</v>
      </c>
      <c r="Q409" s="102">
        <v>9368.25</v>
      </c>
      <c r="R409" s="241"/>
      <c r="S409" s="242"/>
      <c r="T409" s="102">
        <v>22332.25</v>
      </c>
      <c r="U409" s="100"/>
      <c r="V409" s="130"/>
      <c r="W409" s="170"/>
    </row>
    <row r="410" s="39" customFormat="1" ht="22" hidden="1" customHeight="1" spans="1:23">
      <c r="A410" s="144" t="s">
        <v>1526</v>
      </c>
      <c r="B410" s="174" t="s">
        <v>30</v>
      </c>
      <c r="C410" s="175"/>
      <c r="D410" s="229" t="s">
        <v>31</v>
      </c>
      <c r="E410" s="82" t="s">
        <v>1167</v>
      </c>
      <c r="F410" s="81">
        <f>IFERROR(VLOOKUP(E410,客户!B:C,2,FALSE),"/")</f>
        <v>0</v>
      </c>
      <c r="G410" s="82" t="s">
        <v>1527</v>
      </c>
      <c r="H410" s="45" t="s">
        <v>123</v>
      </c>
      <c r="I410" s="45" t="s">
        <v>1370</v>
      </c>
      <c r="J410" s="108">
        <v>44337</v>
      </c>
      <c r="K410" s="108">
        <v>44383</v>
      </c>
      <c r="L410" s="100">
        <v>44424</v>
      </c>
      <c r="M410" s="165" t="s">
        <v>1528</v>
      </c>
      <c r="N410" s="198" t="s">
        <v>1529</v>
      </c>
      <c r="O410" s="104" t="s">
        <v>523</v>
      </c>
      <c r="P410" s="102">
        <v>42255</v>
      </c>
      <c r="Q410" s="102">
        <v>12500</v>
      </c>
      <c r="R410" s="241"/>
      <c r="S410" s="242"/>
      <c r="T410" s="102">
        <v>29755</v>
      </c>
      <c r="U410" s="100"/>
      <c r="V410" s="130"/>
      <c r="W410" s="170"/>
    </row>
    <row r="411" s="39" customFormat="1" ht="22" hidden="1" customHeight="1" spans="1:23">
      <c r="A411" s="144" t="s">
        <v>1530</v>
      </c>
      <c r="B411" s="174" t="s">
        <v>30</v>
      </c>
      <c r="C411" s="175"/>
      <c r="D411" s="229" t="s">
        <v>31</v>
      </c>
      <c r="E411" s="82" t="s">
        <v>1345</v>
      </c>
      <c r="F411" s="81" t="str">
        <f>IFERROR(VLOOKUP(E411,客户!B:C,2,FALSE),"/")</f>
        <v>J4159还差USD265.65没付齐 J4220还有定金5674.3 账上剩5408.65</v>
      </c>
      <c r="G411" s="82" t="s">
        <v>1517</v>
      </c>
      <c r="H411" s="45" t="s">
        <v>123</v>
      </c>
      <c r="I411" s="45" t="s">
        <v>1346</v>
      </c>
      <c r="J411" s="108">
        <v>44337</v>
      </c>
      <c r="K411" s="159">
        <v>44380</v>
      </c>
      <c r="L411" s="100">
        <v>44420</v>
      </c>
      <c r="M411" s="165" t="s">
        <v>1531</v>
      </c>
      <c r="N411" s="198" t="s">
        <v>1493</v>
      </c>
      <c r="O411" s="104" t="s">
        <v>523</v>
      </c>
      <c r="P411" s="102">
        <v>29787.62</v>
      </c>
      <c r="Q411" s="102">
        <v>8865.8</v>
      </c>
      <c r="R411" s="241"/>
      <c r="S411" s="242"/>
      <c r="T411" s="102">
        <v>20921.82</v>
      </c>
      <c r="U411" s="100"/>
      <c r="V411" s="130"/>
      <c r="W411" s="170"/>
    </row>
    <row r="412" s="39" customFormat="1" ht="22" hidden="1" customHeight="1" spans="1:23">
      <c r="A412" s="144" t="s">
        <v>1532</v>
      </c>
      <c r="B412" s="174" t="s">
        <v>30</v>
      </c>
      <c r="C412" s="175"/>
      <c r="D412" s="229" t="s">
        <v>31</v>
      </c>
      <c r="E412" s="82" t="s">
        <v>1117</v>
      </c>
      <c r="F412" s="81"/>
      <c r="G412" s="82" t="s">
        <v>1517</v>
      </c>
      <c r="H412" s="45" t="s">
        <v>123</v>
      </c>
      <c r="I412" s="45" t="s">
        <v>1533</v>
      </c>
      <c r="J412" s="108">
        <v>44342</v>
      </c>
      <c r="K412" s="159">
        <v>44388</v>
      </c>
      <c r="L412" s="100"/>
      <c r="M412" s="165" t="s">
        <v>1534</v>
      </c>
      <c r="N412" s="198" t="s">
        <v>1535</v>
      </c>
      <c r="O412" s="104" t="s">
        <v>523</v>
      </c>
      <c r="P412" s="102">
        <v>18991.55</v>
      </c>
      <c r="Q412" s="102">
        <v>5000</v>
      </c>
      <c r="R412" s="241"/>
      <c r="S412" s="242"/>
      <c r="T412" s="102">
        <v>13991.55</v>
      </c>
      <c r="U412" s="100"/>
      <c r="V412" s="130"/>
      <c r="W412" s="170"/>
    </row>
    <row r="413" s="39" customFormat="1" ht="22" hidden="1" customHeight="1" spans="1:23">
      <c r="A413" s="144" t="s">
        <v>1536</v>
      </c>
      <c r="B413" s="174" t="s">
        <v>30</v>
      </c>
      <c r="C413" s="175"/>
      <c r="D413" s="229" t="s">
        <v>31</v>
      </c>
      <c r="E413" s="82" t="s">
        <v>1238</v>
      </c>
      <c r="F413" s="81">
        <f>IFERROR(VLOOKUP(E413,客户!B:C,2,FALSE),"/")</f>
        <v>0</v>
      </c>
      <c r="G413" s="80" t="s">
        <v>941</v>
      </c>
      <c r="H413" s="45" t="s">
        <v>123</v>
      </c>
      <c r="I413" s="45" t="s">
        <v>760</v>
      </c>
      <c r="J413" s="108">
        <v>44344</v>
      </c>
      <c r="K413" s="159">
        <v>44379</v>
      </c>
      <c r="L413" s="100">
        <v>44409</v>
      </c>
      <c r="M413" s="165" t="s">
        <v>1537</v>
      </c>
      <c r="N413" s="198" t="s">
        <v>1538</v>
      </c>
      <c r="O413" s="104" t="s">
        <v>523</v>
      </c>
      <c r="P413" s="102">
        <v>29728.25</v>
      </c>
      <c r="Q413" s="102">
        <v>1251</v>
      </c>
      <c r="R413" s="241"/>
      <c r="S413" s="242"/>
      <c r="T413" s="102">
        <v>18477.5</v>
      </c>
      <c r="U413" s="102">
        <v>10000</v>
      </c>
      <c r="V413" s="130"/>
      <c r="W413" s="170"/>
    </row>
    <row r="414" s="39" customFormat="1" ht="22" hidden="1" customHeight="1" spans="1:23">
      <c r="A414" s="144" t="s">
        <v>1539</v>
      </c>
      <c r="B414" s="174" t="s">
        <v>30</v>
      </c>
      <c r="C414" s="175"/>
      <c r="D414" s="229" t="s">
        <v>31</v>
      </c>
      <c r="E414" s="82" t="s">
        <v>1121</v>
      </c>
      <c r="F414" s="81">
        <f>IFERROR(VLOOKUP(E414,客户!B:C,2,FALSE),"/")</f>
        <v>0</v>
      </c>
      <c r="G414" s="80" t="s">
        <v>1419</v>
      </c>
      <c r="H414" s="45" t="s">
        <v>123</v>
      </c>
      <c r="I414" s="45" t="s">
        <v>215</v>
      </c>
      <c r="J414" s="108">
        <v>44344</v>
      </c>
      <c r="K414" s="159">
        <v>44384</v>
      </c>
      <c r="L414" s="100">
        <v>44404</v>
      </c>
      <c r="M414" s="165" t="s">
        <v>1540</v>
      </c>
      <c r="N414" s="198" t="s">
        <v>1541</v>
      </c>
      <c r="O414" s="104" t="s">
        <v>523</v>
      </c>
      <c r="P414" s="102">
        <v>60867.84</v>
      </c>
      <c r="Q414" s="102"/>
      <c r="R414" s="241"/>
      <c r="S414" s="242"/>
      <c r="T414" s="102">
        <v>60867.84</v>
      </c>
      <c r="U414" s="100"/>
      <c r="V414" s="130"/>
      <c r="W414" s="170"/>
    </row>
    <row r="415" s="39" customFormat="1" ht="22" hidden="1" customHeight="1" spans="1:23">
      <c r="A415" s="144" t="s">
        <v>1542</v>
      </c>
      <c r="B415" s="174" t="s">
        <v>30</v>
      </c>
      <c r="C415" s="175"/>
      <c r="D415" s="229" t="s">
        <v>31</v>
      </c>
      <c r="E415" s="82" t="s">
        <v>1121</v>
      </c>
      <c r="F415" s="81">
        <f>IFERROR(VLOOKUP(E415,客户!B:C,2,FALSE),"/")</f>
        <v>0</v>
      </c>
      <c r="G415" s="80" t="s">
        <v>1419</v>
      </c>
      <c r="H415" s="45" t="s">
        <v>123</v>
      </c>
      <c r="I415" s="45" t="s">
        <v>215</v>
      </c>
      <c r="J415" s="108">
        <v>44344</v>
      </c>
      <c r="K415" s="159">
        <v>44391</v>
      </c>
      <c r="L415" s="100">
        <v>44404</v>
      </c>
      <c r="M415" s="165" t="s">
        <v>1543</v>
      </c>
      <c r="N415" s="198" t="s">
        <v>1544</v>
      </c>
      <c r="O415" s="104" t="s">
        <v>523</v>
      </c>
      <c r="P415" s="102">
        <v>57517.1</v>
      </c>
      <c r="Q415" s="102">
        <v>10000</v>
      </c>
      <c r="R415" s="241"/>
      <c r="S415" s="242"/>
      <c r="T415" s="102">
        <v>47518</v>
      </c>
      <c r="U415" s="100"/>
      <c r="V415" s="130"/>
      <c r="W415" s="170"/>
    </row>
    <row r="416" s="39" customFormat="1" ht="22" hidden="1" customHeight="1" spans="1:23">
      <c r="A416" s="144" t="s">
        <v>1545</v>
      </c>
      <c r="B416" s="174" t="s">
        <v>30</v>
      </c>
      <c r="C416" s="175"/>
      <c r="D416" s="229" t="s">
        <v>31</v>
      </c>
      <c r="E416" s="82" t="s">
        <v>1508</v>
      </c>
      <c r="F416" s="81">
        <f>IFERROR(VLOOKUP(E416,客户!B:C,2,FALSE),"/")</f>
        <v>0</v>
      </c>
      <c r="G416" s="80" t="s">
        <v>941</v>
      </c>
      <c r="H416" s="45" t="s">
        <v>123</v>
      </c>
      <c r="I416" s="45" t="s">
        <v>1546</v>
      </c>
      <c r="J416" s="108">
        <v>44349</v>
      </c>
      <c r="K416" s="159">
        <v>44420</v>
      </c>
      <c r="L416" s="100">
        <v>44452</v>
      </c>
      <c r="M416" s="165" t="s">
        <v>1547</v>
      </c>
      <c r="N416" s="198" t="s">
        <v>1548</v>
      </c>
      <c r="O416" s="104" t="s">
        <v>523</v>
      </c>
      <c r="P416" s="102">
        <v>31106.6</v>
      </c>
      <c r="Q416" s="102">
        <v>8000</v>
      </c>
      <c r="R416" s="241"/>
      <c r="S416" s="242"/>
      <c r="T416" s="102">
        <v>23106.6</v>
      </c>
      <c r="U416" s="100"/>
      <c r="V416" s="130"/>
      <c r="W416" s="170"/>
    </row>
    <row r="417" s="39" customFormat="1" ht="22" hidden="1" customHeight="1" spans="1:23">
      <c r="A417" s="144" t="s">
        <v>1549</v>
      </c>
      <c r="B417" s="174" t="s">
        <v>30</v>
      </c>
      <c r="C417" s="175"/>
      <c r="D417" s="229" t="s">
        <v>31</v>
      </c>
      <c r="E417" s="82" t="s">
        <v>1508</v>
      </c>
      <c r="F417" s="81">
        <f>IFERROR(VLOOKUP(E417,客户!B:C,2,FALSE),"/")</f>
        <v>0</v>
      </c>
      <c r="G417" s="80" t="s">
        <v>941</v>
      </c>
      <c r="H417" s="45" t="s">
        <v>123</v>
      </c>
      <c r="I417" s="45" t="s">
        <v>1550</v>
      </c>
      <c r="J417" s="108">
        <v>44349</v>
      </c>
      <c r="K417" s="159">
        <v>44383</v>
      </c>
      <c r="L417" s="100">
        <v>44424</v>
      </c>
      <c r="M417" s="177" t="s">
        <v>1551</v>
      </c>
      <c r="N417" s="198" t="s">
        <v>1552</v>
      </c>
      <c r="O417" s="104" t="s">
        <v>523</v>
      </c>
      <c r="P417" s="102">
        <v>31162.6</v>
      </c>
      <c r="Q417" s="102">
        <v>8000</v>
      </c>
      <c r="R417" s="241"/>
      <c r="S417" s="242"/>
      <c r="T417" s="102">
        <v>23162.6</v>
      </c>
      <c r="U417" s="100"/>
      <c r="V417" s="130"/>
      <c r="W417" s="170"/>
    </row>
    <row r="418" s="39" customFormat="1" ht="22" hidden="1" customHeight="1" spans="1:23">
      <c r="A418" s="144" t="s">
        <v>1553</v>
      </c>
      <c r="B418" s="174" t="s">
        <v>30</v>
      </c>
      <c r="C418" s="175"/>
      <c r="D418" s="229" t="s">
        <v>31</v>
      </c>
      <c r="E418" s="82" t="s">
        <v>1265</v>
      </c>
      <c r="F418" s="81" t="str">
        <f>IFERROR(VLOOKUP(E418,客户!B:C,2,FALSE),"/")</f>
        <v>外送费用945人民币+装箱费用 加在发票里</v>
      </c>
      <c r="G418" s="80" t="s">
        <v>1554</v>
      </c>
      <c r="H418" s="45" t="s">
        <v>147</v>
      </c>
      <c r="I418" s="45" t="s">
        <v>1001</v>
      </c>
      <c r="J418" s="108">
        <v>44353</v>
      </c>
      <c r="K418" s="159">
        <v>44398</v>
      </c>
      <c r="L418" s="100">
        <v>44454</v>
      </c>
      <c r="M418" s="165" t="s">
        <v>1555</v>
      </c>
      <c r="N418" s="198" t="s">
        <v>1556</v>
      </c>
      <c r="O418" s="104" t="s">
        <v>680</v>
      </c>
      <c r="P418" s="102">
        <v>97531.8</v>
      </c>
      <c r="Q418" s="102"/>
      <c r="R418" s="241"/>
      <c r="S418" s="242"/>
      <c r="T418" s="102">
        <v>97531.8</v>
      </c>
      <c r="U418" s="100"/>
      <c r="V418" s="130"/>
      <c r="W418" s="170"/>
    </row>
    <row r="419" s="39" customFormat="1" ht="22" hidden="1" customHeight="1" spans="1:23">
      <c r="A419" s="144" t="s">
        <v>1557</v>
      </c>
      <c r="B419" s="174" t="s">
        <v>30</v>
      </c>
      <c r="C419" s="175"/>
      <c r="D419" s="229" t="s">
        <v>31</v>
      </c>
      <c r="E419" s="82" t="s">
        <v>1265</v>
      </c>
      <c r="F419" s="81" t="str">
        <f>IFERROR(VLOOKUP(E419,客户!B:C,2,FALSE),"/")</f>
        <v>外送费用945人民币+装箱费用 加在发票里</v>
      </c>
      <c r="G419" s="80" t="s">
        <v>1554</v>
      </c>
      <c r="H419" s="45" t="s">
        <v>147</v>
      </c>
      <c r="I419" s="45" t="s">
        <v>1001</v>
      </c>
      <c r="J419" s="108">
        <v>44353</v>
      </c>
      <c r="K419" s="108">
        <v>44416</v>
      </c>
      <c r="L419" s="100">
        <v>44460</v>
      </c>
      <c r="M419" s="165" t="s">
        <v>1558</v>
      </c>
      <c r="N419" s="198" t="s">
        <v>1559</v>
      </c>
      <c r="O419" s="104" t="s">
        <v>680</v>
      </c>
      <c r="P419" s="102">
        <v>98341.8</v>
      </c>
      <c r="Q419" s="102"/>
      <c r="R419" s="241"/>
      <c r="S419" s="242"/>
      <c r="T419" s="102">
        <v>98341.8</v>
      </c>
      <c r="U419" s="100"/>
      <c r="V419" s="130"/>
      <c r="W419" s="170"/>
    </row>
    <row r="420" s="39" customFormat="1" ht="22" hidden="1" customHeight="1" spans="1:23">
      <c r="A420" s="144" t="s">
        <v>1560</v>
      </c>
      <c r="B420" s="174" t="s">
        <v>30</v>
      </c>
      <c r="C420" s="175"/>
      <c r="D420" s="229" t="s">
        <v>31</v>
      </c>
      <c r="E420" s="82" t="s">
        <v>1167</v>
      </c>
      <c r="F420" s="81">
        <f>IFERROR(VLOOKUP(E420,客户!B:C,2,FALSE),"/")</f>
        <v>0</v>
      </c>
      <c r="G420" s="80" t="s">
        <v>1561</v>
      </c>
      <c r="H420" s="45" t="s">
        <v>123</v>
      </c>
      <c r="I420" s="45" t="s">
        <v>1370</v>
      </c>
      <c r="J420" s="108">
        <v>44355</v>
      </c>
      <c r="K420" s="159">
        <v>44402</v>
      </c>
      <c r="L420" s="100">
        <v>44458</v>
      </c>
      <c r="M420" s="165" t="s">
        <v>1562</v>
      </c>
      <c r="N420" s="198" t="s">
        <v>1529</v>
      </c>
      <c r="O420" s="104" t="s">
        <v>523</v>
      </c>
      <c r="P420" s="102">
        <v>34897.39</v>
      </c>
      <c r="Q420" s="102">
        <v>10300</v>
      </c>
      <c r="R420" s="241"/>
      <c r="S420" s="242"/>
      <c r="T420" s="102">
        <v>24597.39</v>
      </c>
      <c r="U420" s="100"/>
      <c r="V420" s="130"/>
      <c r="W420" s="170"/>
    </row>
    <row r="421" s="39" customFormat="1" ht="23" hidden="1" customHeight="1" spans="1:23">
      <c r="A421" s="144" t="s">
        <v>1563</v>
      </c>
      <c r="B421" s="174" t="s">
        <v>30</v>
      </c>
      <c r="C421" s="175"/>
      <c r="D421" s="229" t="s">
        <v>31</v>
      </c>
      <c r="E421" s="82" t="s">
        <v>1326</v>
      </c>
      <c r="F421" s="81">
        <f>IFERROR(VLOOKUP(E421,客户!B:C,2,FALSE),"/")</f>
        <v>0</v>
      </c>
      <c r="G421" s="80" t="s">
        <v>941</v>
      </c>
      <c r="H421" s="45" t="s">
        <v>123</v>
      </c>
      <c r="I421" s="45" t="s">
        <v>755</v>
      </c>
      <c r="J421" s="108">
        <v>44360</v>
      </c>
      <c r="K421" s="159">
        <v>44452</v>
      </c>
      <c r="L421" s="100">
        <v>44487</v>
      </c>
      <c r="M421" s="165" t="s">
        <v>1564</v>
      </c>
      <c r="N421" s="198" t="s">
        <v>1565</v>
      </c>
      <c r="O421" s="104" t="s">
        <v>523</v>
      </c>
      <c r="P421" s="102">
        <v>28232</v>
      </c>
      <c r="Q421" s="102">
        <v>5646</v>
      </c>
      <c r="R421" s="241"/>
      <c r="S421" s="242"/>
      <c r="T421" s="102">
        <v>22585.6</v>
      </c>
      <c r="U421" s="100"/>
      <c r="V421" s="130"/>
      <c r="W421" s="170"/>
    </row>
    <row r="422" s="39" customFormat="1" ht="22" hidden="1" customHeight="1" spans="1:23">
      <c r="A422" s="144" t="s">
        <v>1566</v>
      </c>
      <c r="B422" s="174" t="s">
        <v>30</v>
      </c>
      <c r="C422" s="175"/>
      <c r="D422" s="229" t="s">
        <v>31</v>
      </c>
      <c r="E422" s="82" t="s">
        <v>1274</v>
      </c>
      <c r="F422" s="81">
        <f>IFERROR(VLOOKUP(E422,客户!B:C,2,FALSE),"/")</f>
        <v>0</v>
      </c>
      <c r="G422" s="80" t="s">
        <v>941</v>
      </c>
      <c r="H422" s="45" t="s">
        <v>123</v>
      </c>
      <c r="I422" s="45" t="s">
        <v>925</v>
      </c>
      <c r="J422" s="108">
        <v>44363</v>
      </c>
      <c r="K422" s="159">
        <v>44427</v>
      </c>
      <c r="L422" s="100">
        <v>44451</v>
      </c>
      <c r="M422" s="165" t="s">
        <v>1567</v>
      </c>
      <c r="N422" s="198" t="s">
        <v>1500</v>
      </c>
      <c r="O422" s="104" t="s">
        <v>523</v>
      </c>
      <c r="P422" s="102">
        <v>22382</v>
      </c>
      <c r="Q422" s="102"/>
      <c r="R422" s="241"/>
      <c r="S422" s="242"/>
      <c r="T422" s="102">
        <v>22382</v>
      </c>
      <c r="U422" s="100"/>
      <c r="V422" s="130"/>
      <c r="W422" s="170"/>
    </row>
    <row r="423" s="39" customFormat="1" ht="22" hidden="1" customHeight="1" spans="1:23">
      <c r="A423" s="144" t="s">
        <v>1568</v>
      </c>
      <c r="B423" s="174" t="s">
        <v>30</v>
      </c>
      <c r="C423" s="175"/>
      <c r="D423" s="229" t="s">
        <v>31</v>
      </c>
      <c r="E423" s="82" t="s">
        <v>1121</v>
      </c>
      <c r="F423" s="81">
        <f>IFERROR(VLOOKUP(E423,客户!B:C,2,FALSE),"/")</f>
        <v>0</v>
      </c>
      <c r="G423" s="80" t="s">
        <v>1419</v>
      </c>
      <c r="H423" s="45" t="s">
        <v>123</v>
      </c>
      <c r="I423" s="45" t="s">
        <v>215</v>
      </c>
      <c r="J423" s="108">
        <v>44364</v>
      </c>
      <c r="K423" s="159">
        <v>44415</v>
      </c>
      <c r="L423" s="100">
        <v>44433</v>
      </c>
      <c r="M423" s="165" t="s">
        <v>1569</v>
      </c>
      <c r="N423" s="108" t="s">
        <v>1570</v>
      </c>
      <c r="O423" s="104" t="s">
        <v>523</v>
      </c>
      <c r="P423" s="102">
        <v>58408.07</v>
      </c>
      <c r="Q423" s="102"/>
      <c r="R423" s="241"/>
      <c r="S423" s="242"/>
      <c r="T423" s="102">
        <v>58408.07</v>
      </c>
      <c r="U423" s="100"/>
      <c r="V423" s="130"/>
      <c r="W423" s="170"/>
    </row>
    <row r="424" s="39" customFormat="1" ht="22" hidden="1" customHeight="1" spans="1:23">
      <c r="A424" s="144" t="s">
        <v>1571</v>
      </c>
      <c r="B424" s="174" t="s">
        <v>30</v>
      </c>
      <c r="C424" s="175"/>
      <c r="D424" s="229" t="s">
        <v>31</v>
      </c>
      <c r="E424" s="82" t="s">
        <v>1121</v>
      </c>
      <c r="F424" s="81">
        <f>IFERROR(VLOOKUP(E424,客户!B:C,2,FALSE),"/")</f>
        <v>0</v>
      </c>
      <c r="G424" s="80" t="s">
        <v>1419</v>
      </c>
      <c r="H424" s="45" t="s">
        <v>123</v>
      </c>
      <c r="I424" s="45" t="s">
        <v>215</v>
      </c>
      <c r="J424" s="108">
        <v>44364</v>
      </c>
      <c r="K424" s="159">
        <v>44428</v>
      </c>
      <c r="L424" s="100">
        <v>44445</v>
      </c>
      <c r="M424" s="165" t="s">
        <v>1572</v>
      </c>
      <c r="N424" s="198" t="s">
        <v>1573</v>
      </c>
      <c r="O424" s="104" t="s">
        <v>523</v>
      </c>
      <c r="P424" s="102">
        <v>61378.9</v>
      </c>
      <c r="Q424" s="102">
        <v>10000</v>
      </c>
      <c r="R424" s="241"/>
      <c r="S424" s="242"/>
      <c r="T424" s="102">
        <v>51379</v>
      </c>
      <c r="U424" s="100"/>
      <c r="V424" s="130"/>
      <c r="W424" s="170"/>
    </row>
    <row r="425" s="39" customFormat="1" ht="22" hidden="1" customHeight="1" spans="1:23">
      <c r="A425" s="144" t="s">
        <v>1574</v>
      </c>
      <c r="B425" s="174" t="s">
        <v>30</v>
      </c>
      <c r="C425" s="175"/>
      <c r="D425" s="229" t="s">
        <v>31</v>
      </c>
      <c r="E425" s="82" t="s">
        <v>1238</v>
      </c>
      <c r="F425" s="81">
        <f>IFERROR(VLOOKUP(E425,客户!B:C,2,FALSE),"/")</f>
        <v>0</v>
      </c>
      <c r="G425" s="80" t="s">
        <v>941</v>
      </c>
      <c r="H425" s="45" t="s">
        <v>123</v>
      </c>
      <c r="I425" s="45" t="s">
        <v>760</v>
      </c>
      <c r="J425" s="108">
        <v>44366</v>
      </c>
      <c r="K425" s="108">
        <v>44406</v>
      </c>
      <c r="L425" s="200">
        <v>44441</v>
      </c>
      <c r="M425" s="165" t="s">
        <v>1575</v>
      </c>
      <c r="N425" s="198" t="s">
        <v>1576</v>
      </c>
      <c r="O425" s="104" t="s">
        <v>523</v>
      </c>
      <c r="P425" s="102">
        <v>29492.6</v>
      </c>
      <c r="Q425" s="102"/>
      <c r="R425" s="241"/>
      <c r="S425" s="242"/>
      <c r="T425" s="102">
        <v>16064.63</v>
      </c>
      <c r="U425" s="102">
        <v>13428</v>
      </c>
      <c r="V425" s="130"/>
      <c r="W425" s="170"/>
    </row>
    <row r="426" s="39" customFormat="1" ht="22" hidden="1" customHeight="1" spans="1:23">
      <c r="A426" s="145" t="s">
        <v>1577</v>
      </c>
      <c r="B426" s="174" t="s">
        <v>30</v>
      </c>
      <c r="C426" s="175"/>
      <c r="D426" s="229" t="s">
        <v>31</v>
      </c>
      <c r="E426" s="82" t="s">
        <v>1578</v>
      </c>
      <c r="F426" s="81">
        <f>IFERROR(VLOOKUP(E426,客户!B:C,2,FALSE),"/")</f>
        <v>0</v>
      </c>
      <c r="G426" s="80" t="s">
        <v>1579</v>
      </c>
      <c r="H426" s="45" t="s">
        <v>186</v>
      </c>
      <c r="I426" s="45"/>
      <c r="J426" s="108">
        <v>44375</v>
      </c>
      <c r="K426" s="159">
        <v>44399</v>
      </c>
      <c r="L426" s="100"/>
      <c r="M426" s="165" t="s">
        <v>1580</v>
      </c>
      <c r="N426" s="198" t="s">
        <v>1581</v>
      </c>
      <c r="O426" s="104" t="s">
        <v>970</v>
      </c>
      <c r="P426" s="240">
        <v>116600</v>
      </c>
      <c r="Q426" s="240">
        <v>20000</v>
      </c>
      <c r="R426" s="241"/>
      <c r="S426" s="242"/>
      <c r="T426" s="240">
        <v>96600</v>
      </c>
      <c r="U426" s="100"/>
      <c r="V426" s="130"/>
      <c r="W426" s="170"/>
    </row>
    <row r="427" s="39" customFormat="1" ht="22" hidden="1" customHeight="1" spans="1:23">
      <c r="A427" s="144" t="s">
        <v>1582</v>
      </c>
      <c r="B427" s="174" t="s">
        <v>30</v>
      </c>
      <c r="C427" s="175"/>
      <c r="D427" s="229" t="s">
        <v>31</v>
      </c>
      <c r="E427" s="82" t="s">
        <v>1238</v>
      </c>
      <c r="F427" s="81">
        <f>IFERROR(VLOOKUP(E427,客户!B:C,2,FALSE),"/")</f>
        <v>0</v>
      </c>
      <c r="G427" s="80" t="s">
        <v>941</v>
      </c>
      <c r="H427" s="45" t="s">
        <v>123</v>
      </c>
      <c r="I427" s="45" t="s">
        <v>760</v>
      </c>
      <c r="J427" s="108">
        <v>44378</v>
      </c>
      <c r="K427" s="159">
        <v>44426</v>
      </c>
      <c r="L427" s="100">
        <v>44470</v>
      </c>
      <c r="M427" s="165" t="s">
        <v>1583</v>
      </c>
      <c r="N427" s="198" t="s">
        <v>1584</v>
      </c>
      <c r="O427" s="104" t="s">
        <v>523</v>
      </c>
      <c r="P427" s="102">
        <v>29967.2</v>
      </c>
      <c r="Q427" s="240"/>
      <c r="R427" s="241"/>
      <c r="S427" s="242"/>
      <c r="T427" s="102">
        <v>16639.25</v>
      </c>
      <c r="U427" s="102">
        <v>13327.95</v>
      </c>
      <c r="V427" s="130" t="s">
        <v>1585</v>
      </c>
      <c r="W427" s="170"/>
    </row>
    <row r="428" s="39" customFormat="1" ht="22" hidden="1" customHeight="1" spans="1:23">
      <c r="A428" s="144" t="s">
        <v>1586</v>
      </c>
      <c r="B428" s="174" t="s">
        <v>30</v>
      </c>
      <c r="C428" s="175"/>
      <c r="D428" s="229" t="s">
        <v>31</v>
      </c>
      <c r="E428" s="82" t="s">
        <v>1167</v>
      </c>
      <c r="F428" s="81">
        <f>IFERROR(VLOOKUP(E428,客户!B:C,2,FALSE),"/")</f>
        <v>0</v>
      </c>
      <c r="G428" s="80" t="s">
        <v>1369</v>
      </c>
      <c r="H428" s="45" t="s">
        <v>123</v>
      </c>
      <c r="I428" s="45" t="s">
        <v>1370</v>
      </c>
      <c r="J428" s="108">
        <v>44382</v>
      </c>
      <c r="K428" s="159">
        <v>44424</v>
      </c>
      <c r="L428" s="100">
        <v>44496</v>
      </c>
      <c r="M428" s="165" t="s">
        <v>1587</v>
      </c>
      <c r="N428" s="198" t="s">
        <v>1588</v>
      </c>
      <c r="O428" s="104" t="s">
        <v>523</v>
      </c>
      <c r="P428" s="102">
        <v>34785.44</v>
      </c>
      <c r="Q428" s="102">
        <v>10900</v>
      </c>
      <c r="R428" s="241"/>
      <c r="S428" s="242"/>
      <c r="T428" s="102">
        <v>23885.44</v>
      </c>
      <c r="U428" s="100"/>
      <c r="V428" s="130"/>
      <c r="W428" s="170"/>
    </row>
    <row r="429" s="39" customFormat="1" ht="22" hidden="1" customHeight="1" spans="1:23">
      <c r="A429" s="144" t="s">
        <v>1589</v>
      </c>
      <c r="B429" s="174" t="s">
        <v>30</v>
      </c>
      <c r="C429" s="175"/>
      <c r="D429" s="229" t="s">
        <v>31</v>
      </c>
      <c r="E429" s="82" t="s">
        <v>1117</v>
      </c>
      <c r="F429" s="81">
        <f>IFERROR(VLOOKUP(E429,客户!B:C,2,FALSE),"/")</f>
        <v>0</v>
      </c>
      <c r="G429" s="80" t="s">
        <v>1590</v>
      </c>
      <c r="H429" s="45" t="s">
        <v>186</v>
      </c>
      <c r="I429" s="45"/>
      <c r="J429" s="108">
        <v>44384</v>
      </c>
      <c r="K429" s="159">
        <v>44405</v>
      </c>
      <c r="L429" s="100"/>
      <c r="M429" s="165" t="s">
        <v>1591</v>
      </c>
      <c r="N429" s="108"/>
      <c r="O429" s="104" t="s">
        <v>970</v>
      </c>
      <c r="P429" s="240">
        <v>17400</v>
      </c>
      <c r="Q429" s="102"/>
      <c r="R429" s="241"/>
      <c r="S429" s="242"/>
      <c r="T429" s="240">
        <v>17400</v>
      </c>
      <c r="U429" s="100"/>
      <c r="V429" s="130"/>
      <c r="W429" s="170"/>
    </row>
    <row r="430" s="39" customFormat="1" ht="22" hidden="1" customHeight="1" spans="1:23">
      <c r="A430" s="144" t="s">
        <v>1592</v>
      </c>
      <c r="B430" s="174" t="s">
        <v>30</v>
      </c>
      <c r="C430" s="175"/>
      <c r="D430" s="229" t="s">
        <v>31</v>
      </c>
      <c r="E430" s="82" t="s">
        <v>1121</v>
      </c>
      <c r="F430" s="81">
        <f>IFERROR(VLOOKUP(E430,客户!B:C,2,FALSE),"/")</f>
        <v>0</v>
      </c>
      <c r="G430" s="80" t="s">
        <v>1419</v>
      </c>
      <c r="H430" s="45" t="s">
        <v>123</v>
      </c>
      <c r="I430" s="45" t="s">
        <v>215</v>
      </c>
      <c r="J430" s="108">
        <v>44391</v>
      </c>
      <c r="K430" s="159">
        <v>44450</v>
      </c>
      <c r="L430" s="100">
        <v>44466</v>
      </c>
      <c r="M430" s="165" t="s">
        <v>1593</v>
      </c>
      <c r="N430" s="198" t="s">
        <v>1594</v>
      </c>
      <c r="O430" s="104" t="s">
        <v>523</v>
      </c>
      <c r="P430" s="102">
        <v>61063.21</v>
      </c>
      <c r="Q430" s="102"/>
      <c r="R430" s="241"/>
      <c r="S430" s="242"/>
      <c r="T430" s="102">
        <v>61063.21</v>
      </c>
      <c r="U430" s="100"/>
      <c r="V430" s="130"/>
      <c r="W430" s="170"/>
    </row>
    <row r="431" s="39" customFormat="1" ht="22" hidden="1" customHeight="1" spans="1:23">
      <c r="A431" s="144" t="s">
        <v>1595</v>
      </c>
      <c r="B431" s="174" t="s">
        <v>30</v>
      </c>
      <c r="C431" s="175"/>
      <c r="D431" s="229" t="s">
        <v>31</v>
      </c>
      <c r="E431" s="82" t="s">
        <v>1121</v>
      </c>
      <c r="F431" s="81">
        <f>IFERROR(VLOOKUP(E431,客户!B:C,2,FALSE),"/")</f>
        <v>0</v>
      </c>
      <c r="G431" s="80" t="s">
        <v>1419</v>
      </c>
      <c r="H431" s="45" t="s">
        <v>123</v>
      </c>
      <c r="I431" s="45" t="s">
        <v>215</v>
      </c>
      <c r="J431" s="108">
        <v>44391</v>
      </c>
      <c r="K431" s="159">
        <v>44466</v>
      </c>
      <c r="L431" s="100">
        <v>44481</v>
      </c>
      <c r="M431" s="165" t="s">
        <v>1596</v>
      </c>
      <c r="N431" s="198" t="s">
        <v>1597</v>
      </c>
      <c r="O431" s="104" t="s">
        <v>523</v>
      </c>
      <c r="P431" s="253">
        <v>61563.21</v>
      </c>
      <c r="Q431" s="102">
        <v>10000</v>
      </c>
      <c r="R431" s="241"/>
      <c r="S431" s="242"/>
      <c r="T431" s="253">
        <v>51563.21</v>
      </c>
      <c r="U431" s="100"/>
      <c r="V431" s="130"/>
      <c r="W431" s="170"/>
    </row>
    <row r="432" s="39" customFormat="1" ht="22" hidden="1" customHeight="1" spans="1:23">
      <c r="A432" s="144" t="s">
        <v>1598</v>
      </c>
      <c r="B432" s="174" t="s">
        <v>30</v>
      </c>
      <c r="C432" s="175"/>
      <c r="D432" s="229" t="s">
        <v>31</v>
      </c>
      <c r="E432" s="82" t="s">
        <v>1389</v>
      </c>
      <c r="F432" s="81">
        <f>IFERROR(VLOOKUP(E432,客户!B:C,2,FALSE),"/")</f>
        <v>0</v>
      </c>
      <c r="G432" s="80" t="s">
        <v>1599</v>
      </c>
      <c r="H432" s="45" t="s">
        <v>1600</v>
      </c>
      <c r="I432" s="45" t="s">
        <v>1078</v>
      </c>
      <c r="J432" s="108">
        <v>44392</v>
      </c>
      <c r="K432" s="159">
        <v>44436</v>
      </c>
      <c r="L432" s="100">
        <v>44444</v>
      </c>
      <c r="M432" s="165" t="s">
        <v>1601</v>
      </c>
      <c r="N432" s="198" t="s">
        <v>1602</v>
      </c>
      <c r="O432" s="104" t="s">
        <v>523</v>
      </c>
      <c r="P432" s="102">
        <v>28140.4</v>
      </c>
      <c r="Q432" s="102">
        <v>9440</v>
      </c>
      <c r="R432" s="241"/>
      <c r="S432" s="242"/>
      <c r="T432" s="102">
        <v>18700</v>
      </c>
      <c r="U432" s="100"/>
      <c r="V432" s="130"/>
      <c r="W432" s="170"/>
    </row>
    <row r="433" s="39" customFormat="1" ht="22" hidden="1" customHeight="1" spans="1:23">
      <c r="A433" s="144" t="s">
        <v>1603</v>
      </c>
      <c r="B433" s="174" t="s">
        <v>30</v>
      </c>
      <c r="C433" s="175"/>
      <c r="D433" s="229" t="s">
        <v>31</v>
      </c>
      <c r="E433" s="82" t="s">
        <v>1429</v>
      </c>
      <c r="F433" s="81">
        <f>IFERROR(VLOOKUP(E433,客户!B:C,2,FALSE),"/")</f>
        <v>0</v>
      </c>
      <c r="G433" s="80" t="s">
        <v>979</v>
      </c>
      <c r="H433" s="45" t="s">
        <v>1600</v>
      </c>
      <c r="I433" s="45" t="s">
        <v>1431</v>
      </c>
      <c r="J433" s="108">
        <v>44399</v>
      </c>
      <c r="K433" s="159">
        <v>44445</v>
      </c>
      <c r="L433" s="100">
        <v>44536</v>
      </c>
      <c r="M433" s="165" t="s">
        <v>1604</v>
      </c>
      <c r="N433" s="198" t="s">
        <v>1605</v>
      </c>
      <c r="O433" s="104" t="s">
        <v>523</v>
      </c>
      <c r="P433" s="102">
        <v>73179.26</v>
      </c>
      <c r="Q433" s="102"/>
      <c r="R433" s="241"/>
      <c r="S433" s="242"/>
      <c r="T433" s="102">
        <v>73179.26</v>
      </c>
      <c r="U433" s="102"/>
      <c r="V433" s="130"/>
      <c r="W433" s="170"/>
    </row>
    <row r="434" s="39" customFormat="1" ht="22" hidden="1" customHeight="1" spans="1:23">
      <c r="A434" s="144" t="s">
        <v>1606</v>
      </c>
      <c r="B434" s="174" t="s">
        <v>30</v>
      </c>
      <c r="C434" s="175"/>
      <c r="D434" s="229" t="s">
        <v>31</v>
      </c>
      <c r="E434" s="82" t="s">
        <v>1607</v>
      </c>
      <c r="F434" s="81">
        <f>IFERROR(VLOOKUP(E434,客户!B:C,2,FALSE),"/")</f>
        <v>0</v>
      </c>
      <c r="G434" s="82" t="s">
        <v>1608</v>
      </c>
      <c r="H434" s="45" t="s">
        <v>147</v>
      </c>
      <c r="I434" s="254" t="s">
        <v>1609</v>
      </c>
      <c r="J434" s="108">
        <v>44403</v>
      </c>
      <c r="K434" s="159">
        <v>44414</v>
      </c>
      <c r="L434" s="100"/>
      <c r="M434" s="165" t="s">
        <v>1610</v>
      </c>
      <c r="N434" s="108"/>
      <c r="O434" s="104" t="s">
        <v>970</v>
      </c>
      <c r="P434" s="102">
        <v>3063.46</v>
      </c>
      <c r="Q434" s="102"/>
      <c r="R434" s="241"/>
      <c r="S434" s="242"/>
      <c r="T434" s="102">
        <v>3045</v>
      </c>
      <c r="U434" s="102">
        <v>18.42</v>
      </c>
      <c r="V434" s="130"/>
      <c r="W434" s="170"/>
    </row>
    <row r="435" s="39" customFormat="1" ht="22" hidden="1" customHeight="1" spans="1:23">
      <c r="A435" s="252" t="s">
        <v>1611</v>
      </c>
      <c r="B435" s="174" t="s">
        <v>30</v>
      </c>
      <c r="C435" s="175"/>
      <c r="D435" s="229" t="s">
        <v>31</v>
      </c>
      <c r="E435" s="82" t="s">
        <v>1612</v>
      </c>
      <c r="F435" s="81">
        <f>IFERROR(VLOOKUP(E435,客户!B:C,2,FALSE),"/")</f>
        <v>0</v>
      </c>
      <c r="G435" s="82" t="s">
        <v>1613</v>
      </c>
      <c r="H435" s="45" t="s">
        <v>186</v>
      </c>
      <c r="I435" s="254"/>
      <c r="J435" s="108">
        <v>44405</v>
      </c>
      <c r="K435" s="159">
        <v>44448</v>
      </c>
      <c r="L435" s="100"/>
      <c r="M435" s="165"/>
      <c r="N435" s="198" t="s">
        <v>1614</v>
      </c>
      <c r="O435" s="104" t="s">
        <v>970</v>
      </c>
      <c r="P435" s="240">
        <f>16753.5+600</f>
        <v>17353.5</v>
      </c>
      <c r="Q435" s="240">
        <v>3600</v>
      </c>
      <c r="R435" s="241"/>
      <c r="S435" s="242"/>
      <c r="T435" s="240">
        <v>13189</v>
      </c>
      <c r="U435" s="240">
        <v>564</v>
      </c>
      <c r="V435" s="130"/>
      <c r="W435" s="170"/>
    </row>
    <row r="436" s="39" customFormat="1" ht="22" hidden="1" customHeight="1" spans="1:23">
      <c r="A436" s="144" t="s">
        <v>1615</v>
      </c>
      <c r="B436" s="174" t="s">
        <v>30</v>
      </c>
      <c r="C436" s="175"/>
      <c r="D436" s="229" t="s">
        <v>31</v>
      </c>
      <c r="E436" s="82" t="s">
        <v>1238</v>
      </c>
      <c r="F436" s="81">
        <f>IFERROR(VLOOKUP(E436,客户!B:C,2,FALSE),"/")</f>
        <v>0</v>
      </c>
      <c r="G436" s="82" t="s">
        <v>1616</v>
      </c>
      <c r="H436" s="45" t="s">
        <v>123</v>
      </c>
      <c r="I436" s="45" t="s">
        <v>1617</v>
      </c>
      <c r="J436" s="108">
        <v>44411</v>
      </c>
      <c r="K436" s="159">
        <v>44454</v>
      </c>
      <c r="L436" s="100">
        <v>44482</v>
      </c>
      <c r="M436" s="165" t="s">
        <v>1618</v>
      </c>
      <c r="N436" s="198" t="s">
        <v>1619</v>
      </c>
      <c r="O436" s="104" t="s">
        <v>523</v>
      </c>
      <c r="P436" s="102">
        <v>31995.94</v>
      </c>
      <c r="Q436" s="240"/>
      <c r="R436" s="241"/>
      <c r="S436" s="242"/>
      <c r="T436" s="102">
        <v>22000</v>
      </c>
      <c r="U436" s="102">
        <f>4682.05+5313.89</f>
        <v>9995.94</v>
      </c>
      <c r="V436" s="130"/>
      <c r="W436" s="170"/>
    </row>
    <row r="437" s="39" customFormat="1" ht="22" hidden="1" customHeight="1" spans="1:23">
      <c r="A437" s="144" t="s">
        <v>1620</v>
      </c>
      <c r="B437" s="174" t="s">
        <v>30</v>
      </c>
      <c r="C437" s="175"/>
      <c r="D437" s="229" t="s">
        <v>31</v>
      </c>
      <c r="E437" s="82" t="s">
        <v>1238</v>
      </c>
      <c r="F437" s="81">
        <f>IFERROR(VLOOKUP(E437,客户!B:C,2,FALSE),"/")</f>
        <v>0</v>
      </c>
      <c r="G437" s="82" t="s">
        <v>1616</v>
      </c>
      <c r="H437" s="45" t="s">
        <v>123</v>
      </c>
      <c r="I437" s="45" t="s">
        <v>1617</v>
      </c>
      <c r="J437" s="108">
        <v>44411</v>
      </c>
      <c r="K437" s="159">
        <v>44460</v>
      </c>
      <c r="L437" s="100">
        <v>44487</v>
      </c>
      <c r="M437" s="165" t="s">
        <v>1621</v>
      </c>
      <c r="N437" s="198" t="s">
        <v>1622</v>
      </c>
      <c r="O437" s="104" t="s">
        <v>523</v>
      </c>
      <c r="P437" s="102">
        <v>32795.28</v>
      </c>
      <c r="Q437" s="240"/>
      <c r="R437" s="241"/>
      <c r="S437" s="242"/>
      <c r="T437" s="102">
        <v>18137.13</v>
      </c>
      <c r="U437" s="102">
        <v>14658.15</v>
      </c>
      <c r="V437" s="130" t="s">
        <v>1623</v>
      </c>
      <c r="W437" s="170"/>
    </row>
    <row r="438" s="39" customFormat="1" ht="22" hidden="1" customHeight="1" spans="1:23">
      <c r="A438" s="144" t="s">
        <v>1624</v>
      </c>
      <c r="B438" s="174" t="s">
        <v>30</v>
      </c>
      <c r="C438" s="175"/>
      <c r="D438" s="229" t="s">
        <v>31</v>
      </c>
      <c r="E438" s="82" t="s">
        <v>1377</v>
      </c>
      <c r="F438" s="81">
        <f>IFERROR(VLOOKUP(E438,客户!B:C,2,FALSE),"/")</f>
        <v>0</v>
      </c>
      <c r="G438" s="82" t="s">
        <v>1625</v>
      </c>
      <c r="H438" s="45" t="s">
        <v>123</v>
      </c>
      <c r="I438" s="45" t="s">
        <v>1626</v>
      </c>
      <c r="J438" s="108">
        <v>44413</v>
      </c>
      <c r="K438" s="159">
        <v>44470</v>
      </c>
      <c r="L438" s="100">
        <v>44510</v>
      </c>
      <c r="M438" s="165" t="s">
        <v>1627</v>
      </c>
      <c r="N438" s="198" t="s">
        <v>1628</v>
      </c>
      <c r="O438" s="104" t="s">
        <v>523</v>
      </c>
      <c r="P438" s="102">
        <v>37318.45</v>
      </c>
      <c r="Q438" s="102">
        <v>3000</v>
      </c>
      <c r="R438" s="241"/>
      <c r="S438" s="242"/>
      <c r="T438" s="102">
        <v>34318.45</v>
      </c>
      <c r="U438" s="100"/>
      <c r="V438" s="130"/>
      <c r="W438" s="170"/>
    </row>
    <row r="439" s="39" customFormat="1" ht="22" hidden="1" customHeight="1" spans="1:23">
      <c r="A439" s="144" t="s">
        <v>1629</v>
      </c>
      <c r="B439" s="174" t="s">
        <v>30</v>
      </c>
      <c r="C439" s="175"/>
      <c r="D439" s="229" t="s">
        <v>31</v>
      </c>
      <c r="E439" s="82" t="s">
        <v>1257</v>
      </c>
      <c r="F439" s="81">
        <f>IFERROR(VLOOKUP(E439,客户!B:C,2,FALSE),"/")</f>
        <v>0</v>
      </c>
      <c r="G439" s="80" t="s">
        <v>941</v>
      </c>
      <c r="H439" s="45" t="s">
        <v>123</v>
      </c>
      <c r="I439" s="45" t="s">
        <v>751</v>
      </c>
      <c r="J439" s="108">
        <v>44414</v>
      </c>
      <c r="K439" s="159">
        <v>44454</v>
      </c>
      <c r="L439" s="100">
        <v>44491</v>
      </c>
      <c r="M439" s="165" t="s">
        <v>1630</v>
      </c>
      <c r="N439" s="198" t="s">
        <v>1631</v>
      </c>
      <c r="O439" s="104" t="s">
        <v>523</v>
      </c>
      <c r="P439" s="102">
        <v>32721.27</v>
      </c>
      <c r="Q439" s="102">
        <v>5822</v>
      </c>
      <c r="R439" s="241"/>
      <c r="S439" s="242"/>
      <c r="T439" s="102">
        <v>26899.27</v>
      </c>
      <c r="U439" s="100"/>
      <c r="V439" s="130"/>
      <c r="W439" s="170"/>
    </row>
    <row r="440" s="39" customFormat="1" ht="22" hidden="1" customHeight="1" spans="1:23">
      <c r="A440" s="144" t="s">
        <v>1632</v>
      </c>
      <c r="B440" s="174" t="s">
        <v>30</v>
      </c>
      <c r="C440" s="175"/>
      <c r="D440" s="229" t="s">
        <v>31</v>
      </c>
      <c r="E440" s="82" t="s">
        <v>1167</v>
      </c>
      <c r="F440" s="81">
        <f>IFERROR(VLOOKUP(E440,客户!B:C,2,FALSE),"/")</f>
        <v>0</v>
      </c>
      <c r="G440" s="80" t="s">
        <v>1369</v>
      </c>
      <c r="H440" s="45" t="s">
        <v>123</v>
      </c>
      <c r="I440" s="45" t="s">
        <v>1370</v>
      </c>
      <c r="J440" s="108">
        <v>44420</v>
      </c>
      <c r="K440" s="159">
        <v>44455</v>
      </c>
      <c r="L440" s="100">
        <v>44486</v>
      </c>
      <c r="M440" s="165" t="s">
        <v>1633</v>
      </c>
      <c r="N440" s="198" t="s">
        <v>1634</v>
      </c>
      <c r="O440" s="104" t="s">
        <v>523</v>
      </c>
      <c r="P440" s="102">
        <v>37399.07</v>
      </c>
      <c r="Q440" s="102">
        <f>6600+5100</f>
        <v>11700</v>
      </c>
      <c r="R440" s="241"/>
      <c r="S440" s="242"/>
      <c r="T440" s="102">
        <v>25699.07</v>
      </c>
      <c r="U440" s="100"/>
      <c r="V440" s="130"/>
      <c r="W440" s="170"/>
    </row>
    <row r="441" s="39" customFormat="1" ht="22" hidden="1" customHeight="1" spans="1:23">
      <c r="A441" s="144" t="s">
        <v>1635</v>
      </c>
      <c r="B441" s="174" t="s">
        <v>30</v>
      </c>
      <c r="C441" s="175"/>
      <c r="D441" s="229" t="s">
        <v>31</v>
      </c>
      <c r="E441" s="82" t="s">
        <v>1274</v>
      </c>
      <c r="F441" s="81">
        <f>IFERROR(VLOOKUP(E441,客户!B:C,2,FALSE),"/")</f>
        <v>0</v>
      </c>
      <c r="G441" s="80" t="s">
        <v>941</v>
      </c>
      <c r="H441" s="45" t="s">
        <v>123</v>
      </c>
      <c r="I441" s="45" t="s">
        <v>1636</v>
      </c>
      <c r="J441" s="108">
        <v>44425</v>
      </c>
      <c r="K441" s="159">
        <v>44511</v>
      </c>
      <c r="L441" s="100">
        <v>44538</v>
      </c>
      <c r="M441" s="165" t="s">
        <v>1637</v>
      </c>
      <c r="N441" s="198" t="s">
        <v>1638</v>
      </c>
      <c r="O441" s="104" t="s">
        <v>523</v>
      </c>
      <c r="P441" s="102">
        <v>24562</v>
      </c>
      <c r="Q441" s="102"/>
      <c r="R441" s="241"/>
      <c r="S441" s="242"/>
      <c r="T441" s="102">
        <v>24562</v>
      </c>
      <c r="U441" s="100"/>
      <c r="V441" s="130"/>
      <c r="W441" s="170"/>
    </row>
    <row r="442" s="39" customFormat="1" ht="22" hidden="1" customHeight="1" spans="1:23">
      <c r="A442" s="144" t="s">
        <v>1639</v>
      </c>
      <c r="B442" s="174" t="s">
        <v>30</v>
      </c>
      <c r="C442" s="175"/>
      <c r="D442" s="229" t="s">
        <v>31</v>
      </c>
      <c r="E442" s="82" t="s">
        <v>1117</v>
      </c>
      <c r="F442" s="81">
        <f>IFERROR(VLOOKUP(E442,客户!B:C,2,FALSE),"/")</f>
        <v>0</v>
      </c>
      <c r="G442" s="80" t="s">
        <v>1640</v>
      </c>
      <c r="H442" s="45" t="s">
        <v>186</v>
      </c>
      <c r="I442" s="45"/>
      <c r="J442" s="108">
        <v>44433</v>
      </c>
      <c r="K442" s="159">
        <v>44448</v>
      </c>
      <c r="L442" s="100"/>
      <c r="M442" s="165" t="s">
        <v>1641</v>
      </c>
      <c r="N442" s="108"/>
      <c r="O442" s="104" t="s">
        <v>970</v>
      </c>
      <c r="P442" s="240">
        <v>17850</v>
      </c>
      <c r="Q442" s="102"/>
      <c r="R442" s="241"/>
      <c r="S442" s="242"/>
      <c r="T442" s="240">
        <v>17850</v>
      </c>
      <c r="U442" s="100"/>
      <c r="V442" s="130"/>
      <c r="W442" s="170"/>
    </row>
    <row r="443" s="39" customFormat="1" ht="22" hidden="1" customHeight="1" spans="1:23">
      <c r="A443" s="144" t="s">
        <v>1642</v>
      </c>
      <c r="B443" s="174" t="s">
        <v>30</v>
      </c>
      <c r="C443" s="175"/>
      <c r="D443" s="229" t="s">
        <v>31</v>
      </c>
      <c r="E443" s="82" t="s">
        <v>1167</v>
      </c>
      <c r="F443" s="81">
        <f>IFERROR(VLOOKUP(E443,客户!B:C,2,FALSE),"/")</f>
        <v>0</v>
      </c>
      <c r="G443" s="80" t="s">
        <v>1369</v>
      </c>
      <c r="H443" s="45" t="s">
        <v>123</v>
      </c>
      <c r="I443" s="45" t="s">
        <v>1370</v>
      </c>
      <c r="J443" s="108">
        <v>44433</v>
      </c>
      <c r="K443" s="159">
        <v>44485</v>
      </c>
      <c r="L443" s="100">
        <v>44546</v>
      </c>
      <c r="M443" s="165" t="s">
        <v>1643</v>
      </c>
      <c r="N443" s="198" t="s">
        <v>1644</v>
      </c>
      <c r="O443" s="104" t="s">
        <v>523</v>
      </c>
      <c r="P443" s="102">
        <v>34602.13</v>
      </c>
      <c r="Q443" s="102">
        <v>10400</v>
      </c>
      <c r="R443" s="241"/>
      <c r="S443" s="242"/>
      <c r="T443" s="102">
        <v>24202.13</v>
      </c>
      <c r="U443" s="100"/>
      <c r="V443" s="130"/>
      <c r="W443" s="170"/>
    </row>
    <row r="444" s="39" customFormat="1" ht="22" hidden="1" customHeight="1" spans="1:23">
      <c r="A444" s="144" t="s">
        <v>1645</v>
      </c>
      <c r="B444" s="174" t="s">
        <v>30</v>
      </c>
      <c r="C444" s="175"/>
      <c r="D444" s="229" t="s">
        <v>31</v>
      </c>
      <c r="E444" s="82" t="s">
        <v>1121</v>
      </c>
      <c r="F444" s="81">
        <f>IFERROR(VLOOKUP(E444,客户!B:C,2,FALSE),"/")</f>
        <v>0</v>
      </c>
      <c r="G444" s="80" t="s">
        <v>1419</v>
      </c>
      <c r="H444" s="45" t="s">
        <v>123</v>
      </c>
      <c r="I444" s="45" t="s">
        <v>215</v>
      </c>
      <c r="J444" s="108">
        <v>44434</v>
      </c>
      <c r="K444" s="159">
        <v>44492</v>
      </c>
      <c r="L444" s="100">
        <v>44509</v>
      </c>
      <c r="M444" s="165" t="s">
        <v>1646</v>
      </c>
      <c r="N444" s="198" t="s">
        <v>1647</v>
      </c>
      <c r="O444" s="104" t="s">
        <v>523</v>
      </c>
      <c r="P444" s="102">
        <v>61451.64</v>
      </c>
      <c r="Q444" s="102"/>
      <c r="R444" s="241"/>
      <c r="S444" s="242"/>
      <c r="T444" s="102">
        <v>61451.64</v>
      </c>
      <c r="U444" s="100"/>
      <c r="V444" s="130"/>
      <c r="W444" s="170"/>
    </row>
    <row r="445" s="39" customFormat="1" ht="22" hidden="1" customHeight="1" spans="1:23">
      <c r="A445" s="144" t="s">
        <v>1648</v>
      </c>
      <c r="B445" s="174" t="s">
        <v>30</v>
      </c>
      <c r="C445" s="175"/>
      <c r="D445" s="229" t="s">
        <v>31</v>
      </c>
      <c r="E445" s="82" t="s">
        <v>1121</v>
      </c>
      <c r="F445" s="81">
        <f>IFERROR(VLOOKUP(E445,客户!B:C,2,FALSE),"/")</f>
        <v>0</v>
      </c>
      <c r="G445" s="80" t="s">
        <v>1419</v>
      </c>
      <c r="H445" s="45" t="s">
        <v>123</v>
      </c>
      <c r="I445" s="45" t="s">
        <v>215</v>
      </c>
      <c r="J445" s="108">
        <v>44434</v>
      </c>
      <c r="K445" s="159">
        <v>44500</v>
      </c>
      <c r="L445" s="100">
        <v>44516</v>
      </c>
      <c r="M445" s="165" t="s">
        <v>1649</v>
      </c>
      <c r="N445" s="198" t="s">
        <v>1650</v>
      </c>
      <c r="O445" s="104" t="s">
        <v>523</v>
      </c>
      <c r="P445" s="102">
        <v>60927</v>
      </c>
      <c r="Q445" s="102">
        <v>10000</v>
      </c>
      <c r="R445" s="241"/>
      <c r="S445" s="242"/>
      <c r="T445" s="102">
        <v>50927</v>
      </c>
      <c r="U445" s="100"/>
      <c r="V445" s="130"/>
      <c r="W445" s="170"/>
    </row>
    <row r="446" s="39" customFormat="1" ht="21" hidden="1" customHeight="1" spans="1:23">
      <c r="A446" s="145" t="s">
        <v>1651</v>
      </c>
      <c r="B446" s="174" t="s">
        <v>30</v>
      </c>
      <c r="C446" s="175"/>
      <c r="D446" s="229" t="s">
        <v>31</v>
      </c>
      <c r="E446" s="82" t="s">
        <v>1249</v>
      </c>
      <c r="F446" s="81">
        <f>IFERROR(VLOOKUP(E446,客户!B:C,2,FALSE),"/")</f>
        <v>0</v>
      </c>
      <c r="G446" s="80" t="s">
        <v>941</v>
      </c>
      <c r="H446" s="45" t="s">
        <v>123</v>
      </c>
      <c r="I446" s="45" t="s">
        <v>1250</v>
      </c>
      <c r="J446" s="108">
        <v>44435</v>
      </c>
      <c r="K446" s="159">
        <v>44470</v>
      </c>
      <c r="L446" s="100">
        <v>44510</v>
      </c>
      <c r="M446" s="165" t="s">
        <v>1652</v>
      </c>
      <c r="N446" s="198" t="s">
        <v>1653</v>
      </c>
      <c r="O446" s="104" t="s">
        <v>523</v>
      </c>
      <c r="P446" s="102">
        <v>24038.93</v>
      </c>
      <c r="Q446" s="102">
        <v>7212</v>
      </c>
      <c r="R446" s="241"/>
      <c r="S446" s="242"/>
      <c r="T446" s="102">
        <v>16826.93</v>
      </c>
      <c r="U446" s="100"/>
      <c r="V446" s="130"/>
      <c r="W446" s="170"/>
    </row>
    <row r="447" s="39" customFormat="1" ht="22" hidden="1" customHeight="1" spans="1:23">
      <c r="A447" s="144" t="s">
        <v>1654</v>
      </c>
      <c r="B447" s="174" t="s">
        <v>30</v>
      </c>
      <c r="C447" s="175"/>
      <c r="D447" s="229" t="s">
        <v>31</v>
      </c>
      <c r="E447" s="82" t="s">
        <v>1117</v>
      </c>
      <c r="F447" s="81">
        <f>IFERROR(VLOOKUP(E447,客户!B:C,2,FALSE),"/")</f>
        <v>0</v>
      </c>
      <c r="G447" s="80" t="s">
        <v>941</v>
      </c>
      <c r="H447" s="45" t="s">
        <v>123</v>
      </c>
      <c r="I447" s="45" t="s">
        <v>1655</v>
      </c>
      <c r="J447" s="108">
        <v>44446</v>
      </c>
      <c r="K447" s="159">
        <v>44486</v>
      </c>
      <c r="L447" s="100"/>
      <c r="M447" s="165" t="s">
        <v>1656</v>
      </c>
      <c r="N447" s="198" t="s">
        <v>1657</v>
      </c>
      <c r="O447" s="104" t="s">
        <v>970</v>
      </c>
      <c r="P447" s="102">
        <v>30681.26</v>
      </c>
      <c r="Q447" s="102"/>
      <c r="R447" s="241"/>
      <c r="S447" s="242"/>
      <c r="T447" s="203">
        <v>13395</v>
      </c>
      <c r="U447" s="100"/>
      <c r="V447" s="217" t="s">
        <v>1658</v>
      </c>
      <c r="W447" s="170"/>
    </row>
    <row r="448" s="39" customFormat="1" ht="22" hidden="1" customHeight="1" spans="1:23">
      <c r="A448" s="190" t="s">
        <v>1659</v>
      </c>
      <c r="B448" s="174" t="s">
        <v>30</v>
      </c>
      <c r="C448" s="175"/>
      <c r="D448" s="229" t="s">
        <v>31</v>
      </c>
      <c r="E448" s="82" t="s">
        <v>1607</v>
      </c>
      <c r="F448" s="81">
        <f>IFERROR(VLOOKUP(E448,客户!B:C,2,FALSE),"/")</f>
        <v>0</v>
      </c>
      <c r="G448" s="82" t="s">
        <v>1608</v>
      </c>
      <c r="H448" s="45" t="s">
        <v>147</v>
      </c>
      <c r="I448" s="254" t="s">
        <v>1609</v>
      </c>
      <c r="J448" s="108">
        <v>44447</v>
      </c>
      <c r="K448" s="159">
        <v>44462</v>
      </c>
      <c r="L448" s="100"/>
      <c r="M448" s="165" t="s">
        <v>1660</v>
      </c>
      <c r="N448" s="108"/>
      <c r="O448" s="104" t="s">
        <v>970</v>
      </c>
      <c r="P448" s="102">
        <v>4498.2</v>
      </c>
      <c r="Q448" s="102"/>
      <c r="R448" s="241"/>
      <c r="S448" s="242"/>
      <c r="T448" s="102">
        <v>4498.2</v>
      </c>
      <c r="U448" s="100"/>
      <c r="V448" s="130"/>
      <c r="W448" s="170"/>
    </row>
    <row r="449" s="39" customFormat="1" ht="22" hidden="1" customHeight="1" spans="1:23">
      <c r="A449" s="144" t="s">
        <v>1661</v>
      </c>
      <c r="B449" s="174" t="s">
        <v>30</v>
      </c>
      <c r="C449" s="175"/>
      <c r="D449" s="229" t="s">
        <v>31</v>
      </c>
      <c r="E449" s="82" t="s">
        <v>1238</v>
      </c>
      <c r="F449" s="81">
        <f>IFERROR(VLOOKUP(E449,客户!B:C,2,FALSE),"/")</f>
        <v>0</v>
      </c>
      <c r="G449" s="82" t="s">
        <v>1616</v>
      </c>
      <c r="H449" s="45" t="s">
        <v>123</v>
      </c>
      <c r="I449" s="45" t="s">
        <v>1662</v>
      </c>
      <c r="J449" s="108">
        <v>44447</v>
      </c>
      <c r="K449" s="159">
        <v>44503</v>
      </c>
      <c r="L449" s="100">
        <v>44542</v>
      </c>
      <c r="M449" s="165" t="s">
        <v>1663</v>
      </c>
      <c r="N449" s="198" t="s">
        <v>1664</v>
      </c>
      <c r="O449" s="104" t="s">
        <v>523</v>
      </c>
      <c r="P449" s="102">
        <v>33264.55</v>
      </c>
      <c r="Q449" s="102"/>
      <c r="R449" s="241"/>
      <c r="S449" s="242"/>
      <c r="T449" s="102">
        <v>22980</v>
      </c>
      <c r="U449" s="102">
        <v>10284.55</v>
      </c>
      <c r="V449" s="130" t="s">
        <v>1665</v>
      </c>
      <c r="W449" s="170"/>
    </row>
    <row r="450" s="39" customFormat="1" ht="22" hidden="1" customHeight="1" spans="1:23">
      <c r="A450" s="144" t="s">
        <v>1666</v>
      </c>
      <c r="B450" s="174" t="s">
        <v>30</v>
      </c>
      <c r="C450" s="175"/>
      <c r="D450" s="229" t="s">
        <v>31</v>
      </c>
      <c r="E450" s="82" t="s">
        <v>1238</v>
      </c>
      <c r="F450" s="81">
        <f>IFERROR(VLOOKUP(E450,客户!B:C,2,FALSE),"/")</f>
        <v>0</v>
      </c>
      <c r="G450" s="82" t="s">
        <v>1616</v>
      </c>
      <c r="H450" s="45" t="s">
        <v>123</v>
      </c>
      <c r="I450" s="45" t="s">
        <v>1662</v>
      </c>
      <c r="J450" s="108">
        <v>44447</v>
      </c>
      <c r="K450" s="159">
        <v>44512</v>
      </c>
      <c r="L450" s="100">
        <v>44543</v>
      </c>
      <c r="M450" s="165" t="s">
        <v>1667</v>
      </c>
      <c r="N450" s="198" t="s">
        <v>1668</v>
      </c>
      <c r="O450" s="104" t="s">
        <v>523</v>
      </c>
      <c r="P450" s="102">
        <v>30699.02</v>
      </c>
      <c r="Q450" s="102"/>
      <c r="R450" s="241"/>
      <c r="S450" s="242"/>
      <c r="T450" s="102">
        <v>21776.57</v>
      </c>
      <c r="U450" s="102">
        <v>8922.45</v>
      </c>
      <c r="V450" s="219" t="s">
        <v>1669</v>
      </c>
      <c r="W450" s="170"/>
    </row>
    <row r="451" s="39" customFormat="1" ht="22" hidden="1" customHeight="1" spans="1:23">
      <c r="A451" s="144" t="s">
        <v>1670</v>
      </c>
      <c r="B451" s="174" t="s">
        <v>30</v>
      </c>
      <c r="C451" s="175"/>
      <c r="D451" s="229" t="s">
        <v>31</v>
      </c>
      <c r="E451" s="82" t="s">
        <v>1210</v>
      </c>
      <c r="F451" s="81">
        <f>IFERROR(VLOOKUP(E451,客户!B:C,2,FALSE),"/")</f>
        <v>0</v>
      </c>
      <c r="G451" s="82" t="s">
        <v>1671</v>
      </c>
      <c r="H451" s="45"/>
      <c r="I451" s="45" t="s">
        <v>1672</v>
      </c>
      <c r="J451" s="108">
        <v>44448</v>
      </c>
      <c r="K451" s="159">
        <v>44507</v>
      </c>
      <c r="L451" s="100"/>
      <c r="M451" s="165" t="s">
        <v>1673</v>
      </c>
      <c r="N451" s="198" t="s">
        <v>1674</v>
      </c>
      <c r="O451" s="104" t="s">
        <v>523</v>
      </c>
      <c r="P451" s="102">
        <v>4405.68</v>
      </c>
      <c r="Q451" s="102"/>
      <c r="R451" s="241"/>
      <c r="S451" s="242"/>
      <c r="T451" s="102">
        <v>4405.68</v>
      </c>
      <c r="U451" s="100"/>
      <c r="V451" s="219" t="s">
        <v>1675</v>
      </c>
      <c r="W451" s="170"/>
    </row>
    <row r="452" s="39" customFormat="1" ht="22" hidden="1" customHeight="1" spans="1:23">
      <c r="A452" s="144" t="s">
        <v>1676</v>
      </c>
      <c r="B452" s="174" t="s">
        <v>30</v>
      </c>
      <c r="C452" s="175"/>
      <c r="D452" s="229" t="s">
        <v>31</v>
      </c>
      <c r="E452" s="82" t="s">
        <v>1167</v>
      </c>
      <c r="F452" s="81">
        <f>IFERROR(VLOOKUP(E452,客户!B:C,2,FALSE),"/")</f>
        <v>0</v>
      </c>
      <c r="G452" s="80" t="s">
        <v>1369</v>
      </c>
      <c r="H452" s="45" t="s">
        <v>123</v>
      </c>
      <c r="I452" s="45" t="s">
        <v>1370</v>
      </c>
      <c r="J452" s="108">
        <v>44454</v>
      </c>
      <c r="K452" s="159">
        <v>44548</v>
      </c>
      <c r="L452" s="100"/>
      <c r="M452" s="165" t="s">
        <v>1677</v>
      </c>
      <c r="N452" s="198" t="s">
        <v>1678</v>
      </c>
      <c r="O452" s="104" t="s">
        <v>523</v>
      </c>
      <c r="P452" s="102">
        <v>34964.34</v>
      </c>
      <c r="Q452" s="102">
        <v>10300</v>
      </c>
      <c r="R452" s="241"/>
      <c r="S452" s="242"/>
      <c r="T452" s="102">
        <v>24664.34</v>
      </c>
      <c r="U452" s="100"/>
      <c r="V452" s="130"/>
      <c r="W452" s="170"/>
    </row>
    <row r="453" s="39" customFormat="1" ht="22" hidden="1" customHeight="1" spans="1:23">
      <c r="A453" s="144" t="s">
        <v>1679</v>
      </c>
      <c r="B453" s="174" t="s">
        <v>30</v>
      </c>
      <c r="C453" s="175"/>
      <c r="D453" s="229" t="s">
        <v>31</v>
      </c>
      <c r="E453" s="82" t="s">
        <v>1377</v>
      </c>
      <c r="F453" s="81">
        <f>IFERROR(VLOOKUP(E453,客户!B:C,2,FALSE),"/")</f>
        <v>0</v>
      </c>
      <c r="G453" s="80" t="s">
        <v>1680</v>
      </c>
      <c r="H453" s="45" t="s">
        <v>123</v>
      </c>
      <c r="I453" s="45" t="s">
        <v>1626</v>
      </c>
      <c r="J453" s="108">
        <v>44455</v>
      </c>
      <c r="K453" s="159">
        <v>44527</v>
      </c>
      <c r="L453" s="100">
        <v>44577</v>
      </c>
      <c r="M453" s="165" t="s">
        <v>1681</v>
      </c>
      <c r="N453" s="198" t="s">
        <v>1682</v>
      </c>
      <c r="O453" s="104" t="s">
        <v>523</v>
      </c>
      <c r="P453" s="102">
        <v>37352</v>
      </c>
      <c r="Q453" s="102">
        <v>6000</v>
      </c>
      <c r="R453" s="241"/>
      <c r="S453" s="242"/>
      <c r="T453" s="102">
        <v>31352</v>
      </c>
      <c r="U453" s="100"/>
      <c r="V453" s="130"/>
      <c r="W453" s="170"/>
    </row>
    <row r="454" s="39" customFormat="1" ht="22" hidden="1" customHeight="1" spans="1:23">
      <c r="A454" s="144" t="s">
        <v>1683</v>
      </c>
      <c r="B454" s="174" t="s">
        <v>30</v>
      </c>
      <c r="C454" s="175"/>
      <c r="D454" s="229" t="s">
        <v>31</v>
      </c>
      <c r="E454" s="82" t="s">
        <v>1508</v>
      </c>
      <c r="F454" s="81">
        <f>IFERROR(VLOOKUP(E454,客户!B:C,2,FALSE),"/")</f>
        <v>0</v>
      </c>
      <c r="G454" s="80" t="s">
        <v>941</v>
      </c>
      <c r="H454" s="45" t="s">
        <v>123</v>
      </c>
      <c r="I454" s="45" t="s">
        <v>1684</v>
      </c>
      <c r="J454" s="108">
        <v>44459</v>
      </c>
      <c r="K454" s="159">
        <v>44535</v>
      </c>
      <c r="L454" s="100">
        <v>44599</v>
      </c>
      <c r="M454" s="165" t="s">
        <v>1685</v>
      </c>
      <c r="N454" s="198" t="s">
        <v>1686</v>
      </c>
      <c r="O454" s="104" t="s">
        <v>523</v>
      </c>
      <c r="P454" s="102">
        <v>32165.35</v>
      </c>
      <c r="Q454" s="102">
        <v>9000</v>
      </c>
      <c r="R454" s="241"/>
      <c r="S454" s="242"/>
      <c r="T454" s="102">
        <v>23165.35</v>
      </c>
      <c r="U454" s="100"/>
      <c r="V454" s="130"/>
      <c r="W454" s="170"/>
    </row>
    <row r="455" s="39" customFormat="1" ht="22" hidden="1" customHeight="1" spans="1:23">
      <c r="A455" s="144" t="s">
        <v>1687</v>
      </c>
      <c r="B455" s="174" t="s">
        <v>30</v>
      </c>
      <c r="C455" s="175"/>
      <c r="D455" s="229" t="s">
        <v>31</v>
      </c>
      <c r="E455" s="82" t="s">
        <v>1508</v>
      </c>
      <c r="F455" s="81">
        <f>IFERROR(VLOOKUP(E455,客户!B:C,2,FALSE),"/")</f>
        <v>0</v>
      </c>
      <c r="G455" s="80" t="s">
        <v>941</v>
      </c>
      <c r="H455" s="45" t="s">
        <v>123</v>
      </c>
      <c r="I455" s="45" t="s">
        <v>1546</v>
      </c>
      <c r="J455" s="108">
        <v>44459</v>
      </c>
      <c r="K455" s="159">
        <v>44542</v>
      </c>
      <c r="L455" s="100">
        <v>44592</v>
      </c>
      <c r="M455" s="165" t="s">
        <v>1688</v>
      </c>
      <c r="N455" s="198" t="s">
        <v>1689</v>
      </c>
      <c r="O455" s="104" t="s">
        <v>523</v>
      </c>
      <c r="P455" s="102">
        <v>31515.35</v>
      </c>
      <c r="Q455" s="102">
        <v>9000</v>
      </c>
      <c r="R455" s="241"/>
      <c r="S455" s="242"/>
      <c r="T455" s="102">
        <v>22515.35</v>
      </c>
      <c r="U455" s="100"/>
      <c r="V455" s="130"/>
      <c r="W455" s="170"/>
    </row>
    <row r="456" s="39" customFormat="1" ht="22" hidden="1" customHeight="1" spans="1:23">
      <c r="A456" s="144" t="s">
        <v>1690</v>
      </c>
      <c r="B456" s="174" t="s">
        <v>30</v>
      </c>
      <c r="C456" s="175"/>
      <c r="D456" s="229" t="s">
        <v>31</v>
      </c>
      <c r="E456" s="82" t="s">
        <v>1508</v>
      </c>
      <c r="F456" s="81">
        <f>IFERROR(VLOOKUP(E456,客户!B:C,2,FALSE),"/")</f>
        <v>0</v>
      </c>
      <c r="G456" s="80" t="s">
        <v>941</v>
      </c>
      <c r="H456" s="45" t="s">
        <v>123</v>
      </c>
      <c r="I456" s="45" t="s">
        <v>560</v>
      </c>
      <c r="J456" s="108">
        <v>44459</v>
      </c>
      <c r="K456" s="159">
        <v>44552</v>
      </c>
      <c r="L456" s="100">
        <v>44602</v>
      </c>
      <c r="M456" s="165" t="s">
        <v>1691</v>
      </c>
      <c r="N456" s="198" t="s">
        <v>1692</v>
      </c>
      <c r="O456" s="104" t="s">
        <v>523</v>
      </c>
      <c r="P456" s="102">
        <v>32165.35</v>
      </c>
      <c r="Q456" s="102">
        <v>9000</v>
      </c>
      <c r="R456" s="241"/>
      <c r="S456" s="242"/>
      <c r="T456" s="102">
        <v>23165.35</v>
      </c>
      <c r="U456" s="100"/>
      <c r="V456" s="130"/>
      <c r="W456" s="170"/>
    </row>
    <row r="457" s="39" customFormat="1" ht="22" hidden="1" customHeight="1" spans="1:23">
      <c r="A457" s="144" t="s">
        <v>1693</v>
      </c>
      <c r="B457" s="174" t="s">
        <v>30</v>
      </c>
      <c r="C457" s="175"/>
      <c r="D457" s="229" t="s">
        <v>31</v>
      </c>
      <c r="E457" s="82" t="s">
        <v>1326</v>
      </c>
      <c r="F457" s="81">
        <f>IFERROR(VLOOKUP(E457,客户!B:C,2,FALSE),"/")</f>
        <v>0</v>
      </c>
      <c r="G457" s="80" t="s">
        <v>1202</v>
      </c>
      <c r="H457" s="45" t="s">
        <v>123</v>
      </c>
      <c r="I457" s="45" t="s">
        <v>755</v>
      </c>
      <c r="J457" s="108">
        <v>44462</v>
      </c>
      <c r="K457" s="159">
        <v>44549</v>
      </c>
      <c r="L457" s="100">
        <v>44623</v>
      </c>
      <c r="M457" s="165" t="s">
        <v>1694</v>
      </c>
      <c r="N457" s="198" t="s">
        <v>1695</v>
      </c>
      <c r="O457" s="104" t="s">
        <v>523</v>
      </c>
      <c r="P457" s="102">
        <v>28371</v>
      </c>
      <c r="Q457" s="102">
        <v>5674</v>
      </c>
      <c r="R457" s="241"/>
      <c r="S457" s="242"/>
      <c r="T457" s="102">
        <v>22697</v>
      </c>
      <c r="U457" s="100"/>
      <c r="V457" s="130"/>
      <c r="W457" s="170"/>
    </row>
    <row r="458" s="39" customFormat="1" ht="22" hidden="1" customHeight="1" spans="1:23">
      <c r="A458" s="144" t="s">
        <v>1696</v>
      </c>
      <c r="B458" s="174" t="s">
        <v>30</v>
      </c>
      <c r="C458" s="175"/>
      <c r="D458" s="229" t="s">
        <v>31</v>
      </c>
      <c r="E458" s="82" t="s">
        <v>1265</v>
      </c>
      <c r="F458" s="81" t="str">
        <f>IFERROR(VLOOKUP(E458,客户!B:C,2,FALSE),"/")</f>
        <v>外送费用945人民币+装箱费用 加在发票里</v>
      </c>
      <c r="G458" s="80" t="s">
        <v>1286</v>
      </c>
      <c r="H458" s="45" t="s">
        <v>123</v>
      </c>
      <c r="I458" s="45" t="s">
        <v>1697</v>
      </c>
      <c r="J458" s="108">
        <v>44463</v>
      </c>
      <c r="K458" s="159">
        <v>44526</v>
      </c>
      <c r="L458" s="100">
        <v>44572</v>
      </c>
      <c r="M458" s="165" t="s">
        <v>1698</v>
      </c>
      <c r="N458" s="198" t="s">
        <v>1699</v>
      </c>
      <c r="O458" s="104" t="s">
        <v>680</v>
      </c>
      <c r="P458" s="102">
        <v>101350.27</v>
      </c>
      <c r="Q458" s="102"/>
      <c r="R458" s="241"/>
      <c r="S458" s="242"/>
      <c r="T458" s="102">
        <v>101350.27</v>
      </c>
      <c r="U458" s="100"/>
      <c r="V458" s="130"/>
      <c r="W458" s="170"/>
    </row>
    <row r="459" s="39" customFormat="1" ht="22" hidden="1" customHeight="1" spans="1:23">
      <c r="A459" s="144" t="s">
        <v>1700</v>
      </c>
      <c r="B459" s="174" t="s">
        <v>30</v>
      </c>
      <c r="C459" s="175"/>
      <c r="D459" s="229" t="s">
        <v>31</v>
      </c>
      <c r="E459" s="82" t="s">
        <v>1265</v>
      </c>
      <c r="F459" s="81" t="str">
        <f>IFERROR(VLOOKUP(E459,客户!B:C,2,FALSE),"/")</f>
        <v>外送费用945人民币+装箱费用 加在发票里</v>
      </c>
      <c r="G459" s="80" t="s">
        <v>1286</v>
      </c>
      <c r="H459" s="45" t="s">
        <v>123</v>
      </c>
      <c r="I459" s="45" t="s">
        <v>1697</v>
      </c>
      <c r="J459" s="108">
        <v>44463</v>
      </c>
      <c r="K459" s="159">
        <v>44570</v>
      </c>
      <c r="L459" s="100">
        <v>44602</v>
      </c>
      <c r="M459" s="165" t="s">
        <v>1701</v>
      </c>
      <c r="N459" s="198" t="s">
        <v>1702</v>
      </c>
      <c r="O459" s="104" t="s">
        <v>680</v>
      </c>
      <c r="P459" s="102">
        <v>104996.4</v>
      </c>
      <c r="Q459" s="102"/>
      <c r="R459" s="241"/>
      <c r="S459" s="242"/>
      <c r="T459" s="102">
        <v>104996.4</v>
      </c>
      <c r="U459" s="100"/>
      <c r="V459" s="130"/>
      <c r="W459" s="170"/>
    </row>
    <row r="460" s="39" customFormat="1" ht="22" hidden="1" customHeight="1" spans="1:23">
      <c r="A460" s="144" t="s">
        <v>1703</v>
      </c>
      <c r="B460" s="174" t="s">
        <v>30</v>
      </c>
      <c r="C460" s="175"/>
      <c r="D460" s="229" t="s">
        <v>31</v>
      </c>
      <c r="E460" s="82" t="s">
        <v>1265</v>
      </c>
      <c r="F460" s="81" t="str">
        <f>IFERROR(VLOOKUP(E460,客户!B:C,2,FALSE),"/")</f>
        <v>外送费用945人民币+装箱费用 加在发票里</v>
      </c>
      <c r="G460" s="80" t="s">
        <v>1704</v>
      </c>
      <c r="H460" s="45" t="s">
        <v>123</v>
      </c>
      <c r="I460" s="45" t="s">
        <v>1280</v>
      </c>
      <c r="J460" s="108">
        <v>44463</v>
      </c>
      <c r="K460" s="159">
        <v>44526</v>
      </c>
      <c r="L460" s="100">
        <v>44579</v>
      </c>
      <c r="M460" s="165" t="s">
        <v>1705</v>
      </c>
      <c r="N460" s="198" t="s">
        <v>1706</v>
      </c>
      <c r="O460" s="104" t="s">
        <v>680</v>
      </c>
      <c r="P460" s="102">
        <v>168956.7</v>
      </c>
      <c r="Q460" s="102"/>
      <c r="R460" s="241"/>
      <c r="S460" s="242"/>
      <c r="T460" s="102">
        <v>168956.7</v>
      </c>
      <c r="U460" s="100"/>
      <c r="V460" s="130"/>
      <c r="W460" s="170"/>
    </row>
    <row r="461" s="39" customFormat="1" ht="22" hidden="1" customHeight="1" spans="1:23">
      <c r="A461" s="144" t="s">
        <v>1707</v>
      </c>
      <c r="B461" s="174" t="s">
        <v>30</v>
      </c>
      <c r="C461" s="175"/>
      <c r="D461" s="229" t="s">
        <v>31</v>
      </c>
      <c r="E461" s="82" t="s">
        <v>1265</v>
      </c>
      <c r="F461" s="81" t="str">
        <f>IFERROR(VLOOKUP(E461,客户!B:C,2,FALSE),"/")</f>
        <v>外送费用945人民币+装箱费用 加在发票里</v>
      </c>
      <c r="G461" s="80" t="s">
        <v>1286</v>
      </c>
      <c r="H461" s="45" t="s">
        <v>123</v>
      </c>
      <c r="I461" s="45" t="s">
        <v>1280</v>
      </c>
      <c r="J461" s="108">
        <v>44463</v>
      </c>
      <c r="K461" s="159">
        <v>44561</v>
      </c>
      <c r="L461" s="100">
        <v>44597</v>
      </c>
      <c r="M461" s="165" t="s">
        <v>1708</v>
      </c>
      <c r="N461" s="198" t="s">
        <v>1709</v>
      </c>
      <c r="O461" s="104" t="s">
        <v>680</v>
      </c>
      <c r="P461" s="102">
        <v>104066.4</v>
      </c>
      <c r="Q461" s="102"/>
      <c r="R461" s="241"/>
      <c r="S461" s="242"/>
      <c r="T461" s="102">
        <v>104066.4</v>
      </c>
      <c r="U461" s="100"/>
      <c r="V461" s="130"/>
      <c r="W461" s="170"/>
    </row>
    <row r="462" s="39" customFormat="1" ht="22" hidden="1" customHeight="1" spans="1:23">
      <c r="A462" s="144" t="s">
        <v>1710</v>
      </c>
      <c r="B462" s="174" t="s">
        <v>30</v>
      </c>
      <c r="C462" s="175"/>
      <c r="D462" s="229" t="s">
        <v>31</v>
      </c>
      <c r="E462" s="82" t="s">
        <v>1265</v>
      </c>
      <c r="F462" s="81" t="str">
        <f>IFERROR(VLOOKUP(E462,客户!B:C,2,FALSE),"/")</f>
        <v>外送费用945人民币+装箱费用 加在发票里</v>
      </c>
      <c r="G462" s="80" t="s">
        <v>1191</v>
      </c>
      <c r="H462" s="45" t="s">
        <v>123</v>
      </c>
      <c r="I462" s="45" t="s">
        <v>1280</v>
      </c>
      <c r="J462" s="108">
        <v>44463</v>
      </c>
      <c r="K462" s="159">
        <v>44590</v>
      </c>
      <c r="L462" s="100">
        <v>44628</v>
      </c>
      <c r="M462" s="165" t="s">
        <v>1711</v>
      </c>
      <c r="N462" s="198" t="s">
        <v>1712</v>
      </c>
      <c r="O462" s="104" t="s">
        <v>680</v>
      </c>
      <c r="P462" s="102">
        <v>69569.65</v>
      </c>
      <c r="Q462" s="102"/>
      <c r="R462" s="241"/>
      <c r="S462" s="242"/>
      <c r="T462" s="102">
        <v>69569.65</v>
      </c>
      <c r="U462" s="100"/>
      <c r="V462" s="130"/>
      <c r="W462" s="170"/>
    </row>
    <row r="463" s="39" customFormat="1" ht="22" hidden="1" customHeight="1" spans="1:23">
      <c r="A463" s="144" t="s">
        <v>1713</v>
      </c>
      <c r="B463" s="174" t="s">
        <v>30</v>
      </c>
      <c r="C463" s="175"/>
      <c r="D463" s="229" t="s">
        <v>31</v>
      </c>
      <c r="E463" s="82" t="s">
        <v>1083</v>
      </c>
      <c r="F463" s="81">
        <f>IFERROR(VLOOKUP(E463,客户!B:C,2,FALSE),"/")</f>
        <v>0</v>
      </c>
      <c r="G463" s="80" t="s">
        <v>985</v>
      </c>
      <c r="H463" s="45" t="s">
        <v>123</v>
      </c>
      <c r="I463" s="45" t="s">
        <v>1523</v>
      </c>
      <c r="J463" s="108">
        <v>44464</v>
      </c>
      <c r="K463" s="159">
        <v>44540</v>
      </c>
      <c r="L463" s="100">
        <v>44557</v>
      </c>
      <c r="M463" s="165" t="s">
        <v>1714</v>
      </c>
      <c r="N463" s="198" t="s">
        <v>1715</v>
      </c>
      <c r="O463" s="104" t="s">
        <v>680</v>
      </c>
      <c r="P463" s="102">
        <v>31584.5</v>
      </c>
      <c r="Q463" s="102">
        <v>9014.85</v>
      </c>
      <c r="R463" s="241"/>
      <c r="S463" s="242"/>
      <c r="T463" s="102">
        <v>22570.4</v>
      </c>
      <c r="U463" s="100"/>
      <c r="V463" s="130"/>
      <c r="W463" s="170"/>
    </row>
    <row r="464" s="39" customFormat="1" ht="22" hidden="1" customHeight="1" spans="1:23">
      <c r="A464" s="144" t="s">
        <v>1716</v>
      </c>
      <c r="B464" s="174" t="s">
        <v>30</v>
      </c>
      <c r="C464" s="175"/>
      <c r="D464" s="229" t="s">
        <v>31</v>
      </c>
      <c r="E464" s="82" t="s">
        <v>1717</v>
      </c>
      <c r="F464" s="81">
        <f>IFERROR(VLOOKUP(E464,客户!B:C,2,FALSE),"/")</f>
        <v>0</v>
      </c>
      <c r="G464" s="80" t="s">
        <v>1718</v>
      </c>
      <c r="H464" s="45" t="s">
        <v>123</v>
      </c>
      <c r="I464" s="45" t="s">
        <v>1123</v>
      </c>
      <c r="J464" s="108">
        <v>44466</v>
      </c>
      <c r="K464" s="159">
        <v>44528</v>
      </c>
      <c r="L464" s="100">
        <v>44544</v>
      </c>
      <c r="M464" s="165" t="s">
        <v>1719</v>
      </c>
      <c r="N464" s="198" t="s">
        <v>1720</v>
      </c>
      <c r="O464" s="104" t="s">
        <v>523</v>
      </c>
      <c r="P464" s="102">
        <v>35094.94</v>
      </c>
      <c r="Q464" s="102">
        <v>6400</v>
      </c>
      <c r="R464" s="241"/>
      <c r="S464" s="242"/>
      <c r="T464" s="102">
        <f>5371+23324</f>
        <v>28695</v>
      </c>
      <c r="U464" s="100"/>
      <c r="V464" s="130"/>
      <c r="W464" s="170"/>
    </row>
    <row r="465" s="39" customFormat="1" ht="22" hidden="1" customHeight="1" spans="1:23">
      <c r="A465" s="144" t="s">
        <v>1721</v>
      </c>
      <c r="B465" s="174" t="s">
        <v>30</v>
      </c>
      <c r="C465" s="175"/>
      <c r="D465" s="229" t="s">
        <v>31</v>
      </c>
      <c r="E465" s="82" t="s">
        <v>1717</v>
      </c>
      <c r="F465" s="81">
        <f>IFERROR(VLOOKUP(E465,客户!B:C,2,FALSE),"/")</f>
        <v>0</v>
      </c>
      <c r="G465" s="80" t="s">
        <v>1718</v>
      </c>
      <c r="H465" s="45" t="s">
        <v>123</v>
      </c>
      <c r="I465" s="45" t="s">
        <v>1123</v>
      </c>
      <c r="J465" s="108">
        <v>44466</v>
      </c>
      <c r="K465" s="159">
        <v>44547</v>
      </c>
      <c r="L465" s="100">
        <v>44568</v>
      </c>
      <c r="M465" s="165" t="s">
        <v>1722</v>
      </c>
      <c r="N465" s="198" t="s">
        <v>1723</v>
      </c>
      <c r="O465" s="104" t="s">
        <v>523</v>
      </c>
      <c r="P465" s="102">
        <v>34554.94</v>
      </c>
      <c r="Q465" s="102">
        <v>6400</v>
      </c>
      <c r="R465" s="241"/>
      <c r="S465" s="242"/>
      <c r="T465" s="102">
        <v>24100</v>
      </c>
      <c r="U465" s="102">
        <v>4054.94</v>
      </c>
      <c r="V465" s="219" t="s">
        <v>1724</v>
      </c>
      <c r="W465" s="170"/>
    </row>
    <row r="466" s="39" customFormat="1" ht="22" hidden="1" customHeight="1" spans="1:23">
      <c r="A466" s="144" t="s">
        <v>1725</v>
      </c>
      <c r="B466" s="174" t="s">
        <v>30</v>
      </c>
      <c r="C466" s="175"/>
      <c r="D466" s="229" t="s">
        <v>31</v>
      </c>
      <c r="E466" s="82" t="s">
        <v>1389</v>
      </c>
      <c r="F466" s="81">
        <f>IFERROR(VLOOKUP(E466,客户!B:C,2,FALSE),"/")</f>
        <v>0</v>
      </c>
      <c r="G466" s="80" t="s">
        <v>1599</v>
      </c>
      <c r="H466" s="45" t="s">
        <v>1600</v>
      </c>
      <c r="I466" s="45" t="s">
        <v>1078</v>
      </c>
      <c r="J466" s="108">
        <v>44469</v>
      </c>
      <c r="K466" s="159">
        <v>44544</v>
      </c>
      <c r="L466" s="100">
        <v>44565</v>
      </c>
      <c r="M466" s="165" t="s">
        <v>1726</v>
      </c>
      <c r="N466" s="198" t="s">
        <v>1727</v>
      </c>
      <c r="O466" s="104" t="s">
        <v>523</v>
      </c>
      <c r="P466" s="102">
        <v>32758.81</v>
      </c>
      <c r="Q466" s="102">
        <v>9380.21</v>
      </c>
      <c r="R466" s="241"/>
      <c r="S466" s="242"/>
      <c r="T466" s="102">
        <v>23378.6</v>
      </c>
      <c r="U466" s="100"/>
      <c r="V466" s="130"/>
      <c r="W466" s="170"/>
    </row>
    <row r="467" s="39" customFormat="1" ht="22" hidden="1" customHeight="1" spans="1:23">
      <c r="A467" s="144" t="s">
        <v>1728</v>
      </c>
      <c r="B467" s="174" t="s">
        <v>30</v>
      </c>
      <c r="C467" s="175"/>
      <c r="D467" s="229" t="s">
        <v>31</v>
      </c>
      <c r="E467" s="82" t="s">
        <v>1257</v>
      </c>
      <c r="F467" s="81">
        <f>IFERROR(VLOOKUP(E467,客户!B:C,2,FALSE),"/")</f>
        <v>0</v>
      </c>
      <c r="G467" s="80" t="s">
        <v>985</v>
      </c>
      <c r="H467" s="45" t="s">
        <v>123</v>
      </c>
      <c r="I467" s="45" t="s">
        <v>751</v>
      </c>
      <c r="J467" s="108">
        <v>44475</v>
      </c>
      <c r="K467" s="159">
        <v>44547</v>
      </c>
      <c r="L467" s="100">
        <v>44585</v>
      </c>
      <c r="M467" s="165" t="s">
        <v>1729</v>
      </c>
      <c r="N467" s="198" t="s">
        <v>1730</v>
      </c>
      <c r="O467" s="104" t="s">
        <v>523</v>
      </c>
      <c r="P467" s="102">
        <v>34963.49</v>
      </c>
      <c r="Q467" s="203">
        <v>6022</v>
      </c>
      <c r="R467" s="241"/>
      <c r="S467" s="242"/>
      <c r="T467" s="102">
        <v>28941.49</v>
      </c>
      <c r="U467" s="100"/>
      <c r="V467" s="130"/>
      <c r="W467" s="170"/>
    </row>
    <row r="468" s="39" customFormat="1" ht="22" hidden="1" customHeight="1" spans="1:23">
      <c r="A468" s="144" t="s">
        <v>1731</v>
      </c>
      <c r="B468" s="174" t="s">
        <v>30</v>
      </c>
      <c r="C468" s="175"/>
      <c r="D468" s="229" t="s">
        <v>31</v>
      </c>
      <c r="E468" s="82" t="s">
        <v>1121</v>
      </c>
      <c r="F468" s="81"/>
      <c r="G468" s="80" t="s">
        <v>1732</v>
      </c>
      <c r="H468" s="45" t="s">
        <v>123</v>
      </c>
      <c r="I468" s="45" t="s">
        <v>215</v>
      </c>
      <c r="J468" s="108">
        <v>44477</v>
      </c>
      <c r="K468" s="159">
        <v>44535</v>
      </c>
      <c r="L468" s="100">
        <v>44550</v>
      </c>
      <c r="M468" s="165" t="s">
        <v>1733</v>
      </c>
      <c r="N468" s="198" t="s">
        <v>1734</v>
      </c>
      <c r="O468" s="104" t="s">
        <v>523</v>
      </c>
      <c r="P468" s="102">
        <v>63389.82</v>
      </c>
      <c r="R468" s="241"/>
      <c r="S468" s="242"/>
      <c r="T468" s="102">
        <v>63389.82</v>
      </c>
      <c r="U468" s="100"/>
      <c r="V468" s="130"/>
      <c r="W468" s="170"/>
    </row>
    <row r="469" s="39" customFormat="1" ht="22" hidden="1" customHeight="1" spans="1:23">
      <c r="A469" s="144" t="s">
        <v>1735</v>
      </c>
      <c r="B469" s="174" t="s">
        <v>30</v>
      </c>
      <c r="C469" s="175"/>
      <c r="D469" s="229" t="s">
        <v>31</v>
      </c>
      <c r="E469" s="82" t="s">
        <v>1121</v>
      </c>
      <c r="F469" s="81"/>
      <c r="G469" s="80" t="s">
        <v>1732</v>
      </c>
      <c r="H469" s="45" t="s">
        <v>123</v>
      </c>
      <c r="I469" s="45" t="s">
        <v>215</v>
      </c>
      <c r="J469" s="108">
        <v>44477</v>
      </c>
      <c r="K469" s="159">
        <v>44555</v>
      </c>
      <c r="L469" s="100">
        <v>44571</v>
      </c>
      <c r="M469" s="165" t="s">
        <v>1736</v>
      </c>
      <c r="N469" s="198" t="s">
        <v>1737</v>
      </c>
      <c r="O469" s="104" t="s">
        <v>523</v>
      </c>
      <c r="P469" s="102">
        <v>72093.59</v>
      </c>
      <c r="Q469" s="102">
        <v>10000</v>
      </c>
      <c r="R469" s="241"/>
      <c r="S469" s="242"/>
      <c r="T469" s="102">
        <v>62093.59</v>
      </c>
      <c r="U469" s="100"/>
      <c r="V469" s="130"/>
      <c r="W469" s="170"/>
    </row>
    <row r="470" s="39" customFormat="1" ht="22" hidden="1" customHeight="1" spans="1:23">
      <c r="A470" s="144" t="s">
        <v>1738</v>
      </c>
      <c r="B470" s="174" t="s">
        <v>30</v>
      </c>
      <c r="C470" s="175"/>
      <c r="D470" s="229" t="s">
        <v>31</v>
      </c>
      <c r="E470" s="82" t="s">
        <v>1578</v>
      </c>
      <c r="F470" s="81"/>
      <c r="G470" s="80" t="s">
        <v>1739</v>
      </c>
      <c r="H470" s="229" t="s">
        <v>970</v>
      </c>
      <c r="I470" s="45"/>
      <c r="J470" s="108">
        <v>44478</v>
      </c>
      <c r="K470" s="159"/>
      <c r="L470" s="100"/>
      <c r="M470" s="165" t="s">
        <v>1740</v>
      </c>
      <c r="N470" s="108"/>
      <c r="O470" s="104" t="s">
        <v>970</v>
      </c>
      <c r="P470" s="240">
        <v>139600</v>
      </c>
      <c r="Q470" s="240">
        <v>20000</v>
      </c>
      <c r="R470" s="241"/>
      <c r="S470" s="242"/>
      <c r="T470" s="102">
        <f>120600-1000</f>
        <v>119600</v>
      </c>
      <c r="U470" s="100"/>
      <c r="V470" s="130"/>
      <c r="W470" s="170"/>
    </row>
    <row r="471" s="39" customFormat="1" ht="22" hidden="1" customHeight="1" spans="1:23">
      <c r="A471" s="144" t="s">
        <v>1741</v>
      </c>
      <c r="B471" s="174" t="s">
        <v>30</v>
      </c>
      <c r="C471" s="175"/>
      <c r="D471" s="229" t="s">
        <v>31</v>
      </c>
      <c r="E471" s="82" t="s">
        <v>1117</v>
      </c>
      <c r="F471" s="81">
        <f>IFERROR(VLOOKUP(E471,客户!B:C,2,FALSE),"/")</f>
        <v>0</v>
      </c>
      <c r="G471" s="80" t="s">
        <v>1742</v>
      </c>
      <c r="H471" s="229" t="s">
        <v>970</v>
      </c>
      <c r="I471" s="45" t="s">
        <v>1533</v>
      </c>
      <c r="J471" s="108">
        <v>44481</v>
      </c>
      <c r="K471" s="159">
        <v>44510</v>
      </c>
      <c r="L471" s="100"/>
      <c r="M471" s="165" t="s">
        <v>1743</v>
      </c>
      <c r="N471" s="108"/>
      <c r="O471" s="104" t="s">
        <v>970</v>
      </c>
      <c r="P471" s="102">
        <v>12780.91</v>
      </c>
      <c r="Q471" s="203">
        <v>2800</v>
      </c>
      <c r="R471" s="241"/>
      <c r="S471" s="242"/>
      <c r="T471" s="102">
        <v>4134.91</v>
      </c>
      <c r="U471" s="100"/>
      <c r="V471" s="130"/>
      <c r="W471" s="170"/>
    </row>
    <row r="472" s="39" customFormat="1" ht="22" hidden="1" customHeight="1" spans="1:23">
      <c r="A472" s="144" t="s">
        <v>1744</v>
      </c>
      <c r="B472" s="174" t="s">
        <v>30</v>
      </c>
      <c r="C472" s="175"/>
      <c r="D472" s="229" t="s">
        <v>31</v>
      </c>
      <c r="E472" s="82" t="s">
        <v>1121</v>
      </c>
      <c r="F472" s="81">
        <f>IFERROR(VLOOKUP(E472,客户!B:C,2,FALSE),"/")</f>
        <v>0</v>
      </c>
      <c r="G472" s="80" t="s">
        <v>1732</v>
      </c>
      <c r="H472" s="45" t="s">
        <v>123</v>
      </c>
      <c r="I472" s="45" t="s">
        <v>215</v>
      </c>
      <c r="J472" s="108">
        <v>44496</v>
      </c>
      <c r="K472" s="108">
        <v>44560</v>
      </c>
      <c r="L472" s="100">
        <v>44578</v>
      </c>
      <c r="M472" s="165" t="s">
        <v>1745</v>
      </c>
      <c r="N472" s="198" t="s">
        <v>1746</v>
      </c>
      <c r="O472" s="104" t="s">
        <v>523</v>
      </c>
      <c r="P472" s="102">
        <v>63762.4</v>
      </c>
      <c r="R472" s="241"/>
      <c r="S472" s="242"/>
      <c r="T472" s="102">
        <v>63762.4</v>
      </c>
      <c r="U472" s="100"/>
      <c r="V472" s="130"/>
      <c r="W472" s="170"/>
    </row>
    <row r="473" s="39" customFormat="1" ht="22" hidden="1" customHeight="1" spans="1:23">
      <c r="A473" s="144" t="s">
        <v>1747</v>
      </c>
      <c r="B473" s="174" t="s">
        <v>30</v>
      </c>
      <c r="C473" s="175"/>
      <c r="D473" s="229" t="s">
        <v>31</v>
      </c>
      <c r="E473" s="82" t="s">
        <v>1121</v>
      </c>
      <c r="F473" s="81"/>
      <c r="G473" s="80" t="s">
        <v>1732</v>
      </c>
      <c r="H473" s="45" t="s">
        <v>123</v>
      </c>
      <c r="I473" s="45" t="s">
        <v>215</v>
      </c>
      <c r="J473" s="108">
        <v>44496</v>
      </c>
      <c r="K473" s="159">
        <v>44567</v>
      </c>
      <c r="L473" s="100">
        <v>44585</v>
      </c>
      <c r="M473" s="165" t="s">
        <v>1748</v>
      </c>
      <c r="N473" s="198" t="s">
        <v>1749</v>
      </c>
      <c r="O473" s="104" t="s">
        <v>523</v>
      </c>
      <c r="P473" s="102">
        <v>66273.5</v>
      </c>
      <c r="Q473" s="203">
        <v>10000</v>
      </c>
      <c r="R473" s="241"/>
      <c r="S473" s="242"/>
      <c r="T473" s="102">
        <v>56273.5</v>
      </c>
      <c r="U473" s="100"/>
      <c r="V473" s="130"/>
      <c r="W473" s="170"/>
    </row>
    <row r="474" s="39" customFormat="1" ht="22" hidden="1" customHeight="1" spans="1:23">
      <c r="A474" s="144" t="s">
        <v>1750</v>
      </c>
      <c r="B474" s="174" t="s">
        <v>30</v>
      </c>
      <c r="C474" s="175"/>
      <c r="D474" s="229" t="s">
        <v>31</v>
      </c>
      <c r="E474" s="82" t="s">
        <v>1117</v>
      </c>
      <c r="F474" s="81">
        <f>IFERROR(VLOOKUP(E474,客户!B:C,2,FALSE),"/")</f>
        <v>0</v>
      </c>
      <c r="G474" s="80" t="s">
        <v>1751</v>
      </c>
      <c r="H474" s="45" t="s">
        <v>186</v>
      </c>
      <c r="I474" s="45"/>
      <c r="J474" s="108">
        <v>44499</v>
      </c>
      <c r="K474" s="159">
        <v>44510</v>
      </c>
      <c r="L474" s="100"/>
      <c r="M474" s="165" t="s">
        <v>1752</v>
      </c>
      <c r="N474" s="108"/>
      <c r="O474" s="104" t="s">
        <v>970</v>
      </c>
      <c r="P474" s="240">
        <v>17400</v>
      </c>
      <c r="Q474" s="240">
        <v>6000</v>
      </c>
      <c r="R474" s="241"/>
      <c r="S474" s="242"/>
      <c r="T474" s="240">
        <v>11400</v>
      </c>
      <c r="U474" s="100"/>
      <c r="V474" s="130"/>
      <c r="W474" s="170"/>
    </row>
    <row r="475" s="39" customFormat="1" ht="22" hidden="1" customHeight="1" spans="1:23">
      <c r="A475" s="144" t="s">
        <v>1753</v>
      </c>
      <c r="B475" s="174" t="s">
        <v>30</v>
      </c>
      <c r="C475" s="175"/>
      <c r="D475" s="229" t="s">
        <v>31</v>
      </c>
      <c r="E475" s="82" t="s">
        <v>1754</v>
      </c>
      <c r="F475" s="81">
        <f>IFERROR(VLOOKUP(E475,客户!B:C,2,FALSE),"/")</f>
        <v>0</v>
      </c>
      <c r="G475" s="80" t="s">
        <v>1755</v>
      </c>
      <c r="H475" s="45" t="s">
        <v>123</v>
      </c>
      <c r="I475" s="45"/>
      <c r="J475" s="108">
        <v>44501</v>
      </c>
      <c r="K475" s="159">
        <v>44525</v>
      </c>
      <c r="L475" s="100"/>
      <c r="M475" s="165" t="s">
        <v>1756</v>
      </c>
      <c r="N475" s="108"/>
      <c r="O475" s="104" t="s">
        <v>970</v>
      </c>
      <c r="P475" s="102">
        <v>6649.35</v>
      </c>
      <c r="Q475" s="203"/>
      <c r="R475" s="241"/>
      <c r="S475" s="242"/>
      <c r="T475" s="102">
        <v>6649.35</v>
      </c>
      <c r="U475" s="100"/>
      <c r="V475" s="130"/>
      <c r="W475" s="170"/>
    </row>
    <row r="476" s="39" customFormat="1" ht="22" hidden="1" customHeight="1" spans="1:23">
      <c r="A476" s="144" t="s">
        <v>1757</v>
      </c>
      <c r="B476" s="174" t="s">
        <v>30</v>
      </c>
      <c r="C476" s="175"/>
      <c r="D476" s="229" t="s">
        <v>31</v>
      </c>
      <c r="E476" s="82" t="s">
        <v>1758</v>
      </c>
      <c r="F476" s="81">
        <f>IFERROR(VLOOKUP(E476,客户!B:C,2,FALSE),"/")</f>
        <v>0</v>
      </c>
      <c r="G476" s="80" t="s">
        <v>1759</v>
      </c>
      <c r="H476" s="45" t="s">
        <v>147</v>
      </c>
      <c r="I476" s="45" t="s">
        <v>215</v>
      </c>
      <c r="J476" s="108">
        <v>44504</v>
      </c>
      <c r="K476" s="159">
        <v>44579</v>
      </c>
      <c r="L476" s="100">
        <v>44592</v>
      </c>
      <c r="M476" s="165" t="s">
        <v>1760</v>
      </c>
      <c r="N476" s="198" t="s">
        <v>1761</v>
      </c>
      <c r="O476" s="104" t="s">
        <v>523</v>
      </c>
      <c r="P476" s="102">
        <v>34771.48</v>
      </c>
      <c r="Q476" s="203">
        <v>19119.07</v>
      </c>
      <c r="R476" s="241"/>
      <c r="S476" s="242"/>
      <c r="T476" s="102">
        <v>15652.41</v>
      </c>
      <c r="U476" s="100"/>
      <c r="V476" s="130"/>
      <c r="W476" s="170"/>
    </row>
    <row r="477" s="39" customFormat="1" ht="22" hidden="1" customHeight="1" spans="1:23">
      <c r="A477" s="144" t="s">
        <v>1762</v>
      </c>
      <c r="B477" s="174" t="s">
        <v>30</v>
      </c>
      <c r="C477" s="175"/>
      <c r="D477" s="229" t="s">
        <v>31</v>
      </c>
      <c r="E477" s="82" t="s">
        <v>1508</v>
      </c>
      <c r="F477" s="81">
        <f>IFERROR(VLOOKUP(E477,客户!B:C,2,FALSE),"/")</f>
        <v>0</v>
      </c>
      <c r="G477" s="80" t="s">
        <v>390</v>
      </c>
      <c r="H477" s="45" t="s">
        <v>123</v>
      </c>
      <c r="I477" s="45" t="s">
        <v>1763</v>
      </c>
      <c r="J477" s="108">
        <v>44509</v>
      </c>
      <c r="K477" s="159">
        <v>44552</v>
      </c>
      <c r="L477" s="100">
        <v>44602</v>
      </c>
      <c r="M477" s="165" t="s">
        <v>1764</v>
      </c>
      <c r="N477" s="198" t="s">
        <v>1765</v>
      </c>
      <c r="O477" s="104" t="s">
        <v>523</v>
      </c>
      <c r="P477" s="102">
        <v>31781.67</v>
      </c>
      <c r="Q477" s="203">
        <v>8000</v>
      </c>
      <c r="R477" s="241"/>
      <c r="S477" s="242"/>
      <c r="T477" s="102">
        <v>23781.67</v>
      </c>
      <c r="U477" s="100"/>
      <c r="V477" s="130"/>
      <c r="W477" s="170"/>
    </row>
    <row r="478" s="39" customFormat="1" ht="22" hidden="1" customHeight="1" spans="1:23">
      <c r="A478" s="144" t="s">
        <v>1766</v>
      </c>
      <c r="B478" s="174" t="s">
        <v>30</v>
      </c>
      <c r="C478" s="175"/>
      <c r="D478" s="229" t="s">
        <v>31</v>
      </c>
      <c r="E478" s="82" t="s">
        <v>1083</v>
      </c>
      <c r="F478" s="81">
        <f>IFERROR(VLOOKUP(E478,客户!B:C,2,FALSE),"/")</f>
        <v>0</v>
      </c>
      <c r="G478" s="80" t="s">
        <v>1767</v>
      </c>
      <c r="H478" s="45" t="s">
        <v>123</v>
      </c>
      <c r="I478" s="45" t="s">
        <v>1523</v>
      </c>
      <c r="J478" s="108">
        <v>44509</v>
      </c>
      <c r="K478" s="159">
        <v>44555</v>
      </c>
      <c r="L478" s="100">
        <v>44572</v>
      </c>
      <c r="M478" s="165" t="s">
        <v>1768</v>
      </c>
      <c r="N478" s="198" t="s">
        <v>1769</v>
      </c>
      <c r="O478" s="104" t="s">
        <v>523</v>
      </c>
      <c r="P478" s="102">
        <v>29324</v>
      </c>
      <c r="Q478" s="203"/>
      <c r="R478" s="241"/>
      <c r="S478" s="242"/>
      <c r="T478" s="102">
        <v>29324</v>
      </c>
      <c r="U478" s="100"/>
      <c r="V478" s="130"/>
      <c r="W478" s="170"/>
    </row>
    <row r="479" s="39" customFormat="1" ht="22" hidden="1" customHeight="1" spans="1:23">
      <c r="A479" s="144" t="s">
        <v>1770</v>
      </c>
      <c r="B479" s="174" t="s">
        <v>30</v>
      </c>
      <c r="C479" s="175"/>
      <c r="D479" s="229" t="s">
        <v>31</v>
      </c>
      <c r="E479" s="82" t="s">
        <v>1345</v>
      </c>
      <c r="F479" s="81" t="str">
        <f>IFERROR(VLOOKUP(E479,客户!B:C,2,FALSE),"/")</f>
        <v>J4159还差USD265.65没付齐 J4220还有定金5674.3 账上剩5408.65</v>
      </c>
      <c r="G479" s="80" t="s">
        <v>1771</v>
      </c>
      <c r="H479" s="45" t="s">
        <v>123</v>
      </c>
      <c r="I479" s="45" t="s">
        <v>1346</v>
      </c>
      <c r="J479" s="108">
        <v>44510</v>
      </c>
      <c r="K479" s="159">
        <v>44555</v>
      </c>
      <c r="L479" s="100">
        <v>44590</v>
      </c>
      <c r="M479" s="165" t="s">
        <v>1772</v>
      </c>
      <c r="N479" s="198" t="s">
        <v>1773</v>
      </c>
      <c r="O479" s="104" t="s">
        <v>523</v>
      </c>
      <c r="P479" s="102">
        <v>29057.95</v>
      </c>
      <c r="Q479" s="203">
        <v>5758.46</v>
      </c>
      <c r="R479" s="241"/>
      <c r="S479" s="242"/>
      <c r="T479" s="102">
        <v>23033.84</v>
      </c>
      <c r="U479" s="100"/>
      <c r="V479" s="130"/>
      <c r="W479" s="170"/>
    </row>
    <row r="480" s="39" customFormat="1" ht="22" hidden="1" customHeight="1" spans="1:23">
      <c r="A480" s="144" t="s">
        <v>1774</v>
      </c>
      <c r="B480" s="174" t="s">
        <v>30</v>
      </c>
      <c r="C480" s="175"/>
      <c r="D480" s="229" t="s">
        <v>31</v>
      </c>
      <c r="E480" s="82" t="s">
        <v>1167</v>
      </c>
      <c r="F480" s="81">
        <f>IFERROR(VLOOKUP(E480,客户!B:C,2,FALSE),"/")</f>
        <v>0</v>
      </c>
      <c r="G480" s="80" t="s">
        <v>1369</v>
      </c>
      <c r="H480" s="45" t="s">
        <v>123</v>
      </c>
      <c r="I480" s="45" t="s">
        <v>1370</v>
      </c>
      <c r="J480" s="108">
        <v>44516</v>
      </c>
      <c r="K480" s="159">
        <v>44588</v>
      </c>
      <c r="L480" s="100">
        <v>44628</v>
      </c>
      <c r="M480" s="165" t="s">
        <v>1775</v>
      </c>
      <c r="N480" s="198" t="s">
        <v>1776</v>
      </c>
      <c r="O480" s="104" t="s">
        <v>523</v>
      </c>
      <c r="P480" s="102">
        <v>33782.44</v>
      </c>
      <c r="Q480" s="203">
        <v>9400</v>
      </c>
      <c r="R480" s="241"/>
      <c r="S480" s="242"/>
      <c r="T480" s="102">
        <v>24382.44</v>
      </c>
      <c r="U480" s="100"/>
      <c r="V480" s="130"/>
      <c r="W480" s="170"/>
    </row>
    <row r="481" s="39" customFormat="1" ht="22" hidden="1" customHeight="1" spans="1:23">
      <c r="A481" s="144" t="s">
        <v>1777</v>
      </c>
      <c r="B481" s="174" t="s">
        <v>30</v>
      </c>
      <c r="C481" s="175"/>
      <c r="D481" s="229" t="s">
        <v>31</v>
      </c>
      <c r="E481" s="82" t="s">
        <v>1238</v>
      </c>
      <c r="F481" s="81">
        <f>IFERROR(VLOOKUP(E481,客户!B:C,2,FALSE),"/")</f>
        <v>0</v>
      </c>
      <c r="G481" s="80" t="s">
        <v>985</v>
      </c>
      <c r="H481" s="45" t="s">
        <v>123</v>
      </c>
      <c r="I481" s="45" t="s">
        <v>1662</v>
      </c>
      <c r="J481" s="108">
        <v>44516</v>
      </c>
      <c r="K481" s="159">
        <v>44565</v>
      </c>
      <c r="L481" s="100">
        <v>44607</v>
      </c>
      <c r="M481" s="165" t="s">
        <v>1778</v>
      </c>
      <c r="N481" s="198" t="s">
        <v>1779</v>
      </c>
      <c r="O481" s="104" t="s">
        <v>523</v>
      </c>
      <c r="P481" s="102">
        <v>31146.62</v>
      </c>
      <c r="Q481" s="203"/>
      <c r="R481" s="241"/>
      <c r="S481" s="242"/>
      <c r="T481" s="102">
        <v>20735</v>
      </c>
      <c r="U481" s="102">
        <v>10411.62</v>
      </c>
      <c r="V481" s="130"/>
      <c r="W481" s="170"/>
    </row>
    <row r="482" s="39" customFormat="1" ht="22" hidden="1" customHeight="1" spans="1:23">
      <c r="A482" s="144" t="s">
        <v>1780</v>
      </c>
      <c r="B482" s="174" t="s">
        <v>30</v>
      </c>
      <c r="C482" s="175"/>
      <c r="D482" s="229" t="s">
        <v>31</v>
      </c>
      <c r="E482" s="82" t="s">
        <v>1326</v>
      </c>
      <c r="F482" s="81">
        <f>IFERROR(VLOOKUP(E482,客户!B:C,2,FALSE),"/")</f>
        <v>0</v>
      </c>
      <c r="G482" s="80" t="s">
        <v>985</v>
      </c>
      <c r="H482" s="45" t="s">
        <v>123</v>
      </c>
      <c r="I482" s="45" t="s">
        <v>755</v>
      </c>
      <c r="J482" s="108">
        <v>44518</v>
      </c>
      <c r="K482" s="159">
        <v>44569</v>
      </c>
      <c r="L482" s="100">
        <v>44629</v>
      </c>
      <c r="M482" s="165" t="s">
        <v>1781</v>
      </c>
      <c r="N482" s="198" t="s">
        <v>1782</v>
      </c>
      <c r="O482" s="104" t="s">
        <v>523</v>
      </c>
      <c r="P482" s="102">
        <v>27015.75</v>
      </c>
      <c r="Q482" s="203">
        <v>5403.15</v>
      </c>
      <c r="R482" s="241"/>
      <c r="S482" s="242"/>
      <c r="T482" s="102">
        <v>21612.6</v>
      </c>
      <c r="U482" s="100"/>
      <c r="V482" s="130"/>
      <c r="W482" s="170"/>
    </row>
    <row r="483" s="39" customFormat="1" ht="22" hidden="1" customHeight="1" spans="1:23">
      <c r="A483" s="144" t="s">
        <v>1783</v>
      </c>
      <c r="B483" s="174" t="s">
        <v>30</v>
      </c>
      <c r="C483" s="175"/>
      <c r="D483" s="229" t="s">
        <v>31</v>
      </c>
      <c r="E483" s="82" t="s">
        <v>1265</v>
      </c>
      <c r="F483" s="81" t="str">
        <f>IFERROR(VLOOKUP(E483,客户!B:C,2,FALSE),"/")</f>
        <v>外送费用945人民币+装箱费用 加在发票里</v>
      </c>
      <c r="G483" s="80" t="s">
        <v>1482</v>
      </c>
      <c r="H483" s="45" t="s">
        <v>123</v>
      </c>
      <c r="I483" s="45" t="s">
        <v>205</v>
      </c>
      <c r="J483" s="108">
        <v>44532</v>
      </c>
      <c r="K483" s="159">
        <v>44650</v>
      </c>
      <c r="L483" s="100">
        <v>44681</v>
      </c>
      <c r="M483" s="165" t="s">
        <v>1784</v>
      </c>
      <c r="N483" s="198" t="s">
        <v>1785</v>
      </c>
      <c r="O483" s="104" t="s">
        <v>523</v>
      </c>
      <c r="P483" s="102">
        <v>125377.6</v>
      </c>
      <c r="Q483" s="203"/>
      <c r="R483" s="241"/>
      <c r="S483" s="242"/>
      <c r="T483" s="102">
        <v>125377.6</v>
      </c>
      <c r="U483" s="100"/>
      <c r="V483" s="130"/>
      <c r="W483" s="170"/>
    </row>
    <row r="484" s="39" customFormat="1" ht="22" hidden="1" customHeight="1" spans="1:23">
      <c r="A484" s="255" t="s">
        <v>1786</v>
      </c>
      <c r="B484" s="174" t="s">
        <v>30</v>
      </c>
      <c r="C484" s="175"/>
      <c r="D484" s="229" t="s">
        <v>1787</v>
      </c>
      <c r="E484" s="82" t="s">
        <v>1265</v>
      </c>
      <c r="F484" s="81" t="str">
        <f>IFERROR(VLOOKUP(E484,客户!B:C,2,FALSE),"/")</f>
        <v>外送费用945人民币+装箱费用 加在发票里</v>
      </c>
      <c r="G484" s="80" t="s">
        <v>234</v>
      </c>
      <c r="H484" s="45" t="s">
        <v>123</v>
      </c>
      <c r="I484" s="45" t="s">
        <v>205</v>
      </c>
      <c r="J484" s="108">
        <v>44532</v>
      </c>
      <c r="K484" s="159"/>
      <c r="L484" s="100"/>
      <c r="M484" s="165" t="s">
        <v>1788</v>
      </c>
      <c r="N484" s="108"/>
      <c r="O484" s="104" t="s">
        <v>523</v>
      </c>
      <c r="P484" s="139">
        <v>137044</v>
      </c>
      <c r="Q484" s="203"/>
      <c r="R484" s="241"/>
      <c r="S484" s="242"/>
      <c r="T484" s="102"/>
      <c r="U484" s="100"/>
      <c r="V484" s="130"/>
      <c r="W484" s="170"/>
    </row>
    <row r="485" s="39" customFormat="1" ht="22" hidden="1" customHeight="1" spans="1:23">
      <c r="A485" s="255" t="s">
        <v>1789</v>
      </c>
      <c r="B485" s="174" t="s">
        <v>30</v>
      </c>
      <c r="C485" s="175"/>
      <c r="D485" s="229" t="s">
        <v>3</v>
      </c>
      <c r="E485" s="82" t="s">
        <v>1265</v>
      </c>
      <c r="F485" s="81" t="str">
        <f>IFERROR(VLOOKUP(E485,客户!B:C,2,FALSE),"/")</f>
        <v>外送费用945人民币+装箱费用 加在发票里</v>
      </c>
      <c r="G485" s="80" t="s">
        <v>73</v>
      </c>
      <c r="H485" s="45" t="s">
        <v>123</v>
      </c>
      <c r="I485" s="45" t="s">
        <v>205</v>
      </c>
      <c r="J485" s="108">
        <v>44532</v>
      </c>
      <c r="K485" s="159"/>
      <c r="L485" s="100"/>
      <c r="M485" s="165" t="s">
        <v>1788</v>
      </c>
      <c r="N485" s="108"/>
      <c r="O485" s="104"/>
      <c r="P485" s="139"/>
      <c r="Q485" s="203"/>
      <c r="R485" s="241"/>
      <c r="S485" s="242"/>
      <c r="T485" s="102"/>
      <c r="U485" s="100"/>
      <c r="V485" s="130"/>
      <c r="W485" s="170"/>
    </row>
    <row r="486" s="39" customFormat="1" ht="22" hidden="1" customHeight="1" spans="1:23">
      <c r="A486" s="144" t="s">
        <v>1790</v>
      </c>
      <c r="B486" s="174" t="s">
        <v>30</v>
      </c>
      <c r="C486" s="175"/>
      <c r="D486" s="229" t="s">
        <v>31</v>
      </c>
      <c r="E486" s="82" t="s">
        <v>1791</v>
      </c>
      <c r="F486" s="81">
        <f>IFERROR(VLOOKUP(E486,客户!B:C,2,FALSE),"/")</f>
        <v>0</v>
      </c>
      <c r="G486" s="82" t="s">
        <v>1792</v>
      </c>
      <c r="H486" s="45" t="s">
        <v>186</v>
      </c>
      <c r="I486" s="45"/>
      <c r="J486" s="108">
        <v>44537</v>
      </c>
      <c r="K486" s="159">
        <v>44537</v>
      </c>
      <c r="L486" s="100"/>
      <c r="M486" s="165" t="s">
        <v>1793</v>
      </c>
      <c r="N486" s="108"/>
      <c r="O486" s="104" t="s">
        <v>970</v>
      </c>
      <c r="P486" s="240">
        <v>229.6</v>
      </c>
      <c r="Q486" s="203"/>
      <c r="R486" s="241"/>
      <c r="S486" s="242"/>
      <c r="T486" s="240">
        <v>229.6</v>
      </c>
      <c r="U486" s="100"/>
      <c r="V486" s="130"/>
      <c r="W486" s="170"/>
    </row>
    <row r="487" s="39" customFormat="1" ht="22" hidden="1" customHeight="1" spans="1:23">
      <c r="A487" s="144" t="s">
        <v>1794</v>
      </c>
      <c r="B487" s="174" t="s">
        <v>30</v>
      </c>
      <c r="C487" s="175"/>
      <c r="D487" s="229" t="s">
        <v>31</v>
      </c>
      <c r="E487" s="82" t="s">
        <v>1117</v>
      </c>
      <c r="F487" s="81">
        <f>IFERROR(VLOOKUP(E487,客户!B:C,2,FALSE),"/")</f>
        <v>0</v>
      </c>
      <c r="G487" s="82" t="s">
        <v>1795</v>
      </c>
      <c r="H487" s="45" t="s">
        <v>186</v>
      </c>
      <c r="I487" s="45"/>
      <c r="J487" s="108">
        <v>44537</v>
      </c>
      <c r="K487" s="159">
        <v>44550</v>
      </c>
      <c r="L487" s="100"/>
      <c r="M487" s="165" t="s">
        <v>1796</v>
      </c>
      <c r="N487" s="108"/>
      <c r="O487" s="104" t="s">
        <v>970</v>
      </c>
      <c r="P487" s="240">
        <v>14700</v>
      </c>
      <c r="Q487" s="240">
        <v>5000</v>
      </c>
      <c r="R487" s="241"/>
      <c r="S487" s="242"/>
      <c r="T487" s="240">
        <v>9700</v>
      </c>
      <c r="U487" s="100"/>
      <c r="V487" s="130"/>
      <c r="W487" s="170"/>
    </row>
    <row r="488" s="39" customFormat="1" ht="22" hidden="1" customHeight="1" spans="1:23">
      <c r="A488" s="144" t="s">
        <v>1797</v>
      </c>
      <c r="B488" s="174" t="s">
        <v>30</v>
      </c>
      <c r="C488" s="175"/>
      <c r="D488" s="229" t="s">
        <v>31</v>
      </c>
      <c r="E488" s="82" t="s">
        <v>1249</v>
      </c>
      <c r="F488" s="81"/>
      <c r="G488" s="82" t="s">
        <v>1767</v>
      </c>
      <c r="H488" s="45" t="s">
        <v>123</v>
      </c>
      <c r="I488" s="45" t="s">
        <v>1250</v>
      </c>
      <c r="J488" s="108">
        <v>44539</v>
      </c>
      <c r="K488" s="159">
        <v>44589</v>
      </c>
      <c r="L488" s="100">
        <v>44618</v>
      </c>
      <c r="M488" s="165" t="s">
        <v>1798</v>
      </c>
      <c r="N488" s="198" t="s">
        <v>1799</v>
      </c>
      <c r="O488" s="104" t="s">
        <v>523</v>
      </c>
      <c r="P488" s="102">
        <v>20438.8</v>
      </c>
      <c r="Q488" s="203">
        <v>6329</v>
      </c>
      <c r="R488" s="241"/>
      <c r="S488" s="242"/>
      <c r="T488" s="203">
        <v>14109.8</v>
      </c>
      <c r="U488" s="100"/>
      <c r="V488" s="130"/>
      <c r="W488" s="170"/>
    </row>
    <row r="489" s="39" customFormat="1" ht="22" hidden="1" customHeight="1" spans="1:23">
      <c r="A489" s="144" t="s">
        <v>1800</v>
      </c>
      <c r="B489" s="174" t="s">
        <v>30</v>
      </c>
      <c r="C489" s="175"/>
      <c r="D489" s="229" t="s">
        <v>31</v>
      </c>
      <c r="E489" s="82" t="s">
        <v>1257</v>
      </c>
      <c r="F489" s="81">
        <f>IFERROR(VLOOKUP(E489,客户!B:C,2,FALSE),"/")</f>
        <v>0</v>
      </c>
      <c r="G489" s="82" t="s">
        <v>1767</v>
      </c>
      <c r="H489" s="45" t="s">
        <v>123</v>
      </c>
      <c r="I489" s="45" t="s">
        <v>751</v>
      </c>
      <c r="J489" s="108">
        <v>44540</v>
      </c>
      <c r="K489" s="159">
        <v>44589</v>
      </c>
      <c r="L489" s="100">
        <v>44617</v>
      </c>
      <c r="M489" s="165" t="s">
        <v>1801</v>
      </c>
      <c r="N489" s="198" t="s">
        <v>1802</v>
      </c>
      <c r="O489" s="104" t="s">
        <v>523</v>
      </c>
      <c r="P489" s="102">
        <v>32162.23</v>
      </c>
      <c r="Q489" s="203">
        <v>5396</v>
      </c>
      <c r="R489" s="241"/>
      <c r="S489" s="242"/>
      <c r="T489" s="203">
        <v>26766.23</v>
      </c>
      <c r="U489" s="100"/>
      <c r="V489" s="130"/>
      <c r="W489" s="170"/>
    </row>
    <row r="490" s="39" customFormat="1" ht="22" hidden="1" customHeight="1" spans="1:23">
      <c r="A490" s="144" t="s">
        <v>1803</v>
      </c>
      <c r="B490" s="174" t="s">
        <v>30</v>
      </c>
      <c r="C490" s="175"/>
      <c r="D490" s="229" t="s">
        <v>31</v>
      </c>
      <c r="E490" s="82" t="s">
        <v>1117</v>
      </c>
      <c r="F490" s="81">
        <f>IFERROR(VLOOKUP(E490,客户!B:C,2,FALSE),"/")</f>
        <v>0</v>
      </c>
      <c r="G490" s="82" t="s">
        <v>1804</v>
      </c>
      <c r="H490" s="45" t="s">
        <v>123</v>
      </c>
      <c r="I490" s="45" t="s">
        <v>1533</v>
      </c>
      <c r="J490" s="108">
        <v>44543</v>
      </c>
      <c r="K490" s="159">
        <v>44597</v>
      </c>
      <c r="L490" s="100">
        <v>44630</v>
      </c>
      <c r="M490" s="165" t="s">
        <v>1741</v>
      </c>
      <c r="N490" s="198" t="s">
        <v>1805</v>
      </c>
      <c r="O490" s="104" t="s">
        <v>970</v>
      </c>
      <c r="P490" s="102">
        <v>26008.3</v>
      </c>
      <c r="Q490" s="203">
        <v>10000</v>
      </c>
      <c r="R490" s="241"/>
      <c r="S490" s="242"/>
      <c r="T490" s="203">
        <f>P490-Q490</f>
        <v>16008.3</v>
      </c>
      <c r="U490" s="100"/>
      <c r="V490" s="130"/>
      <c r="W490" s="170"/>
    </row>
    <row r="491" s="39" customFormat="1" ht="22" hidden="1" customHeight="1" spans="1:23">
      <c r="A491" s="144" t="s">
        <v>1806</v>
      </c>
      <c r="B491" s="174" t="s">
        <v>30</v>
      </c>
      <c r="C491" s="175"/>
      <c r="D491" s="229" t="s">
        <v>31</v>
      </c>
      <c r="E491" s="82" t="s">
        <v>1167</v>
      </c>
      <c r="F491" s="81">
        <f>IFERROR(VLOOKUP(E491,客户!B:C,2,FALSE),"/")</f>
        <v>0</v>
      </c>
      <c r="G491" s="80" t="s">
        <v>1369</v>
      </c>
      <c r="H491" s="45" t="s">
        <v>123</v>
      </c>
      <c r="I491" s="45" t="s">
        <v>1370</v>
      </c>
      <c r="J491" s="108">
        <v>44546</v>
      </c>
      <c r="K491" s="159">
        <v>44586</v>
      </c>
      <c r="L491" s="100">
        <v>44640</v>
      </c>
      <c r="M491" s="165" t="s">
        <v>1807</v>
      </c>
      <c r="N491" s="198" t="s">
        <v>1808</v>
      </c>
      <c r="O491" s="104" t="s">
        <v>523</v>
      </c>
      <c r="P491" s="102">
        <v>33980.6</v>
      </c>
      <c r="Q491" s="203">
        <v>10200</v>
      </c>
      <c r="R491" s="241"/>
      <c r="S491" s="242"/>
      <c r="T491" s="203">
        <v>23780.6</v>
      </c>
      <c r="U491" s="100"/>
      <c r="V491" s="130"/>
      <c r="W491" s="170"/>
    </row>
    <row r="492" s="39" customFormat="1" ht="22" hidden="1" customHeight="1" spans="1:23">
      <c r="A492" s="144" t="s">
        <v>1809</v>
      </c>
      <c r="B492" s="174" t="s">
        <v>30</v>
      </c>
      <c r="C492" s="175"/>
      <c r="D492" s="229" t="s">
        <v>31</v>
      </c>
      <c r="E492" s="82" t="s">
        <v>1167</v>
      </c>
      <c r="F492" s="81">
        <f>IFERROR(VLOOKUP(E492,客户!B:C,2,FALSE),"/")</f>
        <v>0</v>
      </c>
      <c r="G492" s="80" t="s">
        <v>1369</v>
      </c>
      <c r="H492" s="45" t="s">
        <v>123</v>
      </c>
      <c r="I492" s="45" t="s">
        <v>1370</v>
      </c>
      <c r="J492" s="108">
        <v>44546</v>
      </c>
      <c r="K492" s="159">
        <v>44586</v>
      </c>
      <c r="L492" s="100">
        <v>44640</v>
      </c>
      <c r="M492" s="165" t="s">
        <v>1810</v>
      </c>
      <c r="N492" s="198" t="s">
        <v>1808</v>
      </c>
      <c r="O492" s="104" t="s">
        <v>523</v>
      </c>
      <c r="P492" s="102">
        <v>33285.9</v>
      </c>
      <c r="Q492" s="203">
        <f>19800-10200</f>
        <v>9600</v>
      </c>
      <c r="R492" s="241"/>
      <c r="S492" s="242"/>
      <c r="T492" s="203">
        <v>23685.9</v>
      </c>
      <c r="U492" s="100"/>
      <c r="V492" s="130"/>
      <c r="W492" s="170"/>
    </row>
    <row r="493" s="39" customFormat="1" ht="22" hidden="1" customHeight="1" spans="1:23">
      <c r="A493" s="144" t="s">
        <v>1811</v>
      </c>
      <c r="B493" s="174" t="s">
        <v>30</v>
      </c>
      <c r="C493" s="175"/>
      <c r="D493" s="229" t="s">
        <v>31</v>
      </c>
      <c r="E493" s="82" t="s">
        <v>1121</v>
      </c>
      <c r="F493" s="81"/>
      <c r="G493" s="80" t="s">
        <v>1812</v>
      </c>
      <c r="H493" s="45" t="s">
        <v>123</v>
      </c>
      <c r="I493" s="45" t="s">
        <v>215</v>
      </c>
      <c r="J493" s="108">
        <v>44551</v>
      </c>
      <c r="K493" s="159">
        <v>44579</v>
      </c>
      <c r="L493" s="100">
        <v>44592</v>
      </c>
      <c r="M493" s="165" t="s">
        <v>1813</v>
      </c>
      <c r="N493" s="198" t="s">
        <v>1814</v>
      </c>
      <c r="O493" s="104" t="s">
        <v>523</v>
      </c>
      <c r="P493" s="102">
        <v>32593.52</v>
      </c>
      <c r="Q493" s="203"/>
      <c r="R493" s="241"/>
      <c r="S493" s="242"/>
      <c r="T493" s="102">
        <v>32593.52</v>
      </c>
      <c r="U493" s="100"/>
      <c r="V493" s="130"/>
      <c r="W493" s="170"/>
    </row>
    <row r="494" s="39" customFormat="1" ht="22" hidden="1" customHeight="1" spans="1:23">
      <c r="A494" s="144" t="s">
        <v>1815</v>
      </c>
      <c r="B494" s="174" t="s">
        <v>30</v>
      </c>
      <c r="C494" s="175"/>
      <c r="D494" s="229" t="s">
        <v>31</v>
      </c>
      <c r="E494" s="82" t="s">
        <v>1117</v>
      </c>
      <c r="F494" s="81">
        <f>IFERROR(VLOOKUP(E494,客户!B:C,2,FALSE),"/")</f>
        <v>0</v>
      </c>
      <c r="G494" s="82" t="s">
        <v>1816</v>
      </c>
      <c r="H494" s="45" t="s">
        <v>123</v>
      </c>
      <c r="I494" s="45" t="s">
        <v>1533</v>
      </c>
      <c r="J494" s="108">
        <v>44553</v>
      </c>
      <c r="K494" s="159">
        <v>44666</v>
      </c>
      <c r="L494" s="100"/>
      <c r="M494" s="165" t="s">
        <v>1817</v>
      </c>
      <c r="N494" s="198" t="s">
        <v>1818</v>
      </c>
      <c r="O494" s="104" t="s">
        <v>970</v>
      </c>
      <c r="P494" s="102">
        <v>24797.25</v>
      </c>
      <c r="Q494" s="203">
        <f>10000+324.8</f>
        <v>10324.8</v>
      </c>
      <c r="R494" s="241"/>
      <c r="S494" s="242"/>
      <c r="T494" s="203">
        <v>14472.45</v>
      </c>
      <c r="U494" s="100"/>
      <c r="V494" s="130"/>
      <c r="W494" s="170"/>
    </row>
    <row r="495" s="39" customFormat="1" ht="22" hidden="1" customHeight="1" spans="1:23">
      <c r="A495" s="144" t="s">
        <v>1819</v>
      </c>
      <c r="B495" s="174" t="s">
        <v>30</v>
      </c>
      <c r="C495" s="175"/>
      <c r="D495" s="229" t="s">
        <v>31</v>
      </c>
      <c r="E495" s="82" t="s">
        <v>1717</v>
      </c>
      <c r="F495" s="81">
        <f>IFERROR(VLOOKUP(E495,客户!B:C,2,FALSE),"/")</f>
        <v>0</v>
      </c>
      <c r="G495" s="80" t="s">
        <v>1812</v>
      </c>
      <c r="H495" s="45" t="s">
        <v>123</v>
      </c>
      <c r="I495" s="45" t="s">
        <v>215</v>
      </c>
      <c r="J495" s="108">
        <v>44557</v>
      </c>
      <c r="K495" s="159">
        <v>44635</v>
      </c>
      <c r="L495" s="100">
        <v>44655</v>
      </c>
      <c r="M495" s="165" t="s">
        <v>1820</v>
      </c>
      <c r="N495" s="198" t="s">
        <v>1821</v>
      </c>
      <c r="O495" s="104" t="s">
        <v>523</v>
      </c>
      <c r="P495" s="102">
        <v>33687.44</v>
      </c>
      <c r="Q495" s="203">
        <f>25780.06/2</f>
        <v>12890.03</v>
      </c>
      <c r="R495" s="241"/>
      <c r="S495" s="242"/>
      <c r="T495" s="102">
        <v>20797.41</v>
      </c>
      <c r="U495" s="100"/>
      <c r="V495" s="130"/>
      <c r="W495" s="170"/>
    </row>
    <row r="496" s="39" customFormat="1" ht="22" hidden="1" customHeight="1" spans="1:23">
      <c r="A496" s="144" t="s">
        <v>1822</v>
      </c>
      <c r="B496" s="174" t="s">
        <v>30</v>
      </c>
      <c r="C496" s="175"/>
      <c r="D496" s="229" t="s">
        <v>31</v>
      </c>
      <c r="E496" s="82" t="s">
        <v>1717</v>
      </c>
      <c r="F496" s="81">
        <f>IFERROR(VLOOKUP(E496,客户!B:C,2,FALSE),"/")</f>
        <v>0</v>
      </c>
      <c r="G496" s="80" t="s">
        <v>1812</v>
      </c>
      <c r="H496" s="45" t="s">
        <v>123</v>
      </c>
      <c r="I496" s="45" t="s">
        <v>215</v>
      </c>
      <c r="J496" s="108">
        <v>44557</v>
      </c>
      <c r="K496" s="159">
        <v>44675</v>
      </c>
      <c r="L496" s="100">
        <v>44697</v>
      </c>
      <c r="M496" s="165" t="s">
        <v>1823</v>
      </c>
      <c r="N496" s="198" t="s">
        <v>1824</v>
      </c>
      <c r="O496" s="104" t="s">
        <v>523</v>
      </c>
      <c r="P496" s="102">
        <v>33726.44</v>
      </c>
      <c r="Q496" s="203">
        <f>25780.06/2</f>
        <v>12890.03</v>
      </c>
      <c r="R496" s="241"/>
      <c r="S496" s="242"/>
      <c r="T496" s="203">
        <v>20836.41</v>
      </c>
      <c r="U496" s="100"/>
      <c r="V496" s="130"/>
      <c r="W496" s="170"/>
    </row>
    <row r="497" s="39" customFormat="1" ht="22" hidden="1" customHeight="1" spans="1:23">
      <c r="A497" s="144" t="s">
        <v>1825</v>
      </c>
      <c r="B497" s="174" t="s">
        <v>30</v>
      </c>
      <c r="C497" s="175"/>
      <c r="D497" s="229" t="s">
        <v>31</v>
      </c>
      <c r="E497" s="82" t="s">
        <v>1826</v>
      </c>
      <c r="F497" s="81">
        <f>IFERROR(VLOOKUP(E497,客户!B:C,2,FALSE),"/")</f>
        <v>0</v>
      </c>
      <c r="G497" s="80" t="s">
        <v>1827</v>
      </c>
      <c r="H497" s="45"/>
      <c r="I497" s="45"/>
      <c r="J497" s="108">
        <v>44566</v>
      </c>
      <c r="K497" s="159">
        <v>44567</v>
      </c>
      <c r="L497" s="100"/>
      <c r="M497" s="165" t="s">
        <v>1828</v>
      </c>
      <c r="N497" s="108"/>
      <c r="O497" s="104" t="s">
        <v>970</v>
      </c>
      <c r="P497" s="240">
        <v>8600</v>
      </c>
      <c r="Q497" s="240">
        <v>1000</v>
      </c>
      <c r="R497" s="241"/>
      <c r="S497" s="242"/>
      <c r="T497" s="240">
        <v>7600</v>
      </c>
      <c r="U497" s="100"/>
      <c r="V497" s="130"/>
      <c r="W497" s="170"/>
    </row>
    <row r="498" s="39" customFormat="1" ht="22" hidden="1" customHeight="1" spans="1:23">
      <c r="A498" s="144" t="s">
        <v>1829</v>
      </c>
      <c r="B498" s="174" t="s">
        <v>30</v>
      </c>
      <c r="C498" s="175"/>
      <c r="D498" s="229" t="s">
        <v>31</v>
      </c>
      <c r="E498" s="82" t="s">
        <v>1830</v>
      </c>
      <c r="F498" s="81">
        <f>IFERROR(VLOOKUP(E498,客户!B:C,2,FALSE),"/")</f>
        <v>0</v>
      </c>
      <c r="G498" s="80" t="s">
        <v>985</v>
      </c>
      <c r="H498" s="45" t="s">
        <v>123</v>
      </c>
      <c r="I498" s="45" t="s">
        <v>1831</v>
      </c>
      <c r="J498" s="108">
        <v>44575</v>
      </c>
      <c r="K498" s="159">
        <v>44681</v>
      </c>
      <c r="L498" s="100">
        <v>44703</v>
      </c>
      <c r="M498" s="165" t="s">
        <v>1832</v>
      </c>
      <c r="N498" s="198" t="s">
        <v>1833</v>
      </c>
      <c r="O498" s="104" t="s">
        <v>523</v>
      </c>
      <c r="P498" s="102">
        <v>21712.8</v>
      </c>
      <c r="Q498" s="102">
        <v>6500</v>
      </c>
      <c r="R498" s="241"/>
      <c r="S498" s="242"/>
      <c r="T498" s="102">
        <v>15212.8</v>
      </c>
      <c r="U498" s="100"/>
      <c r="V498" s="130"/>
      <c r="W498" s="170"/>
    </row>
    <row r="499" s="39" customFormat="1" ht="22" hidden="1" customHeight="1" spans="1:23">
      <c r="A499" s="144" t="s">
        <v>1834</v>
      </c>
      <c r="B499" s="174" t="s">
        <v>30</v>
      </c>
      <c r="C499" s="175"/>
      <c r="D499" s="229" t="s">
        <v>31</v>
      </c>
      <c r="E499" s="82" t="s">
        <v>1167</v>
      </c>
      <c r="F499" s="81">
        <f>IFERROR(VLOOKUP(E499,客户!B:C,2,FALSE),"/")</f>
        <v>0</v>
      </c>
      <c r="G499" s="80" t="s">
        <v>1369</v>
      </c>
      <c r="H499" s="45" t="s">
        <v>123</v>
      </c>
      <c r="I499" s="45" t="s">
        <v>1370</v>
      </c>
      <c r="J499" s="108">
        <v>44582</v>
      </c>
      <c r="K499" s="159">
        <v>44623</v>
      </c>
      <c r="L499" s="100">
        <v>44662</v>
      </c>
      <c r="M499" s="165" t="s">
        <v>1835</v>
      </c>
      <c r="N499" s="198" t="s">
        <v>1142</v>
      </c>
      <c r="O499" s="104" t="s">
        <v>523</v>
      </c>
      <c r="P499" s="102">
        <v>34164.64</v>
      </c>
      <c r="Q499" s="102">
        <v>10300</v>
      </c>
      <c r="R499" s="241"/>
      <c r="S499" s="242"/>
      <c r="T499" s="102">
        <v>9900</v>
      </c>
      <c r="U499" s="102">
        <f>14064.64-100</f>
        <v>13964.64</v>
      </c>
      <c r="V499" s="130"/>
      <c r="W499" s="170"/>
    </row>
    <row r="500" s="39" customFormat="1" ht="22" customHeight="1" spans="1:23">
      <c r="A500" s="255" t="s">
        <v>1836</v>
      </c>
      <c r="B500" s="174" t="s">
        <v>30</v>
      </c>
      <c r="C500" s="175"/>
      <c r="D500" s="229" t="s">
        <v>1</v>
      </c>
      <c r="E500" s="82" t="s">
        <v>1274</v>
      </c>
      <c r="F500" s="81">
        <f>IFERROR(VLOOKUP(E500,客户!B:C,2,FALSE),"/")</f>
        <v>0</v>
      </c>
      <c r="G500" s="80" t="s">
        <v>1837</v>
      </c>
      <c r="H500" s="45" t="s">
        <v>123</v>
      </c>
      <c r="I500" s="45" t="s">
        <v>1838</v>
      </c>
      <c r="J500" s="108">
        <v>44585</v>
      </c>
      <c r="K500" s="159">
        <v>44726</v>
      </c>
      <c r="L500" s="100">
        <v>44754</v>
      </c>
      <c r="M500" s="165" t="s">
        <v>1839</v>
      </c>
      <c r="N500" s="198" t="s">
        <v>1840</v>
      </c>
      <c r="O500" s="104" t="s">
        <v>523</v>
      </c>
      <c r="P500" s="102">
        <v>23265.43</v>
      </c>
      <c r="Q500" s="102">
        <v>5000</v>
      </c>
      <c r="R500" s="241">
        <f>P500-Q500</f>
        <v>18265.43</v>
      </c>
      <c r="S500" s="242"/>
      <c r="T500" s="240"/>
      <c r="U500" s="100"/>
      <c r="V500" s="130"/>
      <c r="W500" s="170"/>
    </row>
    <row r="501" s="39" customFormat="1" ht="22" hidden="1" customHeight="1" spans="1:23">
      <c r="A501" s="144" t="s">
        <v>1841</v>
      </c>
      <c r="B501" s="174" t="s">
        <v>30</v>
      </c>
      <c r="C501" s="175"/>
      <c r="D501" s="229" t="s">
        <v>31</v>
      </c>
      <c r="E501" s="82" t="s">
        <v>1345</v>
      </c>
      <c r="F501" s="81" t="str">
        <f>IFERROR(VLOOKUP(E501,客户!B:C,2,FALSE),"/")</f>
        <v>J4159还差USD265.65没付齐 J4220还有定金5674.3 账上剩5408.65</v>
      </c>
      <c r="G501" s="80" t="s">
        <v>1198</v>
      </c>
      <c r="H501" s="45" t="s">
        <v>154</v>
      </c>
      <c r="I501" s="45" t="s">
        <v>1842</v>
      </c>
      <c r="J501" s="108">
        <v>44588</v>
      </c>
      <c r="K501" s="159">
        <v>44640</v>
      </c>
      <c r="L501" s="100">
        <v>44680</v>
      </c>
      <c r="M501" s="165" t="s">
        <v>1843</v>
      </c>
      <c r="N501" s="198" t="s">
        <v>1844</v>
      </c>
      <c r="O501" s="104" t="s">
        <v>523</v>
      </c>
      <c r="P501" s="102">
        <v>28696.46</v>
      </c>
      <c r="Q501" s="102">
        <v>5674.3</v>
      </c>
      <c r="R501" s="241"/>
      <c r="S501" s="242"/>
      <c r="T501" s="102">
        <v>28696.46</v>
      </c>
      <c r="U501" s="100"/>
      <c r="V501" s="130"/>
      <c r="W501" s="170"/>
    </row>
    <row r="502" s="39" customFormat="1" ht="22" hidden="1" customHeight="1" spans="1:23">
      <c r="A502" s="256" t="s">
        <v>1845</v>
      </c>
      <c r="B502" s="174" t="s">
        <v>30</v>
      </c>
      <c r="C502" s="175"/>
      <c r="D502" s="229" t="s">
        <v>0</v>
      </c>
      <c r="E502" s="82" t="s">
        <v>1121</v>
      </c>
      <c r="F502" s="81">
        <f>IFERROR(VLOOKUP(E502,客户!B:C,2,FALSE),"/")</f>
        <v>0</v>
      </c>
      <c r="G502" s="80" t="s">
        <v>1846</v>
      </c>
      <c r="H502" s="45" t="s">
        <v>123</v>
      </c>
      <c r="I502" s="45" t="s">
        <v>215</v>
      </c>
      <c r="J502" s="108">
        <v>44600</v>
      </c>
      <c r="K502" s="159">
        <v>44737</v>
      </c>
      <c r="L502" s="100"/>
      <c r="M502" s="164" t="s">
        <v>1847</v>
      </c>
      <c r="N502" s="198" t="s">
        <v>1848</v>
      </c>
      <c r="O502" s="104" t="s">
        <v>523</v>
      </c>
      <c r="P502" s="139"/>
      <c r="Q502" s="102">
        <v>10000</v>
      </c>
      <c r="R502" s="241"/>
      <c r="S502" s="242"/>
      <c r="T502" s="240"/>
      <c r="U502" s="100"/>
      <c r="V502" s="130"/>
      <c r="W502" s="170"/>
    </row>
    <row r="503" s="39" customFormat="1" ht="23" hidden="1" customHeight="1" spans="1:23">
      <c r="A503" s="144" t="s">
        <v>1849</v>
      </c>
      <c r="B503" s="174" t="s">
        <v>30</v>
      </c>
      <c r="C503" s="175"/>
      <c r="D503" s="229" t="s">
        <v>31</v>
      </c>
      <c r="E503" s="82" t="s">
        <v>1121</v>
      </c>
      <c r="F503" s="81">
        <f>IFERROR(VLOOKUP(E503,客户!B:C,2,FALSE),"/")</f>
        <v>0</v>
      </c>
      <c r="G503" s="80" t="s">
        <v>1846</v>
      </c>
      <c r="H503" s="45" t="s">
        <v>123</v>
      </c>
      <c r="I503" s="45" t="s">
        <v>215</v>
      </c>
      <c r="J503" s="108">
        <v>44600</v>
      </c>
      <c r="K503" s="159">
        <v>44718</v>
      </c>
      <c r="L503" s="100">
        <v>44739</v>
      </c>
      <c r="M503" s="165" t="s">
        <v>1850</v>
      </c>
      <c r="N503" s="198" t="s">
        <v>1851</v>
      </c>
      <c r="O503" s="104" t="s">
        <v>523</v>
      </c>
      <c r="P503" s="102">
        <v>62692.2</v>
      </c>
      <c r="Q503" s="102"/>
      <c r="R503" s="241"/>
      <c r="S503" s="242"/>
      <c r="T503" s="102">
        <v>62692.2</v>
      </c>
      <c r="U503" s="100"/>
      <c r="V503" s="130"/>
      <c r="W503" s="170"/>
    </row>
    <row r="504" s="39" customFormat="1" ht="22" hidden="1" customHeight="1" spans="1:23">
      <c r="A504" s="144" t="s">
        <v>1852</v>
      </c>
      <c r="B504" s="174" t="s">
        <v>30</v>
      </c>
      <c r="C504" s="175"/>
      <c r="D504" s="229" t="s">
        <v>31</v>
      </c>
      <c r="E504" s="82" t="s">
        <v>1117</v>
      </c>
      <c r="F504" s="81">
        <f>IFERROR(VLOOKUP(E504,客户!B:C,2,FALSE),"/")</f>
        <v>0</v>
      </c>
      <c r="G504" s="80" t="s">
        <v>1853</v>
      </c>
      <c r="H504" s="45" t="s">
        <v>186</v>
      </c>
      <c r="I504" s="45"/>
      <c r="J504" s="108">
        <v>44602</v>
      </c>
      <c r="K504" s="159">
        <v>44630</v>
      </c>
      <c r="L504" s="100"/>
      <c r="M504" s="165" t="s">
        <v>1854</v>
      </c>
      <c r="N504" s="108"/>
      <c r="O504" s="104" t="s">
        <v>970</v>
      </c>
      <c r="P504" s="240">
        <v>17490</v>
      </c>
      <c r="Q504" s="240">
        <v>6000</v>
      </c>
      <c r="R504" s="241"/>
      <c r="S504" s="242">
        <f>P504-Q504</f>
        <v>11490</v>
      </c>
      <c r="T504" s="240"/>
      <c r="U504" s="100"/>
      <c r="V504" s="130"/>
      <c r="W504" s="170"/>
    </row>
    <row r="505" s="39" customFormat="1" ht="22" hidden="1" customHeight="1" spans="1:23">
      <c r="A505" s="255" t="s">
        <v>1855</v>
      </c>
      <c r="B505" s="174" t="s">
        <v>30</v>
      </c>
      <c r="C505" s="175"/>
      <c r="D505" s="229" t="s">
        <v>3</v>
      </c>
      <c r="E505" s="82" t="s">
        <v>1717</v>
      </c>
      <c r="F505" s="81">
        <f>IFERROR(VLOOKUP(E505,客户!B:C,2,FALSE),"/")</f>
        <v>0</v>
      </c>
      <c r="G505" s="80" t="s">
        <v>1856</v>
      </c>
      <c r="H505" s="45" t="s">
        <v>123</v>
      </c>
      <c r="I505" s="45" t="s">
        <v>215</v>
      </c>
      <c r="J505" s="108">
        <v>44603</v>
      </c>
      <c r="K505" s="159"/>
      <c r="L505" s="100"/>
      <c r="M505" s="165" t="s">
        <v>1857</v>
      </c>
      <c r="N505" s="108"/>
      <c r="O505" s="104" t="s">
        <v>523</v>
      </c>
      <c r="P505" s="139">
        <v>31395.22</v>
      </c>
      <c r="Q505" s="102">
        <v>9419</v>
      </c>
      <c r="R505" s="241"/>
      <c r="S505" s="242"/>
      <c r="T505" s="240"/>
      <c r="U505" s="100"/>
      <c r="V505" s="130"/>
      <c r="W505" s="170"/>
    </row>
    <row r="506" s="39" customFormat="1" ht="22" hidden="1" customHeight="1" spans="1:23">
      <c r="A506" s="144" t="s">
        <v>1858</v>
      </c>
      <c r="B506" s="174" t="s">
        <v>30</v>
      </c>
      <c r="C506" s="175"/>
      <c r="D506" s="229" t="s">
        <v>2</v>
      </c>
      <c r="E506" s="82" t="s">
        <v>1415</v>
      </c>
      <c r="F506" s="81">
        <f>IFERROR(VLOOKUP(E506,客户!B:C,2,FALSE),"/")</f>
        <v>0</v>
      </c>
      <c r="G506" s="80" t="s">
        <v>1859</v>
      </c>
      <c r="H506" s="45" t="s">
        <v>123</v>
      </c>
      <c r="I506" s="45" t="s">
        <v>1203</v>
      </c>
      <c r="J506" s="108">
        <v>44605</v>
      </c>
      <c r="K506" s="159">
        <v>44715</v>
      </c>
      <c r="L506" s="100">
        <v>44746</v>
      </c>
      <c r="M506" s="165" t="s">
        <v>1860</v>
      </c>
      <c r="N506" s="198" t="s">
        <v>1861</v>
      </c>
      <c r="O506" s="104" t="s">
        <v>523</v>
      </c>
      <c r="P506" s="102">
        <v>32256.9</v>
      </c>
      <c r="Q506" s="102">
        <v>8000</v>
      </c>
      <c r="R506" s="241"/>
      <c r="S506" s="242"/>
      <c r="T506" s="102">
        <v>24256.9</v>
      </c>
      <c r="U506" s="100"/>
      <c r="V506" s="130"/>
      <c r="W506" s="170"/>
    </row>
    <row r="507" s="39" customFormat="1" ht="22" hidden="1" customHeight="1" spans="1:23">
      <c r="A507" s="144" t="s">
        <v>1862</v>
      </c>
      <c r="B507" s="174" t="s">
        <v>30</v>
      </c>
      <c r="C507" s="175"/>
      <c r="D507" s="229" t="s">
        <v>31</v>
      </c>
      <c r="E507" s="82" t="s">
        <v>1083</v>
      </c>
      <c r="F507" s="81"/>
      <c r="G507" s="80" t="s">
        <v>1859</v>
      </c>
      <c r="H507" s="45" t="s">
        <v>123</v>
      </c>
      <c r="I507" s="45" t="s">
        <v>232</v>
      </c>
      <c r="J507" s="108">
        <v>44610</v>
      </c>
      <c r="K507" s="159">
        <v>44679</v>
      </c>
      <c r="L507" s="100">
        <v>44699</v>
      </c>
      <c r="M507" s="165" t="s">
        <v>1863</v>
      </c>
      <c r="N507" s="198" t="s">
        <v>1864</v>
      </c>
      <c r="O507" s="104" t="s">
        <v>523</v>
      </c>
      <c r="P507" s="102">
        <v>28367.98</v>
      </c>
      <c r="Q507" s="102"/>
      <c r="R507" s="241"/>
      <c r="S507" s="242"/>
      <c r="T507" s="102">
        <v>28367.98</v>
      </c>
      <c r="U507" s="100"/>
      <c r="V507" s="219" t="s">
        <v>1865</v>
      </c>
      <c r="W507" s="170"/>
    </row>
    <row r="508" s="39" customFormat="1" ht="22" hidden="1" customHeight="1" spans="1:23">
      <c r="A508" s="144" t="s">
        <v>1866</v>
      </c>
      <c r="B508" s="174" t="s">
        <v>30</v>
      </c>
      <c r="C508" s="175"/>
      <c r="D508" s="229" t="s">
        <v>31</v>
      </c>
      <c r="E508" s="82" t="s">
        <v>1083</v>
      </c>
      <c r="F508" s="81">
        <f>IFERROR(VLOOKUP(E508,客户!B:C,2,FALSE),"/")</f>
        <v>0</v>
      </c>
      <c r="G508" s="80" t="s">
        <v>1859</v>
      </c>
      <c r="H508" s="45" t="s">
        <v>123</v>
      </c>
      <c r="I508" s="45" t="s">
        <v>232</v>
      </c>
      <c r="J508" s="108">
        <v>44610</v>
      </c>
      <c r="K508" s="159">
        <v>44675</v>
      </c>
      <c r="L508" s="100">
        <v>44702</v>
      </c>
      <c r="M508" s="165" t="s">
        <v>1867</v>
      </c>
      <c r="N508" s="198" t="s">
        <v>1868</v>
      </c>
      <c r="O508" s="104" t="s">
        <v>523</v>
      </c>
      <c r="P508" s="102">
        <v>28924</v>
      </c>
      <c r="Q508" s="102"/>
      <c r="R508" s="241"/>
      <c r="S508" s="242"/>
      <c r="T508" s="102">
        <v>28924</v>
      </c>
      <c r="U508" s="100"/>
      <c r="V508" s="130"/>
      <c r="W508" s="170"/>
    </row>
    <row r="509" s="39" customFormat="1" ht="22" hidden="1" customHeight="1" spans="1:23">
      <c r="A509" s="144" t="s">
        <v>1869</v>
      </c>
      <c r="B509" s="174" t="s">
        <v>30</v>
      </c>
      <c r="C509" s="175"/>
      <c r="D509" s="229" t="s">
        <v>31</v>
      </c>
      <c r="E509" s="82" t="s">
        <v>1167</v>
      </c>
      <c r="F509" s="81">
        <f>IFERROR(VLOOKUP(E509,客户!B:C,2,FALSE),"/")</f>
        <v>0</v>
      </c>
      <c r="G509" s="80" t="s">
        <v>1369</v>
      </c>
      <c r="H509" s="45" t="s">
        <v>123</v>
      </c>
      <c r="I509" s="45" t="s">
        <v>1370</v>
      </c>
      <c r="J509" s="108">
        <v>44613</v>
      </c>
      <c r="K509" s="159">
        <v>44678</v>
      </c>
      <c r="L509" s="100">
        <v>44707</v>
      </c>
      <c r="M509" s="165" t="s">
        <v>1870</v>
      </c>
      <c r="N509" s="198" t="s">
        <v>1372</v>
      </c>
      <c r="O509" s="104" t="s">
        <v>523</v>
      </c>
      <c r="P509" s="102">
        <v>37942.17</v>
      </c>
      <c r="Q509" s="102">
        <f>10400+100</f>
        <v>10500</v>
      </c>
      <c r="R509" s="241"/>
      <c r="S509" s="242"/>
      <c r="T509" s="102">
        <v>27442.17</v>
      </c>
      <c r="U509" s="100"/>
      <c r="V509" s="130"/>
      <c r="W509" s="170"/>
    </row>
    <row r="510" s="39" customFormat="1" ht="22" customHeight="1" spans="1:23">
      <c r="A510" s="255" t="s">
        <v>1871</v>
      </c>
      <c r="B510" s="174" t="s">
        <v>30</v>
      </c>
      <c r="C510" s="175"/>
      <c r="D510" s="229" t="s">
        <v>1</v>
      </c>
      <c r="E510" s="82" t="s">
        <v>1429</v>
      </c>
      <c r="F510" s="81">
        <f>IFERROR(VLOOKUP(E510,客户!B:C,2,FALSE),"/")</f>
        <v>0</v>
      </c>
      <c r="G510" s="80" t="s">
        <v>1872</v>
      </c>
      <c r="H510" s="45" t="s">
        <v>127</v>
      </c>
      <c r="I510" s="45" t="s">
        <v>1873</v>
      </c>
      <c r="J510" s="108">
        <v>44614</v>
      </c>
      <c r="K510" s="159">
        <v>44715</v>
      </c>
      <c r="L510" s="100">
        <v>44766</v>
      </c>
      <c r="M510" s="165" t="s">
        <v>1874</v>
      </c>
      <c r="N510" s="198" t="s">
        <v>1875</v>
      </c>
      <c r="O510" s="104" t="s">
        <v>523</v>
      </c>
      <c r="P510" s="102">
        <v>106237.35</v>
      </c>
      <c r="Q510" s="102">
        <v>8000</v>
      </c>
      <c r="R510" s="241"/>
      <c r="S510" s="242"/>
      <c r="T510" s="240"/>
      <c r="U510" s="100"/>
      <c r="V510" s="130"/>
      <c r="W510" s="170"/>
    </row>
    <row r="511" s="39" customFormat="1" ht="22" hidden="1" customHeight="1" spans="1:23">
      <c r="A511" s="144" t="s">
        <v>1876</v>
      </c>
      <c r="B511" s="174" t="s">
        <v>30</v>
      </c>
      <c r="C511" s="175"/>
      <c r="D511" s="229" t="s">
        <v>31</v>
      </c>
      <c r="E511" s="82" t="s">
        <v>1508</v>
      </c>
      <c r="F511" s="81">
        <f>IFERROR(VLOOKUP(E511,客户!B:C,2,FALSE),"/")</f>
        <v>0</v>
      </c>
      <c r="G511" s="80" t="s">
        <v>1859</v>
      </c>
      <c r="H511" s="45" t="s">
        <v>123</v>
      </c>
      <c r="I511" s="45" t="s">
        <v>1877</v>
      </c>
      <c r="J511" s="108">
        <v>44615</v>
      </c>
      <c r="K511" s="159">
        <v>44701</v>
      </c>
      <c r="L511" s="100">
        <v>44748</v>
      </c>
      <c r="M511" s="165" t="s">
        <v>1878</v>
      </c>
      <c r="N511" s="198" t="s">
        <v>1879</v>
      </c>
      <c r="O511" s="104" t="s">
        <v>523</v>
      </c>
      <c r="P511" s="102">
        <v>29576</v>
      </c>
      <c r="Q511" s="102">
        <v>10000</v>
      </c>
      <c r="R511" s="241"/>
      <c r="S511" s="242"/>
      <c r="T511" s="102">
        <v>19576</v>
      </c>
      <c r="U511" s="100"/>
      <c r="V511" s="130"/>
      <c r="W511" s="170"/>
    </row>
    <row r="512" s="39" customFormat="1" ht="22" hidden="1" customHeight="1" spans="1:23">
      <c r="A512" s="144" t="s">
        <v>1880</v>
      </c>
      <c r="B512" s="174" t="s">
        <v>30</v>
      </c>
      <c r="C512" s="175"/>
      <c r="D512" s="229" t="s">
        <v>31</v>
      </c>
      <c r="E512" s="82" t="s">
        <v>1791</v>
      </c>
      <c r="F512" s="81">
        <f>IFERROR(VLOOKUP(E512,客户!B:C,2,FALSE),"/")</f>
        <v>0</v>
      </c>
      <c r="G512" s="80" t="s">
        <v>1881</v>
      </c>
      <c r="H512" s="45" t="s">
        <v>186</v>
      </c>
      <c r="I512" s="45"/>
      <c r="J512" s="108">
        <v>44616</v>
      </c>
      <c r="K512" s="159">
        <v>44713</v>
      </c>
      <c r="L512" s="100"/>
      <c r="M512" s="165" t="s">
        <v>1787</v>
      </c>
      <c r="N512" s="108"/>
      <c r="O512" s="104" t="s">
        <v>970</v>
      </c>
      <c r="P512" s="240">
        <v>34216</v>
      </c>
      <c r="Q512" s="240">
        <v>10000</v>
      </c>
      <c r="R512" s="241"/>
      <c r="S512" s="242"/>
      <c r="T512" s="240">
        <v>24216</v>
      </c>
      <c r="U512" s="100"/>
      <c r="V512" s="130"/>
      <c r="W512" s="170"/>
    </row>
    <row r="513" s="39" customFormat="1" ht="22" hidden="1" customHeight="1" spans="1:23">
      <c r="A513" s="255" t="s">
        <v>1882</v>
      </c>
      <c r="B513" s="174" t="s">
        <v>30</v>
      </c>
      <c r="C513" s="175"/>
      <c r="D513" s="229" t="s">
        <v>3</v>
      </c>
      <c r="E513" s="82" t="s">
        <v>1717</v>
      </c>
      <c r="F513" s="81">
        <f>IFERROR(VLOOKUP(E513,客户!B:C,2,FALSE),"/")</f>
        <v>0</v>
      </c>
      <c r="G513" s="80" t="s">
        <v>1883</v>
      </c>
      <c r="H513" s="45" t="s">
        <v>123</v>
      </c>
      <c r="I513" s="45" t="s">
        <v>215</v>
      </c>
      <c r="J513" s="108">
        <v>44617</v>
      </c>
      <c r="K513" s="159"/>
      <c r="L513" s="100"/>
      <c r="M513" s="165" t="s">
        <v>1884</v>
      </c>
      <c r="N513" s="108"/>
      <c r="O513" s="104" t="s">
        <v>523</v>
      </c>
      <c r="P513" s="139"/>
      <c r="Q513" s="102">
        <f>28260/3</f>
        <v>9420</v>
      </c>
      <c r="R513" s="241"/>
      <c r="S513" s="242"/>
      <c r="T513" s="240"/>
      <c r="U513" s="100"/>
      <c r="V513" s="130"/>
      <c r="W513" s="170"/>
    </row>
    <row r="514" s="39" customFormat="1" ht="22" hidden="1" customHeight="1" spans="1:23">
      <c r="A514" s="144" t="s">
        <v>1885</v>
      </c>
      <c r="B514" s="174" t="s">
        <v>30</v>
      </c>
      <c r="C514" s="175"/>
      <c r="D514" s="229" t="s">
        <v>31</v>
      </c>
      <c r="E514" s="82" t="s">
        <v>1717</v>
      </c>
      <c r="F514" s="81"/>
      <c r="G514" s="80" t="s">
        <v>1883</v>
      </c>
      <c r="H514" s="45" t="s">
        <v>123</v>
      </c>
      <c r="I514" s="45" t="s">
        <v>215</v>
      </c>
      <c r="J514" s="108">
        <v>44617</v>
      </c>
      <c r="K514" s="159">
        <v>44706</v>
      </c>
      <c r="L514" s="100">
        <v>44725</v>
      </c>
      <c r="M514" s="165" t="s">
        <v>1886</v>
      </c>
      <c r="N514" s="198" t="s">
        <v>1887</v>
      </c>
      <c r="O514" s="104" t="s">
        <v>523</v>
      </c>
      <c r="P514" s="102">
        <v>33987.36</v>
      </c>
      <c r="Q514" s="102">
        <v>9420</v>
      </c>
      <c r="R514" s="241"/>
      <c r="S514" s="242"/>
      <c r="T514" s="266">
        <f>13984.8+14345.2</f>
        <v>28330</v>
      </c>
      <c r="U514" s="266">
        <v>21068</v>
      </c>
      <c r="V514" s="130"/>
      <c r="W514" s="170"/>
    </row>
    <row r="515" s="39" customFormat="1" ht="22" hidden="1" customHeight="1" spans="1:23">
      <c r="A515" s="144" t="s">
        <v>1888</v>
      </c>
      <c r="B515" s="174" t="s">
        <v>30</v>
      </c>
      <c r="C515" s="175"/>
      <c r="D515" s="229" t="s">
        <v>31</v>
      </c>
      <c r="E515" s="82" t="s">
        <v>1717</v>
      </c>
      <c r="F515" s="81"/>
      <c r="G515" s="80" t="s">
        <v>1883</v>
      </c>
      <c r="H515" s="45" t="s">
        <v>123</v>
      </c>
      <c r="I515" s="45" t="s">
        <v>215</v>
      </c>
      <c r="J515" s="108">
        <v>44617</v>
      </c>
      <c r="K515" s="159">
        <v>44710</v>
      </c>
      <c r="L515" s="100">
        <v>44725</v>
      </c>
      <c r="M515" s="165" t="s">
        <v>1889</v>
      </c>
      <c r="N515" s="198" t="s">
        <v>1890</v>
      </c>
      <c r="O515" s="104" t="s">
        <v>523</v>
      </c>
      <c r="P515" s="102">
        <v>34250.36</v>
      </c>
      <c r="Q515" s="102">
        <v>9420</v>
      </c>
      <c r="R515" s="241"/>
      <c r="S515" s="242"/>
      <c r="T515" s="267"/>
      <c r="U515" s="267"/>
      <c r="V515" s="130"/>
      <c r="W515" s="170"/>
    </row>
    <row r="516" s="39" customFormat="1" ht="22" hidden="1" customHeight="1" spans="1:23">
      <c r="A516" s="255" t="s">
        <v>1891</v>
      </c>
      <c r="B516" s="174" t="s">
        <v>30</v>
      </c>
      <c r="C516" s="175"/>
      <c r="D516" s="229" t="s">
        <v>2</v>
      </c>
      <c r="E516" s="82" t="s">
        <v>1238</v>
      </c>
      <c r="F516" s="81">
        <f>IFERROR(VLOOKUP(E516,客户!B:C,2,FALSE),"/")</f>
        <v>0</v>
      </c>
      <c r="G516" s="80" t="s">
        <v>985</v>
      </c>
      <c r="H516" s="45" t="s">
        <v>123</v>
      </c>
      <c r="I516" s="45" t="s">
        <v>1662</v>
      </c>
      <c r="J516" s="108">
        <v>44623</v>
      </c>
      <c r="K516" s="159">
        <v>44694</v>
      </c>
      <c r="L516" s="100">
        <v>44735</v>
      </c>
      <c r="M516" s="165" t="s">
        <v>1892</v>
      </c>
      <c r="N516" s="198" t="s">
        <v>1893</v>
      </c>
      <c r="O516" s="104" t="s">
        <v>523</v>
      </c>
      <c r="P516" s="102">
        <v>28796.03</v>
      </c>
      <c r="Q516" s="102">
        <v>3429</v>
      </c>
      <c r="R516" s="241">
        <f>P516-Q516</f>
        <v>25367.03</v>
      </c>
      <c r="S516" s="242"/>
      <c r="T516" s="240"/>
      <c r="U516" s="100"/>
      <c r="V516" s="130"/>
      <c r="W516" s="170"/>
    </row>
    <row r="517" s="39" customFormat="1" ht="22" hidden="1" customHeight="1" spans="1:23">
      <c r="A517" s="144" t="s">
        <v>1894</v>
      </c>
      <c r="B517" s="174" t="s">
        <v>30</v>
      </c>
      <c r="C517" s="175"/>
      <c r="D517" s="229" t="s">
        <v>31</v>
      </c>
      <c r="E517" s="82" t="s">
        <v>1167</v>
      </c>
      <c r="F517" s="81">
        <f>IFERROR(VLOOKUP(E517,客户!B:C,2,FALSE),"/")</f>
        <v>0</v>
      </c>
      <c r="G517" s="80" t="s">
        <v>1895</v>
      </c>
      <c r="H517" s="45" t="s">
        <v>123</v>
      </c>
      <c r="I517" s="45" t="s">
        <v>550</v>
      </c>
      <c r="J517" s="108">
        <v>44628</v>
      </c>
      <c r="K517" s="159">
        <v>44718</v>
      </c>
      <c r="L517" s="100">
        <v>44741</v>
      </c>
      <c r="M517" s="165" t="s">
        <v>1896</v>
      </c>
      <c r="N517" s="198" t="s">
        <v>1897</v>
      </c>
      <c r="O517" s="104" t="s">
        <v>523</v>
      </c>
      <c r="P517" s="102">
        <v>38030.12</v>
      </c>
      <c r="Q517" s="102">
        <f>20500/2</f>
        <v>10250</v>
      </c>
      <c r="R517" s="241"/>
      <c r="S517" s="242"/>
      <c r="T517" s="102">
        <v>27780.12</v>
      </c>
      <c r="U517" s="100"/>
      <c r="V517" s="130"/>
      <c r="W517" s="170"/>
    </row>
    <row r="518" s="39" customFormat="1" ht="22" hidden="1" customHeight="1" spans="1:23">
      <c r="A518" s="144" t="s">
        <v>1898</v>
      </c>
      <c r="B518" s="174" t="s">
        <v>30</v>
      </c>
      <c r="C518" s="175"/>
      <c r="D518" s="229" t="s">
        <v>31</v>
      </c>
      <c r="E518" s="82" t="s">
        <v>1167</v>
      </c>
      <c r="F518" s="81">
        <f>IFERROR(VLOOKUP(E518,客户!B:C,2,FALSE),"/")</f>
        <v>0</v>
      </c>
      <c r="G518" s="80" t="s">
        <v>1895</v>
      </c>
      <c r="H518" s="45" t="s">
        <v>123</v>
      </c>
      <c r="I518" s="45" t="s">
        <v>550</v>
      </c>
      <c r="J518" s="108">
        <v>44628</v>
      </c>
      <c r="K518" s="159">
        <v>44718</v>
      </c>
      <c r="L518" s="100">
        <v>44741</v>
      </c>
      <c r="M518" s="165" t="s">
        <v>1899</v>
      </c>
      <c r="N518" s="198" t="s">
        <v>1897</v>
      </c>
      <c r="O518" s="104" t="s">
        <v>523</v>
      </c>
      <c r="P518" s="102">
        <v>35121.68</v>
      </c>
      <c r="Q518" s="102">
        <f>20500/2</f>
        <v>10250</v>
      </c>
      <c r="R518" s="241"/>
      <c r="S518" s="242"/>
      <c r="T518" s="102">
        <v>24871.68</v>
      </c>
      <c r="U518" s="100"/>
      <c r="V518" s="130"/>
      <c r="W518" s="170"/>
    </row>
    <row r="519" s="39" customFormat="1" ht="22" hidden="1" customHeight="1" spans="1:23">
      <c r="A519" s="255" t="s">
        <v>1900</v>
      </c>
      <c r="B519" s="174" t="s">
        <v>30</v>
      </c>
      <c r="C519" s="175"/>
      <c r="D519" s="229" t="s">
        <v>2</v>
      </c>
      <c r="E519" s="82" t="s">
        <v>1901</v>
      </c>
      <c r="F519" s="81">
        <f>IFERROR(VLOOKUP(E519,客户!B:C,2,FALSE),"/")</f>
        <v>0</v>
      </c>
      <c r="G519" s="80" t="s">
        <v>1902</v>
      </c>
      <c r="H519" s="45" t="s">
        <v>123</v>
      </c>
      <c r="I519" s="45" t="s">
        <v>1903</v>
      </c>
      <c r="J519" s="108">
        <v>44633</v>
      </c>
      <c r="K519" s="159">
        <v>44721</v>
      </c>
      <c r="L519" s="100">
        <v>44762</v>
      </c>
      <c r="M519" s="165" t="s">
        <v>1904</v>
      </c>
      <c r="N519" s="198" t="s">
        <v>1905</v>
      </c>
      <c r="O519" s="104" t="s">
        <v>523</v>
      </c>
      <c r="P519" s="102">
        <v>58389.48</v>
      </c>
      <c r="Q519" s="102">
        <v>18000</v>
      </c>
      <c r="R519" s="241">
        <f>P519-Q519</f>
        <v>40389.48</v>
      </c>
      <c r="S519" s="242"/>
      <c r="T519" s="240"/>
      <c r="U519" s="100"/>
      <c r="V519" s="130"/>
      <c r="W519" s="170"/>
    </row>
    <row r="520" s="39" customFormat="1" ht="22" hidden="1" customHeight="1" spans="1:23">
      <c r="A520" s="255" t="s">
        <v>1906</v>
      </c>
      <c r="B520" s="174" t="s">
        <v>30</v>
      </c>
      <c r="C520" s="175"/>
      <c r="D520" s="229" t="s">
        <v>0</v>
      </c>
      <c r="E520" s="82" t="s">
        <v>1117</v>
      </c>
      <c r="F520" s="81">
        <f>IFERROR(VLOOKUP(E520,客户!B:C,2,FALSE),"/")</f>
        <v>0</v>
      </c>
      <c r="G520" s="80" t="s">
        <v>1907</v>
      </c>
      <c r="H520" s="45" t="s">
        <v>123</v>
      </c>
      <c r="I520" s="45" t="s">
        <v>1533</v>
      </c>
      <c r="J520" s="108">
        <v>44635</v>
      </c>
      <c r="K520" s="159"/>
      <c r="L520" s="100"/>
      <c r="M520" s="165" t="s">
        <v>1908</v>
      </c>
      <c r="N520" s="108"/>
      <c r="O520" s="104" t="s">
        <v>523</v>
      </c>
      <c r="P520" s="139">
        <v>28743.75</v>
      </c>
      <c r="Q520" s="102">
        <v>10000</v>
      </c>
      <c r="R520" s="241"/>
      <c r="S520" s="242"/>
      <c r="T520" s="240"/>
      <c r="U520" s="100"/>
      <c r="V520" s="130"/>
      <c r="W520" s="170"/>
    </row>
    <row r="521" s="39" customFormat="1" ht="22" customHeight="1" spans="1:23">
      <c r="A521" s="255" t="s">
        <v>1909</v>
      </c>
      <c r="B521" s="174" t="s">
        <v>30</v>
      </c>
      <c r="C521" s="175"/>
      <c r="D521" s="229" t="s">
        <v>1</v>
      </c>
      <c r="E521" s="82" t="s">
        <v>1508</v>
      </c>
      <c r="F521" s="81">
        <f>IFERROR(VLOOKUP(E521,客户!B:C,2,FALSE),"/")</f>
        <v>0</v>
      </c>
      <c r="G521" s="80" t="s">
        <v>913</v>
      </c>
      <c r="H521" s="45" t="s">
        <v>123</v>
      </c>
      <c r="I521" s="45" t="s">
        <v>1546</v>
      </c>
      <c r="J521" s="108">
        <v>44639</v>
      </c>
      <c r="K521" s="159">
        <v>44736</v>
      </c>
      <c r="L521" s="100"/>
      <c r="M521" s="201" t="s">
        <v>1910</v>
      </c>
      <c r="N521" s="198" t="s">
        <v>1911</v>
      </c>
      <c r="O521" s="104" t="s">
        <v>523</v>
      </c>
      <c r="P521" s="102">
        <v>32202.53</v>
      </c>
      <c r="Q521" s="102">
        <v>10000</v>
      </c>
      <c r="R521" s="241">
        <f>P521-Q521</f>
        <v>22202.53</v>
      </c>
      <c r="S521" s="242"/>
      <c r="T521" s="240"/>
      <c r="U521" s="100"/>
      <c r="V521" s="130"/>
      <c r="W521" s="170"/>
    </row>
    <row r="522" s="39" customFormat="1" ht="22" hidden="1" customHeight="1" spans="1:23">
      <c r="A522" s="144" t="s">
        <v>1912</v>
      </c>
      <c r="B522" s="174" t="s">
        <v>30</v>
      </c>
      <c r="C522" s="175"/>
      <c r="D522" s="229" t="s">
        <v>31</v>
      </c>
      <c r="E522" s="82" t="s">
        <v>1913</v>
      </c>
      <c r="F522" s="81">
        <f>IFERROR(VLOOKUP(E522,客户!B:C,2,FALSE),"/")</f>
        <v>0</v>
      </c>
      <c r="G522" s="80" t="s">
        <v>1914</v>
      </c>
      <c r="H522" s="45" t="s">
        <v>123</v>
      </c>
      <c r="I522" s="45" t="s">
        <v>1915</v>
      </c>
      <c r="J522" s="108">
        <v>44644</v>
      </c>
      <c r="K522" s="159">
        <v>44714</v>
      </c>
      <c r="L522" s="100">
        <v>44743</v>
      </c>
      <c r="M522" s="165" t="s">
        <v>1916</v>
      </c>
      <c r="N522" s="198" t="s">
        <v>1917</v>
      </c>
      <c r="O522" s="104" t="s">
        <v>523</v>
      </c>
      <c r="P522" s="262">
        <v>44513.03</v>
      </c>
      <c r="Q522" s="262">
        <v>10751.19</v>
      </c>
      <c r="R522" s="262"/>
      <c r="S522" s="242"/>
      <c r="T522" s="262">
        <v>33761.84</v>
      </c>
      <c r="U522" s="100"/>
      <c r="V522" s="130"/>
      <c r="W522" s="170"/>
    </row>
    <row r="523" s="39" customFormat="1" ht="22" hidden="1" customHeight="1" spans="1:23">
      <c r="A523" s="255" t="s">
        <v>1918</v>
      </c>
      <c r="B523" s="174" t="s">
        <v>30</v>
      </c>
      <c r="C523" s="175"/>
      <c r="D523" s="229" t="s">
        <v>0</v>
      </c>
      <c r="E523" s="82" t="s">
        <v>1257</v>
      </c>
      <c r="F523" s="81">
        <f>IFERROR(VLOOKUP(E523,客户!B:C,2,FALSE),"/")</f>
        <v>0</v>
      </c>
      <c r="G523" s="80" t="s">
        <v>1907</v>
      </c>
      <c r="H523" s="45" t="s">
        <v>123</v>
      </c>
      <c r="I523" s="45" t="s">
        <v>751</v>
      </c>
      <c r="J523" s="108">
        <v>44644</v>
      </c>
      <c r="K523" s="159"/>
      <c r="L523" s="100"/>
      <c r="M523" s="165" t="s">
        <v>1919</v>
      </c>
      <c r="N523" s="198" t="s">
        <v>1920</v>
      </c>
      <c r="O523" s="104" t="s">
        <v>523</v>
      </c>
      <c r="P523" s="139">
        <v>27879.94</v>
      </c>
      <c r="Q523" s="102">
        <v>5575</v>
      </c>
      <c r="R523" s="241"/>
      <c r="S523" s="242"/>
      <c r="T523" s="240"/>
      <c r="U523" s="100"/>
      <c r="V523" s="130"/>
      <c r="W523" s="170"/>
    </row>
    <row r="524" s="39" customFormat="1" ht="22" hidden="1" customHeight="1" spans="1:23">
      <c r="A524" s="255" t="s">
        <v>1921</v>
      </c>
      <c r="B524" s="174" t="s">
        <v>30</v>
      </c>
      <c r="C524" s="175"/>
      <c r="D524" s="229" t="s">
        <v>0</v>
      </c>
      <c r="E524" s="82" t="s">
        <v>1377</v>
      </c>
      <c r="F524" s="81">
        <f>IFERROR(VLOOKUP(E524,客户!B:C,2,FALSE),"/")</f>
        <v>0</v>
      </c>
      <c r="G524" s="80" t="s">
        <v>1517</v>
      </c>
      <c r="H524" s="45" t="s">
        <v>123</v>
      </c>
      <c r="I524" s="45" t="s">
        <v>1095</v>
      </c>
      <c r="J524" s="108">
        <v>44644</v>
      </c>
      <c r="K524" s="178">
        <v>44751</v>
      </c>
      <c r="L524" s="100"/>
      <c r="M524" s="165" t="s">
        <v>1922</v>
      </c>
      <c r="N524" s="198" t="s">
        <v>1923</v>
      </c>
      <c r="O524" s="104" t="s">
        <v>523</v>
      </c>
      <c r="P524" s="139">
        <v>28872</v>
      </c>
      <c r="Q524" s="102">
        <v>5775</v>
      </c>
      <c r="R524" s="241"/>
      <c r="S524" s="242"/>
      <c r="T524" s="240"/>
      <c r="U524" s="100"/>
      <c r="V524" s="130"/>
      <c r="W524" s="170"/>
    </row>
    <row r="525" s="39" customFormat="1" ht="22" hidden="1" customHeight="1" spans="1:23">
      <c r="A525" s="255" t="s">
        <v>1924</v>
      </c>
      <c r="B525" s="174" t="s">
        <v>30</v>
      </c>
      <c r="C525" s="175"/>
      <c r="D525" s="229" t="s">
        <v>3</v>
      </c>
      <c r="E525" s="82" t="s">
        <v>1913</v>
      </c>
      <c r="F525" s="81">
        <f>IFERROR(VLOOKUP(E525,客户!B:C,2,FALSE),"/")</f>
        <v>0</v>
      </c>
      <c r="G525" s="80" t="s">
        <v>1925</v>
      </c>
      <c r="H525" s="45" t="s">
        <v>123</v>
      </c>
      <c r="I525" s="45" t="s">
        <v>1915</v>
      </c>
      <c r="J525" s="108">
        <v>44646</v>
      </c>
      <c r="K525" s="159"/>
      <c r="L525" s="100"/>
      <c r="M525" s="165" t="s">
        <v>1926</v>
      </c>
      <c r="N525" s="108"/>
      <c r="O525" s="104" t="s">
        <v>523</v>
      </c>
      <c r="P525" s="139" t="s">
        <v>1927</v>
      </c>
      <c r="Q525" s="262">
        <v>9710.28</v>
      </c>
      <c r="R525" s="241"/>
      <c r="S525" s="242"/>
      <c r="T525" s="240"/>
      <c r="U525" s="100"/>
      <c r="V525" s="130"/>
      <c r="W525" s="170"/>
    </row>
    <row r="526" s="39" customFormat="1" ht="22" hidden="1" customHeight="1" spans="1:23">
      <c r="A526" s="255" t="s">
        <v>1928</v>
      </c>
      <c r="B526" s="174" t="s">
        <v>30</v>
      </c>
      <c r="C526" s="175"/>
      <c r="D526" s="229" t="s">
        <v>3</v>
      </c>
      <c r="E526" s="82" t="s">
        <v>1913</v>
      </c>
      <c r="F526" s="81">
        <f>IFERROR(VLOOKUP(E526,客户!B:C,2,FALSE),"/")</f>
        <v>0</v>
      </c>
      <c r="G526" s="80" t="s">
        <v>1929</v>
      </c>
      <c r="H526" s="45" t="s">
        <v>123</v>
      </c>
      <c r="I526" s="45" t="s">
        <v>1915</v>
      </c>
      <c r="J526" s="108">
        <v>44650</v>
      </c>
      <c r="K526" s="159"/>
      <c r="L526" s="100"/>
      <c r="M526" s="165" t="s">
        <v>1930</v>
      </c>
      <c r="N526" s="108"/>
      <c r="O526" s="104" t="s">
        <v>523</v>
      </c>
      <c r="P526" s="263">
        <v>39205.1</v>
      </c>
      <c r="Q526" s="262"/>
      <c r="R526" s="241"/>
      <c r="S526" s="242"/>
      <c r="T526" s="240"/>
      <c r="U526" s="100"/>
      <c r="V526" s="130"/>
      <c r="W526" s="170"/>
    </row>
    <row r="527" s="39" customFormat="1" ht="22" hidden="1" customHeight="1" spans="1:23">
      <c r="A527" s="144" t="s">
        <v>1931</v>
      </c>
      <c r="B527" s="174" t="s">
        <v>30</v>
      </c>
      <c r="C527" s="175"/>
      <c r="D527" s="229" t="s">
        <v>31</v>
      </c>
      <c r="E527" s="82" t="s">
        <v>1913</v>
      </c>
      <c r="F527" s="81">
        <f>IFERROR(VLOOKUP(E527,客户!B:C,2,FALSE),"/")</f>
        <v>0</v>
      </c>
      <c r="G527" s="82" t="s">
        <v>1932</v>
      </c>
      <c r="H527" s="45" t="s">
        <v>123</v>
      </c>
      <c r="I527" s="45" t="s">
        <v>1915</v>
      </c>
      <c r="J527" s="108">
        <v>44653</v>
      </c>
      <c r="K527" s="159">
        <v>44714</v>
      </c>
      <c r="L527" s="100">
        <v>44743</v>
      </c>
      <c r="M527" s="165" t="s">
        <v>1933</v>
      </c>
      <c r="N527" s="198" t="s">
        <v>1934</v>
      </c>
      <c r="O527" s="104" t="s">
        <v>523</v>
      </c>
      <c r="P527" s="262">
        <v>48426.2</v>
      </c>
      <c r="Q527" s="262">
        <v>3869.72</v>
      </c>
      <c r="R527" s="262"/>
      <c r="S527" s="242"/>
      <c r="T527" s="262">
        <f>77246.61-T522</f>
        <v>43484.77</v>
      </c>
      <c r="U527" s="262">
        <v>1071.71</v>
      </c>
      <c r="V527" s="219" t="s">
        <v>1935</v>
      </c>
      <c r="W527" s="170"/>
    </row>
    <row r="528" s="39" customFormat="1" ht="22" hidden="1" customHeight="1" spans="1:23">
      <c r="A528" s="144" t="s">
        <v>1936</v>
      </c>
      <c r="B528" s="174" t="s">
        <v>30</v>
      </c>
      <c r="C528" s="175"/>
      <c r="D528" s="229" t="s">
        <v>31</v>
      </c>
      <c r="E528" s="82" t="s">
        <v>1121</v>
      </c>
      <c r="F528" s="81">
        <f>IFERROR(VLOOKUP(E528,客户!B:C,2,FALSE),"/")</f>
        <v>0</v>
      </c>
      <c r="G528" s="82" t="s">
        <v>1937</v>
      </c>
      <c r="H528" s="45" t="s">
        <v>123</v>
      </c>
      <c r="I528" s="45" t="s">
        <v>215</v>
      </c>
      <c r="J528" s="108">
        <v>44665</v>
      </c>
      <c r="K528" s="159">
        <v>44696</v>
      </c>
      <c r="L528" s="100">
        <v>44718</v>
      </c>
      <c r="M528" s="165" t="s">
        <v>1938</v>
      </c>
      <c r="N528" s="198" t="s">
        <v>1939</v>
      </c>
      <c r="O528" s="104" t="s">
        <v>523</v>
      </c>
      <c r="P528" s="102">
        <v>67510.46</v>
      </c>
      <c r="Q528" s="102">
        <f>15000+15000</f>
        <v>30000</v>
      </c>
      <c r="R528" s="241"/>
      <c r="S528" s="242"/>
      <c r="T528" s="102">
        <v>37510.46</v>
      </c>
      <c r="U528" s="100"/>
      <c r="V528" s="130"/>
      <c r="W528" s="170"/>
    </row>
    <row r="529" s="39" customFormat="1" ht="22" hidden="1" customHeight="1" spans="1:23">
      <c r="A529" s="255" t="s">
        <v>1940</v>
      </c>
      <c r="B529" s="174" t="s">
        <v>30</v>
      </c>
      <c r="C529" s="175"/>
      <c r="D529" s="229" t="s">
        <v>3</v>
      </c>
      <c r="E529" s="82" t="s">
        <v>1117</v>
      </c>
      <c r="F529" s="81">
        <f>IFERROR(VLOOKUP(E529,客户!B:C,2,FALSE),"/")</f>
        <v>0</v>
      </c>
      <c r="G529" s="82" t="s">
        <v>1941</v>
      </c>
      <c r="H529" s="45" t="s">
        <v>123</v>
      </c>
      <c r="I529" s="45" t="s">
        <v>1533</v>
      </c>
      <c r="J529" s="108">
        <v>44668</v>
      </c>
      <c r="K529" s="159"/>
      <c r="L529" s="100"/>
      <c r="M529" s="165" t="s">
        <v>1942</v>
      </c>
      <c r="N529" s="108"/>
      <c r="O529" s="104" t="s">
        <v>970</v>
      </c>
      <c r="P529" s="139">
        <v>83647.35</v>
      </c>
      <c r="Q529" s="102">
        <v>25000</v>
      </c>
      <c r="R529" s="241"/>
      <c r="S529" s="242"/>
      <c r="T529" s="240"/>
      <c r="U529" s="100"/>
      <c r="V529" s="130"/>
      <c r="W529" s="170"/>
    </row>
    <row r="530" s="39" customFormat="1" ht="22" hidden="1" customHeight="1" spans="1:23">
      <c r="A530" s="144" t="s">
        <v>1943</v>
      </c>
      <c r="B530" s="174" t="s">
        <v>30</v>
      </c>
      <c r="C530" s="175"/>
      <c r="D530" s="229" t="s">
        <v>31</v>
      </c>
      <c r="E530" s="82" t="s">
        <v>1944</v>
      </c>
      <c r="F530" s="81">
        <f>IFERROR(VLOOKUP(E530,客户!B:C,2,FALSE),"/")</f>
        <v>0</v>
      </c>
      <c r="G530" s="82" t="s">
        <v>1945</v>
      </c>
      <c r="H530" s="45" t="s">
        <v>186</v>
      </c>
      <c r="I530" s="45"/>
      <c r="J530" s="108">
        <v>44670</v>
      </c>
      <c r="K530" s="159">
        <v>44679</v>
      </c>
      <c r="L530" s="100"/>
      <c r="M530" s="165"/>
      <c r="N530" s="108"/>
      <c r="O530" s="104" t="s">
        <v>970</v>
      </c>
      <c r="P530" s="240">
        <v>18155.82</v>
      </c>
      <c r="Q530" s="240">
        <v>16319.41</v>
      </c>
      <c r="R530" s="241"/>
      <c r="S530" s="242"/>
      <c r="T530" s="240">
        <v>1836.41</v>
      </c>
      <c r="U530" s="100"/>
      <c r="V530" s="130"/>
      <c r="W530" s="170"/>
    </row>
    <row r="531" s="39" customFormat="1" ht="22" hidden="1" customHeight="1" spans="1:23">
      <c r="A531" s="255" t="s">
        <v>1946</v>
      </c>
      <c r="B531" s="174" t="s">
        <v>30</v>
      </c>
      <c r="C531" s="175"/>
      <c r="D531" s="229" t="s">
        <v>3</v>
      </c>
      <c r="E531" s="82" t="s">
        <v>1913</v>
      </c>
      <c r="F531" s="81"/>
      <c r="G531" s="82" t="s">
        <v>1947</v>
      </c>
      <c r="H531" s="45" t="s">
        <v>123</v>
      </c>
      <c r="I531" s="45" t="s">
        <v>1915</v>
      </c>
      <c r="J531" s="108">
        <v>44671</v>
      </c>
      <c r="K531" s="159"/>
      <c r="L531" s="100"/>
      <c r="M531" s="165" t="s">
        <v>1948</v>
      </c>
      <c r="N531" s="108"/>
      <c r="O531" s="104" t="s">
        <v>523</v>
      </c>
      <c r="P531" s="263">
        <v>39133.5</v>
      </c>
      <c r="Q531" s="262">
        <f>11740.05/3</f>
        <v>3913.35</v>
      </c>
      <c r="R531" s="241"/>
      <c r="S531" s="242"/>
      <c r="T531" s="240"/>
      <c r="U531" s="100"/>
      <c r="V531" s="130"/>
      <c r="W531" s="170"/>
    </row>
    <row r="532" s="39" customFormat="1" ht="22" hidden="1" customHeight="1" spans="1:23">
      <c r="A532" s="255" t="s">
        <v>1949</v>
      </c>
      <c r="B532" s="174" t="s">
        <v>30</v>
      </c>
      <c r="C532" s="175"/>
      <c r="D532" s="229" t="s">
        <v>3</v>
      </c>
      <c r="E532" s="82" t="s">
        <v>1913</v>
      </c>
      <c r="F532" s="81"/>
      <c r="G532" s="82" t="s">
        <v>1947</v>
      </c>
      <c r="H532" s="45" t="s">
        <v>123</v>
      </c>
      <c r="I532" s="45" t="s">
        <v>1915</v>
      </c>
      <c r="J532" s="108">
        <v>44671</v>
      </c>
      <c r="K532" s="159"/>
      <c r="L532" s="100"/>
      <c r="M532" s="165" t="s">
        <v>1950</v>
      </c>
      <c r="N532" s="108"/>
      <c r="O532" s="104" t="s">
        <v>523</v>
      </c>
      <c r="P532" s="263">
        <v>39133.5</v>
      </c>
      <c r="Q532" s="262">
        <f>11740.05/3</f>
        <v>3913.35</v>
      </c>
      <c r="R532" s="241"/>
      <c r="S532" s="242"/>
      <c r="T532" s="240"/>
      <c r="U532" s="100"/>
      <c r="V532" s="130"/>
      <c r="W532" s="170"/>
    </row>
    <row r="533" s="39" customFormat="1" ht="22" hidden="1" customHeight="1" spans="1:23">
      <c r="A533" s="255" t="s">
        <v>1951</v>
      </c>
      <c r="B533" s="174" t="s">
        <v>30</v>
      </c>
      <c r="C533" s="175"/>
      <c r="D533" s="229" t="s">
        <v>3</v>
      </c>
      <c r="E533" s="82" t="s">
        <v>1913</v>
      </c>
      <c r="F533" s="81"/>
      <c r="G533" s="82" t="s">
        <v>1947</v>
      </c>
      <c r="H533" s="45" t="s">
        <v>123</v>
      </c>
      <c r="I533" s="45" t="s">
        <v>1915</v>
      </c>
      <c r="J533" s="108">
        <v>44671</v>
      </c>
      <c r="K533" s="159"/>
      <c r="L533" s="100"/>
      <c r="M533" s="165" t="s">
        <v>1948</v>
      </c>
      <c r="N533" s="108"/>
      <c r="O533" s="104" t="s">
        <v>523</v>
      </c>
      <c r="P533" s="263">
        <v>39133.5</v>
      </c>
      <c r="Q533" s="262">
        <f>11740.05/3</f>
        <v>3913.35</v>
      </c>
      <c r="R533" s="241"/>
      <c r="S533" s="242"/>
      <c r="T533" s="240"/>
      <c r="U533" s="100"/>
      <c r="V533" s="130"/>
      <c r="W533" s="170"/>
    </row>
    <row r="534" s="39" customFormat="1" ht="22" hidden="1" customHeight="1" spans="1:23">
      <c r="A534" s="144" t="s">
        <v>1952</v>
      </c>
      <c r="B534" s="174" t="s">
        <v>30</v>
      </c>
      <c r="C534" s="175"/>
      <c r="D534" s="229" t="s">
        <v>31</v>
      </c>
      <c r="E534" s="82" t="s">
        <v>1953</v>
      </c>
      <c r="F534" s="81">
        <f>IFERROR(VLOOKUP(E534,客户!B:C,2,FALSE),"/")</f>
        <v>0</v>
      </c>
      <c r="G534" s="82" t="s">
        <v>1954</v>
      </c>
      <c r="H534" s="45" t="s">
        <v>186</v>
      </c>
      <c r="I534" s="45"/>
      <c r="J534" s="108">
        <v>44671</v>
      </c>
      <c r="K534" s="159">
        <v>44707</v>
      </c>
      <c r="L534" s="100"/>
      <c r="M534" s="165" t="s">
        <v>1955</v>
      </c>
      <c r="N534" s="108"/>
      <c r="O534" s="104" t="s">
        <v>970</v>
      </c>
      <c r="P534" s="240">
        <f>67500+3825</f>
        <v>71325</v>
      </c>
      <c r="Q534" s="240">
        <v>20250</v>
      </c>
      <c r="R534" s="241"/>
      <c r="S534" s="242"/>
      <c r="T534" s="240">
        <v>51075</v>
      </c>
      <c r="U534" s="100"/>
      <c r="V534" s="130"/>
      <c r="W534" s="170"/>
    </row>
    <row r="535" s="39" customFormat="1" ht="22" hidden="1" customHeight="1" spans="1:23">
      <c r="A535" s="144" t="s">
        <v>1956</v>
      </c>
      <c r="B535" s="174" t="s">
        <v>30</v>
      </c>
      <c r="C535" s="175"/>
      <c r="D535" s="229" t="s">
        <v>31</v>
      </c>
      <c r="E535" s="82" t="s">
        <v>1957</v>
      </c>
      <c r="F535" s="81">
        <f>IFERROR(VLOOKUP(E535,客户!B:C,2,FALSE),"/")</f>
        <v>0</v>
      </c>
      <c r="G535" s="82" t="s">
        <v>1958</v>
      </c>
      <c r="H535" s="45" t="s">
        <v>186</v>
      </c>
      <c r="I535" s="45"/>
      <c r="J535" s="108">
        <v>44676</v>
      </c>
      <c r="K535" s="159">
        <v>44676</v>
      </c>
      <c r="L535" s="100"/>
      <c r="M535" s="165"/>
      <c r="N535" s="108"/>
      <c r="O535" s="104" t="s">
        <v>970</v>
      </c>
      <c r="P535" s="240">
        <v>1980</v>
      </c>
      <c r="Q535" s="240"/>
      <c r="R535" s="241"/>
      <c r="S535" s="242"/>
      <c r="T535" s="240"/>
      <c r="U535" s="100"/>
      <c r="V535" s="130"/>
      <c r="W535" s="170"/>
    </row>
    <row r="536" s="39" customFormat="1" ht="22" hidden="1" customHeight="1" spans="1:23">
      <c r="A536" s="255" t="s">
        <v>1959</v>
      </c>
      <c r="B536" s="174" t="s">
        <v>30</v>
      </c>
      <c r="C536" s="175"/>
      <c r="D536" s="229" t="s">
        <v>3</v>
      </c>
      <c r="E536" s="82" t="s">
        <v>1238</v>
      </c>
      <c r="F536" s="81">
        <f>IFERROR(VLOOKUP(E536,客户!B:C,2,FALSE),"/")</f>
        <v>0</v>
      </c>
      <c r="G536" s="82" t="s">
        <v>1960</v>
      </c>
      <c r="H536" s="45" t="s">
        <v>123</v>
      </c>
      <c r="I536" s="45" t="s">
        <v>1662</v>
      </c>
      <c r="J536" s="108">
        <v>44678</v>
      </c>
      <c r="K536" s="159"/>
      <c r="L536" s="100"/>
      <c r="M536" s="165" t="s">
        <v>1961</v>
      </c>
      <c r="N536" s="108"/>
      <c r="O536" s="104" t="s">
        <v>523</v>
      </c>
      <c r="P536" s="139">
        <v>26797.41</v>
      </c>
      <c r="Q536" s="102">
        <v>1571</v>
      </c>
      <c r="R536" s="241"/>
      <c r="S536" s="242"/>
      <c r="T536" s="240"/>
      <c r="U536" s="100"/>
      <c r="V536" s="130"/>
      <c r="W536" s="170"/>
    </row>
    <row r="537" s="39" customFormat="1" ht="22" hidden="1" customHeight="1" spans="1:23">
      <c r="A537" s="255" t="s">
        <v>1962</v>
      </c>
      <c r="B537" s="174" t="s">
        <v>30</v>
      </c>
      <c r="C537" s="175"/>
      <c r="D537" s="229" t="s">
        <v>2</v>
      </c>
      <c r="E537" s="82" t="s">
        <v>1167</v>
      </c>
      <c r="F537" s="81">
        <f>IFERROR(VLOOKUP(E537,客户!B:C,2,FALSE),"/")</f>
        <v>0</v>
      </c>
      <c r="G537" s="80" t="s">
        <v>1895</v>
      </c>
      <c r="H537" s="45" t="s">
        <v>123</v>
      </c>
      <c r="I537" s="45" t="s">
        <v>550</v>
      </c>
      <c r="J537" s="108">
        <v>44683</v>
      </c>
      <c r="K537" s="159">
        <v>44724</v>
      </c>
      <c r="L537" s="100">
        <v>44757</v>
      </c>
      <c r="M537" s="165" t="s">
        <v>1963</v>
      </c>
      <c r="N537" s="198" t="s">
        <v>1964</v>
      </c>
      <c r="O537" s="104" t="s">
        <v>523</v>
      </c>
      <c r="P537" s="102">
        <v>49634.07</v>
      </c>
      <c r="Q537" s="102">
        <v>14200</v>
      </c>
      <c r="R537" s="241">
        <f>P537-Q537</f>
        <v>35434.07</v>
      </c>
      <c r="S537" s="242"/>
      <c r="T537" s="240"/>
      <c r="U537" s="100"/>
      <c r="V537" s="130"/>
      <c r="W537" s="170"/>
    </row>
    <row r="538" s="39" customFormat="1" ht="22" customHeight="1" spans="1:23">
      <c r="A538" s="255" t="s">
        <v>1965</v>
      </c>
      <c r="B538" s="174" t="s">
        <v>30</v>
      </c>
      <c r="C538" s="175"/>
      <c r="D538" s="229" t="s">
        <v>1</v>
      </c>
      <c r="E538" s="82" t="s">
        <v>1345</v>
      </c>
      <c r="F538" s="81" t="str">
        <f>IFERROR(VLOOKUP(E538,客户!B:C,2,FALSE),"/")</f>
        <v>J4159还差USD265.65没付齐 J4220还有定金5674.3 账上剩5408.65</v>
      </c>
      <c r="G538" s="80" t="s">
        <v>1517</v>
      </c>
      <c r="H538" s="45" t="s">
        <v>123</v>
      </c>
      <c r="I538" s="45" t="s">
        <v>1842</v>
      </c>
      <c r="J538" s="108">
        <v>44683</v>
      </c>
      <c r="K538" s="159">
        <v>44736</v>
      </c>
      <c r="L538" s="100"/>
      <c r="M538" s="165" t="s">
        <v>1966</v>
      </c>
      <c r="N538" s="198" t="s">
        <v>1967</v>
      </c>
      <c r="O538" s="104" t="s">
        <v>523</v>
      </c>
      <c r="P538" s="102">
        <v>26917.23</v>
      </c>
      <c r="Q538" s="102">
        <v>5856.36</v>
      </c>
      <c r="R538" s="241">
        <f>P538-Q538</f>
        <v>21060.87</v>
      </c>
      <c r="S538" s="242"/>
      <c r="T538" s="240"/>
      <c r="U538" s="100"/>
      <c r="V538" s="130"/>
      <c r="W538" s="170"/>
    </row>
    <row r="539" s="39" customFormat="1" ht="22" hidden="1" customHeight="1" spans="1:23">
      <c r="A539" s="255" t="s">
        <v>1968</v>
      </c>
      <c r="B539" s="174" t="s">
        <v>30</v>
      </c>
      <c r="C539" s="175"/>
      <c r="D539" s="229" t="s">
        <v>3</v>
      </c>
      <c r="E539" s="82" t="s">
        <v>1326</v>
      </c>
      <c r="F539" s="81">
        <f>IFERROR(VLOOKUP(E539,客户!B:C,2,FALSE),"/")</f>
        <v>0</v>
      </c>
      <c r="G539" s="80" t="s">
        <v>1969</v>
      </c>
      <c r="H539" s="45" t="s">
        <v>123</v>
      </c>
      <c r="I539" s="45" t="s">
        <v>1327</v>
      </c>
      <c r="J539" s="108">
        <v>44687</v>
      </c>
      <c r="K539" s="159"/>
      <c r="L539" s="100"/>
      <c r="M539" s="165" t="s">
        <v>1970</v>
      </c>
      <c r="N539" s="108"/>
      <c r="O539" s="104" t="s">
        <v>523</v>
      </c>
      <c r="P539" s="139">
        <v>27978</v>
      </c>
      <c r="Q539" s="102">
        <v>5586.21</v>
      </c>
      <c r="R539" s="241"/>
      <c r="S539" s="242"/>
      <c r="T539" s="240"/>
      <c r="U539" s="100"/>
      <c r="V539" s="130"/>
      <c r="W539" s="170"/>
    </row>
    <row r="540" s="39" customFormat="1" ht="22" hidden="1" customHeight="1" spans="1:23">
      <c r="A540" s="255" t="s">
        <v>1971</v>
      </c>
      <c r="B540" s="174" t="s">
        <v>30</v>
      </c>
      <c r="C540" s="175"/>
      <c r="D540" s="229" t="s">
        <v>3</v>
      </c>
      <c r="E540" s="82" t="s">
        <v>1326</v>
      </c>
      <c r="F540" s="81">
        <f>IFERROR(VLOOKUP(E540,客户!B:C,2,FALSE),"/")</f>
        <v>0</v>
      </c>
      <c r="G540" s="80" t="s">
        <v>1969</v>
      </c>
      <c r="H540" s="45" t="s">
        <v>123</v>
      </c>
      <c r="I540" s="45" t="s">
        <v>1327</v>
      </c>
      <c r="J540" s="108">
        <v>44687</v>
      </c>
      <c r="K540" s="159"/>
      <c r="L540" s="100"/>
      <c r="M540" s="165" t="s">
        <v>1970</v>
      </c>
      <c r="N540" s="108"/>
      <c r="O540" s="104" t="s">
        <v>523</v>
      </c>
      <c r="P540" s="139">
        <v>27844.03</v>
      </c>
      <c r="Q540" s="102">
        <f>11172.41-5586.21</f>
        <v>5586.2</v>
      </c>
      <c r="R540" s="241"/>
      <c r="S540" s="242"/>
      <c r="T540" s="240"/>
      <c r="U540" s="100"/>
      <c r="V540" s="130"/>
      <c r="W540" s="170"/>
    </row>
    <row r="541" s="39" customFormat="1" ht="22" hidden="1" customHeight="1" spans="1:23">
      <c r="A541" s="255" t="s">
        <v>1972</v>
      </c>
      <c r="B541" s="174" t="s">
        <v>30</v>
      </c>
      <c r="C541" s="175"/>
      <c r="D541" s="229" t="s">
        <v>3</v>
      </c>
      <c r="E541" s="82" t="s">
        <v>1167</v>
      </c>
      <c r="F541" s="81">
        <f>IFERROR(VLOOKUP(E541,客户!B:C,2,FALSE),"/")</f>
        <v>0</v>
      </c>
      <c r="G541" s="80" t="s">
        <v>1895</v>
      </c>
      <c r="H541" s="45" t="s">
        <v>123</v>
      </c>
      <c r="I541" s="45" t="s">
        <v>550</v>
      </c>
      <c r="J541" s="108">
        <v>44698</v>
      </c>
      <c r="K541" s="159"/>
      <c r="L541" s="100"/>
      <c r="M541" s="165" t="s">
        <v>1973</v>
      </c>
      <c r="N541" s="108"/>
      <c r="O541" s="104" t="s">
        <v>523</v>
      </c>
      <c r="P541" s="139">
        <v>32362.26</v>
      </c>
      <c r="Q541" s="266">
        <v>20000</v>
      </c>
      <c r="R541" s="241"/>
      <c r="S541" s="242"/>
      <c r="T541" s="240"/>
      <c r="U541" s="100"/>
      <c r="V541" s="130"/>
      <c r="W541" s="170"/>
    </row>
    <row r="542" s="39" customFormat="1" ht="22" hidden="1" customHeight="1" spans="1:23">
      <c r="A542" s="255" t="s">
        <v>1974</v>
      </c>
      <c r="B542" s="174" t="s">
        <v>30</v>
      </c>
      <c r="C542" s="175"/>
      <c r="D542" s="229" t="s">
        <v>3</v>
      </c>
      <c r="E542" s="82" t="s">
        <v>1167</v>
      </c>
      <c r="F542" s="81">
        <f>IFERROR(VLOOKUP(E542,客户!B:C,2,FALSE),"/")</f>
        <v>0</v>
      </c>
      <c r="G542" s="80" t="s">
        <v>1895</v>
      </c>
      <c r="H542" s="45" t="s">
        <v>123</v>
      </c>
      <c r="I542" s="45" t="s">
        <v>550</v>
      </c>
      <c r="J542" s="108">
        <v>44698</v>
      </c>
      <c r="K542" s="159"/>
      <c r="L542" s="100"/>
      <c r="M542" s="165" t="s">
        <v>1975</v>
      </c>
      <c r="N542" s="108"/>
      <c r="O542" s="104" t="s">
        <v>523</v>
      </c>
      <c r="P542" s="139">
        <v>33653.61</v>
      </c>
      <c r="Q542" s="267"/>
      <c r="R542" s="241"/>
      <c r="S542" s="242"/>
      <c r="T542" s="240"/>
      <c r="U542" s="100"/>
      <c r="V542" s="130"/>
      <c r="W542" s="170"/>
    </row>
    <row r="543" s="39" customFormat="1" ht="22" hidden="1" customHeight="1" spans="1:23">
      <c r="A543" s="255" t="s">
        <v>1976</v>
      </c>
      <c r="B543" s="174" t="s">
        <v>30</v>
      </c>
      <c r="C543" s="175"/>
      <c r="D543" s="229" t="s">
        <v>3</v>
      </c>
      <c r="E543" s="82" t="s">
        <v>1717</v>
      </c>
      <c r="F543" s="81">
        <f>IFERROR(VLOOKUP(E543,客户!B:C,2,FALSE),"/")</f>
        <v>0</v>
      </c>
      <c r="G543" s="80" t="s">
        <v>1977</v>
      </c>
      <c r="H543" s="45" t="s">
        <v>123</v>
      </c>
      <c r="I543" s="45" t="s">
        <v>215</v>
      </c>
      <c r="J543" s="108">
        <v>44701</v>
      </c>
      <c r="K543" s="159"/>
      <c r="L543" s="100"/>
      <c r="M543" s="165" t="s">
        <v>1978</v>
      </c>
      <c r="N543" s="108"/>
      <c r="O543" s="104" t="s">
        <v>523</v>
      </c>
      <c r="P543" s="139">
        <v>122088.96</v>
      </c>
      <c r="Q543" s="102">
        <v>36626</v>
      </c>
      <c r="R543" s="241"/>
      <c r="S543" s="242"/>
      <c r="T543" s="240"/>
      <c r="U543" s="100"/>
      <c r="V543" s="130"/>
      <c r="W543" s="170"/>
    </row>
    <row r="544" s="39" customFormat="1" ht="22" hidden="1" customHeight="1" spans="1:23">
      <c r="A544" s="255" t="s">
        <v>1979</v>
      </c>
      <c r="B544" s="174" t="s">
        <v>30</v>
      </c>
      <c r="C544" s="175"/>
      <c r="D544" s="229" t="s">
        <v>3</v>
      </c>
      <c r="E544" s="82" t="s">
        <v>1117</v>
      </c>
      <c r="F544" s="81">
        <f>IFERROR(VLOOKUP(E544,客户!B:C,2,FALSE),"/")</f>
        <v>0</v>
      </c>
      <c r="G544" s="80" t="s">
        <v>222</v>
      </c>
      <c r="H544" s="45" t="s">
        <v>123</v>
      </c>
      <c r="I544" s="45" t="s">
        <v>1533</v>
      </c>
      <c r="J544" s="108">
        <v>44701</v>
      </c>
      <c r="K544" s="159"/>
      <c r="L544" s="100"/>
      <c r="M544" s="165" t="s">
        <v>1980</v>
      </c>
      <c r="N544" s="108"/>
      <c r="O544" s="104" t="s">
        <v>970</v>
      </c>
      <c r="P544" s="139">
        <v>25362.23</v>
      </c>
      <c r="Q544" s="102">
        <v>8000</v>
      </c>
      <c r="R544" s="241"/>
      <c r="S544" s="242"/>
      <c r="T544" s="240"/>
      <c r="U544" s="100"/>
      <c r="V544" s="130"/>
      <c r="W544" s="170"/>
    </row>
    <row r="545" s="39" customFormat="1" ht="22" hidden="1" customHeight="1" spans="1:23">
      <c r="A545" s="255" t="s">
        <v>1981</v>
      </c>
      <c r="B545" s="174" t="s">
        <v>30</v>
      </c>
      <c r="C545" s="175"/>
      <c r="D545" s="229" t="s">
        <v>3</v>
      </c>
      <c r="E545" s="82" t="s">
        <v>1265</v>
      </c>
      <c r="F545" s="81" t="str">
        <f>IFERROR(VLOOKUP(E545,客户!B:C,2,FALSE),"/")</f>
        <v>外送费用945人民币+装箱费用 加在发票里</v>
      </c>
      <c r="G545" s="80" t="s">
        <v>1982</v>
      </c>
      <c r="H545" s="45" t="s">
        <v>123</v>
      </c>
      <c r="I545" s="45" t="s">
        <v>1697</v>
      </c>
      <c r="J545" s="108">
        <v>44702</v>
      </c>
      <c r="K545" s="159"/>
      <c r="L545" s="100"/>
      <c r="M545" s="165" t="s">
        <v>1983</v>
      </c>
      <c r="N545" s="108"/>
      <c r="O545" s="104" t="s">
        <v>680</v>
      </c>
      <c r="P545" s="139">
        <v>79958.4</v>
      </c>
      <c r="Q545" s="102"/>
      <c r="R545" s="241"/>
      <c r="S545" s="242"/>
      <c r="T545" s="240"/>
      <c r="U545" s="100"/>
      <c r="V545" s="130"/>
      <c r="W545" s="170"/>
    </row>
    <row r="546" s="39" customFormat="1" ht="22" hidden="1" customHeight="1" spans="1:23">
      <c r="A546" s="255" t="s">
        <v>1984</v>
      </c>
      <c r="B546" s="174" t="s">
        <v>30</v>
      </c>
      <c r="C546" s="175"/>
      <c r="D546" s="229" t="s">
        <v>3</v>
      </c>
      <c r="E546" s="82" t="s">
        <v>1265</v>
      </c>
      <c r="F546" s="81" t="str">
        <f>IFERROR(VLOOKUP(E546,客户!B:C,2,FALSE),"/")</f>
        <v>外送费用945人民币+装箱费用 加在发票里</v>
      </c>
      <c r="G546" s="80" t="s">
        <v>1985</v>
      </c>
      <c r="H546" s="45" t="s">
        <v>123</v>
      </c>
      <c r="I546" s="45" t="s">
        <v>205</v>
      </c>
      <c r="J546" s="108">
        <v>44702</v>
      </c>
      <c r="K546" s="159"/>
      <c r="L546" s="100"/>
      <c r="M546" s="165" t="s">
        <v>1986</v>
      </c>
      <c r="N546" s="108"/>
      <c r="O546" s="104" t="s">
        <v>680</v>
      </c>
      <c r="P546" s="139">
        <v>106611.2</v>
      </c>
      <c r="Q546" s="102"/>
      <c r="R546" s="241"/>
      <c r="S546" s="242"/>
      <c r="T546" s="240"/>
      <c r="U546" s="100"/>
      <c r="V546" s="130"/>
      <c r="W546" s="170"/>
    </row>
    <row r="547" s="39" customFormat="1" ht="22" hidden="1" customHeight="1" spans="1:23">
      <c r="A547" s="255" t="s">
        <v>1987</v>
      </c>
      <c r="B547" s="174" t="s">
        <v>30</v>
      </c>
      <c r="C547" s="175"/>
      <c r="D547" s="229" t="s">
        <v>3</v>
      </c>
      <c r="E547" s="82" t="s">
        <v>1257</v>
      </c>
      <c r="F547" s="81">
        <f>IFERROR(VLOOKUP(E547,客户!B:C,2,FALSE),"/")</f>
        <v>0</v>
      </c>
      <c r="G547" s="80" t="s">
        <v>222</v>
      </c>
      <c r="H547" s="45" t="s">
        <v>123</v>
      </c>
      <c r="I547" s="45" t="s">
        <v>1149</v>
      </c>
      <c r="J547" s="108">
        <v>44710</v>
      </c>
      <c r="K547" s="159"/>
      <c r="L547" s="100"/>
      <c r="M547" s="165" t="s">
        <v>1988</v>
      </c>
      <c r="N547" s="108"/>
      <c r="O547" s="104" t="s">
        <v>523</v>
      </c>
      <c r="P547" s="139">
        <v>25762.57</v>
      </c>
      <c r="Q547" s="102"/>
      <c r="R547" s="241"/>
      <c r="S547" s="242"/>
      <c r="T547" s="240"/>
      <c r="U547" s="100"/>
      <c r="V547" s="130"/>
      <c r="W547" s="170"/>
    </row>
    <row r="548" s="39" customFormat="1" ht="22" hidden="1" customHeight="1" spans="1:23">
      <c r="A548" s="255" t="s">
        <v>1989</v>
      </c>
      <c r="B548" s="174" t="s">
        <v>30</v>
      </c>
      <c r="C548" s="175"/>
      <c r="D548" s="229" t="s">
        <v>3</v>
      </c>
      <c r="E548" s="82" t="s">
        <v>1167</v>
      </c>
      <c r="F548" s="81">
        <f>IFERROR(VLOOKUP(E548,客户!B:C,2,FALSE),"/")</f>
        <v>0</v>
      </c>
      <c r="G548" s="80" t="s">
        <v>1895</v>
      </c>
      <c r="H548" s="45" t="s">
        <v>123</v>
      </c>
      <c r="I548" s="45" t="s">
        <v>550</v>
      </c>
      <c r="J548" s="108">
        <v>44711</v>
      </c>
      <c r="K548" s="159"/>
      <c r="L548" s="100"/>
      <c r="M548" s="165" t="s">
        <v>1990</v>
      </c>
      <c r="N548" s="108"/>
      <c r="O548" s="104" t="s">
        <v>523</v>
      </c>
      <c r="P548" s="139">
        <v>31126.3</v>
      </c>
      <c r="Q548" s="102">
        <v>9400</v>
      </c>
      <c r="R548" s="241"/>
      <c r="S548" s="242"/>
      <c r="T548" s="240"/>
      <c r="U548" s="100"/>
      <c r="V548" s="130"/>
      <c r="W548" s="170"/>
    </row>
    <row r="549" s="39" customFormat="1" ht="22" hidden="1" customHeight="1" spans="1:23">
      <c r="A549" s="255" t="s">
        <v>1991</v>
      </c>
      <c r="B549" s="174" t="s">
        <v>30</v>
      </c>
      <c r="C549" s="175"/>
      <c r="D549" s="229" t="s">
        <v>3</v>
      </c>
      <c r="E549" s="82" t="s">
        <v>1249</v>
      </c>
      <c r="F549" s="81">
        <f>IFERROR(VLOOKUP(E549,客户!B:C,2,FALSE),"/")</f>
        <v>0</v>
      </c>
      <c r="G549" s="80" t="s">
        <v>222</v>
      </c>
      <c r="H549" s="45" t="s">
        <v>123</v>
      </c>
      <c r="I549" s="45" t="s">
        <v>1250</v>
      </c>
      <c r="J549" s="108">
        <v>44718</v>
      </c>
      <c r="K549" s="159"/>
      <c r="L549" s="100"/>
      <c r="M549" s="165" t="s">
        <v>1992</v>
      </c>
      <c r="N549" s="108"/>
      <c r="O549" s="104" t="s">
        <v>523</v>
      </c>
      <c r="P549" s="139">
        <v>25164.89</v>
      </c>
      <c r="Q549" s="102">
        <v>7550</v>
      </c>
      <c r="R549" s="241"/>
      <c r="S549" s="242"/>
      <c r="T549" s="240"/>
      <c r="U549" s="100"/>
      <c r="V549" s="130"/>
      <c r="W549" s="170"/>
    </row>
    <row r="550" s="39" customFormat="1" ht="22" hidden="1" customHeight="1" spans="1:23">
      <c r="A550" s="255" t="s">
        <v>1993</v>
      </c>
      <c r="B550" s="174" t="s">
        <v>30</v>
      </c>
      <c r="C550" s="175"/>
      <c r="D550" s="229" t="s">
        <v>3</v>
      </c>
      <c r="E550" s="82" t="s">
        <v>1083</v>
      </c>
      <c r="F550" s="81">
        <f>IFERROR(VLOOKUP(E550,客户!B:C,2,FALSE),"/")</f>
        <v>0</v>
      </c>
      <c r="G550" s="80" t="s">
        <v>222</v>
      </c>
      <c r="H550" s="45" t="s">
        <v>123</v>
      </c>
      <c r="I550" s="45" t="s">
        <v>232</v>
      </c>
      <c r="J550" s="108">
        <v>44720</v>
      </c>
      <c r="K550" s="159"/>
      <c r="L550" s="100"/>
      <c r="M550" s="165" t="s">
        <v>1994</v>
      </c>
      <c r="N550" s="108"/>
      <c r="O550" s="104" t="s">
        <v>523</v>
      </c>
      <c r="P550" s="139">
        <v>27296</v>
      </c>
      <c r="Q550" s="102"/>
      <c r="R550" s="241"/>
      <c r="S550" s="242"/>
      <c r="T550" s="240"/>
      <c r="U550" s="100"/>
      <c r="V550" s="130"/>
      <c r="W550" s="170"/>
    </row>
    <row r="551" s="39" customFormat="1" ht="22" hidden="1" customHeight="1" spans="1:23">
      <c r="A551" s="255" t="s">
        <v>1995</v>
      </c>
      <c r="B551" s="174" t="s">
        <v>30</v>
      </c>
      <c r="C551" s="175"/>
      <c r="D551" s="229" t="s">
        <v>3</v>
      </c>
      <c r="E551" s="82" t="s">
        <v>1121</v>
      </c>
      <c r="F551" s="81">
        <f>IFERROR(VLOOKUP(E551,客户!B:C,2,FALSE),"/")</f>
        <v>0</v>
      </c>
      <c r="G551" s="80" t="s">
        <v>1996</v>
      </c>
      <c r="H551" s="45" t="s">
        <v>123</v>
      </c>
      <c r="I551" s="45" t="s">
        <v>215</v>
      </c>
      <c r="J551" s="108">
        <v>44720</v>
      </c>
      <c r="K551" s="159"/>
      <c r="L551" s="100"/>
      <c r="M551" s="165" t="s">
        <v>1997</v>
      </c>
      <c r="N551" s="108"/>
      <c r="O551" s="104" t="s">
        <v>523</v>
      </c>
      <c r="P551" s="139">
        <v>140009.4</v>
      </c>
      <c r="Q551" s="102"/>
      <c r="R551" s="241"/>
      <c r="S551" s="242"/>
      <c r="T551" s="240"/>
      <c r="U551" s="100"/>
      <c r="V551" s="130"/>
      <c r="W551" s="170"/>
    </row>
    <row r="552" s="39" customFormat="1" ht="22" hidden="1" customHeight="1" spans="1:23">
      <c r="A552" s="255" t="s">
        <v>1998</v>
      </c>
      <c r="B552" s="174" t="s">
        <v>30</v>
      </c>
      <c r="C552" s="175"/>
      <c r="D552" s="229" t="s">
        <v>3</v>
      </c>
      <c r="E552" s="82" t="s">
        <v>1083</v>
      </c>
      <c r="F552" s="81">
        <f>IFERROR(VLOOKUP(E552,客户!B:C,2,FALSE),"/")</f>
        <v>0</v>
      </c>
      <c r="G552" s="80" t="s">
        <v>222</v>
      </c>
      <c r="H552" s="45" t="s">
        <v>123</v>
      </c>
      <c r="I552" s="45" t="s">
        <v>232</v>
      </c>
      <c r="J552" s="108">
        <v>44728</v>
      </c>
      <c r="K552" s="159"/>
      <c r="L552" s="100"/>
      <c r="M552" s="165" t="s">
        <v>1999</v>
      </c>
      <c r="N552" s="108"/>
      <c r="O552" s="104" t="s">
        <v>523</v>
      </c>
      <c r="P552" s="139">
        <v>30415</v>
      </c>
      <c r="Q552" s="102">
        <v>9124.5</v>
      </c>
      <c r="R552" s="241"/>
      <c r="S552" s="242"/>
      <c r="T552" s="240"/>
      <c r="U552" s="100"/>
      <c r="V552" s="130"/>
      <c r="W552" s="170"/>
    </row>
    <row r="553" s="39" customFormat="1" ht="22" hidden="1" customHeight="1" spans="1:23">
      <c r="A553" s="255"/>
      <c r="B553" s="174" t="s">
        <v>30</v>
      </c>
      <c r="C553" s="175"/>
      <c r="D553" s="229"/>
      <c r="E553" s="82"/>
      <c r="F553" s="81" t="str">
        <f>IFERROR(VLOOKUP(E553,客户!B:C,2,FALSE),"/")</f>
        <v>/</v>
      </c>
      <c r="G553" s="80"/>
      <c r="H553" s="45"/>
      <c r="I553" s="45"/>
      <c r="J553" s="108"/>
      <c r="K553" s="159"/>
      <c r="L553" s="100"/>
      <c r="M553" s="165"/>
      <c r="N553" s="108"/>
      <c r="O553" s="104"/>
      <c r="P553" s="139"/>
      <c r="Q553" s="102"/>
      <c r="R553" s="241"/>
      <c r="S553" s="242"/>
      <c r="T553" s="240"/>
      <c r="U553" s="100"/>
      <c r="V553" s="130"/>
      <c r="W553" s="170"/>
    </row>
    <row r="554" s="39" customFormat="1" ht="22" hidden="1" customHeight="1" spans="1:23">
      <c r="A554" s="144"/>
      <c r="B554" s="174"/>
      <c r="C554" s="175"/>
      <c r="D554" s="45"/>
      <c r="E554" s="80"/>
      <c r="F554" s="81" t="str">
        <f>IFERROR(VLOOKUP(E554,客户!B:C,2,FALSE),"/")</f>
        <v>/</v>
      </c>
      <c r="G554" s="80"/>
      <c r="H554" s="45"/>
      <c r="I554" s="45"/>
      <c r="J554" s="108"/>
      <c r="K554" s="108"/>
      <c r="L554" s="100"/>
      <c r="M554" s="159"/>
      <c r="N554" s="108"/>
      <c r="O554" s="104"/>
      <c r="P554" s="139"/>
      <c r="Q554" s="102"/>
      <c r="R554" s="241"/>
      <c r="S554" s="242"/>
      <c r="T554" s="102"/>
      <c r="U554" s="100"/>
      <c r="V554" s="130"/>
      <c r="W554" s="170"/>
    </row>
    <row r="555" s="39" customFormat="1" ht="22" hidden="1" customHeight="1" spans="1:23">
      <c r="A555" s="144" t="s">
        <v>2000</v>
      </c>
      <c r="B555" s="174" t="s">
        <v>30</v>
      </c>
      <c r="C555" s="175"/>
      <c r="D555" s="45" t="s">
        <v>31</v>
      </c>
      <c r="E555" s="82" t="s">
        <v>422</v>
      </c>
      <c r="F555" s="81" t="str">
        <f>IFERROR(VLOOKUP(E555,客户!B:C,2,FALSE),"/")</f>
        <v>埃及红线客户配件 样品都要单独显示在箱单发票上</v>
      </c>
      <c r="G555" s="80" t="s">
        <v>378</v>
      </c>
      <c r="H555" s="45" t="s">
        <v>123</v>
      </c>
      <c r="I555" s="45" t="s">
        <v>2001</v>
      </c>
      <c r="J555" s="108">
        <v>43642</v>
      </c>
      <c r="K555" s="108">
        <v>43696</v>
      </c>
      <c r="L555" s="100">
        <v>43727</v>
      </c>
      <c r="M555" s="181" t="s">
        <v>2002</v>
      </c>
      <c r="N555" s="108" t="s">
        <v>2003</v>
      </c>
      <c r="O555" s="104" t="s">
        <v>523</v>
      </c>
      <c r="P555" s="102">
        <v>13791.59</v>
      </c>
      <c r="Q555" s="102">
        <v>0</v>
      </c>
      <c r="R555" s="241"/>
      <c r="S555" s="242"/>
      <c r="T555" s="102" t="s">
        <v>2004</v>
      </c>
      <c r="U555" s="100">
        <v>43816</v>
      </c>
      <c r="V555" s="130"/>
      <c r="W555" s="170"/>
    </row>
    <row r="556" s="39" customFormat="1" ht="22" hidden="1" customHeight="1" spans="1:23">
      <c r="A556" s="144" t="s">
        <v>2005</v>
      </c>
      <c r="B556" s="174" t="s">
        <v>30</v>
      </c>
      <c r="C556" s="175"/>
      <c r="D556" s="45" t="s">
        <v>31</v>
      </c>
      <c r="E556" s="80" t="s">
        <v>60</v>
      </c>
      <c r="F556" s="81" t="str">
        <f>IFERROR(VLOOKUP(E556,客户!B:C,2,FALSE),"/")</f>
        <v>外送费用945人民币+装箱费用 加在发票里</v>
      </c>
      <c r="G556" s="80" t="s">
        <v>866</v>
      </c>
      <c r="H556" s="45" t="s">
        <v>123</v>
      </c>
      <c r="I556" s="45" t="s">
        <v>837</v>
      </c>
      <c r="J556" s="108">
        <v>43650</v>
      </c>
      <c r="K556" s="108">
        <v>43684</v>
      </c>
      <c r="L556" s="100">
        <v>43725</v>
      </c>
      <c r="M556" s="181" t="s">
        <v>2006</v>
      </c>
      <c r="N556" s="108" t="s">
        <v>2007</v>
      </c>
      <c r="O556" s="104"/>
      <c r="P556" s="102">
        <v>54602.96</v>
      </c>
      <c r="Q556" s="102">
        <v>0</v>
      </c>
      <c r="R556" s="241">
        <v>0</v>
      </c>
      <c r="S556" s="242"/>
      <c r="T556" s="102">
        <v>54462</v>
      </c>
      <c r="U556" s="100">
        <v>43726</v>
      </c>
      <c r="V556" s="130"/>
      <c r="W556" s="170"/>
    </row>
    <row r="557" s="39" customFormat="1" ht="22" hidden="1" customHeight="1" spans="1:23">
      <c r="A557" s="144" t="s">
        <v>2008</v>
      </c>
      <c r="B557" s="174" t="s">
        <v>30</v>
      </c>
      <c r="C557" s="175"/>
      <c r="D557" s="45" t="s">
        <v>31</v>
      </c>
      <c r="E557" s="80" t="s">
        <v>60</v>
      </c>
      <c r="F557" s="81" t="str">
        <f>IFERROR(VLOOKUP(E557,客户!B:C,2,FALSE),"/")</f>
        <v>外送费用945人民币+装箱费用 加在发票里</v>
      </c>
      <c r="G557" s="80" t="s">
        <v>2009</v>
      </c>
      <c r="H557" s="45" t="s">
        <v>123</v>
      </c>
      <c r="I557" s="45" t="s">
        <v>2010</v>
      </c>
      <c r="J557" s="108">
        <v>43675</v>
      </c>
      <c r="K557" s="108">
        <v>43697</v>
      </c>
      <c r="L557" s="100">
        <v>43726</v>
      </c>
      <c r="M557" s="181" t="s">
        <v>2011</v>
      </c>
      <c r="N557" s="108" t="s">
        <v>2012</v>
      </c>
      <c r="O557" s="104"/>
      <c r="P557" s="102">
        <v>43259.19</v>
      </c>
      <c r="Q557" s="102">
        <v>0</v>
      </c>
      <c r="R557" s="241"/>
      <c r="S557" s="242"/>
      <c r="T557" s="102">
        <v>42997</v>
      </c>
      <c r="U557" s="100">
        <v>43732</v>
      </c>
      <c r="V557" s="130"/>
      <c r="W557" s="170"/>
    </row>
    <row r="558" s="39" customFormat="1" ht="22" hidden="1" customHeight="1" spans="1:23">
      <c r="A558" s="144" t="s">
        <v>2013</v>
      </c>
      <c r="B558" s="174" t="s">
        <v>30</v>
      </c>
      <c r="C558" s="175"/>
      <c r="D558" s="45" t="s">
        <v>31</v>
      </c>
      <c r="E558" s="80" t="s">
        <v>2014</v>
      </c>
      <c r="F558" s="81">
        <f>IFERROR(VLOOKUP(E558,客户!B:C,2,FALSE),"/")</f>
        <v>0</v>
      </c>
      <c r="G558" s="80" t="s">
        <v>2015</v>
      </c>
      <c r="H558" s="45" t="s">
        <v>123</v>
      </c>
      <c r="I558" s="45" t="s">
        <v>2016</v>
      </c>
      <c r="J558" s="108">
        <v>43699</v>
      </c>
      <c r="K558" s="108">
        <v>43716</v>
      </c>
      <c r="L558" s="100">
        <v>43742</v>
      </c>
      <c r="M558" s="159" t="s">
        <v>2017</v>
      </c>
      <c r="N558" s="108" t="s">
        <v>2018</v>
      </c>
      <c r="O558" s="104"/>
      <c r="P558" s="102">
        <v>7532.19</v>
      </c>
      <c r="Q558" s="211">
        <v>3345</v>
      </c>
      <c r="R558" s="131"/>
      <c r="S558" s="132"/>
      <c r="T558" s="102">
        <v>7821</v>
      </c>
      <c r="U558" s="100">
        <v>43734</v>
      </c>
      <c r="V558" s="130"/>
      <c r="W558" s="170"/>
    </row>
    <row r="559" s="39" customFormat="1" ht="22" hidden="1" customHeight="1" spans="1:23">
      <c r="A559" s="144" t="s">
        <v>2019</v>
      </c>
      <c r="B559" s="174" t="s">
        <v>30</v>
      </c>
      <c r="C559" s="175"/>
      <c r="D559" s="45" t="s">
        <v>31</v>
      </c>
      <c r="E559" s="80" t="s">
        <v>2014</v>
      </c>
      <c r="F559" s="81">
        <f>IFERROR(VLOOKUP(E559,客户!B:C,2,FALSE),"/")</f>
        <v>0</v>
      </c>
      <c r="G559" s="80" t="s">
        <v>2020</v>
      </c>
      <c r="H559" s="45" t="s">
        <v>123</v>
      </c>
      <c r="I559" s="45" t="s">
        <v>2021</v>
      </c>
      <c r="J559" s="108">
        <v>43699</v>
      </c>
      <c r="K559" s="108">
        <v>43721</v>
      </c>
      <c r="L559" s="100">
        <v>43742</v>
      </c>
      <c r="M559" s="159" t="s">
        <v>2017</v>
      </c>
      <c r="N559" s="108" t="s">
        <v>2022</v>
      </c>
      <c r="O559" s="104"/>
      <c r="P559" s="102">
        <v>3668.15</v>
      </c>
      <c r="Q559" s="211"/>
      <c r="R559" s="131"/>
      <c r="S559" s="132"/>
      <c r="T559" s="102"/>
      <c r="U559" s="100">
        <v>43734</v>
      </c>
      <c r="V559" s="130"/>
      <c r="W559" s="170"/>
    </row>
    <row r="560" s="39" customFormat="1" ht="22" hidden="1" customHeight="1" spans="1:23">
      <c r="A560" s="144" t="s">
        <v>2023</v>
      </c>
      <c r="B560" s="174" t="s">
        <v>30</v>
      </c>
      <c r="C560" s="175"/>
      <c r="D560" s="45" t="s">
        <v>31</v>
      </c>
      <c r="E560" s="80" t="s">
        <v>60</v>
      </c>
      <c r="F560" s="81" t="str">
        <f>IFERROR(VLOOKUP(E560,客户!B:C,2,FALSE),"/")</f>
        <v>外送费用945人民币+装箱费用 加在发票里</v>
      </c>
      <c r="G560" s="80" t="s">
        <v>866</v>
      </c>
      <c r="H560" s="45" t="s">
        <v>123</v>
      </c>
      <c r="I560" s="45" t="s">
        <v>837</v>
      </c>
      <c r="J560" s="108">
        <v>43719</v>
      </c>
      <c r="K560" s="108">
        <v>43741</v>
      </c>
      <c r="L560" s="100">
        <v>43771</v>
      </c>
      <c r="M560" s="159" t="s">
        <v>2024</v>
      </c>
      <c r="N560" s="108" t="s">
        <v>2025</v>
      </c>
      <c r="O560" s="104"/>
      <c r="P560" s="264">
        <v>49378.24</v>
      </c>
      <c r="Q560" s="102">
        <v>0</v>
      </c>
      <c r="R560" s="131"/>
      <c r="S560" s="132"/>
      <c r="T560" s="102">
        <v>49244</v>
      </c>
      <c r="U560" s="100">
        <v>43768</v>
      </c>
      <c r="V560" s="130"/>
      <c r="W560" s="170"/>
    </row>
    <row r="561" s="39" customFormat="1" ht="22" hidden="1" customHeight="1" spans="1:23">
      <c r="A561" s="257" t="s">
        <v>2026</v>
      </c>
      <c r="B561" s="258" t="s">
        <v>30</v>
      </c>
      <c r="C561" s="259"/>
      <c r="D561" s="45" t="s">
        <v>31</v>
      </c>
      <c r="E561" s="80" t="s">
        <v>2027</v>
      </c>
      <c r="F561" s="81">
        <f>IFERROR(VLOOKUP(E561,客户!B:C,2,FALSE),"/")</f>
        <v>0</v>
      </c>
      <c r="G561" s="194" t="s">
        <v>2028</v>
      </c>
      <c r="H561" s="192" t="s">
        <v>123</v>
      </c>
      <c r="I561" s="192" t="s">
        <v>2029</v>
      </c>
      <c r="J561" s="104">
        <v>43719</v>
      </c>
      <c r="K561" s="104">
        <v>43768</v>
      </c>
      <c r="L561" s="205">
        <v>43806</v>
      </c>
      <c r="M561" s="208" t="s">
        <v>2030</v>
      </c>
      <c r="N561" s="265" t="s">
        <v>2031</v>
      </c>
      <c r="O561" s="104" t="s">
        <v>523</v>
      </c>
      <c r="P561" s="207">
        <v>36250.54</v>
      </c>
      <c r="Q561" s="268">
        <v>9000</v>
      </c>
      <c r="R561" s="241"/>
      <c r="S561" s="242"/>
      <c r="T561" s="207">
        <v>27195.54</v>
      </c>
      <c r="U561" s="205">
        <v>43791</v>
      </c>
      <c r="V561" s="215"/>
      <c r="W561" s="216"/>
    </row>
    <row r="562" s="39" customFormat="1" ht="22" hidden="1" customHeight="1" spans="1:23">
      <c r="A562" s="260" t="s">
        <v>2032</v>
      </c>
      <c r="B562" s="258" t="s">
        <v>30</v>
      </c>
      <c r="C562" s="259"/>
      <c r="D562" s="45" t="s">
        <v>31</v>
      </c>
      <c r="E562" s="194" t="s">
        <v>481</v>
      </c>
      <c r="F562" s="81" t="str">
        <f>IFERROR(VLOOKUP(E562,客户!B:C,2,FALSE),"/")</f>
        <v>$53.50 TUV Austria administration cost 革力减掉150代理费</v>
      </c>
      <c r="G562" s="194" t="s">
        <v>2033</v>
      </c>
      <c r="H562" s="192" t="s">
        <v>123</v>
      </c>
      <c r="I562" s="192" t="s">
        <v>226</v>
      </c>
      <c r="J562" s="104">
        <v>43738</v>
      </c>
      <c r="K562" s="104">
        <v>43778</v>
      </c>
      <c r="L562" s="205">
        <v>43822</v>
      </c>
      <c r="M562" s="208" t="s">
        <v>2034</v>
      </c>
      <c r="N562" s="104" t="s">
        <v>2035</v>
      </c>
      <c r="O562" s="104" t="s">
        <v>523</v>
      </c>
      <c r="P562" s="207">
        <v>46175.79</v>
      </c>
      <c r="Q562" s="268">
        <v>13213</v>
      </c>
      <c r="R562" s="241"/>
      <c r="S562" s="242"/>
      <c r="T562" s="207">
        <v>32899.48</v>
      </c>
      <c r="U562" s="205">
        <v>43804</v>
      </c>
      <c r="V562" s="215"/>
      <c r="W562" s="216"/>
    </row>
    <row r="563" s="39" customFormat="1" ht="22" hidden="1" customHeight="1" spans="1:23">
      <c r="A563" s="261" t="s">
        <v>2036</v>
      </c>
      <c r="B563" s="258" t="s">
        <v>30</v>
      </c>
      <c r="C563" s="259"/>
      <c r="D563" s="45" t="s">
        <v>31</v>
      </c>
      <c r="E563" s="194" t="s">
        <v>60</v>
      </c>
      <c r="F563" s="81" t="str">
        <f>IFERROR(VLOOKUP(E563,客户!B:C,2,FALSE),"/")</f>
        <v>外送费用945人民币+装箱费用 加在发票里</v>
      </c>
      <c r="G563" s="194" t="s">
        <v>2037</v>
      </c>
      <c r="H563" s="192" t="s">
        <v>123</v>
      </c>
      <c r="I563" s="192" t="s">
        <v>837</v>
      </c>
      <c r="J563" s="104">
        <v>43770</v>
      </c>
      <c r="K563" s="104">
        <v>43808</v>
      </c>
      <c r="L563" s="205">
        <v>43841</v>
      </c>
      <c r="M563" s="206" t="s">
        <v>2038</v>
      </c>
      <c r="N563" s="104" t="s">
        <v>2039</v>
      </c>
      <c r="O563" s="104" t="s">
        <v>680</v>
      </c>
      <c r="P563" s="207">
        <v>43919.03</v>
      </c>
      <c r="Q563" s="268"/>
      <c r="R563" s="241"/>
      <c r="S563" s="242"/>
      <c r="T563" s="207">
        <v>43753.71</v>
      </c>
      <c r="U563" s="205">
        <v>43846</v>
      </c>
      <c r="V563" s="215"/>
      <c r="W563" s="216"/>
    </row>
    <row r="564" s="39" customFormat="1" ht="22" hidden="1" customHeight="1" spans="1:23">
      <c r="A564" s="144" t="s">
        <v>2040</v>
      </c>
      <c r="B564" s="174" t="s">
        <v>30</v>
      </c>
      <c r="C564" s="175"/>
      <c r="D564" s="229" t="s">
        <v>31</v>
      </c>
      <c r="E564" s="83" t="s">
        <v>2041</v>
      </c>
      <c r="F564" s="81" t="str">
        <f>IFERROR(VLOOKUP(E564,客户!B:C,2,FALSE),"/")</f>
        <v>外送费用945人民币+装箱费用 加在发票里</v>
      </c>
      <c r="G564" s="80" t="s">
        <v>373</v>
      </c>
      <c r="H564" s="45" t="s">
        <v>123</v>
      </c>
      <c r="I564" s="45" t="s">
        <v>837</v>
      </c>
      <c r="J564" s="108">
        <v>43791</v>
      </c>
      <c r="K564" s="108">
        <v>43891</v>
      </c>
      <c r="L564" s="100">
        <v>43926</v>
      </c>
      <c r="M564" s="165" t="s">
        <v>2042</v>
      </c>
      <c r="N564" s="108" t="s">
        <v>2043</v>
      </c>
      <c r="O564" s="104" t="s">
        <v>680</v>
      </c>
      <c r="P564" s="102">
        <v>65835.31</v>
      </c>
      <c r="Q564" s="102"/>
      <c r="R564" s="131"/>
      <c r="S564" s="132"/>
      <c r="T564" s="102">
        <v>65634.71</v>
      </c>
      <c r="U564" s="100"/>
      <c r="V564" s="130"/>
      <c r="W564" s="170"/>
    </row>
    <row r="565" s="39" customFormat="1" ht="22" hidden="1" customHeight="1" spans="1:23">
      <c r="A565" s="144" t="s">
        <v>2044</v>
      </c>
      <c r="B565" s="174" t="s">
        <v>30</v>
      </c>
      <c r="C565" s="175"/>
      <c r="D565" s="45" t="s">
        <v>31</v>
      </c>
      <c r="E565" s="80" t="s">
        <v>481</v>
      </c>
      <c r="F565" s="81" t="str">
        <f>IFERROR(VLOOKUP(E565,客户!B:C,2,FALSE),"/")</f>
        <v>$53.50 TUV Austria administration cost 革力减掉150代理费</v>
      </c>
      <c r="G565" s="80" t="s">
        <v>2045</v>
      </c>
      <c r="H565" s="45" t="s">
        <v>123</v>
      </c>
      <c r="I565" s="45" t="s">
        <v>226</v>
      </c>
      <c r="J565" s="108">
        <v>43803</v>
      </c>
      <c r="K565" s="108">
        <v>43848</v>
      </c>
      <c r="L565" s="100">
        <v>43884</v>
      </c>
      <c r="M565" s="159" t="s">
        <v>2046</v>
      </c>
      <c r="N565" s="198" t="s">
        <v>2047</v>
      </c>
      <c r="O565" s="104" t="s">
        <v>523</v>
      </c>
      <c r="P565" s="102">
        <v>48236.13</v>
      </c>
      <c r="Q565" s="102">
        <v>13111</v>
      </c>
      <c r="R565" s="131"/>
      <c r="S565" s="132"/>
      <c r="T565" s="102">
        <v>35061</v>
      </c>
      <c r="U565" s="100">
        <v>43863</v>
      </c>
      <c r="V565" s="130"/>
      <c r="W565" s="170"/>
    </row>
    <row r="566" s="39" customFormat="1" ht="22" hidden="1" customHeight="1" spans="1:23">
      <c r="A566" s="144" t="s">
        <v>2048</v>
      </c>
      <c r="B566" s="174" t="s">
        <v>30</v>
      </c>
      <c r="C566" s="175"/>
      <c r="D566" s="45" t="s">
        <v>31</v>
      </c>
      <c r="E566" s="80" t="s">
        <v>2049</v>
      </c>
      <c r="F566" s="81">
        <f>IFERROR(VLOOKUP(E566,客户!B:C,2,FALSE),"/")</f>
        <v>0</v>
      </c>
      <c r="G566" s="80" t="s">
        <v>2050</v>
      </c>
      <c r="H566" s="45" t="s">
        <v>123</v>
      </c>
      <c r="I566" s="45" t="s">
        <v>2051</v>
      </c>
      <c r="J566" s="108">
        <v>43803</v>
      </c>
      <c r="K566" s="108">
        <v>43816</v>
      </c>
      <c r="L566" s="100">
        <v>43873</v>
      </c>
      <c r="M566" s="159" t="s">
        <v>2052</v>
      </c>
      <c r="N566" s="198" t="s">
        <v>2053</v>
      </c>
      <c r="O566" s="104" t="s">
        <v>523</v>
      </c>
      <c r="P566" s="102">
        <v>25140</v>
      </c>
      <c r="Q566" s="102">
        <v>5100</v>
      </c>
      <c r="R566" s="131"/>
      <c r="S566" s="132"/>
      <c r="T566" s="102">
        <v>20040</v>
      </c>
      <c r="U566" s="100">
        <v>43847</v>
      </c>
      <c r="V566" s="130"/>
      <c r="W566" s="170"/>
    </row>
    <row r="567" s="39" customFormat="1" ht="22" hidden="1" customHeight="1" spans="1:23">
      <c r="A567" s="144" t="s">
        <v>2054</v>
      </c>
      <c r="B567" s="174" t="s">
        <v>30</v>
      </c>
      <c r="C567" s="175"/>
      <c r="D567" s="45" t="s">
        <v>31</v>
      </c>
      <c r="E567" s="80" t="s">
        <v>2049</v>
      </c>
      <c r="F567" s="81">
        <f>IFERROR(VLOOKUP(E567,客户!B:C,2,FALSE),"/")</f>
        <v>0</v>
      </c>
      <c r="G567" s="80" t="s">
        <v>2055</v>
      </c>
      <c r="H567" s="45" t="s">
        <v>123</v>
      </c>
      <c r="I567" s="45" t="s">
        <v>2056</v>
      </c>
      <c r="J567" s="108">
        <v>43803</v>
      </c>
      <c r="K567" s="108">
        <v>43831</v>
      </c>
      <c r="L567" s="100">
        <v>43850</v>
      </c>
      <c r="M567" s="159" t="s">
        <v>2057</v>
      </c>
      <c r="N567" s="108" t="s">
        <v>2058</v>
      </c>
      <c r="O567" s="104" t="s">
        <v>523</v>
      </c>
      <c r="P567" s="102">
        <v>19006.8</v>
      </c>
      <c r="Q567" s="102">
        <v>5100</v>
      </c>
      <c r="R567" s="131"/>
      <c r="S567" s="132"/>
      <c r="T567" s="102">
        <v>13906.8</v>
      </c>
      <c r="U567" s="100">
        <v>43847</v>
      </c>
      <c r="V567" s="130"/>
      <c r="W567" s="170"/>
    </row>
    <row r="568" s="39" customFormat="1" ht="22" hidden="1" customHeight="1" spans="1:23">
      <c r="A568" s="144" t="s">
        <v>2059</v>
      </c>
      <c r="B568" s="174" t="s">
        <v>30</v>
      </c>
      <c r="C568" s="175"/>
      <c r="D568" s="45" t="s">
        <v>31</v>
      </c>
      <c r="E568" s="80" t="s">
        <v>2060</v>
      </c>
      <c r="F568" s="81">
        <f>IFERROR(VLOOKUP(E568,客户!B:C,2,FALSE),"/")</f>
        <v>0</v>
      </c>
      <c r="G568" s="80" t="s">
        <v>2061</v>
      </c>
      <c r="H568" s="45" t="s">
        <v>123</v>
      </c>
      <c r="I568" s="45" t="s">
        <v>862</v>
      </c>
      <c r="J568" s="108"/>
      <c r="K568" s="108">
        <v>43827</v>
      </c>
      <c r="L568" s="100">
        <v>43859</v>
      </c>
      <c r="M568" s="165" t="s">
        <v>2062</v>
      </c>
      <c r="N568" s="108" t="s">
        <v>2063</v>
      </c>
      <c r="O568" s="104" t="s">
        <v>970</v>
      </c>
      <c r="P568" s="102">
        <v>72463.14</v>
      </c>
      <c r="Q568" s="102"/>
      <c r="R568" s="131"/>
      <c r="S568" s="132"/>
      <c r="T568" s="102">
        <v>39442.85</v>
      </c>
      <c r="U568" s="100">
        <v>43815</v>
      </c>
      <c r="V568" s="130"/>
      <c r="W568" s="170"/>
    </row>
    <row r="569" s="39" customFormat="1" ht="22" hidden="1" customHeight="1" spans="1:23">
      <c r="A569" s="144" t="s">
        <v>2064</v>
      </c>
      <c r="B569" s="174" t="s">
        <v>30</v>
      </c>
      <c r="C569" s="175"/>
      <c r="D569" s="45" t="s">
        <v>31</v>
      </c>
      <c r="E569" s="80" t="s">
        <v>2060</v>
      </c>
      <c r="F569" s="81">
        <f>IFERROR(VLOOKUP(E569,客户!B:C,2,FALSE),"/")</f>
        <v>0</v>
      </c>
      <c r="G569" s="80" t="s">
        <v>2061</v>
      </c>
      <c r="H569" s="45" t="s">
        <v>123</v>
      </c>
      <c r="I569" s="45" t="s">
        <v>862</v>
      </c>
      <c r="J569" s="108"/>
      <c r="K569" s="108">
        <v>43469</v>
      </c>
      <c r="L569" s="100">
        <v>43866</v>
      </c>
      <c r="M569" s="108" t="s">
        <v>2065</v>
      </c>
      <c r="N569" s="108" t="s">
        <v>2066</v>
      </c>
      <c r="O569" s="104" t="s">
        <v>970</v>
      </c>
      <c r="P569" s="102">
        <v>82576.73</v>
      </c>
      <c r="Q569" s="102"/>
      <c r="R569" s="131"/>
      <c r="S569" s="132"/>
      <c r="T569" s="102">
        <v>42735.05</v>
      </c>
      <c r="U569" s="100">
        <v>43825</v>
      </c>
      <c r="V569" s="130"/>
      <c r="W569" s="170"/>
    </row>
    <row r="570" s="39" customFormat="1" ht="22" hidden="1" customHeight="1" spans="1:23">
      <c r="A570" s="144" t="s">
        <v>2067</v>
      </c>
      <c r="B570" s="174" t="s">
        <v>30</v>
      </c>
      <c r="C570" s="175"/>
      <c r="D570" s="45" t="s">
        <v>31</v>
      </c>
      <c r="E570" s="80" t="s">
        <v>2060</v>
      </c>
      <c r="F570" s="81">
        <f>IFERROR(VLOOKUP(E570,客户!B:C,2,FALSE),"/")</f>
        <v>0</v>
      </c>
      <c r="G570" s="80" t="s">
        <v>2061</v>
      </c>
      <c r="H570" s="45" t="s">
        <v>123</v>
      </c>
      <c r="I570" s="45" t="s">
        <v>862</v>
      </c>
      <c r="J570" s="108"/>
      <c r="K570" s="108">
        <v>44058</v>
      </c>
      <c r="L570" s="100">
        <v>44087</v>
      </c>
      <c r="M570" s="164" t="s">
        <v>2068</v>
      </c>
      <c r="N570" s="198" t="s">
        <v>2069</v>
      </c>
      <c r="O570" s="104" t="s">
        <v>970</v>
      </c>
      <c r="P570" s="102">
        <v>98230.94</v>
      </c>
      <c r="Q570" s="102"/>
      <c r="R570" s="131"/>
      <c r="S570" s="132"/>
      <c r="T570" s="102"/>
      <c r="U570" s="100"/>
      <c r="V570" s="130"/>
      <c r="W570" s="170"/>
    </row>
    <row r="571" s="39" customFormat="1" ht="22" hidden="1" customHeight="1" spans="1:23">
      <c r="A571" s="144" t="s">
        <v>2070</v>
      </c>
      <c r="B571" s="174" t="s">
        <v>30</v>
      </c>
      <c r="C571" s="175"/>
      <c r="D571" s="45" t="s">
        <v>31</v>
      </c>
      <c r="E571" s="82" t="s">
        <v>2071</v>
      </c>
      <c r="F571" s="81">
        <f>IFERROR(VLOOKUP(E571,客户!B:C,2,FALSE),"/")</f>
        <v>0</v>
      </c>
      <c r="G571" s="80" t="s">
        <v>2072</v>
      </c>
      <c r="H571" s="45" t="s">
        <v>123</v>
      </c>
      <c r="I571" s="45" t="s">
        <v>2073</v>
      </c>
      <c r="J571" s="108">
        <v>43830</v>
      </c>
      <c r="K571" s="159">
        <v>43912</v>
      </c>
      <c r="L571" s="100">
        <v>43946</v>
      </c>
      <c r="M571" s="165" t="s">
        <v>2074</v>
      </c>
      <c r="N571" s="198" t="s">
        <v>2075</v>
      </c>
      <c r="O571" s="104" t="s">
        <v>523</v>
      </c>
      <c r="P571" s="102">
        <v>12534.956</v>
      </c>
      <c r="Q571" s="102">
        <v>3500</v>
      </c>
      <c r="R571" s="131">
        <f>P571-Q571</f>
        <v>9034.956</v>
      </c>
      <c r="S571" s="132"/>
      <c r="T571" s="102">
        <v>8981.61</v>
      </c>
      <c r="U571" s="100"/>
      <c r="V571" s="219" t="s">
        <v>2076</v>
      </c>
      <c r="W571" s="170"/>
    </row>
    <row r="572" s="39" customFormat="1" ht="22" hidden="1" customHeight="1" spans="1:23">
      <c r="A572" s="144" t="s">
        <v>2077</v>
      </c>
      <c r="B572" s="174" t="s">
        <v>30</v>
      </c>
      <c r="C572" s="175"/>
      <c r="D572" s="45" t="s">
        <v>31</v>
      </c>
      <c r="E572" s="80" t="s">
        <v>481</v>
      </c>
      <c r="F572" s="81" t="str">
        <f>IFERROR(VLOOKUP(E572,客户!B:C,2,FALSE),"/")</f>
        <v>$53.50 TUV Austria administration cost 革力减掉150代理费</v>
      </c>
      <c r="G572" s="80" t="s">
        <v>2078</v>
      </c>
      <c r="H572" s="45" t="s">
        <v>123</v>
      </c>
      <c r="I572" s="45" t="s">
        <v>340</v>
      </c>
      <c r="J572" s="108">
        <v>43887</v>
      </c>
      <c r="K572" s="100">
        <v>43946</v>
      </c>
      <c r="L572" s="100">
        <v>43975</v>
      </c>
      <c r="M572" s="165" t="s">
        <v>2079</v>
      </c>
      <c r="N572" s="198" t="s">
        <v>2080</v>
      </c>
      <c r="O572" s="104" t="s">
        <v>523</v>
      </c>
      <c r="P572" s="102">
        <v>47220.71</v>
      </c>
      <c r="Q572" s="102">
        <v>12996</v>
      </c>
      <c r="R572" s="131"/>
      <c r="S572" s="132"/>
      <c r="T572" s="102">
        <v>34171.31</v>
      </c>
      <c r="U572" s="100"/>
      <c r="V572" s="243" t="s">
        <v>2081</v>
      </c>
      <c r="W572" s="170"/>
    </row>
    <row r="573" s="39" customFormat="1" ht="22" hidden="1" customHeight="1" spans="1:23">
      <c r="A573" s="144" t="s">
        <v>2082</v>
      </c>
      <c r="B573" s="174" t="s">
        <v>30</v>
      </c>
      <c r="C573" s="175"/>
      <c r="D573" s="45" t="s">
        <v>31</v>
      </c>
      <c r="E573" s="82" t="s">
        <v>2083</v>
      </c>
      <c r="F573" s="81">
        <f>IFERROR(VLOOKUP(E573,客户!B:C,2,FALSE),"/")</f>
        <v>0</v>
      </c>
      <c r="G573" s="80" t="s">
        <v>2084</v>
      </c>
      <c r="H573" s="45" t="s">
        <v>123</v>
      </c>
      <c r="I573" s="45" t="s">
        <v>862</v>
      </c>
      <c r="J573" s="108"/>
      <c r="K573" s="159">
        <v>43905</v>
      </c>
      <c r="L573" s="100">
        <v>43930</v>
      </c>
      <c r="M573" s="165" t="s">
        <v>2085</v>
      </c>
      <c r="N573" s="198" t="s">
        <v>2086</v>
      </c>
      <c r="O573" s="104" t="s">
        <v>970</v>
      </c>
      <c r="P573" s="102">
        <v>22595</v>
      </c>
      <c r="Q573" s="102">
        <v>23181.69</v>
      </c>
      <c r="R573" s="131"/>
      <c r="S573" s="132"/>
      <c r="T573" s="102"/>
      <c r="U573" s="100">
        <v>43900</v>
      </c>
      <c r="V573" s="130"/>
      <c r="W573" s="170"/>
    </row>
    <row r="574" s="39" customFormat="1" ht="22" hidden="1" customHeight="1" spans="1:23">
      <c r="A574" s="144" t="s">
        <v>2087</v>
      </c>
      <c r="B574" s="174" t="s">
        <v>30</v>
      </c>
      <c r="C574" s="175"/>
      <c r="D574" s="45" t="s">
        <v>31</v>
      </c>
      <c r="E574" s="82" t="s">
        <v>2083</v>
      </c>
      <c r="F574" s="81">
        <f>IFERROR(VLOOKUP(E574,客户!B:C,2,FALSE),"/")</f>
        <v>0</v>
      </c>
      <c r="G574" s="80" t="s">
        <v>2084</v>
      </c>
      <c r="H574" s="45" t="s">
        <v>123</v>
      </c>
      <c r="I574" s="45" t="s">
        <v>862</v>
      </c>
      <c r="J574" s="108"/>
      <c r="K574" s="108">
        <v>43992</v>
      </c>
      <c r="L574" s="232">
        <v>44016</v>
      </c>
      <c r="M574" s="165" t="s">
        <v>2088</v>
      </c>
      <c r="N574" s="198" t="s">
        <v>2089</v>
      </c>
      <c r="O574" s="104" t="s">
        <v>970</v>
      </c>
      <c r="P574" s="102">
        <v>55500</v>
      </c>
      <c r="Q574" s="102">
        <v>30097.61</v>
      </c>
      <c r="R574" s="131"/>
      <c r="S574" s="132"/>
      <c r="T574" s="102"/>
      <c r="U574" s="100"/>
      <c r="V574" s="130"/>
      <c r="W574" s="170"/>
    </row>
    <row r="575" s="39" customFormat="1" ht="22" hidden="1" customHeight="1" spans="1:23">
      <c r="A575" s="144" t="s">
        <v>2090</v>
      </c>
      <c r="B575" s="174" t="s">
        <v>30</v>
      </c>
      <c r="C575" s="175"/>
      <c r="D575" s="45" t="s">
        <v>31</v>
      </c>
      <c r="E575" s="82" t="s">
        <v>2091</v>
      </c>
      <c r="F575" s="81">
        <f>IFERROR(VLOOKUP(E575,客户!B:C,2,FALSE),"/")</f>
        <v>0</v>
      </c>
      <c r="G575" s="80" t="s">
        <v>2092</v>
      </c>
      <c r="H575" s="45" t="s">
        <v>123</v>
      </c>
      <c r="I575" s="45" t="s">
        <v>2093</v>
      </c>
      <c r="J575" s="108">
        <v>43953</v>
      </c>
      <c r="K575" s="159">
        <v>44012</v>
      </c>
      <c r="L575" s="100">
        <v>44035</v>
      </c>
      <c r="M575" s="164" t="s">
        <v>2094</v>
      </c>
      <c r="N575" s="198" t="s">
        <v>2095</v>
      </c>
      <c r="O575" s="104" t="s">
        <v>523</v>
      </c>
      <c r="P575" s="102">
        <v>24533.88</v>
      </c>
      <c r="Q575" s="102">
        <v>5000</v>
      </c>
      <c r="R575" s="131"/>
      <c r="S575" s="132"/>
      <c r="T575" s="266">
        <v>40463.44</v>
      </c>
      <c r="U575" s="100"/>
      <c r="V575" s="246" t="s">
        <v>2096</v>
      </c>
      <c r="W575" s="170"/>
    </row>
    <row r="576" s="39" customFormat="1" ht="22" hidden="1" customHeight="1" spans="1:23">
      <c r="A576" s="144" t="s">
        <v>2097</v>
      </c>
      <c r="B576" s="174" t="s">
        <v>30</v>
      </c>
      <c r="C576" s="175"/>
      <c r="D576" s="45" t="s">
        <v>31</v>
      </c>
      <c r="E576" s="82" t="s">
        <v>2091</v>
      </c>
      <c r="F576" s="81"/>
      <c r="G576" s="80" t="s">
        <v>2098</v>
      </c>
      <c r="H576" s="45" t="s">
        <v>123</v>
      </c>
      <c r="I576" s="45" t="s">
        <v>2051</v>
      </c>
      <c r="J576" s="108">
        <v>43953</v>
      </c>
      <c r="K576" s="108">
        <v>43999</v>
      </c>
      <c r="L576" s="100">
        <v>44036</v>
      </c>
      <c r="M576" s="165" t="s">
        <v>2099</v>
      </c>
      <c r="N576" s="198" t="s">
        <v>2100</v>
      </c>
      <c r="O576" s="104" t="s">
        <v>523</v>
      </c>
      <c r="P576" s="102">
        <v>26227.96</v>
      </c>
      <c r="Q576" s="102">
        <v>5250</v>
      </c>
      <c r="R576" s="131"/>
      <c r="S576" s="132"/>
      <c r="T576" s="267"/>
      <c r="U576" s="100"/>
      <c r="V576" s="246" t="s">
        <v>2101</v>
      </c>
      <c r="W576" s="170"/>
    </row>
    <row r="577" s="39" customFormat="1" ht="22" hidden="1" customHeight="1" spans="1:23">
      <c r="A577" s="144" t="s">
        <v>2102</v>
      </c>
      <c r="B577" s="174" t="s">
        <v>30</v>
      </c>
      <c r="C577" s="175"/>
      <c r="D577" s="45" t="s">
        <v>31</v>
      </c>
      <c r="E577" s="82" t="s">
        <v>1128</v>
      </c>
      <c r="F577" s="81">
        <f>IFERROR(VLOOKUP(E577,客户!B:C,2,FALSE),"/")</f>
        <v>0</v>
      </c>
      <c r="G577" s="80" t="s">
        <v>2103</v>
      </c>
      <c r="H577" s="45" t="s">
        <v>123</v>
      </c>
      <c r="I577" s="45" t="s">
        <v>2104</v>
      </c>
      <c r="J577" s="108">
        <v>43966</v>
      </c>
      <c r="K577" s="159">
        <v>43990</v>
      </c>
      <c r="L577" s="232">
        <v>44016</v>
      </c>
      <c r="M577" s="165" t="s">
        <v>2105</v>
      </c>
      <c r="N577" s="198" t="s">
        <v>2106</v>
      </c>
      <c r="O577" s="104" t="s">
        <v>523</v>
      </c>
      <c r="P577" s="102">
        <v>62745.89</v>
      </c>
      <c r="Q577" s="102">
        <v>10000</v>
      </c>
      <c r="R577" s="131">
        <f>P577-Q577</f>
        <v>52745.89</v>
      </c>
      <c r="S577" s="132"/>
      <c r="T577" s="102"/>
      <c r="U577" s="100"/>
      <c r="V577" s="130"/>
      <c r="W577" s="170"/>
    </row>
    <row r="578" s="39" customFormat="1" ht="22" hidden="1" customHeight="1" spans="1:23">
      <c r="A578" s="190" t="s">
        <v>2107</v>
      </c>
      <c r="B578" s="174" t="s">
        <v>30</v>
      </c>
      <c r="C578" s="175"/>
      <c r="D578" s="45" t="s">
        <v>31</v>
      </c>
      <c r="E578" s="82" t="s">
        <v>2108</v>
      </c>
      <c r="F578" s="81"/>
      <c r="G578" s="80" t="s">
        <v>2109</v>
      </c>
      <c r="H578" s="45" t="s">
        <v>123</v>
      </c>
      <c r="I578" s="45" t="s">
        <v>862</v>
      </c>
      <c r="J578" s="108">
        <v>44021</v>
      </c>
      <c r="K578" s="159">
        <v>44153</v>
      </c>
      <c r="L578" s="100">
        <v>44177</v>
      </c>
      <c r="M578" s="165" t="s">
        <v>2110</v>
      </c>
      <c r="N578" s="198" t="s">
        <v>2111</v>
      </c>
      <c r="O578" s="104" t="s">
        <v>970</v>
      </c>
      <c r="P578" s="102">
        <v>88101.62</v>
      </c>
      <c r="Q578" s="102"/>
      <c r="R578" s="131"/>
      <c r="S578" s="132"/>
      <c r="T578" s="102"/>
      <c r="U578" s="100"/>
      <c r="V578" s="130"/>
      <c r="W578" s="170"/>
    </row>
    <row r="579" s="39" customFormat="1" ht="22" hidden="1" customHeight="1" spans="1:23">
      <c r="A579" s="144" t="s">
        <v>2112</v>
      </c>
      <c r="B579" s="174" t="s">
        <v>30</v>
      </c>
      <c r="C579" s="175"/>
      <c r="D579" s="229" t="s">
        <v>3</v>
      </c>
      <c r="E579" s="82" t="s">
        <v>1128</v>
      </c>
      <c r="F579" s="81">
        <f>IFERROR(VLOOKUP(E579,客户!B:C,2,FALSE),"/")</f>
        <v>0</v>
      </c>
      <c r="G579" s="80" t="s">
        <v>2113</v>
      </c>
      <c r="H579" s="45" t="s">
        <v>123</v>
      </c>
      <c r="I579" s="45" t="s">
        <v>2104</v>
      </c>
      <c r="J579" s="108">
        <v>44108</v>
      </c>
      <c r="K579" s="159"/>
      <c r="L579" s="232"/>
      <c r="M579" s="165" t="s">
        <v>2114</v>
      </c>
      <c r="N579" s="198"/>
      <c r="O579" s="104" t="s">
        <v>523</v>
      </c>
      <c r="P579" s="102">
        <v>67458.71</v>
      </c>
      <c r="Q579" s="102">
        <v>13500</v>
      </c>
      <c r="R579" s="131"/>
      <c r="S579" s="132"/>
      <c r="T579" s="102"/>
      <c r="U579" s="100"/>
      <c r="V579" s="130"/>
      <c r="W579" s="170"/>
    </row>
    <row r="580" s="39" customFormat="1" ht="22" hidden="1" customHeight="1" spans="1:23">
      <c r="A580" s="144" t="s">
        <v>2115</v>
      </c>
      <c r="B580" s="174" t="s">
        <v>30</v>
      </c>
      <c r="C580" s="175"/>
      <c r="D580" s="45" t="s">
        <v>31</v>
      </c>
      <c r="E580" s="82" t="s">
        <v>2116</v>
      </c>
      <c r="F580" s="81">
        <v>0</v>
      </c>
      <c r="G580" s="80" t="s">
        <v>2117</v>
      </c>
      <c r="H580" s="45" t="s">
        <v>123</v>
      </c>
      <c r="I580" s="45" t="s">
        <v>2073</v>
      </c>
      <c r="J580" s="108">
        <v>44108</v>
      </c>
      <c r="K580" s="159">
        <v>44135</v>
      </c>
      <c r="L580" s="100">
        <v>44164</v>
      </c>
      <c r="M580" s="165" t="s">
        <v>2118</v>
      </c>
      <c r="N580" s="198" t="s">
        <v>2119</v>
      </c>
      <c r="O580" s="104" t="s">
        <v>523</v>
      </c>
      <c r="P580" s="102">
        <v>6931.97</v>
      </c>
      <c r="Q580" s="266">
        <v>4500</v>
      </c>
      <c r="R580" s="279"/>
      <c r="S580" s="132"/>
      <c r="T580" s="266">
        <v>14704.69</v>
      </c>
      <c r="U580" s="100"/>
      <c r="V580" s="130"/>
      <c r="W580" s="170"/>
    </row>
    <row r="581" s="39" customFormat="1" ht="22" hidden="1" customHeight="1" spans="1:23">
      <c r="A581" s="144" t="s">
        <v>2120</v>
      </c>
      <c r="B581" s="174" t="s">
        <v>30</v>
      </c>
      <c r="C581" s="175"/>
      <c r="D581" s="45" t="s">
        <v>31</v>
      </c>
      <c r="E581" s="82" t="s">
        <v>2116</v>
      </c>
      <c r="F581" s="81">
        <f>IFERROR(VLOOKUP(E581,客户!B:C,2,FALSE),"/")</f>
        <v>0</v>
      </c>
      <c r="G581" s="80" t="s">
        <v>2121</v>
      </c>
      <c r="H581" s="45" t="s">
        <v>123</v>
      </c>
      <c r="I581" s="45" t="s">
        <v>2073</v>
      </c>
      <c r="J581" s="108">
        <v>44108</v>
      </c>
      <c r="K581" s="159">
        <v>44135</v>
      </c>
      <c r="L581" s="100">
        <v>44164</v>
      </c>
      <c r="M581" s="165" t="s">
        <v>2122</v>
      </c>
      <c r="N581" s="198" t="s">
        <v>2123</v>
      </c>
      <c r="O581" s="104" t="s">
        <v>523</v>
      </c>
      <c r="P581" s="102">
        <v>12272.72</v>
      </c>
      <c r="Q581" s="267"/>
      <c r="R581" s="280"/>
      <c r="S581" s="132"/>
      <c r="T581" s="267"/>
      <c r="U581" s="100"/>
      <c r="V581" s="130"/>
      <c r="W581" s="170"/>
    </row>
    <row r="582" s="39" customFormat="1" ht="22" hidden="1" customHeight="1" spans="1:23">
      <c r="A582" s="144" t="s">
        <v>2124</v>
      </c>
      <c r="B582" s="174" t="s">
        <v>30</v>
      </c>
      <c r="C582" s="175"/>
      <c r="D582" s="45" t="s">
        <v>31</v>
      </c>
      <c r="E582" s="82" t="s">
        <v>2125</v>
      </c>
      <c r="F582" s="81"/>
      <c r="G582" s="82" t="s">
        <v>2126</v>
      </c>
      <c r="H582" s="45" t="s">
        <v>123</v>
      </c>
      <c r="I582" s="254" t="s">
        <v>2127</v>
      </c>
      <c r="J582" s="108">
        <v>44165</v>
      </c>
      <c r="K582" s="159">
        <v>44247</v>
      </c>
      <c r="L582" s="100">
        <v>44288</v>
      </c>
      <c r="M582" s="165" t="s">
        <v>2128</v>
      </c>
      <c r="N582" s="198" t="s">
        <v>2129</v>
      </c>
      <c r="O582" s="104" t="s">
        <v>523</v>
      </c>
      <c r="P582" s="102">
        <v>37335.08</v>
      </c>
      <c r="Q582" s="267">
        <f>8000+10000</f>
        <v>18000</v>
      </c>
      <c r="R582" s="280"/>
      <c r="S582" s="132"/>
      <c r="T582" s="267">
        <f>9000+9962.62</f>
        <v>18962.62</v>
      </c>
      <c r="U582" s="267">
        <v>391.62</v>
      </c>
      <c r="V582" s="130"/>
      <c r="W582" s="170"/>
    </row>
    <row r="583" s="39" customFormat="1" ht="22" hidden="1" customHeight="1" spans="1:23">
      <c r="A583" s="144" t="s">
        <v>2130</v>
      </c>
      <c r="B583" s="174" t="s">
        <v>30</v>
      </c>
      <c r="C583" s="175"/>
      <c r="D583" s="45" t="s">
        <v>31</v>
      </c>
      <c r="E583" s="82" t="s">
        <v>2131</v>
      </c>
      <c r="F583" s="81">
        <f>IFERROR(VLOOKUP(E583,客户!B:C,2,FALSE),"/")</f>
        <v>0</v>
      </c>
      <c r="G583" s="82" t="s">
        <v>2132</v>
      </c>
      <c r="H583" s="45" t="s">
        <v>123</v>
      </c>
      <c r="I583" s="254" t="s">
        <v>2133</v>
      </c>
      <c r="J583" s="108">
        <v>44166</v>
      </c>
      <c r="K583" s="159">
        <v>44205</v>
      </c>
      <c r="L583" s="100">
        <v>44253</v>
      </c>
      <c r="M583" s="165" t="s">
        <v>2134</v>
      </c>
      <c r="N583" s="198" t="s">
        <v>2135</v>
      </c>
      <c r="O583" s="104" t="s">
        <v>523</v>
      </c>
      <c r="P583" s="102">
        <v>7228.05</v>
      </c>
      <c r="Q583" s="267">
        <v>2170</v>
      </c>
      <c r="R583" s="280"/>
      <c r="S583" s="132"/>
      <c r="T583" s="267">
        <v>5058.05</v>
      </c>
      <c r="U583" s="100"/>
      <c r="V583" s="219" t="s">
        <v>2136</v>
      </c>
      <c r="W583" s="170"/>
    </row>
    <row r="584" s="39" customFormat="1" ht="22" hidden="1" customHeight="1" spans="1:23">
      <c r="A584" s="144" t="s">
        <v>2137</v>
      </c>
      <c r="B584" s="174" t="s">
        <v>30</v>
      </c>
      <c r="C584" s="175"/>
      <c r="D584" s="45" t="s">
        <v>31</v>
      </c>
      <c r="E584" s="82" t="s">
        <v>2108</v>
      </c>
      <c r="F584" s="81"/>
      <c r="G584" s="82" t="s">
        <v>2138</v>
      </c>
      <c r="H584" s="45" t="s">
        <v>123</v>
      </c>
      <c r="I584" s="254" t="s">
        <v>862</v>
      </c>
      <c r="J584" s="108">
        <v>44183</v>
      </c>
      <c r="K584" s="159">
        <v>44201</v>
      </c>
      <c r="L584" s="100">
        <v>44226</v>
      </c>
      <c r="M584" s="165" t="s">
        <v>2139</v>
      </c>
      <c r="N584" s="198" t="s">
        <v>2140</v>
      </c>
      <c r="O584" s="104" t="s">
        <v>970</v>
      </c>
      <c r="P584" s="102">
        <v>79578.88</v>
      </c>
      <c r="Q584" s="267"/>
      <c r="R584" s="280"/>
      <c r="S584" s="132"/>
      <c r="T584" s="267"/>
      <c r="U584" s="100"/>
      <c r="V584" s="130"/>
      <c r="W584" s="170"/>
    </row>
    <row r="585" s="39" customFormat="1" ht="22" hidden="1" customHeight="1" spans="1:23">
      <c r="A585" s="144" t="s">
        <v>2141</v>
      </c>
      <c r="B585" s="174" t="s">
        <v>30</v>
      </c>
      <c r="C585" s="175"/>
      <c r="D585" s="45" t="s">
        <v>31</v>
      </c>
      <c r="E585" s="82" t="s">
        <v>2108</v>
      </c>
      <c r="F585" s="81">
        <f>IFERROR(VLOOKUP(E585,客户!B:C,2,FALSE),"/")</f>
        <v>0</v>
      </c>
      <c r="G585" s="82" t="s">
        <v>2142</v>
      </c>
      <c r="H585" s="45" t="s">
        <v>123</v>
      </c>
      <c r="I585" s="254" t="s">
        <v>862</v>
      </c>
      <c r="J585" s="108">
        <v>44191</v>
      </c>
      <c r="K585" s="159">
        <v>44215</v>
      </c>
      <c r="L585" s="100">
        <v>44240</v>
      </c>
      <c r="M585" s="201" t="s">
        <v>2143</v>
      </c>
      <c r="N585" s="198" t="s">
        <v>2144</v>
      </c>
      <c r="O585" s="265" t="s">
        <v>970</v>
      </c>
      <c r="P585" s="102">
        <f>23946.57+53419.64</f>
        <v>77366.21</v>
      </c>
      <c r="Q585" s="267"/>
      <c r="R585" s="280"/>
      <c r="S585" s="132"/>
      <c r="T585" s="267"/>
      <c r="U585" s="100"/>
      <c r="V585" s="130"/>
      <c r="W585" s="170"/>
    </row>
    <row r="586" s="39" customFormat="1" ht="22" hidden="1" customHeight="1" spans="1:23">
      <c r="A586" s="144" t="s">
        <v>2145</v>
      </c>
      <c r="B586" s="174" t="s">
        <v>30</v>
      </c>
      <c r="C586" s="175"/>
      <c r="D586" s="45" t="s">
        <v>31</v>
      </c>
      <c r="E586" s="82" t="s">
        <v>2108</v>
      </c>
      <c r="F586" s="81">
        <f>IFERROR(VLOOKUP(E586,客户!B:C,2,FALSE),"/")</f>
        <v>0</v>
      </c>
      <c r="G586" s="82" t="s">
        <v>2146</v>
      </c>
      <c r="H586" s="45" t="s">
        <v>123</v>
      </c>
      <c r="I586" s="254" t="s">
        <v>862</v>
      </c>
      <c r="J586" s="108">
        <v>44191</v>
      </c>
      <c r="K586" s="159">
        <v>44209</v>
      </c>
      <c r="L586" s="100">
        <v>44235</v>
      </c>
      <c r="M586" s="165" t="s">
        <v>2147</v>
      </c>
      <c r="N586" s="198" t="s">
        <v>2148</v>
      </c>
      <c r="O586" s="265" t="s">
        <v>970</v>
      </c>
      <c r="P586" s="102">
        <v>56805.66</v>
      </c>
      <c r="Q586" s="267"/>
      <c r="R586" s="280"/>
      <c r="S586" s="132"/>
      <c r="T586" s="267"/>
      <c r="U586" s="100"/>
      <c r="V586" s="130"/>
      <c r="W586" s="170"/>
    </row>
    <row r="587" s="39" customFormat="1" ht="22" hidden="1" customHeight="1" spans="1:23">
      <c r="A587" s="144" t="s">
        <v>2149</v>
      </c>
      <c r="B587" s="174" t="s">
        <v>30</v>
      </c>
      <c r="C587" s="175"/>
      <c r="D587" s="45" t="s">
        <v>31</v>
      </c>
      <c r="E587" s="82" t="s">
        <v>2116</v>
      </c>
      <c r="F587" s="81">
        <f>IFERROR(VLOOKUP(E587,客户!B:C,2,FALSE),"/")</f>
        <v>0</v>
      </c>
      <c r="G587" s="82" t="s">
        <v>2150</v>
      </c>
      <c r="H587" s="45" t="s">
        <v>123</v>
      </c>
      <c r="I587" s="45" t="s">
        <v>2073</v>
      </c>
      <c r="J587" s="108">
        <v>44258</v>
      </c>
      <c r="K587" s="159">
        <v>44290</v>
      </c>
      <c r="L587" s="100">
        <v>44338</v>
      </c>
      <c r="M587" s="165" t="s">
        <v>2151</v>
      </c>
      <c r="N587" s="198" t="s">
        <v>2152</v>
      </c>
      <c r="O587" s="265" t="s">
        <v>523</v>
      </c>
      <c r="P587" s="102">
        <v>15145.48</v>
      </c>
      <c r="Q587" s="267">
        <v>3613</v>
      </c>
      <c r="R587" s="280"/>
      <c r="S587" s="132"/>
      <c r="T587" s="267">
        <v>11532.48</v>
      </c>
      <c r="U587" s="100"/>
      <c r="V587" s="130"/>
      <c r="W587" s="170"/>
    </row>
    <row r="588" s="39" customFormat="1" ht="22" hidden="1" customHeight="1" spans="1:23">
      <c r="A588" s="145" t="s">
        <v>2153</v>
      </c>
      <c r="B588" s="174" t="s">
        <v>30</v>
      </c>
      <c r="C588" s="175"/>
      <c r="D588" s="45" t="s">
        <v>31</v>
      </c>
      <c r="E588" s="82" t="s">
        <v>2154</v>
      </c>
      <c r="F588" s="81"/>
      <c r="G588" s="82" t="s">
        <v>2155</v>
      </c>
      <c r="H588" s="45" t="s">
        <v>123</v>
      </c>
      <c r="I588" s="45" t="s">
        <v>2156</v>
      </c>
      <c r="J588" s="108">
        <v>44265</v>
      </c>
      <c r="K588" s="159">
        <v>44316</v>
      </c>
      <c r="L588" s="100">
        <v>44358</v>
      </c>
      <c r="M588" s="165" t="s">
        <v>2157</v>
      </c>
      <c r="N588" s="198" t="s">
        <v>2158</v>
      </c>
      <c r="O588" s="265" t="s">
        <v>523</v>
      </c>
      <c r="P588" s="102">
        <v>51545.45</v>
      </c>
      <c r="Q588" s="267">
        <v>15000</v>
      </c>
      <c r="R588" s="280"/>
      <c r="S588" s="132"/>
      <c r="T588" s="267">
        <v>36545.45</v>
      </c>
      <c r="U588" s="100"/>
      <c r="V588" s="130"/>
      <c r="W588" s="170"/>
    </row>
    <row r="589" s="39" customFormat="1" ht="22" hidden="1" customHeight="1" spans="1:23">
      <c r="A589" s="144" t="s">
        <v>2159</v>
      </c>
      <c r="B589" s="174" t="s">
        <v>30</v>
      </c>
      <c r="C589" s="175"/>
      <c r="D589" s="229" t="s">
        <v>31</v>
      </c>
      <c r="E589" s="82" t="s">
        <v>2125</v>
      </c>
      <c r="F589" s="81">
        <f>IFERROR(VLOOKUP(E589,客户!B:C,2,FALSE),"/")</f>
        <v>0</v>
      </c>
      <c r="G589" s="82" t="s">
        <v>2160</v>
      </c>
      <c r="H589" s="45" t="s">
        <v>123</v>
      </c>
      <c r="I589" s="254" t="s">
        <v>2127</v>
      </c>
      <c r="J589" s="108">
        <v>44293</v>
      </c>
      <c r="K589" s="159">
        <v>44394</v>
      </c>
      <c r="L589" s="100">
        <v>44431</v>
      </c>
      <c r="M589" s="165" t="s">
        <v>2161</v>
      </c>
      <c r="N589" s="198" t="s">
        <v>2162</v>
      </c>
      <c r="O589" s="265" t="s">
        <v>523</v>
      </c>
      <c r="P589" s="102">
        <v>73134.45</v>
      </c>
      <c r="Q589" s="267">
        <v>69000</v>
      </c>
      <c r="R589" s="280"/>
      <c r="S589" s="132"/>
      <c r="T589" s="267">
        <v>4162.08</v>
      </c>
      <c r="U589" s="100"/>
      <c r="V589" s="130"/>
      <c r="W589" s="170"/>
    </row>
    <row r="590" s="39" customFormat="1" ht="22" hidden="1" customHeight="1" spans="1:23">
      <c r="A590" s="144" t="s">
        <v>2163</v>
      </c>
      <c r="B590" s="174" t="s">
        <v>30</v>
      </c>
      <c r="C590" s="175"/>
      <c r="D590" s="229" t="s">
        <v>31</v>
      </c>
      <c r="E590" s="82" t="s">
        <v>2091</v>
      </c>
      <c r="F590" s="81">
        <f>IFERROR(VLOOKUP(E590,客户!B:C,2,FALSE),"/")</f>
        <v>0</v>
      </c>
      <c r="G590" s="80" t="s">
        <v>2098</v>
      </c>
      <c r="H590" s="45" t="s">
        <v>123</v>
      </c>
      <c r="I590" s="45" t="s">
        <v>2051</v>
      </c>
      <c r="J590" s="108">
        <v>44301</v>
      </c>
      <c r="K590" s="159">
        <v>44350</v>
      </c>
      <c r="L590" s="100">
        <v>44389</v>
      </c>
      <c r="M590" s="165" t="s">
        <v>2164</v>
      </c>
      <c r="N590" s="198" t="s">
        <v>2165</v>
      </c>
      <c r="O590" s="265" t="s">
        <v>523</v>
      </c>
      <c r="P590" s="102">
        <v>31796</v>
      </c>
      <c r="Q590" s="281">
        <v>17300</v>
      </c>
      <c r="R590" s="280"/>
      <c r="S590" s="132"/>
      <c r="T590" s="281">
        <v>40251.8</v>
      </c>
      <c r="U590" s="100"/>
      <c r="V590" s="130"/>
      <c r="W590" s="170"/>
    </row>
    <row r="591" s="39" customFormat="1" ht="22" hidden="1" customHeight="1" spans="1:23">
      <c r="A591" s="144" t="s">
        <v>2166</v>
      </c>
      <c r="B591" s="174" t="s">
        <v>30</v>
      </c>
      <c r="C591" s="175"/>
      <c r="D591" s="229" t="s">
        <v>31</v>
      </c>
      <c r="E591" s="82" t="s">
        <v>2091</v>
      </c>
      <c r="F591" s="81">
        <f>IFERROR(VLOOKUP(E591,客户!B:C,2,FALSE),"/")</f>
        <v>0</v>
      </c>
      <c r="G591" s="80" t="s">
        <v>2092</v>
      </c>
      <c r="H591" s="45" t="s">
        <v>123</v>
      </c>
      <c r="I591" s="254" t="s">
        <v>2167</v>
      </c>
      <c r="J591" s="108">
        <v>44301</v>
      </c>
      <c r="K591" s="159">
        <v>44354</v>
      </c>
      <c r="L591" s="100">
        <v>44372</v>
      </c>
      <c r="M591" s="165" t="s">
        <v>2168</v>
      </c>
      <c r="N591" s="198" t="s">
        <v>2169</v>
      </c>
      <c r="O591" s="265" t="s">
        <v>523</v>
      </c>
      <c r="P591" s="102">
        <v>25755.8</v>
      </c>
      <c r="Q591" s="267"/>
      <c r="R591" s="280"/>
      <c r="S591" s="132"/>
      <c r="T591" s="267"/>
      <c r="U591" s="100"/>
      <c r="V591" s="130"/>
      <c r="W591" s="170"/>
    </row>
    <row r="592" s="39" customFormat="1" ht="22" hidden="1" customHeight="1" spans="1:23">
      <c r="A592" s="144" t="s">
        <v>2170</v>
      </c>
      <c r="B592" s="174" t="s">
        <v>30</v>
      </c>
      <c r="C592" s="175"/>
      <c r="D592" s="229" t="s">
        <v>31</v>
      </c>
      <c r="E592" s="82" t="s">
        <v>2131</v>
      </c>
      <c r="F592" s="81">
        <f>IFERROR(VLOOKUP(E592,客户!B:C,2,FALSE),"/")</f>
        <v>0</v>
      </c>
      <c r="G592" s="80" t="s">
        <v>2171</v>
      </c>
      <c r="H592" s="45" t="s">
        <v>123</v>
      </c>
      <c r="I592" s="254" t="s">
        <v>2133</v>
      </c>
      <c r="J592" s="108">
        <v>44307</v>
      </c>
      <c r="K592" s="159">
        <v>44541</v>
      </c>
      <c r="L592" s="100">
        <v>44220</v>
      </c>
      <c r="M592" s="165" t="s">
        <v>2172</v>
      </c>
      <c r="N592" s="198" t="s">
        <v>2173</v>
      </c>
      <c r="O592" s="265" t="s">
        <v>523</v>
      </c>
      <c r="P592" s="102">
        <v>23181.61</v>
      </c>
      <c r="Q592" s="267">
        <v>6957</v>
      </c>
      <c r="R592" s="280"/>
      <c r="S592" s="132"/>
      <c r="T592" s="267">
        <v>16225.62</v>
      </c>
      <c r="U592" s="100"/>
      <c r="V592" s="130"/>
      <c r="W592" s="170"/>
    </row>
    <row r="593" s="39" customFormat="1" ht="22" hidden="1" customHeight="1" spans="1:23">
      <c r="A593" s="144" t="s">
        <v>2174</v>
      </c>
      <c r="B593" s="174" t="s">
        <v>30</v>
      </c>
      <c r="C593" s="175"/>
      <c r="D593" s="229" t="s">
        <v>31</v>
      </c>
      <c r="E593" s="82" t="s">
        <v>1210</v>
      </c>
      <c r="F593" s="81"/>
      <c r="G593" s="80" t="s">
        <v>2175</v>
      </c>
      <c r="H593" s="45" t="s">
        <v>123</v>
      </c>
      <c r="I593" s="45" t="s">
        <v>2176</v>
      </c>
      <c r="J593" s="108">
        <v>44309</v>
      </c>
      <c r="K593" s="159">
        <v>44332</v>
      </c>
      <c r="L593" s="100">
        <v>44385</v>
      </c>
      <c r="M593" s="165" t="s">
        <v>2177</v>
      </c>
      <c r="N593" s="198" t="s">
        <v>2178</v>
      </c>
      <c r="O593" s="265" t="s">
        <v>523</v>
      </c>
      <c r="P593" s="275">
        <v>50832.58</v>
      </c>
      <c r="Q593" s="275">
        <v>15000</v>
      </c>
      <c r="R593" s="280"/>
      <c r="S593" s="132"/>
      <c r="T593" s="275">
        <v>15832</v>
      </c>
      <c r="U593" s="275">
        <v>20000.58</v>
      </c>
      <c r="V593" s="130"/>
      <c r="W593" s="170"/>
    </row>
    <row r="594" s="39" customFormat="1" ht="22" hidden="1" customHeight="1" spans="1:23">
      <c r="A594" s="255" t="s">
        <v>2179</v>
      </c>
      <c r="B594" s="174" t="s">
        <v>30</v>
      </c>
      <c r="C594" s="175"/>
      <c r="D594" s="229" t="s">
        <v>3</v>
      </c>
      <c r="E594" s="82" t="s">
        <v>2125</v>
      </c>
      <c r="F594" s="81">
        <f>IFERROR(VLOOKUP(E594,客户!B:C,2,FALSE),"/")</f>
        <v>0</v>
      </c>
      <c r="G594" s="82" t="s">
        <v>2160</v>
      </c>
      <c r="H594" s="45" t="s">
        <v>123</v>
      </c>
      <c r="I594" s="254" t="s">
        <v>2127</v>
      </c>
      <c r="J594" s="108">
        <v>44315</v>
      </c>
      <c r="K594" s="178"/>
      <c r="L594" s="100"/>
      <c r="M594" s="165" t="s">
        <v>2180</v>
      </c>
      <c r="N594" s="198"/>
      <c r="O594" s="265" t="s">
        <v>523</v>
      </c>
      <c r="P594" s="139">
        <v>72116.45</v>
      </c>
      <c r="Q594" s="267">
        <f>10000-4859.64</f>
        <v>5140.36</v>
      </c>
      <c r="R594" s="280"/>
      <c r="S594" s="132"/>
      <c r="T594" s="267"/>
      <c r="U594" s="100"/>
      <c r="V594" s="130"/>
      <c r="W594" s="170"/>
    </row>
    <row r="595" s="39" customFormat="1" ht="22" hidden="1" customHeight="1" spans="1:23">
      <c r="A595" s="144" t="s">
        <v>2181</v>
      </c>
      <c r="B595" s="174" t="s">
        <v>30</v>
      </c>
      <c r="C595" s="175"/>
      <c r="D595" s="229" t="s">
        <v>31</v>
      </c>
      <c r="E595" s="82" t="s">
        <v>2125</v>
      </c>
      <c r="F595" s="81">
        <f>IFERROR(VLOOKUP(E595,客户!B:C,2,FALSE),"/")</f>
        <v>0</v>
      </c>
      <c r="G595" s="82" t="s">
        <v>2182</v>
      </c>
      <c r="H595" s="45" t="s">
        <v>123</v>
      </c>
      <c r="I595" s="45" t="s">
        <v>2183</v>
      </c>
      <c r="J595" s="108">
        <v>44343</v>
      </c>
      <c r="K595" s="159">
        <v>44380</v>
      </c>
      <c r="L595" s="100">
        <v>44446</v>
      </c>
      <c r="M595" s="165" t="s">
        <v>2184</v>
      </c>
      <c r="N595" s="198" t="s">
        <v>2185</v>
      </c>
      <c r="O595" s="265" t="s">
        <v>523</v>
      </c>
      <c r="P595" s="102">
        <v>21637.92</v>
      </c>
      <c r="Q595" s="267">
        <v>10000</v>
      </c>
      <c r="R595" s="280"/>
      <c r="S595" s="132"/>
      <c r="T595" s="267">
        <v>10000</v>
      </c>
      <c r="U595" s="267">
        <v>1637.92</v>
      </c>
      <c r="V595" s="130"/>
      <c r="W595" s="170"/>
    </row>
    <row r="596" s="39" customFormat="1" ht="22" hidden="1" customHeight="1" spans="1:23">
      <c r="A596" s="144" t="s">
        <v>2186</v>
      </c>
      <c r="B596" s="174" t="s">
        <v>30</v>
      </c>
      <c r="C596" s="175"/>
      <c r="D596" s="229" t="s">
        <v>31</v>
      </c>
      <c r="E596" s="82" t="s">
        <v>2108</v>
      </c>
      <c r="F596" s="81">
        <f>IFERROR(VLOOKUP(E596,客户!B:C,2,FALSE),"/")</f>
        <v>0</v>
      </c>
      <c r="G596" s="82" t="s">
        <v>2187</v>
      </c>
      <c r="H596" s="45" t="s">
        <v>123</v>
      </c>
      <c r="I596" s="254" t="s">
        <v>862</v>
      </c>
      <c r="J596" s="108">
        <v>44363</v>
      </c>
      <c r="K596" s="159">
        <v>44374</v>
      </c>
      <c r="L596" s="100">
        <v>44417</v>
      </c>
      <c r="M596" s="165" t="s">
        <v>2188</v>
      </c>
      <c r="N596" s="198" t="s">
        <v>2189</v>
      </c>
      <c r="O596" s="265" t="s">
        <v>970</v>
      </c>
      <c r="P596" s="102">
        <v>28505.49</v>
      </c>
      <c r="Q596" s="267"/>
      <c r="R596" s="280"/>
      <c r="S596" s="132"/>
      <c r="T596" s="267"/>
      <c r="U596" s="100"/>
      <c r="V596" s="130"/>
      <c r="W596" s="170"/>
    </row>
    <row r="597" s="39" customFormat="1" ht="22" hidden="1" customHeight="1" spans="1:23">
      <c r="A597" s="144" t="s">
        <v>2190</v>
      </c>
      <c r="B597" s="174" t="s">
        <v>30</v>
      </c>
      <c r="C597" s="175"/>
      <c r="D597" s="229" t="s">
        <v>31</v>
      </c>
      <c r="E597" s="82" t="s">
        <v>2108</v>
      </c>
      <c r="F597" s="81">
        <f>IFERROR(VLOOKUP(E597,客户!B:C,2,FALSE),"/")</f>
        <v>0</v>
      </c>
      <c r="G597" s="82" t="s">
        <v>2191</v>
      </c>
      <c r="H597" s="45" t="s">
        <v>123</v>
      </c>
      <c r="I597" s="254" t="s">
        <v>862</v>
      </c>
      <c r="J597" s="108">
        <v>44363</v>
      </c>
      <c r="K597" s="108">
        <v>44374</v>
      </c>
      <c r="L597" s="100">
        <v>44417</v>
      </c>
      <c r="M597" s="165" t="s">
        <v>2192</v>
      </c>
      <c r="N597" s="198" t="s">
        <v>2193</v>
      </c>
      <c r="O597" s="265" t="s">
        <v>970</v>
      </c>
      <c r="P597" s="169">
        <v>85191.6</v>
      </c>
      <c r="Q597" s="267"/>
      <c r="R597" s="280"/>
      <c r="S597" s="132"/>
      <c r="T597" s="267"/>
      <c r="U597" s="100"/>
      <c r="V597" s="130"/>
      <c r="W597" s="170"/>
    </row>
    <row r="598" s="39" customFormat="1" ht="22" hidden="1" customHeight="1" spans="1:23">
      <c r="A598" s="144" t="s">
        <v>2194</v>
      </c>
      <c r="B598" s="174" t="s">
        <v>30</v>
      </c>
      <c r="C598" s="175"/>
      <c r="D598" s="229" t="s">
        <v>31</v>
      </c>
      <c r="E598" s="82" t="s">
        <v>2116</v>
      </c>
      <c r="F598" s="81">
        <f>IFERROR(VLOOKUP(E598,客户!B:C,2,FALSE),"/")</f>
        <v>0</v>
      </c>
      <c r="G598" s="82" t="s">
        <v>2195</v>
      </c>
      <c r="H598" s="45" t="s">
        <v>123</v>
      </c>
      <c r="I598" s="45" t="s">
        <v>2073</v>
      </c>
      <c r="J598" s="108">
        <v>44377</v>
      </c>
      <c r="K598" s="108">
        <v>44417</v>
      </c>
      <c r="L598" s="100">
        <v>44459</v>
      </c>
      <c r="M598" s="165" t="s">
        <v>2196</v>
      </c>
      <c r="N598" s="198" t="s">
        <v>2197</v>
      </c>
      <c r="O598" s="265" t="s">
        <v>523</v>
      </c>
      <c r="P598" s="169">
        <v>19566.14</v>
      </c>
      <c r="Q598" s="267"/>
      <c r="R598" s="280"/>
      <c r="S598" s="132"/>
      <c r="T598" s="267">
        <v>19566.14</v>
      </c>
      <c r="U598" s="100"/>
      <c r="V598" s="130"/>
      <c r="W598" s="170"/>
    </row>
    <row r="599" s="39" customFormat="1" ht="22" hidden="1" customHeight="1" spans="1:23">
      <c r="A599" s="144" t="s">
        <v>2198</v>
      </c>
      <c r="B599" s="174" t="s">
        <v>30</v>
      </c>
      <c r="C599" s="175"/>
      <c r="D599" s="229" t="s">
        <v>31</v>
      </c>
      <c r="E599" s="82" t="s">
        <v>2154</v>
      </c>
      <c r="F599" s="81"/>
      <c r="G599" s="82" t="s">
        <v>2199</v>
      </c>
      <c r="H599" s="45" t="s">
        <v>123</v>
      </c>
      <c r="I599" s="45" t="s">
        <v>2156</v>
      </c>
      <c r="J599" s="108">
        <v>44433</v>
      </c>
      <c r="K599" s="159">
        <v>44451</v>
      </c>
      <c r="L599" s="100">
        <v>44499</v>
      </c>
      <c r="M599" s="165" t="s">
        <v>2200</v>
      </c>
      <c r="N599" s="198" t="s">
        <v>2201</v>
      </c>
      <c r="O599" s="265" t="s">
        <v>523</v>
      </c>
      <c r="P599" s="169">
        <v>30343.99</v>
      </c>
      <c r="Q599" s="267">
        <v>8000</v>
      </c>
      <c r="R599" s="280"/>
      <c r="S599" s="132"/>
      <c r="T599" s="267">
        <v>22343.99</v>
      </c>
      <c r="U599" s="100"/>
      <c r="V599" s="130"/>
      <c r="W599" s="170"/>
    </row>
    <row r="600" s="39" customFormat="1" ht="22" hidden="1" customHeight="1" spans="1:23">
      <c r="A600" s="144" t="s">
        <v>2202</v>
      </c>
      <c r="B600" s="174" t="s">
        <v>30</v>
      </c>
      <c r="C600" s="175"/>
      <c r="D600" s="229" t="s">
        <v>31</v>
      </c>
      <c r="E600" s="82" t="s">
        <v>2108</v>
      </c>
      <c r="F600" s="81">
        <f>IFERROR(VLOOKUP(E600,客户!B:C,2,FALSE),"/")</f>
        <v>0</v>
      </c>
      <c r="G600" s="82" t="s">
        <v>2191</v>
      </c>
      <c r="H600" s="45" t="s">
        <v>123</v>
      </c>
      <c r="I600" s="254" t="s">
        <v>862</v>
      </c>
      <c r="J600" s="108">
        <v>44447</v>
      </c>
      <c r="K600" s="108">
        <v>44457</v>
      </c>
      <c r="L600" s="100">
        <v>44493</v>
      </c>
      <c r="M600" s="165" t="s">
        <v>2203</v>
      </c>
      <c r="N600" s="198" t="s">
        <v>2204</v>
      </c>
      <c r="O600" s="265" t="s">
        <v>970</v>
      </c>
      <c r="P600" s="169">
        <v>93488.4</v>
      </c>
      <c r="Q600" s="267"/>
      <c r="R600" s="280"/>
      <c r="S600" s="132"/>
      <c r="T600" s="267"/>
      <c r="U600" s="100"/>
      <c r="V600" s="130"/>
      <c r="W600" s="170"/>
    </row>
    <row r="601" s="39" customFormat="1" ht="22" hidden="1" customHeight="1" spans="1:23">
      <c r="A601" s="144" t="s">
        <v>2205</v>
      </c>
      <c r="B601" s="174" t="s">
        <v>30</v>
      </c>
      <c r="C601" s="175"/>
      <c r="D601" s="229" t="s">
        <v>31</v>
      </c>
      <c r="E601" s="82" t="s">
        <v>2108</v>
      </c>
      <c r="F601" s="81">
        <f>IFERROR(VLOOKUP(E601,客户!B:C,2,FALSE),"/")</f>
        <v>0</v>
      </c>
      <c r="G601" s="82" t="s">
        <v>2206</v>
      </c>
      <c r="H601" s="45" t="s">
        <v>123</v>
      </c>
      <c r="I601" s="254" t="s">
        <v>862</v>
      </c>
      <c r="J601" s="108">
        <v>44470</v>
      </c>
      <c r="K601" s="108">
        <v>44525</v>
      </c>
      <c r="L601" s="100"/>
      <c r="M601" s="165" t="s">
        <v>2207</v>
      </c>
      <c r="N601" s="198" t="s">
        <v>2208</v>
      </c>
      <c r="O601" s="265" t="s">
        <v>970</v>
      </c>
      <c r="P601" s="169">
        <v>55400</v>
      </c>
      <c r="Q601" s="267"/>
      <c r="R601" s="280"/>
      <c r="S601" s="132"/>
      <c r="T601" s="267"/>
      <c r="U601" s="100"/>
      <c r="V601" s="130"/>
      <c r="W601" s="170"/>
    </row>
    <row r="602" s="39" customFormat="1" ht="22" hidden="1" customHeight="1" spans="1:23">
      <c r="A602" s="144" t="s">
        <v>2209</v>
      </c>
      <c r="B602" s="174" t="s">
        <v>30</v>
      </c>
      <c r="C602" s="175"/>
      <c r="D602" s="229" t="s">
        <v>31</v>
      </c>
      <c r="E602" s="82" t="s">
        <v>2108</v>
      </c>
      <c r="F602" s="81">
        <f>IFERROR(VLOOKUP(E602,客户!B:C,2,FALSE),"/")</f>
        <v>0</v>
      </c>
      <c r="G602" s="82" t="s">
        <v>2210</v>
      </c>
      <c r="H602" s="45" t="s">
        <v>123</v>
      </c>
      <c r="I602" s="254" t="s">
        <v>2211</v>
      </c>
      <c r="J602" s="108">
        <v>44580</v>
      </c>
      <c r="K602" s="108">
        <v>44587</v>
      </c>
      <c r="L602" s="100">
        <v>44640</v>
      </c>
      <c r="M602" s="165" t="s">
        <v>2212</v>
      </c>
      <c r="N602" s="198" t="s">
        <v>2111</v>
      </c>
      <c r="O602" s="265" t="s">
        <v>970</v>
      </c>
      <c r="P602" s="169">
        <v>76517.99</v>
      </c>
      <c r="Q602" s="267"/>
      <c r="R602" s="280"/>
      <c r="S602" s="132"/>
      <c r="T602" s="267"/>
      <c r="U602" s="100"/>
      <c r="V602" s="130"/>
      <c r="W602" s="170"/>
    </row>
    <row r="603" s="39" customFormat="1" ht="22" hidden="1" customHeight="1" spans="1:23">
      <c r="A603" s="255" t="s">
        <v>2213</v>
      </c>
      <c r="B603" s="174" t="s">
        <v>30</v>
      </c>
      <c r="C603" s="175"/>
      <c r="D603" s="229" t="s">
        <v>0</v>
      </c>
      <c r="E603" s="82" t="s">
        <v>2131</v>
      </c>
      <c r="F603" s="81">
        <f>IFERROR(VLOOKUP(E603,客户!B:C,2,FALSE),"/")</f>
        <v>0</v>
      </c>
      <c r="G603" s="80" t="s">
        <v>2171</v>
      </c>
      <c r="H603" s="45" t="s">
        <v>123</v>
      </c>
      <c r="I603" s="254" t="s">
        <v>2133</v>
      </c>
      <c r="J603" s="108">
        <v>44673</v>
      </c>
      <c r="K603" s="108">
        <v>44736</v>
      </c>
      <c r="L603" s="100"/>
      <c r="M603" s="165" t="s">
        <v>2214</v>
      </c>
      <c r="N603" s="198" t="s">
        <v>2215</v>
      </c>
      <c r="O603" s="265" t="s">
        <v>970</v>
      </c>
      <c r="P603" s="169">
        <v>31545.82</v>
      </c>
      <c r="Q603" s="267">
        <v>9464</v>
      </c>
      <c r="R603" s="280"/>
      <c r="S603" s="132"/>
      <c r="T603" s="267">
        <v>22082.71</v>
      </c>
      <c r="U603" s="100"/>
      <c r="V603" s="130"/>
      <c r="W603" s="170"/>
    </row>
    <row r="604" s="39" customFormat="1" ht="22" hidden="1" customHeight="1" spans="1:23">
      <c r="A604" s="144" t="s">
        <v>2216</v>
      </c>
      <c r="B604" s="174" t="s">
        <v>30</v>
      </c>
      <c r="C604" s="175"/>
      <c r="D604" s="229" t="s">
        <v>31</v>
      </c>
      <c r="E604" s="82" t="s">
        <v>2125</v>
      </c>
      <c r="F604" s="81">
        <f>IFERROR(VLOOKUP(E604,客户!B:C,2,FALSE),"/")</f>
        <v>0</v>
      </c>
      <c r="G604" s="80" t="s">
        <v>2217</v>
      </c>
      <c r="H604" s="45" t="s">
        <v>123</v>
      </c>
      <c r="I604" s="45" t="s">
        <v>2183</v>
      </c>
      <c r="J604" s="108">
        <v>44680</v>
      </c>
      <c r="K604" s="159">
        <v>44696</v>
      </c>
      <c r="L604" s="100">
        <v>44754</v>
      </c>
      <c r="M604" s="165" t="s">
        <v>2218</v>
      </c>
      <c r="N604" s="198" t="s">
        <v>2219</v>
      </c>
      <c r="O604" s="265" t="s">
        <v>970</v>
      </c>
      <c r="P604" s="169">
        <v>24859.64</v>
      </c>
      <c r="Q604" s="267">
        <v>10000</v>
      </c>
      <c r="R604" s="280"/>
      <c r="S604" s="132"/>
      <c r="T604" s="267">
        <v>10000</v>
      </c>
      <c r="U604" s="267">
        <v>4859.64</v>
      </c>
      <c r="V604" s="130"/>
      <c r="W604" s="170"/>
    </row>
    <row r="605" s="39" customFormat="1" ht="22" customHeight="1" spans="1:23">
      <c r="A605" s="255" t="s">
        <v>2220</v>
      </c>
      <c r="B605" s="174" t="s">
        <v>30</v>
      </c>
      <c r="C605" s="175"/>
      <c r="D605" s="229" t="s">
        <v>1</v>
      </c>
      <c r="E605" s="82" t="s">
        <v>2091</v>
      </c>
      <c r="F605" s="81"/>
      <c r="G605" s="80" t="s">
        <v>2098</v>
      </c>
      <c r="H605" s="45" t="s">
        <v>123</v>
      </c>
      <c r="I605" s="254" t="s">
        <v>2221</v>
      </c>
      <c r="J605" s="108">
        <v>44704</v>
      </c>
      <c r="K605" s="159">
        <v>44735</v>
      </c>
      <c r="L605" s="100"/>
      <c r="M605" s="201" t="s">
        <v>2222</v>
      </c>
      <c r="N605" s="198" t="s">
        <v>2223</v>
      </c>
      <c r="O605" s="265" t="s">
        <v>523</v>
      </c>
      <c r="P605" s="169">
        <v>32317.6</v>
      </c>
      <c r="Q605" s="267">
        <v>9000</v>
      </c>
      <c r="R605" s="280"/>
      <c r="S605" s="132"/>
      <c r="T605" s="267"/>
      <c r="U605" s="100"/>
      <c r="V605" s="130"/>
      <c r="W605" s="170"/>
    </row>
    <row r="606" s="39" customFormat="1" ht="22" hidden="1" customHeight="1" spans="1:23">
      <c r="A606" s="255"/>
      <c r="B606" s="174"/>
      <c r="C606" s="175"/>
      <c r="D606" s="45"/>
      <c r="E606" s="80"/>
      <c r="F606" s="81" t="str">
        <f>IFERROR(VLOOKUP(E606,客户!B:C,2,FALSE),"/")</f>
        <v>/</v>
      </c>
      <c r="G606" s="80"/>
      <c r="H606" s="45"/>
      <c r="I606" s="45"/>
      <c r="J606" s="108"/>
      <c r="K606" s="108"/>
      <c r="L606" s="100"/>
      <c r="M606" s="159"/>
      <c r="N606" s="108"/>
      <c r="O606" s="104"/>
      <c r="P606" s="209"/>
      <c r="Q606" s="102"/>
      <c r="R606" s="131"/>
      <c r="S606" s="132"/>
      <c r="T606" s="102"/>
      <c r="U606" s="100"/>
      <c r="V606" s="130"/>
      <c r="W606" s="170"/>
    </row>
    <row r="607" s="39" customFormat="1" ht="22" hidden="1" customHeight="1" spans="1:23">
      <c r="A607" s="209" t="s">
        <v>2224</v>
      </c>
      <c r="B607" s="269"/>
      <c r="C607" s="270"/>
      <c r="D607" s="45"/>
      <c r="E607" s="80"/>
      <c r="F607" s="81" t="str">
        <f>IFERROR(VLOOKUP(E607,客户!B:C,2,FALSE),"/")</f>
        <v>/</v>
      </c>
      <c r="G607" s="271"/>
      <c r="H607" s="42"/>
      <c r="I607" s="42"/>
      <c r="J607" s="108"/>
      <c r="K607" s="108"/>
      <c r="L607" s="100"/>
      <c r="M607" s="276"/>
      <c r="N607" s="276"/>
      <c r="O607" s="104"/>
      <c r="P607" s="209"/>
      <c r="Q607" s="129"/>
      <c r="R607" s="131"/>
      <c r="S607" s="132"/>
      <c r="T607" s="129"/>
      <c r="U607" s="100"/>
      <c r="V607" s="282"/>
      <c r="W607" s="184"/>
    </row>
    <row r="608" s="39" customFormat="1" ht="22" hidden="1" customHeight="1" spans="1:23">
      <c r="A608" s="42" t="s">
        <v>2225</v>
      </c>
      <c r="B608" s="272" t="s">
        <v>2226</v>
      </c>
      <c r="C608" s="273"/>
      <c r="D608" s="45" t="s">
        <v>31</v>
      </c>
      <c r="E608" s="42" t="s">
        <v>2227</v>
      </c>
      <c r="F608" s="81" t="str">
        <f>IFERROR(VLOOKUP(E608,客户!B:C,2,FALSE),"/")</f>
        <v>/</v>
      </c>
      <c r="G608" s="42" t="s">
        <v>2228</v>
      </c>
      <c r="H608" s="42" t="s">
        <v>127</v>
      </c>
      <c r="I608" s="42"/>
      <c r="J608" s="108"/>
      <c r="K608" s="108"/>
      <c r="L608" s="100"/>
      <c r="M608" s="276"/>
      <c r="N608" s="277" t="s">
        <v>2229</v>
      </c>
      <c r="O608" s="104"/>
      <c r="P608" s="129">
        <v>22386</v>
      </c>
      <c r="Q608" s="129">
        <v>7000</v>
      </c>
      <c r="R608" s="283"/>
      <c r="S608" s="172"/>
      <c r="T608" s="129"/>
      <c r="U608" s="100"/>
      <c r="V608" s="129"/>
      <c r="W608" s="167"/>
    </row>
    <row r="609" s="39" customFormat="1" ht="22" hidden="1" customHeight="1" spans="1:23">
      <c r="A609" s="42" t="s">
        <v>2230</v>
      </c>
      <c r="B609" s="272" t="s">
        <v>2226</v>
      </c>
      <c r="C609" s="273"/>
      <c r="D609" s="45" t="s">
        <v>31</v>
      </c>
      <c r="E609" s="42" t="s">
        <v>2227</v>
      </c>
      <c r="F609" s="81" t="str">
        <f>IFERROR(VLOOKUP(E609,客户!B:C,2,FALSE),"/")</f>
        <v>/</v>
      </c>
      <c r="G609" s="42" t="s">
        <v>2231</v>
      </c>
      <c r="H609" s="42" t="s">
        <v>127</v>
      </c>
      <c r="I609" s="42"/>
      <c r="J609" s="108"/>
      <c r="K609" s="108"/>
      <c r="L609" s="100"/>
      <c r="M609" s="276"/>
      <c r="N609" s="277" t="s">
        <v>2232</v>
      </c>
      <c r="O609" s="104"/>
      <c r="P609" s="129">
        <v>42500.2</v>
      </c>
      <c r="Q609" s="129">
        <v>14000</v>
      </c>
      <c r="R609" s="283"/>
      <c r="S609" s="172"/>
      <c r="T609" s="129"/>
      <c r="U609" s="100"/>
      <c r="V609" s="129"/>
      <c r="W609" s="167"/>
    </row>
    <row r="610" s="39" customFormat="1" ht="22" hidden="1" customHeight="1" spans="1:23">
      <c r="A610" s="42" t="s">
        <v>2233</v>
      </c>
      <c r="B610" s="272" t="s">
        <v>2226</v>
      </c>
      <c r="C610" s="273"/>
      <c r="D610" s="45" t="s">
        <v>31</v>
      </c>
      <c r="E610" s="42" t="s">
        <v>2227</v>
      </c>
      <c r="F610" s="81" t="str">
        <f>IFERROR(VLOOKUP(E610,客户!B:C,2,FALSE),"/")</f>
        <v>/</v>
      </c>
      <c r="G610" s="42" t="s">
        <v>2228</v>
      </c>
      <c r="H610" s="42" t="s">
        <v>127</v>
      </c>
      <c r="I610" s="42"/>
      <c r="J610" s="108"/>
      <c r="K610" s="108"/>
      <c r="L610" s="100"/>
      <c r="M610" s="276"/>
      <c r="N610" s="277" t="s">
        <v>2232</v>
      </c>
      <c r="O610" s="104"/>
      <c r="P610" s="129">
        <v>21349</v>
      </c>
      <c r="Q610" s="129">
        <v>7000</v>
      </c>
      <c r="R610" s="283"/>
      <c r="S610" s="172"/>
      <c r="T610" s="129"/>
      <c r="U610" s="100"/>
      <c r="V610" s="129"/>
      <c r="W610" s="167"/>
    </row>
    <row r="611" s="39" customFormat="1" ht="22" hidden="1" customHeight="1" spans="1:23">
      <c r="A611" s="42" t="s">
        <v>2234</v>
      </c>
      <c r="B611" s="272" t="s">
        <v>2226</v>
      </c>
      <c r="C611" s="273"/>
      <c r="D611" s="45" t="s">
        <v>31</v>
      </c>
      <c r="E611" s="42" t="s">
        <v>2235</v>
      </c>
      <c r="F611" s="81" t="str">
        <f>IFERROR(VLOOKUP(E611,客户!B:C,2,FALSE),"/")</f>
        <v>/</v>
      </c>
      <c r="G611" s="42" t="s">
        <v>2236</v>
      </c>
      <c r="H611" s="42" t="s">
        <v>127</v>
      </c>
      <c r="I611" s="42"/>
      <c r="J611" s="108"/>
      <c r="K611" s="108"/>
      <c r="L611" s="100"/>
      <c r="M611" s="276" t="s">
        <v>2237</v>
      </c>
      <c r="N611" s="277" t="s">
        <v>2238</v>
      </c>
      <c r="O611" s="104"/>
      <c r="P611" s="129">
        <v>41966.1</v>
      </c>
      <c r="Q611" s="129">
        <v>12000</v>
      </c>
      <c r="R611" s="171"/>
      <c r="S611" s="172"/>
      <c r="T611" s="129">
        <v>29935</v>
      </c>
      <c r="U611" s="100"/>
      <c r="V611" s="129"/>
      <c r="W611" s="167"/>
    </row>
    <row r="612" s="39" customFormat="1" ht="22" hidden="1" customHeight="1" spans="1:23">
      <c r="A612" s="42" t="s">
        <v>2239</v>
      </c>
      <c r="B612" s="272" t="s">
        <v>2226</v>
      </c>
      <c r="C612" s="273"/>
      <c r="D612" s="45" t="s">
        <v>31</v>
      </c>
      <c r="E612" s="274" t="s">
        <v>2240</v>
      </c>
      <c r="F612" s="81" t="str">
        <f>IFERROR(VLOOKUP(E612,客户!B:C,2,FALSE),"/")</f>
        <v>/</v>
      </c>
      <c r="G612" s="42" t="s">
        <v>2241</v>
      </c>
      <c r="H612" s="42" t="s">
        <v>127</v>
      </c>
      <c r="I612" s="42"/>
      <c r="J612" s="108"/>
      <c r="K612" s="108"/>
      <c r="L612" s="100"/>
      <c r="M612" s="276" t="s">
        <v>2237</v>
      </c>
      <c r="N612" s="277" t="s">
        <v>2238</v>
      </c>
      <c r="O612" s="104"/>
      <c r="P612" s="129">
        <v>24567.25</v>
      </c>
      <c r="Q612" s="129">
        <v>7000</v>
      </c>
      <c r="R612" s="171"/>
      <c r="S612" s="172"/>
      <c r="T612" s="129">
        <v>17537</v>
      </c>
      <c r="U612" s="100"/>
      <c r="V612" s="129"/>
      <c r="W612" s="167"/>
    </row>
    <row r="613" s="43" customFormat="1" ht="22" hidden="1" customHeight="1" spans="1:23">
      <c r="A613" s="45" t="s">
        <v>2242</v>
      </c>
      <c r="B613" s="272" t="s">
        <v>2226</v>
      </c>
      <c r="C613" s="273"/>
      <c r="D613" s="45" t="s">
        <v>31</v>
      </c>
      <c r="E613" s="45" t="s">
        <v>2243</v>
      </c>
      <c r="F613" s="81" t="str">
        <f>IFERROR(VLOOKUP(E613,客户!B:C,2,FALSE),"/")</f>
        <v>/</v>
      </c>
      <c r="G613" s="45" t="s">
        <v>2244</v>
      </c>
      <c r="H613" s="45" t="s">
        <v>127</v>
      </c>
      <c r="I613" s="45"/>
      <c r="J613" s="108"/>
      <c r="K613" s="108"/>
      <c r="L613" s="100"/>
      <c r="M613" s="159" t="s">
        <v>2245</v>
      </c>
      <c r="N613" s="162" t="s">
        <v>2246</v>
      </c>
      <c r="O613" s="104"/>
      <c r="P613" s="102">
        <v>27321.32</v>
      </c>
      <c r="Q613" s="102">
        <v>3000</v>
      </c>
      <c r="R613" s="284"/>
      <c r="S613" s="132"/>
      <c r="T613" s="102"/>
      <c r="U613" s="100"/>
      <c r="V613" s="113"/>
      <c r="W613" s="285"/>
    </row>
    <row r="614" s="43" customFormat="1" ht="22" hidden="1" customHeight="1" spans="1:23">
      <c r="A614" s="45" t="s">
        <v>2247</v>
      </c>
      <c r="B614" s="272" t="s">
        <v>2226</v>
      </c>
      <c r="C614" s="273"/>
      <c r="D614" s="45" t="s">
        <v>31</v>
      </c>
      <c r="E614" s="45" t="s">
        <v>2248</v>
      </c>
      <c r="F614" s="81" t="str">
        <f>IFERROR(VLOOKUP(E614,客户!B:C,2,FALSE),"/")</f>
        <v>/</v>
      </c>
      <c r="G614" s="45" t="s">
        <v>2249</v>
      </c>
      <c r="H614" s="45" t="s">
        <v>127</v>
      </c>
      <c r="I614" s="45"/>
      <c r="J614" s="108"/>
      <c r="K614" s="108"/>
      <c r="L614" s="100"/>
      <c r="M614" s="159" t="s">
        <v>2250</v>
      </c>
      <c r="N614" s="162" t="s">
        <v>2251</v>
      </c>
      <c r="O614" s="104"/>
      <c r="P614" s="102">
        <v>41936.9</v>
      </c>
      <c r="Q614" s="102">
        <v>11200</v>
      </c>
      <c r="R614" s="131"/>
      <c r="S614" s="132"/>
      <c r="T614" s="102"/>
      <c r="U614" s="100"/>
      <c r="V614" s="130"/>
      <c r="W614" s="285"/>
    </row>
    <row r="615" s="43" customFormat="1" ht="22" hidden="1" customHeight="1" spans="1:23">
      <c r="A615" s="45" t="s">
        <v>2252</v>
      </c>
      <c r="B615" s="272" t="s">
        <v>2226</v>
      </c>
      <c r="C615" s="273"/>
      <c r="D615" s="45" t="s">
        <v>31</v>
      </c>
      <c r="E615" s="45" t="s">
        <v>2248</v>
      </c>
      <c r="F615" s="81" t="str">
        <f>IFERROR(VLOOKUP(E615,客户!B:C,2,FALSE),"/")</f>
        <v>/</v>
      </c>
      <c r="G615" s="45" t="s">
        <v>2249</v>
      </c>
      <c r="H615" s="45" t="s">
        <v>407</v>
      </c>
      <c r="I615" s="45"/>
      <c r="J615" s="108"/>
      <c r="K615" s="108"/>
      <c r="L615" s="100"/>
      <c r="M615" s="159" t="s">
        <v>2253</v>
      </c>
      <c r="N615" s="162" t="s">
        <v>2254</v>
      </c>
      <c r="O615" s="104"/>
      <c r="P615" s="102">
        <v>44055.4</v>
      </c>
      <c r="Q615" s="102">
        <v>11200</v>
      </c>
      <c r="R615" s="131"/>
      <c r="S615" s="132"/>
      <c r="T615" s="102">
        <v>32835</v>
      </c>
      <c r="U615" s="100"/>
      <c r="V615" s="102"/>
      <c r="W615" s="285"/>
    </row>
    <row r="616" s="43" customFormat="1" ht="22" hidden="1" customHeight="1" spans="1:23">
      <c r="A616" s="45" t="s">
        <v>2255</v>
      </c>
      <c r="B616" s="272" t="s">
        <v>2226</v>
      </c>
      <c r="C616" s="273"/>
      <c r="D616" s="45" t="s">
        <v>31</v>
      </c>
      <c r="E616" s="45" t="s">
        <v>2248</v>
      </c>
      <c r="F616" s="81" t="str">
        <f>IFERROR(VLOOKUP(E616,客户!B:C,2,FALSE),"/")</f>
        <v>/</v>
      </c>
      <c r="G616" s="45" t="s">
        <v>2256</v>
      </c>
      <c r="H616" s="45" t="s">
        <v>127</v>
      </c>
      <c r="I616" s="45"/>
      <c r="J616" s="108"/>
      <c r="K616" s="108"/>
      <c r="L616" s="100"/>
      <c r="M616" s="162" t="s">
        <v>2257</v>
      </c>
      <c r="N616" s="162" t="s">
        <v>2258</v>
      </c>
      <c r="O616" s="104"/>
      <c r="P616" s="102">
        <v>22590</v>
      </c>
      <c r="Q616" s="102">
        <v>5600</v>
      </c>
      <c r="R616" s="131"/>
      <c r="S616" s="132"/>
      <c r="T616" s="102">
        <v>16980</v>
      </c>
      <c r="U616" s="100"/>
      <c r="V616" s="102"/>
      <c r="W616" s="285"/>
    </row>
    <row r="617" s="43" customFormat="1" ht="22" hidden="1" customHeight="1" spans="1:23">
      <c r="A617" s="144" t="s">
        <v>2259</v>
      </c>
      <c r="B617" s="272" t="s">
        <v>2226</v>
      </c>
      <c r="C617" s="273"/>
      <c r="D617" s="45" t="s">
        <v>31</v>
      </c>
      <c r="E617" s="80" t="s">
        <v>2260</v>
      </c>
      <c r="F617" s="81">
        <f>IFERROR(VLOOKUP(E617,客户!B:C,2,FALSE),"/")</f>
        <v>0</v>
      </c>
      <c r="G617" s="45" t="s">
        <v>2261</v>
      </c>
      <c r="H617" s="45" t="s">
        <v>123</v>
      </c>
      <c r="I617" s="45" t="s">
        <v>2262</v>
      </c>
      <c r="J617" s="108">
        <v>43313</v>
      </c>
      <c r="K617" s="108">
        <v>43563</v>
      </c>
      <c r="L617" s="100"/>
      <c r="M617" s="159" t="s">
        <v>2263</v>
      </c>
      <c r="N617" s="159" t="s">
        <v>2264</v>
      </c>
      <c r="O617" s="104"/>
      <c r="P617" s="102">
        <v>53827.34</v>
      </c>
      <c r="Q617" s="102" t="s">
        <v>2265</v>
      </c>
      <c r="R617" s="131">
        <v>0</v>
      </c>
      <c r="S617" s="132"/>
      <c r="T617" s="102">
        <f>10000*5+3827</f>
        <v>53827</v>
      </c>
      <c r="U617" s="100">
        <v>43593</v>
      </c>
      <c r="V617" s="130"/>
      <c r="W617" s="210"/>
    </row>
    <row r="618" s="43" customFormat="1" ht="22" hidden="1" customHeight="1" spans="1:23">
      <c r="A618" s="144" t="s">
        <v>2266</v>
      </c>
      <c r="B618" s="272" t="s">
        <v>2226</v>
      </c>
      <c r="C618" s="273"/>
      <c r="D618" s="45" t="s">
        <v>31</v>
      </c>
      <c r="E618" s="45" t="s">
        <v>2267</v>
      </c>
      <c r="F618" s="81">
        <f>IFERROR(VLOOKUP(E618,客户!B:C,2,FALSE),"/")</f>
        <v>0</v>
      </c>
      <c r="G618" s="45" t="s">
        <v>2268</v>
      </c>
      <c r="H618" s="45" t="s">
        <v>2269</v>
      </c>
      <c r="I618" s="45" t="s">
        <v>2270</v>
      </c>
      <c r="J618" s="108">
        <v>43314</v>
      </c>
      <c r="K618" s="108"/>
      <c r="L618" s="100"/>
      <c r="M618" s="116" t="s">
        <v>2271</v>
      </c>
      <c r="N618" s="108"/>
      <c r="O618" s="104"/>
      <c r="P618" s="102">
        <v>2677.5</v>
      </c>
      <c r="Q618" s="102">
        <f>5000/6.8</f>
        <v>735.294117647059</v>
      </c>
      <c r="R618" s="131">
        <f>N618</f>
        <v>0</v>
      </c>
      <c r="S618" s="132"/>
      <c r="T618" s="102"/>
      <c r="U618" s="100"/>
      <c r="V618" s="102"/>
      <c r="W618" s="210"/>
    </row>
    <row r="619" s="43" customFormat="1" ht="22" hidden="1" customHeight="1" spans="1:23">
      <c r="A619" s="45" t="s">
        <v>2272</v>
      </c>
      <c r="B619" s="272" t="s">
        <v>2226</v>
      </c>
      <c r="C619" s="273"/>
      <c r="D619" s="45" t="s">
        <v>31</v>
      </c>
      <c r="E619" s="45" t="s">
        <v>2273</v>
      </c>
      <c r="F619" s="81" t="str">
        <f>IFERROR(VLOOKUP(E619,客户!B:C,2,FALSE),"/")</f>
        <v>/</v>
      </c>
      <c r="G619" s="45" t="s">
        <v>2274</v>
      </c>
      <c r="H619" s="45" t="s">
        <v>123</v>
      </c>
      <c r="I619" s="45" t="s">
        <v>210</v>
      </c>
      <c r="J619" s="108">
        <v>43346</v>
      </c>
      <c r="K619" s="108"/>
      <c r="L619" s="100"/>
      <c r="M619" s="162" t="s">
        <v>2275</v>
      </c>
      <c r="N619" s="162" t="s">
        <v>2276</v>
      </c>
      <c r="O619" s="104"/>
      <c r="P619" s="102">
        <v>43109.6</v>
      </c>
      <c r="Q619" s="102">
        <v>12666</v>
      </c>
      <c r="R619" s="131"/>
      <c r="S619" s="132"/>
      <c r="T619" s="102"/>
      <c r="U619" s="100"/>
      <c r="V619" s="130"/>
      <c r="W619" s="210"/>
    </row>
    <row r="620" s="43" customFormat="1" ht="22" hidden="1" customHeight="1" spans="1:23">
      <c r="A620" s="190" t="s">
        <v>2277</v>
      </c>
      <c r="B620" s="272" t="s">
        <v>2226</v>
      </c>
      <c r="C620" s="273"/>
      <c r="D620" s="45" t="s">
        <v>31</v>
      </c>
      <c r="E620" s="45" t="s">
        <v>2273</v>
      </c>
      <c r="F620" s="81" t="str">
        <f>IFERROR(VLOOKUP(E620,客户!B:C,2,FALSE),"/")</f>
        <v>/</v>
      </c>
      <c r="G620" s="45" t="s">
        <v>2278</v>
      </c>
      <c r="H620" s="45" t="s">
        <v>123</v>
      </c>
      <c r="I620" s="45" t="s">
        <v>723</v>
      </c>
      <c r="J620" s="108">
        <v>43346</v>
      </c>
      <c r="K620" s="108"/>
      <c r="L620" s="100"/>
      <c r="M620" s="162" t="s">
        <v>2279</v>
      </c>
      <c r="N620" s="162" t="s">
        <v>2280</v>
      </c>
      <c r="O620" s="104"/>
      <c r="P620" s="102">
        <v>22160</v>
      </c>
      <c r="Q620" s="102">
        <v>6334</v>
      </c>
      <c r="R620" s="131"/>
      <c r="S620" s="132"/>
      <c r="T620" s="102">
        <v>15826</v>
      </c>
      <c r="U620" s="100"/>
      <c r="V620" s="169"/>
      <c r="W620" s="210"/>
    </row>
    <row r="621" s="43" customFormat="1" ht="22" hidden="1" customHeight="1" spans="1:23">
      <c r="A621" s="144" t="s">
        <v>2281</v>
      </c>
      <c r="B621" s="272" t="s">
        <v>2226</v>
      </c>
      <c r="C621" s="273"/>
      <c r="D621" s="45" t="s">
        <v>31</v>
      </c>
      <c r="E621" s="45" t="s">
        <v>2282</v>
      </c>
      <c r="F621" s="81" t="str">
        <f>IFERROR(VLOOKUP(E621,客户!B:C,2,FALSE),"/")</f>
        <v>/</v>
      </c>
      <c r="G621" s="45" t="s">
        <v>2283</v>
      </c>
      <c r="H621" s="45" t="s">
        <v>123</v>
      </c>
      <c r="I621" s="45" t="s">
        <v>2284</v>
      </c>
      <c r="J621" s="108">
        <v>43354</v>
      </c>
      <c r="K621" s="108"/>
      <c r="L621" s="100"/>
      <c r="M621" s="159" t="s">
        <v>2285</v>
      </c>
      <c r="N621" s="162" t="s">
        <v>2286</v>
      </c>
      <c r="O621" s="104"/>
      <c r="P621" s="102">
        <v>25724.6</v>
      </c>
      <c r="Q621" s="102">
        <v>4000</v>
      </c>
      <c r="R621" s="131"/>
      <c r="S621" s="132"/>
      <c r="T621" s="102"/>
      <c r="U621" s="100"/>
      <c r="V621" s="130"/>
      <c r="W621" s="210"/>
    </row>
    <row r="622" s="43" customFormat="1" ht="22" hidden="1" customHeight="1" spans="1:23">
      <c r="A622" s="144" t="s">
        <v>2287</v>
      </c>
      <c r="B622" s="272" t="s">
        <v>2226</v>
      </c>
      <c r="C622" s="273"/>
      <c r="D622" s="45" t="s">
        <v>31</v>
      </c>
      <c r="E622" s="45" t="s">
        <v>2288</v>
      </c>
      <c r="F622" s="81" t="str">
        <f>IFERROR(VLOOKUP(E622,客户!B:C,2,FALSE),"/")</f>
        <v>J4159还差USD265.65没付齐 J4220还有定金5674.3 账上剩5408.65</v>
      </c>
      <c r="G622" s="45" t="s">
        <v>2289</v>
      </c>
      <c r="H622" s="45" t="s">
        <v>123</v>
      </c>
      <c r="I622" s="45" t="s">
        <v>2290</v>
      </c>
      <c r="J622" s="108">
        <v>43355</v>
      </c>
      <c r="K622" s="108"/>
      <c r="L622" s="100"/>
      <c r="M622" s="159" t="s">
        <v>2291</v>
      </c>
      <c r="N622" s="162" t="s">
        <v>2292</v>
      </c>
      <c r="O622" s="104"/>
      <c r="P622" s="102">
        <v>22253.75</v>
      </c>
      <c r="Q622" s="102">
        <v>3000</v>
      </c>
      <c r="R622" s="131"/>
      <c r="S622" s="132"/>
      <c r="T622" s="102"/>
      <c r="U622" s="100"/>
      <c r="V622" s="130"/>
      <c r="W622" s="210"/>
    </row>
    <row r="623" s="43" customFormat="1" ht="22" hidden="1" customHeight="1" spans="1:23">
      <c r="A623" s="144" t="s">
        <v>2293</v>
      </c>
      <c r="B623" s="272" t="s">
        <v>2226</v>
      </c>
      <c r="C623" s="273"/>
      <c r="D623" s="45" t="s">
        <v>31</v>
      </c>
      <c r="E623" s="45" t="s">
        <v>2273</v>
      </c>
      <c r="F623" s="81" t="str">
        <f>IFERROR(VLOOKUP(E623,客户!B:C,2,FALSE),"/")</f>
        <v>/</v>
      </c>
      <c r="G623" s="45" t="s">
        <v>2294</v>
      </c>
      <c r="H623" s="45" t="s">
        <v>154</v>
      </c>
      <c r="I623" s="45" t="s">
        <v>2295</v>
      </c>
      <c r="J623" s="108">
        <v>43360</v>
      </c>
      <c r="K623" s="108"/>
      <c r="L623" s="100"/>
      <c r="M623" s="108" t="s">
        <v>2296</v>
      </c>
      <c r="N623" s="159" t="s">
        <v>2297</v>
      </c>
      <c r="O623" s="104"/>
      <c r="P623" s="102">
        <v>44378.4</v>
      </c>
      <c r="Q623" s="102">
        <v>12000</v>
      </c>
      <c r="R623" s="131"/>
      <c r="S623" s="132"/>
      <c r="T623" s="102">
        <v>32378</v>
      </c>
      <c r="U623" s="100"/>
      <c r="V623" s="102"/>
      <c r="W623" s="210"/>
    </row>
    <row r="624" s="43" customFormat="1" ht="22" hidden="1" customHeight="1" spans="1:23">
      <c r="A624" s="144" t="s">
        <v>2298</v>
      </c>
      <c r="B624" s="272" t="s">
        <v>2226</v>
      </c>
      <c r="C624" s="273"/>
      <c r="D624" s="45" t="s">
        <v>31</v>
      </c>
      <c r="E624" s="45" t="s">
        <v>2273</v>
      </c>
      <c r="F624" s="81" t="str">
        <f>IFERROR(VLOOKUP(E624,客户!B:C,2,FALSE),"/")</f>
        <v>/</v>
      </c>
      <c r="G624" s="45" t="s">
        <v>2299</v>
      </c>
      <c r="H624" s="45" t="s">
        <v>123</v>
      </c>
      <c r="I624" s="45" t="s">
        <v>2300</v>
      </c>
      <c r="J624" s="108">
        <v>43360</v>
      </c>
      <c r="K624" s="108"/>
      <c r="L624" s="100"/>
      <c r="M624" s="108" t="s">
        <v>2301</v>
      </c>
      <c r="N624" s="159" t="s">
        <v>2302</v>
      </c>
      <c r="O624" s="104"/>
      <c r="P624" s="102">
        <v>22498.7</v>
      </c>
      <c r="Q624" s="102">
        <v>9000</v>
      </c>
      <c r="R624" s="131"/>
      <c r="S624" s="132"/>
      <c r="T624" s="102">
        <v>13498</v>
      </c>
      <c r="U624" s="100"/>
      <c r="V624" s="102"/>
      <c r="W624" s="210"/>
    </row>
    <row r="625" s="43" customFormat="1" ht="22" hidden="1" customHeight="1" spans="1:23">
      <c r="A625" s="144" t="s">
        <v>2303</v>
      </c>
      <c r="B625" s="272" t="s">
        <v>2226</v>
      </c>
      <c r="C625" s="273"/>
      <c r="D625" s="45" t="s">
        <v>31</v>
      </c>
      <c r="E625" s="45" t="s">
        <v>2273</v>
      </c>
      <c r="F625" s="81" t="str">
        <f>IFERROR(VLOOKUP(E625,客户!B:C,2,FALSE),"/")</f>
        <v>/</v>
      </c>
      <c r="G625" s="45" t="s">
        <v>2304</v>
      </c>
      <c r="H625" s="45" t="s">
        <v>123</v>
      </c>
      <c r="I625" s="45" t="s">
        <v>560</v>
      </c>
      <c r="J625" s="108">
        <v>43360</v>
      </c>
      <c r="K625" s="108">
        <v>43428</v>
      </c>
      <c r="L625" s="100">
        <v>43467</v>
      </c>
      <c r="M625" s="159"/>
      <c r="N625" s="159" t="s">
        <v>2305</v>
      </c>
      <c r="O625" s="104"/>
      <c r="P625" s="102">
        <v>44015.4</v>
      </c>
      <c r="Q625" s="102"/>
      <c r="R625" s="131"/>
      <c r="S625" s="132"/>
      <c r="T625" s="131">
        <v>35583</v>
      </c>
      <c r="U625" s="100"/>
      <c r="V625" s="102"/>
      <c r="W625" s="210"/>
    </row>
    <row r="626" s="43" customFormat="1" ht="22" hidden="1" customHeight="1" spans="1:23">
      <c r="A626" s="145" t="s">
        <v>2306</v>
      </c>
      <c r="B626" s="272" t="s">
        <v>2226</v>
      </c>
      <c r="C626" s="273"/>
      <c r="D626" s="45" t="s">
        <v>31</v>
      </c>
      <c r="E626" s="45" t="s">
        <v>2307</v>
      </c>
      <c r="F626" s="81" t="str">
        <f>IFERROR(VLOOKUP(E626,客户!B:C,2,FALSE),"/")</f>
        <v>/</v>
      </c>
      <c r="G626" s="45" t="s">
        <v>2308</v>
      </c>
      <c r="H626" s="45" t="s">
        <v>123</v>
      </c>
      <c r="I626" s="45" t="s">
        <v>205</v>
      </c>
      <c r="J626" s="108">
        <v>43364</v>
      </c>
      <c r="K626" s="108">
        <v>43400</v>
      </c>
      <c r="L626" s="100">
        <v>43442</v>
      </c>
      <c r="M626" s="159" t="s">
        <v>2309</v>
      </c>
      <c r="N626" s="162" t="s">
        <v>2310</v>
      </c>
      <c r="O626" s="104"/>
      <c r="P626" s="102">
        <v>36631.3</v>
      </c>
      <c r="Q626" s="102">
        <v>12000</v>
      </c>
      <c r="R626" s="131"/>
      <c r="S626" s="132"/>
      <c r="T626" s="102">
        <v>24631</v>
      </c>
      <c r="U626" s="100"/>
      <c r="V626" s="102"/>
      <c r="W626" s="210"/>
    </row>
    <row r="627" s="45" customFormat="1" ht="22" hidden="1" customHeight="1" spans="1:23">
      <c r="A627" s="145" t="s">
        <v>2311</v>
      </c>
      <c r="B627" s="272" t="s">
        <v>2226</v>
      </c>
      <c r="C627" s="273"/>
      <c r="D627" s="45" t="s">
        <v>31</v>
      </c>
      <c r="E627" s="45" t="s">
        <v>2312</v>
      </c>
      <c r="F627" s="81" t="str">
        <f>IFERROR(VLOOKUP(E627,客户!B:C,2,FALSE),"/")</f>
        <v>/</v>
      </c>
      <c r="G627" s="45" t="s">
        <v>2313</v>
      </c>
      <c r="H627" s="45" t="s">
        <v>154</v>
      </c>
      <c r="I627" s="45" t="s">
        <v>205</v>
      </c>
      <c r="J627" s="159">
        <v>43373</v>
      </c>
      <c r="K627" s="108">
        <v>43400</v>
      </c>
      <c r="L627" s="100">
        <v>43442</v>
      </c>
      <c r="M627" s="159" t="s">
        <v>2314</v>
      </c>
      <c r="N627" s="108"/>
      <c r="O627" s="104"/>
      <c r="P627" s="102">
        <v>23788.48</v>
      </c>
      <c r="Q627" s="102">
        <v>7000</v>
      </c>
      <c r="R627" s="131"/>
      <c r="S627" s="132"/>
      <c r="T627" s="102">
        <v>16788</v>
      </c>
      <c r="U627" s="100"/>
      <c r="V627" s="102"/>
      <c r="W627" s="210"/>
    </row>
    <row r="628" s="43" customFormat="1" ht="22" hidden="1" customHeight="1" spans="1:23">
      <c r="A628" s="144" t="s">
        <v>2315</v>
      </c>
      <c r="B628" s="272" t="s">
        <v>2226</v>
      </c>
      <c r="C628" s="273"/>
      <c r="D628" s="45" t="s">
        <v>31</v>
      </c>
      <c r="E628" s="45" t="s">
        <v>2307</v>
      </c>
      <c r="F628" s="81" t="str">
        <f>IFERROR(VLOOKUP(E628,客户!B:C,2,FALSE),"/")</f>
        <v>/</v>
      </c>
      <c r="G628" s="45" t="s">
        <v>2316</v>
      </c>
      <c r="H628" s="45" t="s">
        <v>154</v>
      </c>
      <c r="I628" s="45" t="s">
        <v>205</v>
      </c>
      <c r="J628" s="108">
        <v>43373</v>
      </c>
      <c r="K628" s="108">
        <v>43414</v>
      </c>
      <c r="L628" s="100">
        <v>43456</v>
      </c>
      <c r="M628" s="178"/>
      <c r="N628" s="162" t="s">
        <v>2317</v>
      </c>
      <c r="O628" s="104"/>
      <c r="P628" s="102">
        <v>40351.36</v>
      </c>
      <c r="Q628" s="102">
        <v>12000</v>
      </c>
      <c r="R628" s="131"/>
      <c r="S628" s="132"/>
      <c r="T628" s="102"/>
      <c r="U628" s="100"/>
      <c r="V628" s="130"/>
      <c r="W628" s="210"/>
    </row>
    <row r="629" s="43" customFormat="1" ht="22" hidden="1" customHeight="1" spans="1:23">
      <c r="A629" s="144" t="s">
        <v>2318</v>
      </c>
      <c r="B629" s="272" t="s">
        <v>2226</v>
      </c>
      <c r="C629" s="273"/>
      <c r="D629" s="45" t="s">
        <v>31</v>
      </c>
      <c r="E629" s="45" t="s">
        <v>2319</v>
      </c>
      <c r="F629" s="81" t="str">
        <f>IFERROR(VLOOKUP(E629,客户!B:C,2,FALSE),"/")</f>
        <v>/</v>
      </c>
      <c r="G629" s="45" t="s">
        <v>2320</v>
      </c>
      <c r="H629" s="45"/>
      <c r="I629" s="45" t="s">
        <v>2321</v>
      </c>
      <c r="J629" s="108">
        <v>43371</v>
      </c>
      <c r="K629" s="108">
        <v>43392</v>
      </c>
      <c r="L629" s="100">
        <v>43436</v>
      </c>
      <c r="M629" s="178"/>
      <c r="N629" s="162" t="s">
        <v>2322</v>
      </c>
      <c r="O629" s="104"/>
      <c r="P629" s="102">
        <v>23192</v>
      </c>
      <c r="Q629" s="102">
        <v>5000</v>
      </c>
      <c r="R629" s="131"/>
      <c r="S629" s="132"/>
      <c r="T629" s="102">
        <v>18162</v>
      </c>
      <c r="U629" s="100"/>
      <c r="V629" s="128"/>
      <c r="W629" s="210"/>
    </row>
    <row r="630" s="43" customFormat="1" ht="22" hidden="1" customHeight="1" spans="1:23">
      <c r="A630" s="144" t="s">
        <v>2323</v>
      </c>
      <c r="B630" s="272" t="s">
        <v>2226</v>
      </c>
      <c r="C630" s="273"/>
      <c r="D630" s="45" t="s">
        <v>31</v>
      </c>
      <c r="E630" s="229" t="s">
        <v>2324</v>
      </c>
      <c r="F630" s="81" t="str">
        <f>IFERROR(VLOOKUP(E630,客户!B:C,2,FALSE),"/")</f>
        <v>/</v>
      </c>
      <c r="G630" s="45" t="s">
        <v>2325</v>
      </c>
      <c r="H630" s="45" t="s">
        <v>123</v>
      </c>
      <c r="I630" s="45" t="s">
        <v>1626</v>
      </c>
      <c r="J630" s="108">
        <v>43383</v>
      </c>
      <c r="K630" s="108">
        <v>43434</v>
      </c>
      <c r="L630" s="100">
        <v>43475</v>
      </c>
      <c r="M630" s="178"/>
      <c r="N630" s="162" t="s">
        <v>2326</v>
      </c>
      <c r="O630" s="104"/>
      <c r="P630" s="102">
        <v>23374.4</v>
      </c>
      <c r="Q630" s="102"/>
      <c r="R630" s="131"/>
      <c r="S630" s="132"/>
      <c r="T630" s="102">
        <v>20374</v>
      </c>
      <c r="U630" s="100"/>
      <c r="V630" s="130"/>
      <c r="W630" s="210"/>
    </row>
    <row r="631" s="43" customFormat="1" ht="22" hidden="1" customHeight="1" spans="1:23">
      <c r="A631" s="144" t="s">
        <v>2327</v>
      </c>
      <c r="B631" s="272" t="s">
        <v>2226</v>
      </c>
      <c r="C631" s="273"/>
      <c r="D631" s="45" t="s">
        <v>31</v>
      </c>
      <c r="E631" s="45" t="s">
        <v>2328</v>
      </c>
      <c r="F631" s="81">
        <f>IFERROR(VLOOKUP(E631,客户!B:C,2,FALSE),"/")</f>
        <v>0</v>
      </c>
      <c r="G631" s="45" t="s">
        <v>2329</v>
      </c>
      <c r="H631" s="45" t="s">
        <v>123</v>
      </c>
      <c r="I631" s="45" t="s">
        <v>2330</v>
      </c>
      <c r="J631" s="108">
        <v>43386</v>
      </c>
      <c r="K631" s="108">
        <v>43428</v>
      </c>
      <c r="L631" s="100">
        <v>43475</v>
      </c>
      <c r="M631" s="162" t="s">
        <v>2331</v>
      </c>
      <c r="N631" s="162" t="s">
        <v>2332</v>
      </c>
      <c r="O631" s="104"/>
      <c r="P631" s="102" t="s">
        <v>2333</v>
      </c>
      <c r="Q631" s="102" t="s">
        <v>2334</v>
      </c>
      <c r="R631" s="131"/>
      <c r="S631" s="132"/>
      <c r="T631" s="240">
        <v>95925</v>
      </c>
      <c r="U631" s="100"/>
      <c r="V631" s="102"/>
      <c r="W631" s="210"/>
    </row>
    <row r="632" s="43" customFormat="1" ht="22" hidden="1" customHeight="1" spans="1:23">
      <c r="A632" s="144" t="s">
        <v>2335</v>
      </c>
      <c r="B632" s="272" t="s">
        <v>2226</v>
      </c>
      <c r="C632" s="273"/>
      <c r="D632" s="45" t="s">
        <v>31</v>
      </c>
      <c r="E632" s="45" t="s">
        <v>2336</v>
      </c>
      <c r="F632" s="81" t="str">
        <f>IFERROR(VLOOKUP(E632,客户!B:C,2,FALSE),"/")</f>
        <v>/</v>
      </c>
      <c r="G632" s="45" t="s">
        <v>2337</v>
      </c>
      <c r="H632" s="45" t="s">
        <v>123</v>
      </c>
      <c r="I632" s="45" t="s">
        <v>2338</v>
      </c>
      <c r="J632" s="108">
        <v>43389</v>
      </c>
      <c r="K632" s="108">
        <v>43441</v>
      </c>
      <c r="L632" s="100"/>
      <c r="M632" s="159"/>
      <c r="N632" s="162" t="s">
        <v>2339</v>
      </c>
      <c r="O632" s="104"/>
      <c r="P632" s="102">
        <v>20891.28</v>
      </c>
      <c r="Q632" s="102"/>
      <c r="R632" s="131"/>
      <c r="S632" s="132"/>
      <c r="T632" s="102"/>
      <c r="U632" s="100"/>
      <c r="V632" s="130"/>
      <c r="W632" s="210"/>
    </row>
    <row r="633" s="43" customFormat="1" ht="22" hidden="1" customHeight="1" spans="1:23">
      <c r="A633" s="144" t="s">
        <v>2340</v>
      </c>
      <c r="B633" s="272" t="s">
        <v>2226</v>
      </c>
      <c r="C633" s="273"/>
      <c r="D633" s="45" t="s">
        <v>31</v>
      </c>
      <c r="E633" s="45" t="s">
        <v>2341</v>
      </c>
      <c r="F633" s="81">
        <f>IFERROR(VLOOKUP(E633,客户!B:C,2,FALSE),"/")</f>
        <v>0</v>
      </c>
      <c r="G633" s="45" t="s">
        <v>2342</v>
      </c>
      <c r="H633" s="45" t="s">
        <v>123</v>
      </c>
      <c r="I633" s="45" t="s">
        <v>2343</v>
      </c>
      <c r="J633" s="108">
        <v>43390</v>
      </c>
      <c r="K633" s="108">
        <v>43435</v>
      </c>
      <c r="L633" s="100">
        <v>43473</v>
      </c>
      <c r="M633" s="159"/>
      <c r="N633" s="162" t="s">
        <v>2344</v>
      </c>
      <c r="O633" s="104"/>
      <c r="P633" s="102">
        <v>21420</v>
      </c>
      <c r="Q633" s="102">
        <v>10000</v>
      </c>
      <c r="R633" s="131"/>
      <c r="S633" s="132"/>
      <c r="T633" s="102"/>
      <c r="U633" s="100"/>
      <c r="V633" s="130"/>
      <c r="W633" s="210"/>
    </row>
    <row r="634" s="43" customFormat="1" ht="22" hidden="1" customHeight="1" spans="1:23">
      <c r="A634" s="144" t="s">
        <v>2345</v>
      </c>
      <c r="B634" s="272" t="s">
        <v>2226</v>
      </c>
      <c r="C634" s="273"/>
      <c r="D634" s="45" t="s">
        <v>31</v>
      </c>
      <c r="E634" s="45" t="s">
        <v>2341</v>
      </c>
      <c r="F634" s="81">
        <f>IFERROR(VLOOKUP(E634,客户!B:C,2,FALSE),"/")</f>
        <v>0</v>
      </c>
      <c r="G634" s="45" t="s">
        <v>2346</v>
      </c>
      <c r="H634" s="45" t="s">
        <v>123</v>
      </c>
      <c r="I634" s="45" t="s">
        <v>2347</v>
      </c>
      <c r="J634" s="108">
        <v>43392</v>
      </c>
      <c r="K634" s="108">
        <v>43448</v>
      </c>
      <c r="L634" s="100">
        <v>43486</v>
      </c>
      <c r="M634" s="159"/>
      <c r="N634" s="162" t="s">
        <v>2348</v>
      </c>
      <c r="O634" s="104"/>
      <c r="P634" s="102">
        <v>21440</v>
      </c>
      <c r="Q634" s="102">
        <v>20000</v>
      </c>
      <c r="R634" s="131"/>
      <c r="S634" s="132"/>
      <c r="T634" s="102"/>
      <c r="U634" s="100"/>
      <c r="V634" s="130"/>
      <c r="W634" s="210"/>
    </row>
    <row r="635" s="43" customFormat="1" ht="22" hidden="1" customHeight="1" spans="1:23">
      <c r="A635" s="144" t="s">
        <v>2349</v>
      </c>
      <c r="B635" s="272" t="s">
        <v>2226</v>
      </c>
      <c r="C635" s="273"/>
      <c r="D635" s="45" t="s">
        <v>31</v>
      </c>
      <c r="E635" s="45" t="s">
        <v>2350</v>
      </c>
      <c r="F635" s="81">
        <f>IFERROR(VLOOKUP(E635,客户!B:C,2,FALSE),"/")</f>
        <v>0</v>
      </c>
      <c r="G635" s="45" t="s">
        <v>2351</v>
      </c>
      <c r="H635" s="45"/>
      <c r="I635" s="45" t="s">
        <v>2352</v>
      </c>
      <c r="J635" s="108">
        <v>43392</v>
      </c>
      <c r="K635" s="108">
        <v>43103</v>
      </c>
      <c r="L635" s="100">
        <v>43147</v>
      </c>
      <c r="M635" s="178"/>
      <c r="N635" s="162" t="s">
        <v>2353</v>
      </c>
      <c r="O635" s="104"/>
      <c r="P635" s="102">
        <v>109611.04</v>
      </c>
      <c r="Q635" s="102">
        <v>26000</v>
      </c>
      <c r="R635" s="131">
        <v>0</v>
      </c>
      <c r="S635" s="132"/>
      <c r="T635" s="102">
        <v>83579</v>
      </c>
      <c r="U635" s="100">
        <v>43508</v>
      </c>
      <c r="V635" s="130"/>
      <c r="W635" s="285"/>
    </row>
    <row r="636" s="43" customFormat="1" ht="22" hidden="1" customHeight="1" spans="1:23">
      <c r="A636" s="144" t="s">
        <v>2354</v>
      </c>
      <c r="B636" s="272" t="s">
        <v>2226</v>
      </c>
      <c r="C636" s="273"/>
      <c r="D636" s="45" t="s">
        <v>31</v>
      </c>
      <c r="E636" s="45" t="s">
        <v>2355</v>
      </c>
      <c r="F636" s="81" t="str">
        <f>IFERROR(VLOOKUP(E636,客户!B:C,2,FALSE),"/")</f>
        <v>/</v>
      </c>
      <c r="G636" s="45" t="s">
        <v>2356</v>
      </c>
      <c r="H636" s="45"/>
      <c r="I636" s="45" t="s">
        <v>2352</v>
      </c>
      <c r="J636" s="108">
        <v>43411</v>
      </c>
      <c r="K636" s="108">
        <v>43497</v>
      </c>
      <c r="L636" s="100">
        <v>43529</v>
      </c>
      <c r="M636" s="159" t="s">
        <v>2357</v>
      </c>
      <c r="N636" s="162" t="s">
        <v>2358</v>
      </c>
      <c r="O636" s="104"/>
      <c r="P636" s="102">
        <v>64758.12</v>
      </c>
      <c r="Q636" s="102">
        <v>12000</v>
      </c>
      <c r="R636" s="131">
        <v>0</v>
      </c>
      <c r="S636" s="132"/>
      <c r="T636" s="102">
        <v>52726</v>
      </c>
      <c r="U636" s="100">
        <v>43524</v>
      </c>
      <c r="V636" s="130"/>
      <c r="W636" s="210"/>
    </row>
    <row r="637" s="43" customFormat="1" ht="22" hidden="1" customHeight="1" spans="1:23">
      <c r="A637" s="144" t="s">
        <v>2359</v>
      </c>
      <c r="B637" s="272" t="s">
        <v>2226</v>
      </c>
      <c r="C637" s="273"/>
      <c r="D637" s="45" t="s">
        <v>31</v>
      </c>
      <c r="E637" s="45" t="s">
        <v>2360</v>
      </c>
      <c r="F637" s="81" t="str">
        <f>IFERROR(VLOOKUP(E637,客户!B:C,2,FALSE),"/")</f>
        <v>/</v>
      </c>
      <c r="G637" s="45" t="s">
        <v>2361</v>
      </c>
      <c r="H637" s="45" t="s">
        <v>154</v>
      </c>
      <c r="I637" s="45" t="s">
        <v>205</v>
      </c>
      <c r="J637" s="108">
        <v>43411</v>
      </c>
      <c r="K637" s="108">
        <v>43442</v>
      </c>
      <c r="L637" s="100">
        <v>43484</v>
      </c>
      <c r="M637" s="278"/>
      <c r="N637" s="162" t="s">
        <v>2362</v>
      </c>
      <c r="O637" s="104"/>
      <c r="P637" s="102">
        <v>60440.23</v>
      </c>
      <c r="Q637" s="102">
        <v>12000</v>
      </c>
      <c r="R637" s="131">
        <v>0</v>
      </c>
      <c r="S637" s="132"/>
      <c r="T637" s="102">
        <v>42364</v>
      </c>
      <c r="U637" s="100">
        <v>43483</v>
      </c>
      <c r="V637" s="130"/>
      <c r="W637" s="210"/>
    </row>
    <row r="638" s="43" customFormat="1" ht="22" hidden="1" customHeight="1" spans="1:23">
      <c r="A638" s="144" t="s">
        <v>2363</v>
      </c>
      <c r="B638" s="272" t="s">
        <v>2226</v>
      </c>
      <c r="C638" s="273"/>
      <c r="D638" s="45" t="s">
        <v>31</v>
      </c>
      <c r="E638" s="45" t="s">
        <v>2360</v>
      </c>
      <c r="F638" s="81" t="str">
        <f>IFERROR(VLOOKUP(E638,客户!B:C,2,FALSE),"/")</f>
        <v>/</v>
      </c>
      <c r="G638" s="45" t="s">
        <v>2364</v>
      </c>
      <c r="H638" s="45" t="s">
        <v>154</v>
      </c>
      <c r="I638" s="45" t="s">
        <v>205</v>
      </c>
      <c r="J638" s="108">
        <v>43434</v>
      </c>
      <c r="K638" s="108">
        <v>43442</v>
      </c>
      <c r="L638" s="100">
        <v>43484</v>
      </c>
      <c r="M638" s="278" t="s">
        <v>2365</v>
      </c>
      <c r="N638" s="162" t="s">
        <v>2362</v>
      </c>
      <c r="O638" s="104"/>
      <c r="P638" s="102"/>
      <c r="Q638" s="102">
        <v>7000</v>
      </c>
      <c r="R638" s="131">
        <v>0</v>
      </c>
      <c r="S638" s="132"/>
      <c r="T638" s="102"/>
      <c r="U638" s="100">
        <v>43483</v>
      </c>
      <c r="V638" s="130"/>
      <c r="W638" s="210"/>
    </row>
    <row r="639" s="43" customFormat="1" ht="22" hidden="1" customHeight="1" spans="1:23">
      <c r="A639" s="144" t="s">
        <v>2366</v>
      </c>
      <c r="B639" s="272" t="s">
        <v>2226</v>
      </c>
      <c r="C639" s="273"/>
      <c r="D639" s="45" t="s">
        <v>31</v>
      </c>
      <c r="E639" s="45" t="s">
        <v>2367</v>
      </c>
      <c r="F639" s="81" t="str">
        <f>IFERROR(VLOOKUP(E639,客户!B:C,2,FALSE),"/")</f>
        <v>/</v>
      </c>
      <c r="G639" s="45" t="s">
        <v>2368</v>
      </c>
      <c r="H639" s="45" t="s">
        <v>154</v>
      </c>
      <c r="I639" s="45" t="s">
        <v>1095</v>
      </c>
      <c r="J639" s="108">
        <v>43418</v>
      </c>
      <c r="K639" s="108">
        <v>43448</v>
      </c>
      <c r="L639" s="100">
        <v>43484</v>
      </c>
      <c r="M639" s="116"/>
      <c r="N639" s="162" t="s">
        <v>2369</v>
      </c>
      <c r="O639" s="104"/>
      <c r="P639" s="102">
        <v>20736</v>
      </c>
      <c r="Q639" s="102">
        <v>3000</v>
      </c>
      <c r="R639" s="131">
        <v>0</v>
      </c>
      <c r="S639" s="132"/>
      <c r="T639" s="102">
        <v>17736</v>
      </c>
      <c r="U639" s="100">
        <v>43483</v>
      </c>
      <c r="V639" s="130"/>
      <c r="W639" s="210"/>
    </row>
    <row r="640" s="43" customFormat="1" ht="22" hidden="1" customHeight="1" spans="1:23">
      <c r="A640" s="144" t="s">
        <v>2370</v>
      </c>
      <c r="B640" s="272" t="s">
        <v>2226</v>
      </c>
      <c r="C640" s="273"/>
      <c r="D640" s="45" t="s">
        <v>31</v>
      </c>
      <c r="E640" s="45" t="s">
        <v>2288</v>
      </c>
      <c r="F640" s="81" t="str">
        <f>IFERROR(VLOOKUP(E640,客户!B:C,2,FALSE),"/")</f>
        <v>J4159还差USD265.65没付齐 J4220还有定金5674.3 账上剩5408.65</v>
      </c>
      <c r="G640" s="45" t="s">
        <v>2368</v>
      </c>
      <c r="H640" s="45" t="s">
        <v>154</v>
      </c>
      <c r="I640" s="45" t="s">
        <v>1842</v>
      </c>
      <c r="J640" s="108">
        <v>43454</v>
      </c>
      <c r="K640" s="108">
        <v>43483</v>
      </c>
      <c r="L640" s="100">
        <v>43511</v>
      </c>
      <c r="M640" s="159" t="s">
        <v>2371</v>
      </c>
      <c r="N640" s="177" t="s">
        <v>2372</v>
      </c>
      <c r="O640" s="104"/>
      <c r="P640" s="102">
        <v>19799.11</v>
      </c>
      <c r="Q640" s="102">
        <v>3054</v>
      </c>
      <c r="R640" s="131">
        <v>0</v>
      </c>
      <c r="S640" s="132"/>
      <c r="T640" s="102">
        <v>16710.11</v>
      </c>
      <c r="U640" s="100">
        <v>43508</v>
      </c>
      <c r="V640" s="130"/>
      <c r="W640" s="210"/>
    </row>
    <row r="641" s="43" customFormat="1" ht="22" hidden="1" customHeight="1" spans="1:23">
      <c r="A641" s="144" t="s">
        <v>2373</v>
      </c>
      <c r="B641" s="272" t="s">
        <v>2226</v>
      </c>
      <c r="C641" s="273"/>
      <c r="D641" s="45" t="s">
        <v>31</v>
      </c>
      <c r="E641" s="45" t="s">
        <v>2360</v>
      </c>
      <c r="F641" s="81" t="str">
        <f>IFERROR(VLOOKUP(E641,客户!B:C,2,FALSE),"/")</f>
        <v>/</v>
      </c>
      <c r="G641" s="45" t="s">
        <v>2374</v>
      </c>
      <c r="H641" s="45" t="s">
        <v>154</v>
      </c>
      <c r="I641" s="45" t="s">
        <v>205</v>
      </c>
      <c r="J641" s="108">
        <v>43466</v>
      </c>
      <c r="K641" s="108">
        <v>43491</v>
      </c>
      <c r="L641" s="100">
        <v>43547</v>
      </c>
      <c r="M641" s="159" t="s">
        <v>2375</v>
      </c>
      <c r="N641" s="162" t="s">
        <v>2376</v>
      </c>
      <c r="O641" s="104"/>
      <c r="P641" s="102">
        <v>35259.5</v>
      </c>
      <c r="Q641" s="102">
        <v>10500</v>
      </c>
      <c r="R641" s="131">
        <v>0</v>
      </c>
      <c r="S641" s="132"/>
      <c r="T641" s="102">
        <v>24703.23</v>
      </c>
      <c r="U641" s="100">
        <v>43511</v>
      </c>
      <c r="V641" s="130"/>
      <c r="W641" s="210"/>
    </row>
    <row r="642" s="43" customFormat="1" ht="22" hidden="1" customHeight="1" spans="1:23">
      <c r="A642" s="144" t="s">
        <v>2377</v>
      </c>
      <c r="B642" s="272" t="s">
        <v>2226</v>
      </c>
      <c r="C642" s="273"/>
      <c r="D642" s="45" t="s">
        <v>31</v>
      </c>
      <c r="E642" s="45" t="s">
        <v>2378</v>
      </c>
      <c r="F642" s="81" t="str">
        <f>IFERROR(VLOOKUP(E642,客户!B:C,2,FALSE),"/")</f>
        <v>/</v>
      </c>
      <c r="G642" s="45" t="s">
        <v>2368</v>
      </c>
      <c r="H642" s="45" t="s">
        <v>123</v>
      </c>
      <c r="I642" s="45" t="s">
        <v>1095</v>
      </c>
      <c r="J642" s="108">
        <v>43479</v>
      </c>
      <c r="K642" s="108">
        <v>43540</v>
      </c>
      <c r="L642" s="100">
        <v>43579</v>
      </c>
      <c r="M642" s="163" t="s">
        <v>2379</v>
      </c>
      <c r="N642" s="276" t="s">
        <v>2380</v>
      </c>
      <c r="O642" s="104"/>
      <c r="P642" s="102">
        <v>19878.5</v>
      </c>
      <c r="Q642" s="102">
        <v>3000</v>
      </c>
      <c r="R642" s="131">
        <v>0</v>
      </c>
      <c r="S642" s="132"/>
      <c r="T642" s="102">
        <v>16829</v>
      </c>
      <c r="U642" s="100">
        <v>43573</v>
      </c>
      <c r="V642" s="130"/>
      <c r="W642" s="210"/>
    </row>
    <row r="643" s="43" customFormat="1" ht="22" hidden="1" customHeight="1" spans="1:23">
      <c r="A643" s="144" t="s">
        <v>2381</v>
      </c>
      <c r="B643" s="272" t="s">
        <v>2226</v>
      </c>
      <c r="C643" s="273"/>
      <c r="D643" s="45" t="s">
        <v>31</v>
      </c>
      <c r="E643" s="45" t="s">
        <v>2382</v>
      </c>
      <c r="F643" s="81">
        <f>IFERROR(VLOOKUP(E643,客户!B:C,2,FALSE),"/")</f>
        <v>0</v>
      </c>
      <c r="G643" s="45" t="s">
        <v>2383</v>
      </c>
      <c r="H643" s="45" t="s">
        <v>123</v>
      </c>
      <c r="I643" s="45" t="s">
        <v>2384</v>
      </c>
      <c r="J643" s="108">
        <v>43482</v>
      </c>
      <c r="K643" s="108">
        <v>43519</v>
      </c>
      <c r="L643" s="100"/>
      <c r="M643" s="163" t="s">
        <v>2385</v>
      </c>
      <c r="N643" s="108"/>
      <c r="O643" s="104"/>
      <c r="P643" s="240">
        <v>129529.76</v>
      </c>
      <c r="Q643" s="240"/>
      <c r="R643" s="284">
        <v>0</v>
      </c>
      <c r="S643" s="132">
        <v>0</v>
      </c>
      <c r="T643" s="240">
        <v>129529.76</v>
      </c>
      <c r="U643" s="100">
        <v>43482</v>
      </c>
      <c r="V643" s="130"/>
      <c r="W643" s="210"/>
    </row>
    <row r="644" s="43" customFormat="1" ht="22" hidden="1" customHeight="1" spans="1:23">
      <c r="A644" s="144" t="s">
        <v>2386</v>
      </c>
      <c r="B644" s="272" t="s">
        <v>2226</v>
      </c>
      <c r="C644" s="273"/>
      <c r="D644" s="45" t="s">
        <v>31</v>
      </c>
      <c r="E644" s="45" t="s">
        <v>2387</v>
      </c>
      <c r="F644" s="81" t="str">
        <f>IFERROR(VLOOKUP(E644,客户!B:C,2,FALSE),"/")</f>
        <v>/</v>
      </c>
      <c r="G644" s="45" t="s">
        <v>43</v>
      </c>
      <c r="H644" s="45" t="s">
        <v>123</v>
      </c>
      <c r="I644" s="45" t="s">
        <v>1684</v>
      </c>
      <c r="J644" s="108">
        <v>43489</v>
      </c>
      <c r="K644" s="108">
        <v>43537</v>
      </c>
      <c r="L644" s="100">
        <v>43579</v>
      </c>
      <c r="M644" s="163" t="s">
        <v>2388</v>
      </c>
      <c r="N644" s="108" t="s">
        <v>2389</v>
      </c>
      <c r="O644" s="104"/>
      <c r="P644" s="102">
        <v>21431.25</v>
      </c>
      <c r="Q644" s="102">
        <v>6000</v>
      </c>
      <c r="R644" s="131">
        <v>0</v>
      </c>
      <c r="S644" s="132"/>
      <c r="T644" s="102">
        <v>15431</v>
      </c>
      <c r="U644" s="100"/>
      <c r="V644" s="130"/>
      <c r="W644" s="210"/>
    </row>
    <row r="645" s="43" customFormat="1" ht="22" hidden="1" customHeight="1" spans="1:23">
      <c r="A645" s="144" t="s">
        <v>2390</v>
      </c>
      <c r="B645" s="272" t="s">
        <v>2226</v>
      </c>
      <c r="C645" s="273"/>
      <c r="D645" s="45" t="s">
        <v>31</v>
      </c>
      <c r="E645" s="45" t="s">
        <v>2387</v>
      </c>
      <c r="F645" s="81" t="str">
        <f>IFERROR(VLOOKUP(E645,客户!B:C,2,FALSE),"/")</f>
        <v>/</v>
      </c>
      <c r="G645" s="45" t="s">
        <v>2391</v>
      </c>
      <c r="H645" s="45" t="s">
        <v>123</v>
      </c>
      <c r="I645" s="45" t="s">
        <v>1684</v>
      </c>
      <c r="J645" s="108">
        <v>43489</v>
      </c>
      <c r="K645" s="108">
        <v>43551</v>
      </c>
      <c r="L645" s="100">
        <v>43595</v>
      </c>
      <c r="M645" s="163" t="s">
        <v>2392</v>
      </c>
      <c r="N645" s="108" t="s">
        <v>2393</v>
      </c>
      <c r="O645" s="104"/>
      <c r="P645" s="102">
        <v>38035.3</v>
      </c>
      <c r="Q645" s="102">
        <v>8000</v>
      </c>
      <c r="R645" s="131">
        <v>0</v>
      </c>
      <c r="S645" s="132"/>
      <c r="T645" s="102">
        <v>30003</v>
      </c>
      <c r="U645" s="100">
        <v>43584</v>
      </c>
      <c r="V645" s="130"/>
      <c r="W645" s="210"/>
    </row>
    <row r="646" s="43" customFormat="1" ht="22" hidden="1" customHeight="1" spans="1:23">
      <c r="A646" s="144" t="s">
        <v>2394</v>
      </c>
      <c r="B646" s="272" t="s">
        <v>2226</v>
      </c>
      <c r="C646" s="273"/>
      <c r="D646" s="45" t="s">
        <v>31</v>
      </c>
      <c r="E646" s="45" t="s">
        <v>2395</v>
      </c>
      <c r="F646" s="81" t="str">
        <f>IFERROR(VLOOKUP(E646,客户!B:C,2,FALSE),"/")</f>
        <v>/</v>
      </c>
      <c r="G646" s="45" t="s">
        <v>40</v>
      </c>
      <c r="H646" s="45" t="s">
        <v>123</v>
      </c>
      <c r="I646" s="45" t="s">
        <v>205</v>
      </c>
      <c r="J646" s="108">
        <v>43515</v>
      </c>
      <c r="K646" s="108">
        <v>43547</v>
      </c>
      <c r="L646" s="100">
        <v>43590</v>
      </c>
      <c r="M646" s="163" t="s">
        <v>2396</v>
      </c>
      <c r="N646" s="108" t="s">
        <v>2397</v>
      </c>
      <c r="O646" s="104"/>
      <c r="P646" s="102">
        <v>38163.1</v>
      </c>
      <c r="Q646" s="102">
        <v>10500</v>
      </c>
      <c r="R646" s="131">
        <v>0</v>
      </c>
      <c r="S646" s="132"/>
      <c r="T646" s="102">
        <v>27571</v>
      </c>
      <c r="U646" s="100">
        <v>43584</v>
      </c>
      <c r="V646" s="130"/>
      <c r="W646" s="210"/>
    </row>
    <row r="647" s="43" customFormat="1" ht="22" hidden="1" customHeight="1" spans="1:23">
      <c r="A647" s="144" t="s">
        <v>2398</v>
      </c>
      <c r="B647" s="272" t="s">
        <v>2226</v>
      </c>
      <c r="C647" s="273"/>
      <c r="D647" s="45" t="s">
        <v>31</v>
      </c>
      <c r="E647" s="45" t="s">
        <v>2399</v>
      </c>
      <c r="F647" s="81">
        <f>IFERROR(VLOOKUP(E647,客户!B:C,2,FALSE),"/")</f>
        <v>0</v>
      </c>
      <c r="G647" s="45" t="s">
        <v>36</v>
      </c>
      <c r="H647" s="45" t="s">
        <v>123</v>
      </c>
      <c r="I647" s="45" t="s">
        <v>2400</v>
      </c>
      <c r="J647" s="108">
        <v>43516</v>
      </c>
      <c r="K647" s="108">
        <v>43557</v>
      </c>
      <c r="L647" s="100">
        <v>43590</v>
      </c>
      <c r="M647" s="276" t="s">
        <v>2401</v>
      </c>
      <c r="N647" s="108" t="s">
        <v>2402</v>
      </c>
      <c r="O647" s="104"/>
      <c r="P647" s="102">
        <v>14764.16</v>
      </c>
      <c r="Q647" s="102" t="s">
        <v>453</v>
      </c>
      <c r="R647" s="131">
        <v>0</v>
      </c>
      <c r="S647" s="132"/>
      <c r="T647" s="102">
        <v>14754</v>
      </c>
      <c r="U647" s="100">
        <v>43574</v>
      </c>
      <c r="V647" s="130"/>
      <c r="W647" s="210"/>
    </row>
    <row r="648" s="43" customFormat="1" ht="22" hidden="1" customHeight="1" spans="1:23">
      <c r="A648" s="144" t="s">
        <v>2403</v>
      </c>
      <c r="B648" s="272" t="s">
        <v>2226</v>
      </c>
      <c r="C648" s="273"/>
      <c r="D648" s="45" t="s">
        <v>31</v>
      </c>
      <c r="E648" s="45" t="s">
        <v>2399</v>
      </c>
      <c r="F648" s="81">
        <f>IFERROR(VLOOKUP(E648,客户!B:C,2,FALSE),"/")</f>
        <v>0</v>
      </c>
      <c r="G648" s="45" t="s">
        <v>36</v>
      </c>
      <c r="H648" s="45" t="s">
        <v>123</v>
      </c>
      <c r="I648" s="45" t="s">
        <v>2400</v>
      </c>
      <c r="J648" s="108">
        <v>43516</v>
      </c>
      <c r="K648" s="108">
        <v>43572</v>
      </c>
      <c r="L648" s="100">
        <v>43602</v>
      </c>
      <c r="M648" s="163" t="s">
        <v>2404</v>
      </c>
      <c r="N648" s="108" t="s">
        <v>2405</v>
      </c>
      <c r="O648" s="104"/>
      <c r="P648" s="102">
        <v>13420.41</v>
      </c>
      <c r="Q648" s="102" t="s">
        <v>453</v>
      </c>
      <c r="R648" s="131">
        <v>0</v>
      </c>
      <c r="S648" s="132"/>
      <c r="T648" s="102">
        <v>13410</v>
      </c>
      <c r="U648" s="100">
        <v>43599</v>
      </c>
      <c r="V648" s="130"/>
      <c r="W648" s="210"/>
    </row>
    <row r="649" s="43" customFormat="1" ht="22" hidden="1" customHeight="1" spans="1:23">
      <c r="A649" s="144" t="s">
        <v>2406</v>
      </c>
      <c r="B649" s="272" t="s">
        <v>2226</v>
      </c>
      <c r="C649" s="273"/>
      <c r="D649" s="45" t="s">
        <v>31</v>
      </c>
      <c r="E649" s="45" t="s">
        <v>2387</v>
      </c>
      <c r="F649" s="81" t="str">
        <f>IFERROR(VLOOKUP(E649,客户!B:C,2,FALSE),"/")</f>
        <v>/</v>
      </c>
      <c r="G649" s="45" t="s">
        <v>43</v>
      </c>
      <c r="H649" s="45" t="s">
        <v>123</v>
      </c>
      <c r="I649" s="45" t="s">
        <v>1684</v>
      </c>
      <c r="J649" s="108">
        <v>43518</v>
      </c>
      <c r="K649" s="108">
        <v>43545</v>
      </c>
      <c r="L649" s="100">
        <v>43607</v>
      </c>
      <c r="M649" s="286" t="s">
        <v>2407</v>
      </c>
      <c r="N649" s="159" t="s">
        <v>2408</v>
      </c>
      <c r="O649" s="104"/>
      <c r="P649" s="102">
        <v>22970.5</v>
      </c>
      <c r="Q649" s="102">
        <v>6000</v>
      </c>
      <c r="R649" s="131">
        <v>0</v>
      </c>
      <c r="S649" s="132"/>
      <c r="T649" s="102">
        <v>16970</v>
      </c>
      <c r="U649" s="100"/>
      <c r="V649" s="130"/>
      <c r="W649" s="210"/>
    </row>
    <row r="650" s="43" customFormat="1" ht="22" hidden="1" customHeight="1" spans="1:23">
      <c r="A650" s="144" t="s">
        <v>2409</v>
      </c>
      <c r="B650" s="272" t="s">
        <v>2226</v>
      </c>
      <c r="C650" s="273"/>
      <c r="D650" s="45" t="s">
        <v>31</v>
      </c>
      <c r="E650" s="45" t="s">
        <v>2387</v>
      </c>
      <c r="F650" s="81" t="str">
        <f>IFERROR(VLOOKUP(E650,客户!B:C,2,FALSE),"/")</f>
        <v>/</v>
      </c>
      <c r="G650" s="45" t="s">
        <v>2410</v>
      </c>
      <c r="H650" s="45" t="s">
        <v>123</v>
      </c>
      <c r="I650" s="45" t="s">
        <v>1684</v>
      </c>
      <c r="J650" s="108">
        <v>43518</v>
      </c>
      <c r="K650" s="108">
        <v>43564</v>
      </c>
      <c r="L650" s="100">
        <v>43607</v>
      </c>
      <c r="M650" s="286" t="s">
        <v>2411</v>
      </c>
      <c r="N650" s="159" t="s">
        <v>2412</v>
      </c>
      <c r="O650" s="104"/>
      <c r="P650" s="102">
        <v>78557.3</v>
      </c>
      <c r="Q650" s="102">
        <v>18000</v>
      </c>
      <c r="R650" s="131">
        <v>0</v>
      </c>
      <c r="S650" s="132"/>
      <c r="T650" s="102">
        <v>59941</v>
      </c>
      <c r="U650" s="100">
        <v>43599</v>
      </c>
      <c r="V650" s="130"/>
      <c r="W650" s="210"/>
    </row>
    <row r="651" s="43" customFormat="1" ht="22" hidden="1" customHeight="1" spans="1:23">
      <c r="A651" s="144" t="s">
        <v>2413</v>
      </c>
      <c r="B651" s="272" t="s">
        <v>2226</v>
      </c>
      <c r="C651" s="273"/>
      <c r="D651" s="45" t="s">
        <v>31</v>
      </c>
      <c r="E651" s="45" t="s">
        <v>2387</v>
      </c>
      <c r="F651" s="81" t="str">
        <f>IFERROR(VLOOKUP(E651,客户!B:C,2,FALSE),"/")</f>
        <v>/</v>
      </c>
      <c r="G651" s="45" t="s">
        <v>660</v>
      </c>
      <c r="H651" s="45" t="s">
        <v>123</v>
      </c>
      <c r="I651" s="45" t="s">
        <v>542</v>
      </c>
      <c r="J651" s="108">
        <v>43518</v>
      </c>
      <c r="K651" s="108">
        <v>43590</v>
      </c>
      <c r="L651" s="100">
        <v>43633</v>
      </c>
      <c r="M651" s="181" t="s">
        <v>2414</v>
      </c>
      <c r="N651" s="108" t="s">
        <v>2415</v>
      </c>
      <c r="O651" s="104"/>
      <c r="P651" s="102">
        <v>40440</v>
      </c>
      <c r="Q651" s="102">
        <v>12000</v>
      </c>
      <c r="R651" s="131">
        <v>0</v>
      </c>
      <c r="S651" s="132"/>
      <c r="T651" s="290">
        <v>28408</v>
      </c>
      <c r="U651" s="100">
        <v>43614</v>
      </c>
      <c r="V651" s="130"/>
      <c r="W651" s="210"/>
    </row>
    <row r="652" s="43" customFormat="1" ht="22" hidden="1" customHeight="1" spans="1:23">
      <c r="A652" s="144" t="s">
        <v>2416</v>
      </c>
      <c r="B652" s="272" t="s">
        <v>2226</v>
      </c>
      <c r="C652" s="273"/>
      <c r="D652" s="45" t="s">
        <v>31</v>
      </c>
      <c r="E652" s="45" t="s">
        <v>2387</v>
      </c>
      <c r="F652" s="81" t="str">
        <f>IFERROR(VLOOKUP(E652,客户!B:C,2,FALSE),"/")</f>
        <v>/</v>
      </c>
      <c r="G652" s="45" t="s">
        <v>43</v>
      </c>
      <c r="H652" s="45" t="s">
        <v>123</v>
      </c>
      <c r="I652" s="45" t="s">
        <v>1684</v>
      </c>
      <c r="J652" s="108">
        <v>43552</v>
      </c>
      <c r="K652" s="108">
        <v>43582</v>
      </c>
      <c r="L652" s="100">
        <v>43619</v>
      </c>
      <c r="M652" s="181" t="s">
        <v>2417</v>
      </c>
      <c r="N652" s="108" t="s">
        <v>2418</v>
      </c>
      <c r="O652" s="104"/>
      <c r="P652" s="102">
        <v>22176.25</v>
      </c>
      <c r="Q652" s="102">
        <v>6000</v>
      </c>
      <c r="R652" s="131"/>
      <c r="S652" s="132"/>
      <c r="T652" s="240">
        <v>16176</v>
      </c>
      <c r="U652" s="100"/>
      <c r="V652" s="130"/>
      <c r="W652" s="210"/>
    </row>
    <row r="653" s="43" customFormat="1" ht="22" hidden="1" customHeight="1" spans="1:23">
      <c r="A653" s="144" t="s">
        <v>2419</v>
      </c>
      <c r="B653" s="272" t="s">
        <v>2226</v>
      </c>
      <c r="C653" s="273"/>
      <c r="D653" s="45" t="s">
        <v>31</v>
      </c>
      <c r="E653" s="45" t="s">
        <v>2420</v>
      </c>
      <c r="F653" s="81" t="str">
        <f>IFERROR(VLOOKUP(E653,客户!B:C,2,FALSE),"/")</f>
        <v>/</v>
      </c>
      <c r="G653" s="45" t="s">
        <v>2421</v>
      </c>
      <c r="H653" s="45" t="s">
        <v>123</v>
      </c>
      <c r="I653" s="45" t="s">
        <v>2422</v>
      </c>
      <c r="J653" s="108">
        <v>43523</v>
      </c>
      <c r="K653" s="108">
        <v>43567</v>
      </c>
      <c r="L653" s="100"/>
      <c r="M653" s="116" t="s">
        <v>2423</v>
      </c>
      <c r="N653" s="108" t="s">
        <v>2424</v>
      </c>
      <c r="O653" s="104"/>
      <c r="P653" s="102">
        <v>39238</v>
      </c>
      <c r="Q653" s="102">
        <v>7878</v>
      </c>
      <c r="R653" s="131">
        <v>0</v>
      </c>
      <c r="S653" s="132"/>
      <c r="T653" s="128">
        <v>31360</v>
      </c>
      <c r="U653" s="100">
        <v>43563</v>
      </c>
      <c r="V653" s="130"/>
      <c r="W653" s="210"/>
    </row>
    <row r="654" s="43" customFormat="1" ht="22" hidden="1" customHeight="1" spans="1:23">
      <c r="A654" s="144" t="s">
        <v>2425</v>
      </c>
      <c r="B654" s="272" t="s">
        <v>2226</v>
      </c>
      <c r="C654" s="273"/>
      <c r="D654" s="45" t="s">
        <v>31</v>
      </c>
      <c r="E654" s="45" t="s">
        <v>2341</v>
      </c>
      <c r="F654" s="81">
        <f>IFERROR(VLOOKUP(E654,客户!B:C,2,FALSE),"/")</f>
        <v>0</v>
      </c>
      <c r="G654" s="45" t="s">
        <v>2426</v>
      </c>
      <c r="H654" s="45" t="s">
        <v>123</v>
      </c>
      <c r="I654" s="45" t="s">
        <v>2347</v>
      </c>
      <c r="J654" s="108">
        <v>43531</v>
      </c>
      <c r="K654" s="108">
        <v>43569</v>
      </c>
      <c r="L654" s="100"/>
      <c r="M654" s="276" t="s">
        <v>2427</v>
      </c>
      <c r="N654" s="108" t="s">
        <v>2428</v>
      </c>
      <c r="O654" s="104"/>
      <c r="P654" s="102">
        <v>28568.24</v>
      </c>
      <c r="Q654" s="102">
        <v>15000</v>
      </c>
      <c r="R654" s="131">
        <v>0</v>
      </c>
      <c r="S654" s="132"/>
      <c r="T654" s="128">
        <v>13517</v>
      </c>
      <c r="U654" s="100">
        <v>43566</v>
      </c>
      <c r="V654" s="130"/>
      <c r="W654" s="210"/>
    </row>
    <row r="655" s="43" customFormat="1" ht="22" hidden="1" customHeight="1" spans="1:23">
      <c r="A655" s="144" t="s">
        <v>2429</v>
      </c>
      <c r="B655" s="174" t="s">
        <v>2226</v>
      </c>
      <c r="C655" s="175"/>
      <c r="D655" s="45" t="s">
        <v>31</v>
      </c>
      <c r="E655" s="45" t="s">
        <v>2430</v>
      </c>
      <c r="F655" s="81">
        <f>IFERROR(VLOOKUP(E655,客户!B:C,2,FALSE),"/")</f>
        <v>0</v>
      </c>
      <c r="G655" s="45" t="s">
        <v>2431</v>
      </c>
      <c r="H655" s="144" t="s">
        <v>147</v>
      </c>
      <c r="I655" s="45" t="s">
        <v>2432</v>
      </c>
      <c r="J655" s="108">
        <v>43545</v>
      </c>
      <c r="K655" s="159">
        <v>43695</v>
      </c>
      <c r="L655" s="287" t="s">
        <v>2433</v>
      </c>
      <c r="M655" s="183" t="s">
        <v>2434</v>
      </c>
      <c r="N655" s="108" t="s">
        <v>2435</v>
      </c>
      <c r="O655" s="104"/>
      <c r="P655" s="102">
        <v>9588</v>
      </c>
      <c r="Q655" s="102">
        <v>2958</v>
      </c>
      <c r="R655" s="131">
        <v>0</v>
      </c>
      <c r="S655" s="132"/>
      <c r="T655" s="102">
        <v>6872</v>
      </c>
      <c r="U655" s="100">
        <v>43707</v>
      </c>
      <c r="V655" s="130" t="s">
        <v>2436</v>
      </c>
      <c r="W655" s="210"/>
    </row>
    <row r="656" s="43" customFormat="1" ht="22" hidden="1" customHeight="1" spans="1:23">
      <c r="A656" s="144" t="s">
        <v>2437</v>
      </c>
      <c r="B656" s="174" t="s">
        <v>2226</v>
      </c>
      <c r="C656" s="175"/>
      <c r="D656" s="45" t="s">
        <v>31</v>
      </c>
      <c r="E656" s="45" t="s">
        <v>2341</v>
      </c>
      <c r="F656" s="81">
        <f>IFERROR(VLOOKUP(E656,客户!B:C,2,FALSE),"/")</f>
        <v>0</v>
      </c>
      <c r="G656" s="45" t="s">
        <v>2438</v>
      </c>
      <c r="H656" s="45" t="s">
        <v>123</v>
      </c>
      <c r="I656" s="45" t="s">
        <v>2439</v>
      </c>
      <c r="J656" s="108">
        <v>43550</v>
      </c>
      <c r="K656" s="108">
        <v>43610</v>
      </c>
      <c r="L656" s="100"/>
      <c r="M656" s="163" t="s">
        <v>2440</v>
      </c>
      <c r="N656" s="108" t="s">
        <v>2441</v>
      </c>
      <c r="O656" s="104"/>
      <c r="P656" s="102">
        <v>23512</v>
      </c>
      <c r="Q656" s="102" t="s">
        <v>2442</v>
      </c>
      <c r="R656" s="131">
        <v>0</v>
      </c>
      <c r="S656" s="132"/>
      <c r="T656" s="102"/>
      <c r="U656" s="100">
        <v>43614</v>
      </c>
      <c r="V656" s="130"/>
      <c r="W656" s="210"/>
    </row>
    <row r="657" s="43" customFormat="1" ht="22" hidden="1" customHeight="1" spans="1:23">
      <c r="A657" s="144" t="s">
        <v>2443</v>
      </c>
      <c r="B657" s="174" t="s">
        <v>2226</v>
      </c>
      <c r="C657" s="175"/>
      <c r="D657" s="45" t="s">
        <v>31</v>
      </c>
      <c r="E657" s="45" t="s">
        <v>2341</v>
      </c>
      <c r="F657" s="81">
        <f>IFERROR(VLOOKUP(E657,客户!B:C,2,FALSE),"/")</f>
        <v>0</v>
      </c>
      <c r="G657" s="45" t="s">
        <v>2444</v>
      </c>
      <c r="H657" s="45" t="s">
        <v>123</v>
      </c>
      <c r="I657" s="45" t="s">
        <v>2439</v>
      </c>
      <c r="J657" s="108">
        <v>43552</v>
      </c>
      <c r="K657" s="108">
        <v>43598</v>
      </c>
      <c r="L657" s="100">
        <v>43641</v>
      </c>
      <c r="M657" s="181" t="s">
        <v>2445</v>
      </c>
      <c r="N657" s="108" t="s">
        <v>2446</v>
      </c>
      <c r="O657" s="104"/>
      <c r="P657" s="102">
        <v>22680.84</v>
      </c>
      <c r="Q657" s="102">
        <v>10000</v>
      </c>
      <c r="R657" s="131">
        <v>0</v>
      </c>
      <c r="S657" s="132"/>
      <c r="T657" s="102">
        <v>14141</v>
      </c>
      <c r="U657" s="100">
        <v>43614</v>
      </c>
      <c r="V657" s="130"/>
      <c r="W657" s="210"/>
    </row>
    <row r="658" s="43" customFormat="1" ht="22" hidden="1" customHeight="1" spans="1:23">
      <c r="A658" s="144" t="s">
        <v>2447</v>
      </c>
      <c r="B658" s="174" t="s">
        <v>2226</v>
      </c>
      <c r="C658" s="175"/>
      <c r="D658" s="45" t="s">
        <v>31</v>
      </c>
      <c r="E658" s="45" t="s">
        <v>2395</v>
      </c>
      <c r="F658" s="81" t="str">
        <f>IFERROR(VLOOKUP(E658,客户!B:C,2,FALSE),"/")</f>
        <v>/</v>
      </c>
      <c r="G658" s="45" t="s">
        <v>2448</v>
      </c>
      <c r="H658" s="45" t="s">
        <v>123</v>
      </c>
      <c r="I658" s="45" t="s">
        <v>205</v>
      </c>
      <c r="J658" s="108">
        <v>43553</v>
      </c>
      <c r="K658" s="108">
        <v>43589</v>
      </c>
      <c r="L658" s="100">
        <v>43631</v>
      </c>
      <c r="M658" s="181" t="s">
        <v>2449</v>
      </c>
      <c r="N658" s="108" t="s">
        <v>2450</v>
      </c>
      <c r="O658" s="104"/>
      <c r="P658" s="102">
        <v>36269.42</v>
      </c>
      <c r="Q658" s="102">
        <v>11000</v>
      </c>
      <c r="R658" s="131">
        <v>0</v>
      </c>
      <c r="S658" s="132"/>
      <c r="T658" s="102">
        <v>25237</v>
      </c>
      <c r="U658" s="100">
        <v>43626</v>
      </c>
      <c r="V658" s="130"/>
      <c r="W658" s="210"/>
    </row>
    <row r="659" s="43" customFormat="1" ht="22" hidden="1" customHeight="1" spans="1:23">
      <c r="A659" s="144" t="s">
        <v>2451</v>
      </c>
      <c r="B659" s="174" t="s">
        <v>2226</v>
      </c>
      <c r="C659" s="175"/>
      <c r="D659" s="45" t="s">
        <v>31</v>
      </c>
      <c r="E659" s="229" t="s">
        <v>2452</v>
      </c>
      <c r="F659" s="81">
        <f>IFERROR(VLOOKUP(E659,客户!B:C,2,FALSE),"/")</f>
        <v>0</v>
      </c>
      <c r="G659" s="45" t="s">
        <v>36</v>
      </c>
      <c r="H659" s="45" t="s">
        <v>123</v>
      </c>
      <c r="I659" s="45" t="s">
        <v>2453</v>
      </c>
      <c r="J659" s="108">
        <v>43557</v>
      </c>
      <c r="K659" s="108">
        <v>43609</v>
      </c>
      <c r="L659" s="100"/>
      <c r="M659" s="288" t="s">
        <v>2454</v>
      </c>
      <c r="N659" s="108" t="s">
        <v>2455</v>
      </c>
      <c r="O659" s="104"/>
      <c r="P659" s="102">
        <v>19841.24</v>
      </c>
      <c r="Q659" s="102" t="s">
        <v>2456</v>
      </c>
      <c r="R659" s="131"/>
      <c r="S659" s="132"/>
      <c r="T659" s="102"/>
      <c r="U659" s="100"/>
      <c r="V659" s="130"/>
      <c r="W659" s="210"/>
    </row>
    <row r="660" s="43" customFormat="1" ht="22" hidden="1" customHeight="1" spans="1:23">
      <c r="A660" s="144" t="s">
        <v>2457</v>
      </c>
      <c r="B660" s="174" t="s">
        <v>2226</v>
      </c>
      <c r="C660" s="175"/>
      <c r="D660" s="45" t="s">
        <v>31</v>
      </c>
      <c r="E660" s="45" t="s">
        <v>2288</v>
      </c>
      <c r="F660" s="81" t="str">
        <f>IFERROR(VLOOKUP(E660,客户!B:C,2,FALSE),"/")</f>
        <v>J4159还差USD265.65没付齐 J4220还有定金5674.3 账上剩5408.65</v>
      </c>
      <c r="G660" s="45" t="s">
        <v>36</v>
      </c>
      <c r="H660" s="45" t="s">
        <v>123</v>
      </c>
      <c r="I660" s="45" t="s">
        <v>1842</v>
      </c>
      <c r="J660" s="108">
        <v>43564</v>
      </c>
      <c r="K660" s="108">
        <v>43606</v>
      </c>
      <c r="L660" s="100"/>
      <c r="M660" s="183" t="s">
        <v>2458</v>
      </c>
      <c r="N660" s="108" t="s">
        <v>2459</v>
      </c>
      <c r="O660" s="104"/>
      <c r="P660" s="102">
        <v>21845.84</v>
      </c>
      <c r="Q660" s="102">
        <v>3000</v>
      </c>
      <c r="R660" s="131">
        <v>0</v>
      </c>
      <c r="S660" s="132"/>
      <c r="T660" s="102">
        <v>18835</v>
      </c>
      <c r="U660" s="100">
        <v>43607</v>
      </c>
      <c r="V660" s="130"/>
      <c r="W660" s="210"/>
    </row>
    <row r="661" s="43" customFormat="1" ht="22" hidden="1" customHeight="1" spans="1:23">
      <c r="A661" s="144" t="s">
        <v>2460</v>
      </c>
      <c r="B661" s="174" t="s">
        <v>2226</v>
      </c>
      <c r="C661" s="175"/>
      <c r="D661" s="45" t="s">
        <v>31</v>
      </c>
      <c r="E661" s="80" t="s">
        <v>2260</v>
      </c>
      <c r="F661" s="81">
        <f>IFERROR(VLOOKUP(E661,客户!B:C,2,FALSE),"/")</f>
        <v>0</v>
      </c>
      <c r="G661" s="45" t="s">
        <v>2256</v>
      </c>
      <c r="H661" s="45" t="s">
        <v>123</v>
      </c>
      <c r="I661" s="45" t="s">
        <v>2461</v>
      </c>
      <c r="J661" s="108">
        <v>43566</v>
      </c>
      <c r="K661" s="108">
        <v>43618</v>
      </c>
      <c r="L661" s="100">
        <v>43662</v>
      </c>
      <c r="M661" s="183" t="s">
        <v>2462</v>
      </c>
      <c r="N661" s="108" t="s">
        <v>500</v>
      </c>
      <c r="O661" s="104"/>
      <c r="P661" s="102">
        <v>20459.37</v>
      </c>
      <c r="Q661" s="102">
        <v>10000</v>
      </c>
      <c r="R661" s="131"/>
      <c r="S661" s="132"/>
      <c r="T661" s="102"/>
      <c r="U661" s="100"/>
      <c r="V661" s="130"/>
      <c r="W661" s="210"/>
    </row>
    <row r="662" s="43" customFormat="1" ht="22" hidden="1" customHeight="1" spans="1:23">
      <c r="A662" s="144" t="s">
        <v>2463</v>
      </c>
      <c r="B662" s="174" t="s">
        <v>2226</v>
      </c>
      <c r="C662" s="175"/>
      <c r="D662" s="45" t="s">
        <v>31</v>
      </c>
      <c r="E662" s="45" t="s">
        <v>2387</v>
      </c>
      <c r="F662" s="81" t="str">
        <f>IFERROR(VLOOKUP(E662,客户!B:C,2,FALSE),"/")</f>
        <v>/</v>
      </c>
      <c r="G662" s="45" t="s">
        <v>2464</v>
      </c>
      <c r="H662" s="45" t="s">
        <v>123</v>
      </c>
      <c r="I662" s="45" t="s">
        <v>542</v>
      </c>
      <c r="J662" s="108">
        <v>43572</v>
      </c>
      <c r="K662" s="108">
        <v>43603</v>
      </c>
      <c r="L662" s="100">
        <v>43649</v>
      </c>
      <c r="M662" s="163" t="s">
        <v>2465</v>
      </c>
      <c r="N662" s="108" t="s">
        <v>2466</v>
      </c>
      <c r="O662" s="104"/>
      <c r="P662" s="102">
        <v>60763</v>
      </c>
      <c r="Q662" s="102">
        <v>16000</v>
      </c>
      <c r="R662" s="131">
        <v>0</v>
      </c>
      <c r="S662" s="132"/>
      <c r="T662" s="102">
        <v>44731</v>
      </c>
      <c r="U662" s="100">
        <v>43642</v>
      </c>
      <c r="V662" s="130"/>
      <c r="W662" s="210"/>
    </row>
    <row r="663" s="43" customFormat="1" ht="22" hidden="1" customHeight="1" spans="1:23">
      <c r="A663" s="144" t="s">
        <v>2467</v>
      </c>
      <c r="B663" s="174" t="s">
        <v>2226</v>
      </c>
      <c r="C663" s="175"/>
      <c r="D663" s="45" t="s">
        <v>31</v>
      </c>
      <c r="E663" s="45" t="s">
        <v>2387</v>
      </c>
      <c r="F663" s="81" t="str">
        <f>IFERROR(VLOOKUP(E663,客户!B:C,2,FALSE),"/")</f>
        <v>/</v>
      </c>
      <c r="G663" s="45" t="s">
        <v>485</v>
      </c>
      <c r="H663" s="45" t="s">
        <v>123</v>
      </c>
      <c r="I663" s="45" t="s">
        <v>1684</v>
      </c>
      <c r="J663" s="108">
        <v>43573</v>
      </c>
      <c r="K663" s="108">
        <v>43603</v>
      </c>
      <c r="L663" s="100">
        <v>43633</v>
      </c>
      <c r="M663" s="163" t="s">
        <v>2468</v>
      </c>
      <c r="N663" s="108" t="s">
        <v>2469</v>
      </c>
      <c r="O663" s="104"/>
      <c r="P663" s="102">
        <v>23855.45</v>
      </c>
      <c r="Q663" s="102">
        <v>8000</v>
      </c>
      <c r="R663" s="131">
        <v>0</v>
      </c>
      <c r="S663" s="132"/>
      <c r="T663" s="102">
        <v>15823</v>
      </c>
      <c r="U663" s="100">
        <v>43627</v>
      </c>
      <c r="V663" s="130"/>
      <c r="W663" s="210"/>
    </row>
    <row r="664" s="43" customFormat="1" ht="22" hidden="1" customHeight="1" spans="1:23">
      <c r="A664" s="144" t="s">
        <v>2470</v>
      </c>
      <c r="B664" s="174" t="s">
        <v>2226</v>
      </c>
      <c r="C664" s="175"/>
      <c r="D664" s="45" t="s">
        <v>31</v>
      </c>
      <c r="E664" s="45" t="s">
        <v>2378</v>
      </c>
      <c r="F664" s="81" t="str">
        <f>IFERROR(VLOOKUP(E664,客户!B:C,2,FALSE),"/")</f>
        <v>/</v>
      </c>
      <c r="G664" s="45" t="s">
        <v>36</v>
      </c>
      <c r="H664" s="45" t="s">
        <v>123</v>
      </c>
      <c r="I664" s="45" t="s">
        <v>1626</v>
      </c>
      <c r="J664" s="108">
        <v>43576</v>
      </c>
      <c r="K664" s="108">
        <v>43616</v>
      </c>
      <c r="L664" s="100">
        <v>43661</v>
      </c>
      <c r="M664" s="163" t="s">
        <v>2471</v>
      </c>
      <c r="N664" s="108" t="s">
        <v>2472</v>
      </c>
      <c r="O664" s="104"/>
      <c r="P664" s="102">
        <v>29763.09</v>
      </c>
      <c r="Q664" s="102">
        <v>3000</v>
      </c>
      <c r="R664" s="131">
        <v>0</v>
      </c>
      <c r="S664" s="132"/>
      <c r="T664" s="102">
        <v>26713</v>
      </c>
      <c r="U664" s="100">
        <v>43655</v>
      </c>
      <c r="V664" s="130"/>
      <c r="W664" s="210"/>
    </row>
    <row r="665" s="43" customFormat="1" ht="22" hidden="1" customHeight="1" spans="1:23">
      <c r="A665" s="144" t="s">
        <v>2473</v>
      </c>
      <c r="B665" s="174" t="s">
        <v>2226</v>
      </c>
      <c r="C665" s="175"/>
      <c r="D665" s="45" t="s">
        <v>31</v>
      </c>
      <c r="E665" s="229" t="s">
        <v>2474</v>
      </c>
      <c r="F665" s="81" t="str">
        <f>IFERROR(VLOOKUP(E665,客户!B:C,2,FALSE),"/")</f>
        <v>/</v>
      </c>
      <c r="G665" s="45" t="s">
        <v>43</v>
      </c>
      <c r="H665" s="45" t="s">
        <v>123</v>
      </c>
      <c r="I665" s="45" t="s">
        <v>1684</v>
      </c>
      <c r="J665" s="108">
        <v>43595</v>
      </c>
      <c r="K665" s="108">
        <v>43648</v>
      </c>
      <c r="L665" s="100">
        <v>43689</v>
      </c>
      <c r="M665" s="181" t="s">
        <v>2475</v>
      </c>
      <c r="N665" s="108" t="s">
        <v>2476</v>
      </c>
      <c r="O665" s="104"/>
      <c r="P665" s="102">
        <v>23602.8</v>
      </c>
      <c r="Q665" s="102">
        <v>13000</v>
      </c>
      <c r="R665" s="131">
        <v>0</v>
      </c>
      <c r="S665" s="132"/>
      <c r="T665" s="102">
        <v>17070</v>
      </c>
      <c r="U665" s="100">
        <v>43678</v>
      </c>
      <c r="V665" s="130"/>
      <c r="W665" s="210"/>
    </row>
    <row r="666" s="43" customFormat="1" ht="22" hidden="1" customHeight="1" spans="1:23">
      <c r="A666" s="144" t="s">
        <v>2477</v>
      </c>
      <c r="B666" s="272" t="s">
        <v>2226</v>
      </c>
      <c r="C666" s="273"/>
      <c r="D666" s="45" t="s">
        <v>31</v>
      </c>
      <c r="E666" s="45" t="s">
        <v>2478</v>
      </c>
      <c r="F666" s="81">
        <f>IFERROR(VLOOKUP(E666,客户!B:C,2,FALSE),"/")</f>
        <v>0</v>
      </c>
      <c r="G666" s="45" t="s">
        <v>2479</v>
      </c>
      <c r="H666" s="45" t="s">
        <v>186</v>
      </c>
      <c r="I666" s="45"/>
      <c r="J666" s="108">
        <v>43601</v>
      </c>
      <c r="K666" s="108"/>
      <c r="L666" s="100"/>
      <c r="M666" s="108"/>
      <c r="N666" s="108"/>
      <c r="O666" s="104"/>
      <c r="P666" s="102"/>
      <c r="Q666" s="102"/>
      <c r="R666" s="131"/>
      <c r="S666" s="132"/>
      <c r="T666" s="102"/>
      <c r="U666" s="100"/>
      <c r="V666" s="130"/>
      <c r="W666" s="210"/>
    </row>
    <row r="667" s="43" customFormat="1" ht="22" hidden="1" customHeight="1" spans="1:23">
      <c r="A667" s="144" t="s">
        <v>2480</v>
      </c>
      <c r="B667" s="174" t="s">
        <v>2226</v>
      </c>
      <c r="C667" s="175"/>
      <c r="D667" s="45" t="s">
        <v>31</v>
      </c>
      <c r="E667" s="45" t="s">
        <v>2387</v>
      </c>
      <c r="F667" s="81" t="str">
        <f>IFERROR(VLOOKUP(E667,客户!B:C,2,FALSE),"/")</f>
        <v>/</v>
      </c>
      <c r="G667" s="45" t="s">
        <v>2464</v>
      </c>
      <c r="H667" s="45" t="s">
        <v>123</v>
      </c>
      <c r="I667" s="45" t="s">
        <v>560</v>
      </c>
      <c r="J667" s="108">
        <v>43601</v>
      </c>
      <c r="K667" s="108">
        <v>43645</v>
      </c>
      <c r="L667" s="100">
        <v>43689</v>
      </c>
      <c r="M667" s="181" t="s">
        <v>2481</v>
      </c>
      <c r="N667" s="108" t="s">
        <v>2482</v>
      </c>
      <c r="O667" s="104"/>
      <c r="P667" s="102">
        <v>60361</v>
      </c>
      <c r="Q667" s="102">
        <v>20000</v>
      </c>
      <c r="R667" s="131"/>
      <c r="S667" s="132"/>
      <c r="T667" s="102">
        <v>40361</v>
      </c>
      <c r="U667" s="100"/>
      <c r="V667" s="130"/>
      <c r="W667" s="210"/>
    </row>
    <row r="668" s="43" customFormat="1" ht="22" hidden="1" customHeight="1" spans="1:23">
      <c r="A668" s="144" t="s">
        <v>2483</v>
      </c>
      <c r="B668" s="174" t="s">
        <v>2226</v>
      </c>
      <c r="C668" s="175"/>
      <c r="D668" s="45" t="s">
        <v>31</v>
      </c>
      <c r="E668" s="231" t="s">
        <v>2484</v>
      </c>
      <c r="F668" s="81" t="str">
        <f>IFERROR(VLOOKUP(E668,客户!B:C,2,FALSE),"/")</f>
        <v>/</v>
      </c>
      <c r="G668" s="45" t="s">
        <v>234</v>
      </c>
      <c r="H668" s="45" t="s">
        <v>123</v>
      </c>
      <c r="I668" s="45" t="s">
        <v>1684</v>
      </c>
      <c r="J668" s="108">
        <v>43601</v>
      </c>
      <c r="K668" s="159">
        <v>43683</v>
      </c>
      <c r="L668" s="100">
        <v>43728</v>
      </c>
      <c r="M668" s="181" t="s">
        <v>2485</v>
      </c>
      <c r="N668" s="108" t="s">
        <v>2486</v>
      </c>
      <c r="O668" s="104"/>
      <c r="P668" s="102"/>
      <c r="Q668" s="102"/>
      <c r="R668" s="131">
        <v>0</v>
      </c>
      <c r="S668" s="132"/>
      <c r="T668" s="102">
        <v>55581</v>
      </c>
      <c r="U668" s="100">
        <v>43724</v>
      </c>
      <c r="V668" s="130"/>
      <c r="W668" s="210"/>
    </row>
    <row r="669" s="43" customFormat="1" ht="22" hidden="1" customHeight="1" spans="1:23">
      <c r="A669" s="144" t="s">
        <v>2487</v>
      </c>
      <c r="B669" s="272" t="s">
        <v>2226</v>
      </c>
      <c r="C669" s="273"/>
      <c r="D669" s="45" t="s">
        <v>31</v>
      </c>
      <c r="E669" s="45" t="s">
        <v>2488</v>
      </c>
      <c r="F669" s="81">
        <f>IFERROR(VLOOKUP(E669,客户!B:C,2,FALSE),"/")</f>
        <v>0</v>
      </c>
      <c r="G669" s="45" t="s">
        <v>91</v>
      </c>
      <c r="H669" s="45" t="s">
        <v>186</v>
      </c>
      <c r="I669" s="45" t="s">
        <v>2489</v>
      </c>
      <c r="J669" s="108">
        <v>43602</v>
      </c>
      <c r="K669" s="100">
        <v>43612</v>
      </c>
      <c r="L669" s="100"/>
      <c r="M669" s="196" t="s">
        <v>2490</v>
      </c>
      <c r="N669" s="108" t="s">
        <v>2472</v>
      </c>
      <c r="O669" s="104"/>
      <c r="P669" s="102"/>
      <c r="Q669" s="139"/>
      <c r="R669" s="131"/>
      <c r="S669" s="132"/>
      <c r="T669" s="102"/>
      <c r="U669" s="100"/>
      <c r="V669" s="130"/>
      <c r="W669" s="210"/>
    </row>
    <row r="670" s="43" customFormat="1" ht="22" hidden="1" customHeight="1" spans="1:23">
      <c r="A670" s="144" t="s">
        <v>2491</v>
      </c>
      <c r="B670" s="272" t="s">
        <v>2226</v>
      </c>
      <c r="C670" s="273"/>
      <c r="D670" s="45" t="s">
        <v>31</v>
      </c>
      <c r="E670" s="45" t="s">
        <v>2341</v>
      </c>
      <c r="F670" s="81">
        <f>IFERROR(VLOOKUP(E670,客户!B:C,2,FALSE),"/")</f>
        <v>0</v>
      </c>
      <c r="G670" s="45" t="s">
        <v>91</v>
      </c>
      <c r="H670" s="45" t="s">
        <v>123</v>
      </c>
      <c r="I670" s="45" t="s">
        <v>2492</v>
      </c>
      <c r="J670" s="108">
        <v>43617</v>
      </c>
      <c r="K670" s="100">
        <v>43662</v>
      </c>
      <c r="L670" s="100"/>
      <c r="M670" s="196" t="s">
        <v>2493</v>
      </c>
      <c r="N670" s="108" t="s">
        <v>2494</v>
      </c>
      <c r="O670" s="104"/>
      <c r="P670" s="102">
        <v>21626.32</v>
      </c>
      <c r="Q670" s="102" t="s">
        <v>2495</v>
      </c>
      <c r="R670" s="131">
        <v>0</v>
      </c>
      <c r="S670" s="132"/>
      <c r="T670" s="102">
        <v>12696</v>
      </c>
      <c r="U670" s="100">
        <v>43658</v>
      </c>
      <c r="V670" s="130"/>
      <c r="W670" s="210"/>
    </row>
    <row r="671" s="43" customFormat="1" ht="22" hidden="1" customHeight="1" spans="1:23">
      <c r="A671" s="144" t="s">
        <v>2496</v>
      </c>
      <c r="B671" s="174" t="s">
        <v>2226</v>
      </c>
      <c r="C671" s="175"/>
      <c r="D671" s="45" t="s">
        <v>31</v>
      </c>
      <c r="E671" s="45" t="s">
        <v>2497</v>
      </c>
      <c r="F671" s="81" t="str">
        <f>IFERROR(VLOOKUP(E671,客户!B:C,2,FALSE),"/")</f>
        <v>/</v>
      </c>
      <c r="G671" s="45" t="s">
        <v>43</v>
      </c>
      <c r="H671" s="45" t="s">
        <v>123</v>
      </c>
      <c r="I671" s="45" t="s">
        <v>2498</v>
      </c>
      <c r="J671" s="108">
        <v>43619</v>
      </c>
      <c r="K671" s="100">
        <v>43651</v>
      </c>
      <c r="L671" s="100">
        <v>43701</v>
      </c>
      <c r="M671" s="181" t="s">
        <v>2499</v>
      </c>
      <c r="N671" s="108" t="s">
        <v>2500</v>
      </c>
      <c r="O671" s="104"/>
      <c r="P671" s="102">
        <v>26257.4</v>
      </c>
      <c r="Q671" s="102" t="s">
        <v>2501</v>
      </c>
      <c r="R671" s="131">
        <v>0</v>
      </c>
      <c r="S671" s="132"/>
      <c r="T671" s="102">
        <v>14195</v>
      </c>
      <c r="U671" s="100">
        <v>43725</v>
      </c>
      <c r="V671" s="130"/>
      <c r="W671" s="210"/>
    </row>
    <row r="672" s="43" customFormat="1" ht="22" hidden="1" customHeight="1" spans="1:23">
      <c r="A672" s="144" t="s">
        <v>2502</v>
      </c>
      <c r="B672" s="174" t="s">
        <v>2226</v>
      </c>
      <c r="C672" s="175"/>
      <c r="D672" s="45" t="s">
        <v>31</v>
      </c>
      <c r="E672" s="45" t="s">
        <v>2341</v>
      </c>
      <c r="F672" s="81">
        <f>IFERROR(VLOOKUP(E672,客户!B:C,2,FALSE),"/")</f>
        <v>0</v>
      </c>
      <c r="G672" s="45" t="s">
        <v>2503</v>
      </c>
      <c r="H672" s="45" t="s">
        <v>123</v>
      </c>
      <c r="I672" s="45" t="s">
        <v>2492</v>
      </c>
      <c r="J672" s="108">
        <v>43620</v>
      </c>
      <c r="K672" s="100">
        <v>43682</v>
      </c>
      <c r="L672" s="100"/>
      <c r="M672" s="108" t="s">
        <v>2504</v>
      </c>
      <c r="N672" s="108" t="s">
        <v>2472</v>
      </c>
      <c r="O672" s="104"/>
      <c r="P672" s="102">
        <v>19731</v>
      </c>
      <c r="Q672" s="102">
        <v>5000</v>
      </c>
      <c r="R672" s="131"/>
      <c r="S672" s="132"/>
      <c r="T672" s="102">
        <v>14698.5</v>
      </c>
      <c r="U672" s="100">
        <v>43686</v>
      </c>
      <c r="V672" s="130"/>
      <c r="W672" s="210"/>
    </row>
    <row r="673" s="43" customFormat="1" ht="22" hidden="1" customHeight="1" spans="1:23">
      <c r="A673" s="144" t="s">
        <v>2505</v>
      </c>
      <c r="B673" s="174" t="s">
        <v>2226</v>
      </c>
      <c r="C673" s="175"/>
      <c r="D673" s="45" t="s">
        <v>31</v>
      </c>
      <c r="E673" s="229" t="s">
        <v>2506</v>
      </c>
      <c r="F673" s="81">
        <f>IFERROR(VLOOKUP(E673,客户!B:C,2,FALSE),"/")</f>
        <v>0</v>
      </c>
      <c r="G673" s="45" t="s">
        <v>68</v>
      </c>
      <c r="H673" s="45" t="s">
        <v>127</v>
      </c>
      <c r="I673" s="45" t="s">
        <v>2507</v>
      </c>
      <c r="J673" s="108">
        <v>43686</v>
      </c>
      <c r="K673" s="100">
        <v>43749</v>
      </c>
      <c r="L673" s="100">
        <v>43813</v>
      </c>
      <c r="M673" s="177" t="s">
        <v>2508</v>
      </c>
      <c r="N673" s="108" t="s">
        <v>2509</v>
      </c>
      <c r="O673" s="104" t="s">
        <v>680</v>
      </c>
      <c r="P673" s="289">
        <v>49897.5</v>
      </c>
      <c r="Q673" s="102">
        <v>3000</v>
      </c>
      <c r="R673" s="131"/>
      <c r="S673" s="132"/>
      <c r="T673" s="102">
        <v>46897.5</v>
      </c>
      <c r="U673" s="100">
        <v>43829</v>
      </c>
      <c r="V673" s="130"/>
      <c r="W673" s="210"/>
    </row>
    <row r="674" s="43" customFormat="1" ht="22" hidden="1" customHeight="1" spans="1:23">
      <c r="A674" s="144" t="s">
        <v>2510</v>
      </c>
      <c r="B674" s="174" t="s">
        <v>2226</v>
      </c>
      <c r="C674" s="175"/>
      <c r="D674" s="45" t="s">
        <v>31</v>
      </c>
      <c r="E674" s="45" t="s">
        <v>2511</v>
      </c>
      <c r="F674" s="81">
        <f>IFERROR(VLOOKUP(E674,客户!B:C,2,FALSE),"/")</f>
        <v>0</v>
      </c>
      <c r="G674" s="45" t="s">
        <v>36</v>
      </c>
      <c r="H674" s="45" t="s">
        <v>123</v>
      </c>
      <c r="I674" s="45" t="s">
        <v>2512</v>
      </c>
      <c r="J674" s="108">
        <v>43627</v>
      </c>
      <c r="K674" s="100">
        <v>43688</v>
      </c>
      <c r="L674" s="100">
        <v>43734</v>
      </c>
      <c r="M674" s="196" t="s">
        <v>2513</v>
      </c>
      <c r="N674" s="108" t="s">
        <v>2514</v>
      </c>
      <c r="O674" s="104"/>
      <c r="P674" s="102">
        <v>19486</v>
      </c>
      <c r="Q674" s="102">
        <v>5125</v>
      </c>
      <c r="R674" s="131">
        <v>0</v>
      </c>
      <c r="S674" s="132"/>
      <c r="T674" s="102">
        <v>14195</v>
      </c>
      <c r="U674" s="100">
        <v>43726</v>
      </c>
      <c r="V674" s="130"/>
      <c r="W674" s="210"/>
    </row>
    <row r="675" s="43" customFormat="1" ht="22" hidden="1" customHeight="1" spans="1:23">
      <c r="A675" s="144" t="s">
        <v>2515</v>
      </c>
      <c r="B675" s="174" t="s">
        <v>2226</v>
      </c>
      <c r="C675" s="175"/>
      <c r="D675" s="45" t="s">
        <v>31</v>
      </c>
      <c r="E675" s="45" t="s">
        <v>2395</v>
      </c>
      <c r="F675" s="81" t="str">
        <f>IFERROR(VLOOKUP(E675,客户!B:C,2,FALSE),"/")</f>
        <v>/</v>
      </c>
      <c r="G675" s="45" t="s">
        <v>36</v>
      </c>
      <c r="H675" s="45" t="s">
        <v>123</v>
      </c>
      <c r="I675" s="45" t="s">
        <v>312</v>
      </c>
      <c r="J675" s="108">
        <v>43628</v>
      </c>
      <c r="K675" s="100">
        <v>43658</v>
      </c>
      <c r="L675" s="100">
        <v>43701</v>
      </c>
      <c r="M675" s="181" t="s">
        <v>2516</v>
      </c>
      <c r="N675" s="108" t="s">
        <v>2517</v>
      </c>
      <c r="O675" s="104"/>
      <c r="P675" s="102">
        <v>19740</v>
      </c>
      <c r="Q675" s="102">
        <v>10000</v>
      </c>
      <c r="R675" s="131">
        <v>0</v>
      </c>
      <c r="S675" s="132"/>
      <c r="T675" s="102">
        <v>9740</v>
      </c>
      <c r="U675" s="100">
        <v>43699</v>
      </c>
      <c r="V675" s="130"/>
      <c r="W675" s="210"/>
    </row>
    <row r="676" s="43" customFormat="1" ht="22" hidden="1" customHeight="1" spans="1:23">
      <c r="A676" s="190" t="s">
        <v>2518</v>
      </c>
      <c r="B676" s="174" t="s">
        <v>2226</v>
      </c>
      <c r="C676" s="175"/>
      <c r="D676" s="45" t="s">
        <v>31</v>
      </c>
      <c r="E676" s="45" t="s">
        <v>2395</v>
      </c>
      <c r="F676" s="81" t="str">
        <f>IFERROR(VLOOKUP(E676,客户!B:C,2,FALSE),"/")</f>
        <v>/</v>
      </c>
      <c r="G676" s="45" t="s">
        <v>91</v>
      </c>
      <c r="H676" s="45" t="s">
        <v>123</v>
      </c>
      <c r="I676" s="45" t="s">
        <v>312</v>
      </c>
      <c r="J676" s="108">
        <v>43628</v>
      </c>
      <c r="K676" s="100">
        <v>43703</v>
      </c>
      <c r="L676" s="100">
        <v>43740</v>
      </c>
      <c r="M676" s="206" t="s">
        <v>2519</v>
      </c>
      <c r="N676" s="108" t="s">
        <v>2520</v>
      </c>
      <c r="O676" s="104"/>
      <c r="P676" s="102">
        <v>16590.03</v>
      </c>
      <c r="Q676" s="102">
        <v>5000</v>
      </c>
      <c r="R676" s="131">
        <v>0</v>
      </c>
      <c r="S676" s="132"/>
      <c r="T676" s="207">
        <v>11552</v>
      </c>
      <c r="U676" s="205">
        <v>43734</v>
      </c>
      <c r="V676" s="130"/>
      <c r="W676" s="210"/>
    </row>
    <row r="677" s="43" customFormat="1" ht="22" hidden="1" customHeight="1" spans="1:23">
      <c r="A677" s="144" t="s">
        <v>2521</v>
      </c>
      <c r="B677" s="174" t="s">
        <v>2226</v>
      </c>
      <c r="C677" s="175"/>
      <c r="D677" s="45" t="s">
        <v>31</v>
      </c>
      <c r="E677" s="45" t="s">
        <v>2395</v>
      </c>
      <c r="F677" s="81" t="str">
        <f>IFERROR(VLOOKUP(E677,客户!B:C,2,FALSE),"/")</f>
        <v>/</v>
      </c>
      <c r="G677" s="45" t="s">
        <v>566</v>
      </c>
      <c r="H677" s="45" t="s">
        <v>123</v>
      </c>
      <c r="I677" s="45" t="s">
        <v>312</v>
      </c>
      <c r="J677" s="108">
        <v>43642</v>
      </c>
      <c r="K677" s="100">
        <v>43687</v>
      </c>
      <c r="L677" s="100">
        <v>43725</v>
      </c>
      <c r="M677" s="196" t="s">
        <v>2522</v>
      </c>
      <c r="N677" s="108" t="s">
        <v>2523</v>
      </c>
      <c r="O677" s="104"/>
      <c r="P677" s="102">
        <v>39343</v>
      </c>
      <c r="Q677" s="102">
        <v>11000</v>
      </c>
      <c r="R677" s="131">
        <v>0</v>
      </c>
      <c r="S677" s="132"/>
      <c r="T677" s="102">
        <v>28343</v>
      </c>
      <c r="U677" s="100">
        <v>43718</v>
      </c>
      <c r="V677" s="130"/>
      <c r="W677" s="210"/>
    </row>
    <row r="678" s="43" customFormat="1" ht="22" hidden="1" customHeight="1" spans="1:23">
      <c r="A678" s="144" t="s">
        <v>2524</v>
      </c>
      <c r="B678" s="174" t="s">
        <v>2226</v>
      </c>
      <c r="C678" s="175"/>
      <c r="D678" s="45" t="s">
        <v>31</v>
      </c>
      <c r="E678" s="45" t="s">
        <v>2288</v>
      </c>
      <c r="F678" s="81" t="str">
        <f>IFERROR(VLOOKUP(E678,客户!B:C,2,FALSE),"/")</f>
        <v>J4159还差USD265.65没付齐 J4220还有定金5674.3 账上剩5408.65</v>
      </c>
      <c r="G678" s="45" t="s">
        <v>36</v>
      </c>
      <c r="H678" s="45" t="s">
        <v>123</v>
      </c>
      <c r="I678" s="45" t="s">
        <v>1842</v>
      </c>
      <c r="J678" s="108">
        <v>43690</v>
      </c>
      <c r="K678" s="100">
        <v>43747</v>
      </c>
      <c r="L678" s="100"/>
      <c r="M678" s="108" t="s">
        <v>2525</v>
      </c>
      <c r="N678" s="108" t="s">
        <v>2526</v>
      </c>
      <c r="O678" s="104"/>
      <c r="P678" s="289">
        <v>22122.598</v>
      </c>
      <c r="Q678" s="102">
        <v>5000</v>
      </c>
      <c r="R678" s="131"/>
      <c r="S678" s="132"/>
      <c r="T678" s="102">
        <v>17125.6</v>
      </c>
      <c r="U678" s="100">
        <v>43762</v>
      </c>
      <c r="V678" s="130"/>
      <c r="W678" s="210"/>
    </row>
    <row r="679" s="43" customFormat="1" ht="22" hidden="1" customHeight="1" spans="1:23">
      <c r="A679" s="144" t="s">
        <v>2527</v>
      </c>
      <c r="B679" s="174" t="s">
        <v>2226</v>
      </c>
      <c r="C679" s="175"/>
      <c r="D679" s="45" t="s">
        <v>31</v>
      </c>
      <c r="E679" s="229" t="s">
        <v>2528</v>
      </c>
      <c r="F679" s="81" t="str">
        <f>IFERROR(VLOOKUP(E679,客户!B:C,2,FALSE),"/")</f>
        <v>/</v>
      </c>
      <c r="G679" s="45" t="s">
        <v>91</v>
      </c>
      <c r="H679" s="45" t="s">
        <v>123</v>
      </c>
      <c r="I679" s="45" t="s">
        <v>1626</v>
      </c>
      <c r="J679" s="108">
        <v>43690</v>
      </c>
      <c r="K679" s="100">
        <v>43752</v>
      </c>
      <c r="L679" s="100">
        <v>43797</v>
      </c>
      <c r="M679" s="182" t="s">
        <v>2529</v>
      </c>
      <c r="N679" s="198" t="s">
        <v>2530</v>
      </c>
      <c r="O679" s="104" t="s">
        <v>523</v>
      </c>
      <c r="P679" s="102">
        <v>20151</v>
      </c>
      <c r="Q679" s="102">
        <v>3000</v>
      </c>
      <c r="R679" s="131"/>
      <c r="S679" s="132"/>
      <c r="T679" s="102">
        <v>17120.5</v>
      </c>
      <c r="U679" s="100">
        <v>43788</v>
      </c>
      <c r="V679" s="130"/>
      <c r="W679" s="210"/>
    </row>
    <row r="680" s="43" customFormat="1" ht="22" hidden="1" customHeight="1" spans="1:23">
      <c r="A680" s="145" t="s">
        <v>2531</v>
      </c>
      <c r="B680" s="174" t="s">
        <v>2226</v>
      </c>
      <c r="C680" s="175"/>
      <c r="D680" s="45" t="s">
        <v>31</v>
      </c>
      <c r="E680" s="45" t="s">
        <v>2341</v>
      </c>
      <c r="F680" s="81">
        <f>IFERROR(VLOOKUP(E680,客户!B:C,2,FALSE),"/")</f>
        <v>0</v>
      </c>
      <c r="G680" s="45" t="s">
        <v>36</v>
      </c>
      <c r="H680" s="45" t="s">
        <v>123</v>
      </c>
      <c r="I680" s="45" t="s">
        <v>241</v>
      </c>
      <c r="J680" s="108">
        <v>43697</v>
      </c>
      <c r="K680" s="100">
        <v>43766</v>
      </c>
      <c r="L680" s="100">
        <v>43818</v>
      </c>
      <c r="M680" s="178" t="s">
        <v>2532</v>
      </c>
      <c r="N680" s="108" t="s">
        <v>2533</v>
      </c>
      <c r="O680" s="104" t="s">
        <v>523</v>
      </c>
      <c r="P680" s="102">
        <v>22807.4</v>
      </c>
      <c r="Q680" s="102">
        <v>5000</v>
      </c>
      <c r="R680" s="131"/>
      <c r="S680" s="132"/>
      <c r="T680" s="102">
        <v>17774.5</v>
      </c>
      <c r="U680" s="100">
        <v>43801</v>
      </c>
      <c r="V680" s="130"/>
      <c r="W680" s="210"/>
    </row>
    <row r="681" s="43" customFormat="1" ht="22" hidden="1" customHeight="1" spans="1:23">
      <c r="A681" s="144" t="s">
        <v>2534</v>
      </c>
      <c r="B681" s="174" t="s">
        <v>2226</v>
      </c>
      <c r="C681" s="175"/>
      <c r="D681" s="45" t="s">
        <v>31</v>
      </c>
      <c r="E681" s="45" t="s">
        <v>2341</v>
      </c>
      <c r="F681" s="81">
        <f>IFERROR(VLOOKUP(E681,客户!B:C,2,FALSE),"/")</f>
        <v>0</v>
      </c>
      <c r="G681" s="45" t="s">
        <v>91</v>
      </c>
      <c r="H681" s="45" t="s">
        <v>123</v>
      </c>
      <c r="I681" s="45" t="s">
        <v>241</v>
      </c>
      <c r="J681" s="108">
        <v>43700</v>
      </c>
      <c r="K681" s="100">
        <v>43766</v>
      </c>
      <c r="L681" s="100">
        <v>43818</v>
      </c>
      <c r="M681" s="178" t="s">
        <v>2535</v>
      </c>
      <c r="N681" s="108" t="s">
        <v>2536</v>
      </c>
      <c r="O681" s="104" t="s">
        <v>523</v>
      </c>
      <c r="P681" s="102">
        <v>20438.45</v>
      </c>
      <c r="Q681" s="102">
        <v>5000</v>
      </c>
      <c r="R681" s="131"/>
      <c r="S681" s="132"/>
      <c r="T681" s="102">
        <v>15405.5</v>
      </c>
      <c r="U681" s="100">
        <v>43802</v>
      </c>
      <c r="V681" s="130"/>
      <c r="W681" s="210"/>
    </row>
    <row r="682" s="43" customFormat="1" ht="22" hidden="1" customHeight="1" spans="1:23">
      <c r="A682" s="190" t="s">
        <v>2537</v>
      </c>
      <c r="B682" s="272" t="s">
        <v>2226</v>
      </c>
      <c r="C682" s="273"/>
      <c r="D682" s="45" t="s">
        <v>31</v>
      </c>
      <c r="E682" s="45" t="s">
        <v>2538</v>
      </c>
      <c r="F682" s="81" t="str">
        <f>IFERROR(VLOOKUP(E682,客户!B:C,2,FALSE),"/")</f>
        <v>/</v>
      </c>
      <c r="G682" s="45" t="s">
        <v>2539</v>
      </c>
      <c r="H682" s="45"/>
      <c r="I682" s="45" t="s">
        <v>2540</v>
      </c>
      <c r="J682" s="108">
        <v>43720</v>
      </c>
      <c r="K682" s="100">
        <v>43730</v>
      </c>
      <c r="L682" s="100"/>
      <c r="M682" s="108" t="s">
        <v>2541</v>
      </c>
      <c r="N682" s="108" t="s">
        <v>2542</v>
      </c>
      <c r="O682" s="104"/>
      <c r="P682" s="102" t="s">
        <v>2543</v>
      </c>
      <c r="Q682" s="102" t="s">
        <v>2544</v>
      </c>
      <c r="R682" s="131"/>
      <c r="S682" s="132"/>
      <c r="T682" s="102"/>
      <c r="U682" s="100"/>
      <c r="V682" s="130"/>
      <c r="W682" s="210"/>
    </row>
    <row r="683" s="43" customFormat="1" ht="22" hidden="1" customHeight="1" spans="1:23">
      <c r="A683" s="144" t="s">
        <v>2545</v>
      </c>
      <c r="B683" s="174" t="s">
        <v>2226</v>
      </c>
      <c r="C683" s="175"/>
      <c r="D683" s="45" t="s">
        <v>31</v>
      </c>
      <c r="E683" s="45" t="s">
        <v>2341</v>
      </c>
      <c r="F683" s="81">
        <f>IFERROR(VLOOKUP(E683,客户!B:C,2,FALSE),"/")</f>
        <v>0</v>
      </c>
      <c r="G683" s="45" t="s">
        <v>1771</v>
      </c>
      <c r="H683" s="45" t="s">
        <v>123</v>
      </c>
      <c r="I683" s="45" t="s">
        <v>241</v>
      </c>
      <c r="J683" s="108">
        <v>43731</v>
      </c>
      <c r="K683" s="100">
        <v>43791</v>
      </c>
      <c r="L683" s="100">
        <v>43823</v>
      </c>
      <c r="M683" s="159" t="s">
        <v>2546</v>
      </c>
      <c r="N683" s="108" t="s">
        <v>2547</v>
      </c>
      <c r="O683" s="104" t="s">
        <v>523</v>
      </c>
      <c r="P683" s="102">
        <v>23555.68</v>
      </c>
      <c r="Q683" s="102">
        <v>5000</v>
      </c>
      <c r="R683" s="131"/>
      <c r="S683" s="132"/>
      <c r="T683" s="102">
        <v>18522.5</v>
      </c>
      <c r="U683" s="100">
        <v>43817</v>
      </c>
      <c r="V683" s="130"/>
      <c r="W683" s="210"/>
    </row>
    <row r="684" s="43" customFormat="1" ht="22" hidden="1" customHeight="1" spans="1:23">
      <c r="A684" s="144" t="s">
        <v>2548</v>
      </c>
      <c r="B684" s="174" t="s">
        <v>2226</v>
      </c>
      <c r="C684" s="175"/>
      <c r="D684" s="45" t="s">
        <v>31</v>
      </c>
      <c r="E684" s="45" t="s">
        <v>2341</v>
      </c>
      <c r="F684" s="81">
        <f>IFERROR(VLOOKUP(E684,客户!B:C,2,FALSE),"/")</f>
        <v>0</v>
      </c>
      <c r="G684" s="45" t="s">
        <v>1771</v>
      </c>
      <c r="H684" s="45" t="s">
        <v>123</v>
      </c>
      <c r="I684" s="45" t="s">
        <v>241</v>
      </c>
      <c r="J684" s="108">
        <v>43731</v>
      </c>
      <c r="K684" s="100">
        <v>43784</v>
      </c>
      <c r="L684" s="100">
        <v>43823</v>
      </c>
      <c r="M684" s="178" t="s">
        <v>2549</v>
      </c>
      <c r="N684" s="108" t="s">
        <v>2547</v>
      </c>
      <c r="O684" s="104" t="s">
        <v>523</v>
      </c>
      <c r="P684" s="102">
        <v>21781</v>
      </c>
      <c r="Q684" s="102">
        <v>5000</v>
      </c>
      <c r="R684" s="131"/>
      <c r="S684" s="132"/>
      <c r="T684" s="102">
        <v>16748.5</v>
      </c>
      <c r="U684" s="100">
        <v>43817</v>
      </c>
      <c r="V684" s="130"/>
      <c r="W684" s="210"/>
    </row>
    <row r="685" s="43" customFormat="1" ht="22" hidden="1" customHeight="1" spans="1:23">
      <c r="A685" s="144" t="s">
        <v>2550</v>
      </c>
      <c r="B685" s="174" t="s">
        <v>2226</v>
      </c>
      <c r="C685" s="175"/>
      <c r="D685" s="45" t="s">
        <v>31</v>
      </c>
      <c r="E685" s="45" t="s">
        <v>2551</v>
      </c>
      <c r="F685" s="81" t="str">
        <f>IFERROR(VLOOKUP(E685,客户!B:C,2,FALSE),"/")</f>
        <v>/</v>
      </c>
      <c r="G685" s="45" t="s">
        <v>2552</v>
      </c>
      <c r="H685" s="45" t="s">
        <v>186</v>
      </c>
      <c r="I685" s="45"/>
      <c r="J685" s="108">
        <v>43756</v>
      </c>
      <c r="K685" s="100"/>
      <c r="L685" s="100"/>
      <c r="M685" s="108"/>
      <c r="N685" s="108"/>
      <c r="O685" s="104"/>
      <c r="P685" s="102" t="s">
        <v>2553</v>
      </c>
      <c r="Q685" s="102" t="s">
        <v>1059</v>
      </c>
      <c r="R685" s="284"/>
      <c r="S685" s="132"/>
      <c r="T685" s="240">
        <v>77500</v>
      </c>
      <c r="U685" s="100">
        <v>43784</v>
      </c>
      <c r="V685" s="130"/>
      <c r="W685" s="210"/>
    </row>
    <row r="686" s="43" customFormat="1" ht="22" hidden="1" customHeight="1" spans="1:23">
      <c r="A686" s="144" t="s">
        <v>2554</v>
      </c>
      <c r="B686" s="174" t="s">
        <v>2226</v>
      </c>
      <c r="C686" s="175"/>
      <c r="D686" s="45" t="s">
        <v>31</v>
      </c>
      <c r="E686" s="45" t="s">
        <v>2555</v>
      </c>
      <c r="F686" s="81" t="str">
        <f>IFERROR(VLOOKUP(E686,客户!B:C,2,FALSE),"/")</f>
        <v>/</v>
      </c>
      <c r="G686" s="45" t="s">
        <v>2556</v>
      </c>
      <c r="H686" s="45" t="s">
        <v>186</v>
      </c>
      <c r="I686" s="45"/>
      <c r="J686" s="108">
        <v>43759</v>
      </c>
      <c r="K686" s="100">
        <v>43785</v>
      </c>
      <c r="L686" s="100"/>
      <c r="M686" s="159" t="s">
        <v>2557</v>
      </c>
      <c r="N686" s="108"/>
      <c r="O686" s="104" t="s">
        <v>970</v>
      </c>
      <c r="P686" s="102" t="s">
        <v>2558</v>
      </c>
      <c r="Q686" s="102" t="s">
        <v>2559</v>
      </c>
      <c r="R686" s="131"/>
      <c r="S686" s="132"/>
      <c r="T686" s="102" t="s">
        <v>2560</v>
      </c>
      <c r="U686" s="100"/>
      <c r="V686" s="130"/>
      <c r="W686" s="210"/>
    </row>
    <row r="687" s="43" customFormat="1" ht="22" hidden="1" customHeight="1" spans="1:23">
      <c r="A687" s="144" t="s">
        <v>2561</v>
      </c>
      <c r="B687" s="174" t="s">
        <v>2226</v>
      </c>
      <c r="C687" s="175"/>
      <c r="D687" s="45" t="s">
        <v>31</v>
      </c>
      <c r="E687" s="229" t="s">
        <v>2452</v>
      </c>
      <c r="F687" s="81">
        <f>IFERROR(VLOOKUP(E687,客户!B:C,2,FALSE),"/")</f>
        <v>0</v>
      </c>
      <c r="G687" s="45" t="s">
        <v>2562</v>
      </c>
      <c r="H687" s="45" t="s">
        <v>123</v>
      </c>
      <c r="I687" s="45" t="s">
        <v>2563</v>
      </c>
      <c r="J687" s="108">
        <v>43761</v>
      </c>
      <c r="K687" s="100">
        <v>43793</v>
      </c>
      <c r="L687" s="100">
        <v>43823</v>
      </c>
      <c r="M687" s="159" t="s">
        <v>2564</v>
      </c>
      <c r="N687" s="108" t="s">
        <v>2565</v>
      </c>
      <c r="O687" s="104" t="s">
        <v>523</v>
      </c>
      <c r="P687" s="102">
        <v>18166.65</v>
      </c>
      <c r="Q687" s="102">
        <v>10000</v>
      </c>
      <c r="R687" s="131"/>
      <c r="S687" s="132"/>
      <c r="T687" s="102" t="s">
        <v>2566</v>
      </c>
      <c r="U687" s="100">
        <v>43815</v>
      </c>
      <c r="V687" s="130"/>
      <c r="W687" s="210"/>
    </row>
    <row r="688" s="43" customFormat="1" ht="22" hidden="1" customHeight="1" spans="1:23">
      <c r="A688" s="144" t="s">
        <v>2567</v>
      </c>
      <c r="B688" s="174" t="s">
        <v>2226</v>
      </c>
      <c r="C688" s="175"/>
      <c r="D688" s="45" t="s">
        <v>31</v>
      </c>
      <c r="E688" s="229" t="s">
        <v>2568</v>
      </c>
      <c r="F688" s="81" t="str">
        <f>IFERROR(VLOOKUP(E688,客户!B:C,2,FALSE),"/")</f>
        <v>J4159还差USD265.65没付齐 J4220还有定金5674.3 账上剩5408.65</v>
      </c>
      <c r="G688" s="45" t="s">
        <v>36</v>
      </c>
      <c r="H688" s="45" t="s">
        <v>123</v>
      </c>
      <c r="I688" s="45" t="s">
        <v>1842</v>
      </c>
      <c r="J688" s="108">
        <v>43762</v>
      </c>
      <c r="K688" s="100">
        <v>43797</v>
      </c>
      <c r="L688" s="100">
        <v>43831</v>
      </c>
      <c r="M688" s="181" t="s">
        <v>2569</v>
      </c>
      <c r="N688" s="108" t="s">
        <v>2570</v>
      </c>
      <c r="O688" s="104" t="s">
        <v>523</v>
      </c>
      <c r="P688" s="102">
        <v>22717.76</v>
      </c>
      <c r="Q688" s="102">
        <v>5000</v>
      </c>
      <c r="R688" s="131">
        <v>0</v>
      </c>
      <c r="S688" s="132"/>
      <c r="T688" s="102">
        <v>17717.76</v>
      </c>
      <c r="U688" s="100">
        <v>43796</v>
      </c>
      <c r="V688" s="130"/>
      <c r="W688" s="210"/>
    </row>
    <row r="689" s="43" customFormat="1" ht="22" hidden="1" customHeight="1" spans="1:23">
      <c r="A689" s="144" t="s">
        <v>2571</v>
      </c>
      <c r="B689" s="174" t="s">
        <v>2226</v>
      </c>
      <c r="C689" s="175"/>
      <c r="D689" s="45" t="s">
        <v>31</v>
      </c>
      <c r="E689" s="229" t="s">
        <v>2572</v>
      </c>
      <c r="F689" s="81" t="str">
        <f>IFERROR(VLOOKUP(E689,客户!B:C,2,FALSE),"/")</f>
        <v>/</v>
      </c>
      <c r="G689" s="45" t="s">
        <v>2573</v>
      </c>
      <c r="H689" s="45" t="s">
        <v>123</v>
      </c>
      <c r="I689" s="45" t="s">
        <v>2574</v>
      </c>
      <c r="J689" s="108">
        <v>43770</v>
      </c>
      <c r="K689" s="100">
        <v>43806</v>
      </c>
      <c r="L689" s="100">
        <v>43844</v>
      </c>
      <c r="M689" s="159" t="s">
        <v>2575</v>
      </c>
      <c r="N689" s="108" t="s">
        <v>2576</v>
      </c>
      <c r="O689" s="104" t="s">
        <v>523</v>
      </c>
      <c r="P689" s="102">
        <v>54093.7</v>
      </c>
      <c r="Q689" s="102">
        <v>27000</v>
      </c>
      <c r="R689" s="131"/>
      <c r="S689" s="132"/>
      <c r="T689" s="102">
        <v>27093.7</v>
      </c>
      <c r="U689" s="100">
        <v>43839</v>
      </c>
      <c r="V689" s="130"/>
      <c r="W689" s="210"/>
    </row>
    <row r="690" s="43" customFormat="1" ht="22" hidden="1" customHeight="1" spans="1:23">
      <c r="A690" s="144" t="s">
        <v>2577</v>
      </c>
      <c r="B690" s="174" t="s">
        <v>2226</v>
      </c>
      <c r="C690" s="175"/>
      <c r="D690" s="45" t="s">
        <v>31</v>
      </c>
      <c r="E690" s="229" t="s">
        <v>2578</v>
      </c>
      <c r="F690" s="81">
        <f>IFERROR(VLOOKUP(E690,客户!B:C,2,FALSE),"/")</f>
        <v>0</v>
      </c>
      <c r="G690" s="45" t="s">
        <v>2579</v>
      </c>
      <c r="H690" s="45" t="s">
        <v>147</v>
      </c>
      <c r="I690" s="45" t="s">
        <v>947</v>
      </c>
      <c r="J690" s="108">
        <v>43790</v>
      </c>
      <c r="K690" s="100">
        <v>43820</v>
      </c>
      <c r="L690" s="100">
        <v>43836</v>
      </c>
      <c r="M690" s="108" t="s">
        <v>2580</v>
      </c>
      <c r="N690" s="108" t="s">
        <v>2581</v>
      </c>
      <c r="O690" s="104" t="s">
        <v>523</v>
      </c>
      <c r="P690" s="102">
        <v>20020.58</v>
      </c>
      <c r="Q690" s="102">
        <f>P690-R690</f>
        <v>20020.58</v>
      </c>
      <c r="R690" s="131"/>
      <c r="S690" s="132"/>
      <c r="T690" s="102">
        <v>13993.08</v>
      </c>
      <c r="U690" s="100">
        <v>43829</v>
      </c>
      <c r="V690" s="130"/>
      <c r="W690" s="210"/>
    </row>
    <row r="691" s="43" customFormat="1" ht="22" hidden="1" customHeight="1" spans="1:23">
      <c r="A691" s="144" t="s">
        <v>2582</v>
      </c>
      <c r="B691" s="174" t="s">
        <v>2226</v>
      </c>
      <c r="C691" s="175"/>
      <c r="D691" s="45" t="s">
        <v>31</v>
      </c>
      <c r="E691" s="45" t="s">
        <v>2312</v>
      </c>
      <c r="F691" s="81" t="str">
        <f>IFERROR(VLOOKUP(E691,客户!B:C,2,FALSE),"/")</f>
        <v>/</v>
      </c>
      <c r="G691" s="45" t="s">
        <v>2583</v>
      </c>
      <c r="H691" s="45" t="s">
        <v>123</v>
      </c>
      <c r="I691" s="45" t="s">
        <v>2584</v>
      </c>
      <c r="J691" s="108">
        <v>43790</v>
      </c>
      <c r="K691" s="100">
        <v>43813</v>
      </c>
      <c r="L691" s="100">
        <v>43844</v>
      </c>
      <c r="M691" s="159" t="s">
        <v>2585</v>
      </c>
      <c r="N691" s="108" t="s">
        <v>2586</v>
      </c>
      <c r="O691" s="104" t="s">
        <v>523</v>
      </c>
      <c r="P691" s="102">
        <v>38063.28</v>
      </c>
      <c r="Q691" s="102">
        <v>10000</v>
      </c>
      <c r="R691" s="131"/>
      <c r="S691" s="132"/>
      <c r="T691" s="102">
        <v>28063.28</v>
      </c>
      <c r="U691" s="100">
        <v>43839</v>
      </c>
      <c r="V691" s="130"/>
      <c r="W691" s="210"/>
    </row>
    <row r="692" s="43" customFormat="1" ht="22" hidden="1" customHeight="1" spans="1:23">
      <c r="A692" s="144" t="s">
        <v>2587</v>
      </c>
      <c r="B692" s="174" t="s">
        <v>2226</v>
      </c>
      <c r="C692" s="175"/>
      <c r="D692" s="45" t="s">
        <v>31</v>
      </c>
      <c r="E692" s="45" t="s">
        <v>2588</v>
      </c>
      <c r="F692" s="81" t="str">
        <f>IFERROR(VLOOKUP(E692,客户!B:C,2,FALSE),"/")</f>
        <v>/</v>
      </c>
      <c r="G692" s="45" t="s">
        <v>2589</v>
      </c>
      <c r="H692" s="45" t="s">
        <v>186</v>
      </c>
      <c r="I692" s="45"/>
      <c r="J692" s="108">
        <v>43791</v>
      </c>
      <c r="K692" s="100">
        <v>43804</v>
      </c>
      <c r="L692" s="100"/>
      <c r="M692" s="108" t="s">
        <v>2590</v>
      </c>
      <c r="N692" s="108"/>
      <c r="O692" s="104" t="s">
        <v>970</v>
      </c>
      <c r="P692" s="102" t="s">
        <v>2591</v>
      </c>
      <c r="Q692" s="102" t="s">
        <v>2592</v>
      </c>
      <c r="R692" s="131"/>
      <c r="S692" s="132"/>
      <c r="T692" s="102" t="s">
        <v>2593</v>
      </c>
      <c r="U692" s="100">
        <v>43804</v>
      </c>
      <c r="V692" s="130"/>
      <c r="W692" s="210"/>
    </row>
    <row r="693" s="43" customFormat="1" ht="22" hidden="1" customHeight="1" spans="1:23">
      <c r="A693" s="144" t="s">
        <v>2594</v>
      </c>
      <c r="B693" s="174" t="s">
        <v>2226</v>
      </c>
      <c r="C693" s="175"/>
      <c r="D693" s="45" t="s">
        <v>31</v>
      </c>
      <c r="E693" s="45" t="s">
        <v>2288</v>
      </c>
      <c r="F693" s="81" t="str">
        <f>IFERROR(VLOOKUP(E693,客户!B:C,2,FALSE),"/")</f>
        <v>J4159还差USD265.65没付齐 J4220还有定金5674.3 账上剩5408.65</v>
      </c>
      <c r="G693" s="45" t="s">
        <v>36</v>
      </c>
      <c r="H693" s="45" t="s">
        <v>123</v>
      </c>
      <c r="I693" s="45" t="s">
        <v>1842</v>
      </c>
      <c r="J693" s="108">
        <v>43795</v>
      </c>
      <c r="K693" s="100">
        <v>43831</v>
      </c>
      <c r="L693" s="100">
        <v>43866</v>
      </c>
      <c r="M693" s="108" t="s">
        <v>2595</v>
      </c>
      <c r="N693" s="108" t="s">
        <v>2596</v>
      </c>
      <c r="O693" s="104" t="s">
        <v>523</v>
      </c>
      <c r="P693" s="102">
        <v>22763.71</v>
      </c>
      <c r="Q693" s="102">
        <v>7000</v>
      </c>
      <c r="R693" s="131"/>
      <c r="S693" s="132"/>
      <c r="T693" s="102">
        <v>15753.71</v>
      </c>
      <c r="U693" s="100">
        <v>43840</v>
      </c>
      <c r="V693" s="130"/>
      <c r="W693" s="210"/>
    </row>
    <row r="694" s="43" customFormat="1" ht="22" hidden="1" customHeight="1" spans="1:23">
      <c r="A694" s="144" t="s">
        <v>2597</v>
      </c>
      <c r="B694" s="174" t="s">
        <v>2226</v>
      </c>
      <c r="C694" s="175"/>
      <c r="D694" s="45" t="s">
        <v>31</v>
      </c>
      <c r="E694" s="45" t="s">
        <v>2598</v>
      </c>
      <c r="F694" s="81" t="str">
        <f>IFERROR(VLOOKUP(E694,客户!B:C,2,FALSE),"/")</f>
        <v>/</v>
      </c>
      <c r="G694" s="45" t="s">
        <v>2599</v>
      </c>
      <c r="H694" s="45" t="s">
        <v>123</v>
      </c>
      <c r="I694" s="45" t="s">
        <v>241</v>
      </c>
      <c r="J694" s="108">
        <v>43808</v>
      </c>
      <c r="K694" s="100">
        <v>43855</v>
      </c>
      <c r="L694" s="100">
        <v>43916</v>
      </c>
      <c r="M694" s="108" t="s">
        <v>2600</v>
      </c>
      <c r="N694" s="198" t="s">
        <v>2601</v>
      </c>
      <c r="O694" s="104" t="s">
        <v>523</v>
      </c>
      <c r="P694" s="102">
        <v>41064</v>
      </c>
      <c r="Q694" s="102">
        <v>7700</v>
      </c>
      <c r="R694" s="131"/>
      <c r="S694" s="132"/>
      <c r="T694" s="102">
        <v>33314.17</v>
      </c>
      <c r="U694" s="100">
        <v>43896</v>
      </c>
      <c r="V694" s="130"/>
      <c r="W694" s="210"/>
    </row>
    <row r="695" s="43" customFormat="1" ht="22" hidden="1" customHeight="1" spans="1:23">
      <c r="A695" s="144" t="s">
        <v>2602</v>
      </c>
      <c r="B695" s="174" t="s">
        <v>2226</v>
      </c>
      <c r="C695" s="175"/>
      <c r="D695" s="45" t="s">
        <v>31</v>
      </c>
      <c r="E695" s="82" t="s">
        <v>1508</v>
      </c>
      <c r="F695" s="81">
        <f>IFERROR(VLOOKUP(E695,客户!B:C,2,FALSE),"/")</f>
        <v>0</v>
      </c>
      <c r="G695" s="45" t="s">
        <v>941</v>
      </c>
      <c r="H695" s="45" t="s">
        <v>123</v>
      </c>
      <c r="I695" s="45" t="s">
        <v>2603</v>
      </c>
      <c r="J695" s="108">
        <v>43839</v>
      </c>
      <c r="K695" s="100">
        <v>43931</v>
      </c>
      <c r="L695" s="100">
        <v>43974</v>
      </c>
      <c r="M695" s="165" t="s">
        <v>2604</v>
      </c>
      <c r="N695" s="198" t="s">
        <v>2605</v>
      </c>
      <c r="O695" s="104" t="s">
        <v>523</v>
      </c>
      <c r="P695" s="102">
        <v>21593.725</v>
      </c>
      <c r="Q695" s="102">
        <v>5000</v>
      </c>
      <c r="R695" s="131"/>
      <c r="S695" s="132"/>
      <c r="T695" s="102">
        <v>16593.73</v>
      </c>
      <c r="U695" s="100"/>
      <c r="V695" s="219" t="s">
        <v>2606</v>
      </c>
      <c r="W695" s="210"/>
    </row>
    <row r="696" s="43" customFormat="1" ht="22" hidden="1" customHeight="1" spans="1:23">
      <c r="A696" s="144" t="s">
        <v>2607</v>
      </c>
      <c r="B696" s="174" t="s">
        <v>2226</v>
      </c>
      <c r="C696" s="175"/>
      <c r="D696" s="45" t="s">
        <v>31</v>
      </c>
      <c r="E696" s="82" t="s">
        <v>2608</v>
      </c>
      <c r="F696" s="81">
        <f>IFERROR(VLOOKUP(E696,客户!B:C,2,FALSE),"/")</f>
        <v>0</v>
      </c>
      <c r="G696" s="45" t="s">
        <v>2609</v>
      </c>
      <c r="H696" s="229" t="s">
        <v>970</v>
      </c>
      <c r="I696" s="45"/>
      <c r="J696" s="108">
        <v>43850</v>
      </c>
      <c r="K696" s="100">
        <v>44009</v>
      </c>
      <c r="L696" s="100"/>
      <c r="M696" s="165" t="s">
        <v>2610</v>
      </c>
      <c r="N696" s="198" t="s">
        <v>2611</v>
      </c>
      <c r="O696" s="104" t="s">
        <v>970</v>
      </c>
      <c r="P696" s="240">
        <v>177701.48</v>
      </c>
      <c r="Q696" s="240">
        <v>45000</v>
      </c>
      <c r="R696" s="131"/>
      <c r="S696" s="132"/>
      <c r="T696" s="240">
        <f>50000+82701</f>
        <v>132701</v>
      </c>
      <c r="U696" s="100"/>
      <c r="V696" s="130"/>
      <c r="W696" s="210"/>
    </row>
    <row r="697" s="43" customFormat="1" ht="22" hidden="1" customHeight="1" spans="1:23">
      <c r="A697" s="144" t="s">
        <v>2612</v>
      </c>
      <c r="B697" s="174" t="s">
        <v>2226</v>
      </c>
      <c r="C697" s="175"/>
      <c r="D697" s="45" t="s">
        <v>31</v>
      </c>
      <c r="E697" s="229" t="s">
        <v>2568</v>
      </c>
      <c r="F697" s="81" t="str">
        <f>IFERROR(VLOOKUP(E697,客户!B:C,2,FALSE),"/")</f>
        <v>J4159还差USD265.65没付齐 J4220还有定金5674.3 账上剩5408.65</v>
      </c>
      <c r="G697" s="45" t="s">
        <v>36</v>
      </c>
      <c r="H697" s="45" t="s">
        <v>154</v>
      </c>
      <c r="I697" s="45" t="s">
        <v>1346</v>
      </c>
      <c r="J697" s="108">
        <v>43867</v>
      </c>
      <c r="K697" s="100">
        <v>43915</v>
      </c>
      <c r="L697" s="100">
        <v>43950</v>
      </c>
      <c r="M697" s="165" t="s">
        <v>2613</v>
      </c>
      <c r="N697" s="108" t="s">
        <v>1844</v>
      </c>
      <c r="O697" s="104" t="s">
        <v>523</v>
      </c>
      <c r="P697" s="102">
        <v>20156.83</v>
      </c>
      <c r="Q697" s="102">
        <v>3000</v>
      </c>
      <c r="R697" s="131"/>
      <c r="S697" s="132"/>
      <c r="T697" s="102">
        <f>3000+14146.83</f>
        <v>17146.83</v>
      </c>
      <c r="U697" s="100"/>
      <c r="V697" s="246" t="s">
        <v>2614</v>
      </c>
      <c r="W697" s="210"/>
    </row>
    <row r="698" s="43" customFormat="1" ht="22" hidden="1" customHeight="1" spans="1:23">
      <c r="A698" s="144" t="s">
        <v>2615</v>
      </c>
      <c r="B698" s="174" t="s">
        <v>2226</v>
      </c>
      <c r="C698" s="175"/>
      <c r="D698" s="45" t="s">
        <v>31</v>
      </c>
      <c r="E698" s="82" t="s">
        <v>1508</v>
      </c>
      <c r="F698" s="81">
        <f>IFERROR(VLOOKUP(E698,客户!B:C,2,FALSE),"/")</f>
        <v>0</v>
      </c>
      <c r="G698" s="45" t="s">
        <v>2616</v>
      </c>
      <c r="H698" s="45" t="s">
        <v>123</v>
      </c>
      <c r="I698" s="45" t="s">
        <v>2617</v>
      </c>
      <c r="J698" s="108">
        <v>43871</v>
      </c>
      <c r="K698" s="100">
        <v>43945</v>
      </c>
      <c r="L698" s="100">
        <v>43986</v>
      </c>
      <c r="M698" s="165" t="s">
        <v>2618</v>
      </c>
      <c r="N698" s="198" t="s">
        <v>2619</v>
      </c>
      <c r="O698" s="104" t="s">
        <v>523</v>
      </c>
      <c r="P698" s="102">
        <v>57975</v>
      </c>
      <c r="Q698" s="102">
        <v>16000</v>
      </c>
      <c r="R698" s="131"/>
      <c r="S698" s="132"/>
      <c r="T698" s="102">
        <v>41943</v>
      </c>
      <c r="U698" s="100"/>
      <c r="V698" s="243" t="s">
        <v>2620</v>
      </c>
      <c r="W698" s="210"/>
    </row>
    <row r="699" s="43" customFormat="1" ht="22" hidden="1" customHeight="1" spans="1:23">
      <c r="A699" s="144" t="s">
        <v>2621</v>
      </c>
      <c r="B699" s="174" t="s">
        <v>2226</v>
      </c>
      <c r="C699" s="175"/>
      <c r="D699" s="45" t="s">
        <v>31</v>
      </c>
      <c r="E699" s="82" t="s">
        <v>2622</v>
      </c>
      <c r="F699" s="81">
        <f>IFERROR(VLOOKUP(E699,客户!B:C,2,FALSE),"/")</f>
        <v>0</v>
      </c>
      <c r="G699" s="45" t="s">
        <v>2623</v>
      </c>
      <c r="H699" s="45" t="s">
        <v>123</v>
      </c>
      <c r="I699" s="45" t="s">
        <v>2624</v>
      </c>
      <c r="J699" s="108">
        <v>43884</v>
      </c>
      <c r="K699" s="100">
        <v>43962</v>
      </c>
      <c r="L699" s="100">
        <v>43997</v>
      </c>
      <c r="M699" s="165" t="s">
        <v>2625</v>
      </c>
      <c r="N699" s="198" t="s">
        <v>2626</v>
      </c>
      <c r="O699" s="104" t="s">
        <v>523</v>
      </c>
      <c r="P699" s="102">
        <v>22826</v>
      </c>
      <c r="Q699" s="102">
        <v>3000</v>
      </c>
      <c r="R699" s="131"/>
      <c r="S699" s="132"/>
      <c r="T699" s="102">
        <v>19795.5</v>
      </c>
      <c r="U699" s="100"/>
      <c r="V699" s="243" t="s">
        <v>2627</v>
      </c>
      <c r="W699" s="210"/>
    </row>
    <row r="700" s="43" customFormat="1" ht="22" hidden="1" customHeight="1" spans="1:23">
      <c r="A700" s="144" t="s">
        <v>2628</v>
      </c>
      <c r="B700" s="174" t="s">
        <v>2226</v>
      </c>
      <c r="C700" s="175"/>
      <c r="D700" s="45" t="s">
        <v>31</v>
      </c>
      <c r="E700" s="82" t="s">
        <v>2622</v>
      </c>
      <c r="F700" s="81">
        <f>IFERROR(VLOOKUP(E700,客户!B:C,2,FALSE),"/")</f>
        <v>0</v>
      </c>
      <c r="G700" s="45" t="s">
        <v>2629</v>
      </c>
      <c r="H700" s="45" t="s">
        <v>123</v>
      </c>
      <c r="I700" s="45" t="s">
        <v>2630</v>
      </c>
      <c r="J700" s="108">
        <v>43884</v>
      </c>
      <c r="K700" s="100">
        <v>43981</v>
      </c>
      <c r="L700" s="100">
        <v>44011</v>
      </c>
      <c r="M700" s="198" t="s">
        <v>2631</v>
      </c>
      <c r="N700" s="198" t="s">
        <v>2632</v>
      </c>
      <c r="O700" s="104" t="s">
        <v>523</v>
      </c>
      <c r="P700" s="102">
        <v>15277.72</v>
      </c>
      <c r="Q700" s="102">
        <v>3000</v>
      </c>
      <c r="R700" s="131"/>
      <c r="S700" s="132"/>
      <c r="T700" s="102">
        <v>12239.72</v>
      </c>
      <c r="U700" s="100"/>
      <c r="V700" s="243" t="s">
        <v>2633</v>
      </c>
      <c r="W700" s="210"/>
    </row>
    <row r="701" s="43" customFormat="1" ht="22" hidden="1" customHeight="1" spans="1:23">
      <c r="A701" s="144" t="s">
        <v>2634</v>
      </c>
      <c r="B701" s="174" t="s">
        <v>2226</v>
      </c>
      <c r="C701" s="175"/>
      <c r="D701" s="45" t="s">
        <v>31</v>
      </c>
      <c r="E701" s="82" t="s">
        <v>2635</v>
      </c>
      <c r="F701" s="81">
        <f>IFERROR(VLOOKUP(E701,客户!B:C,2,FALSE),"/")</f>
        <v>0</v>
      </c>
      <c r="G701" s="229" t="s">
        <v>2636</v>
      </c>
      <c r="H701" s="45" t="s">
        <v>123</v>
      </c>
      <c r="I701" s="45" t="s">
        <v>2400</v>
      </c>
      <c r="J701" s="108">
        <v>43884</v>
      </c>
      <c r="K701" s="100">
        <v>43947</v>
      </c>
      <c r="L701" s="100">
        <v>43985</v>
      </c>
      <c r="M701" s="198" t="s">
        <v>2637</v>
      </c>
      <c r="N701" s="198" t="s">
        <v>2638</v>
      </c>
      <c r="O701" s="104" t="s">
        <v>523</v>
      </c>
      <c r="P701" s="102">
        <v>7138.8</v>
      </c>
      <c r="Q701" s="102">
        <v>4000</v>
      </c>
      <c r="R701" s="131"/>
      <c r="S701" s="132"/>
      <c r="T701" s="102">
        <v>3128.8</v>
      </c>
      <c r="U701" s="100"/>
      <c r="V701" s="246" t="s">
        <v>2639</v>
      </c>
      <c r="W701" s="210"/>
    </row>
    <row r="702" s="43" customFormat="1" ht="22" hidden="1" customHeight="1" spans="1:23">
      <c r="A702" s="220" t="s">
        <v>2640</v>
      </c>
      <c r="B702" s="174" t="s">
        <v>2226</v>
      </c>
      <c r="C702" s="175"/>
      <c r="D702" s="45" t="s">
        <v>31</v>
      </c>
      <c r="E702" s="82" t="s">
        <v>2641</v>
      </c>
      <c r="F702" s="81">
        <f>IFERROR(VLOOKUP(E702,客户!B:C,2,FALSE),"/")</f>
        <v>0</v>
      </c>
      <c r="G702" s="45" t="s">
        <v>2642</v>
      </c>
      <c r="H702" s="45" t="s">
        <v>147</v>
      </c>
      <c r="I702" s="45" t="s">
        <v>2643</v>
      </c>
      <c r="J702" s="108">
        <v>43885</v>
      </c>
      <c r="K702" s="100">
        <v>44058</v>
      </c>
      <c r="L702" s="100">
        <v>44074</v>
      </c>
      <c r="M702" s="165" t="s">
        <v>2644</v>
      </c>
      <c r="N702" s="198" t="s">
        <v>2645</v>
      </c>
      <c r="O702" s="104" t="s">
        <v>523</v>
      </c>
      <c r="P702" s="102">
        <v>20069.6</v>
      </c>
      <c r="Q702" s="102">
        <v>6000</v>
      </c>
      <c r="R702" s="131"/>
      <c r="S702" s="132"/>
      <c r="T702" s="102">
        <v>14069.6</v>
      </c>
      <c r="U702" s="100"/>
      <c r="V702" s="130"/>
      <c r="W702" s="210"/>
    </row>
    <row r="703" s="43" customFormat="1" ht="23" hidden="1" customHeight="1" spans="1:23">
      <c r="A703" s="220" t="s">
        <v>2646</v>
      </c>
      <c r="B703" s="174" t="s">
        <v>2226</v>
      </c>
      <c r="C703" s="175"/>
      <c r="D703" s="45" t="s">
        <v>31</v>
      </c>
      <c r="E703" s="83" t="s">
        <v>2647</v>
      </c>
      <c r="F703" s="81">
        <f>IFERROR(VLOOKUP(E703,客户!B:C,2,FALSE),"/")</f>
        <v>0</v>
      </c>
      <c r="G703" s="45" t="s">
        <v>2648</v>
      </c>
      <c r="H703" s="45" t="s">
        <v>123</v>
      </c>
      <c r="I703" s="45" t="s">
        <v>2563</v>
      </c>
      <c r="J703" s="108">
        <v>43892</v>
      </c>
      <c r="K703" s="100">
        <v>43994</v>
      </c>
      <c r="L703" s="100">
        <v>44040</v>
      </c>
      <c r="M703" s="198" t="s">
        <v>2649</v>
      </c>
      <c r="N703" s="198" t="s">
        <v>2650</v>
      </c>
      <c r="O703" s="104" t="s">
        <v>523</v>
      </c>
      <c r="P703" s="102">
        <v>19449.85</v>
      </c>
      <c r="Q703" s="102">
        <f>4000+5000+5000+1833</f>
        <v>15833</v>
      </c>
      <c r="R703" s="131"/>
      <c r="S703" s="132"/>
      <c r="T703" s="102">
        <v>3616.9</v>
      </c>
      <c r="U703" s="100"/>
      <c r="V703" s="243" t="s">
        <v>2651</v>
      </c>
      <c r="W703" s="210"/>
    </row>
    <row r="704" s="43" customFormat="1" ht="22" hidden="1" customHeight="1" spans="1:23">
      <c r="A704" s="144" t="s">
        <v>2652</v>
      </c>
      <c r="B704" s="174" t="s">
        <v>2226</v>
      </c>
      <c r="C704" s="175"/>
      <c r="D704" s="45" t="s">
        <v>31</v>
      </c>
      <c r="E704" s="82" t="s">
        <v>2506</v>
      </c>
      <c r="F704" s="81">
        <f>IFERROR(VLOOKUP(E704,客户!B:C,2,FALSE),"/")</f>
        <v>0</v>
      </c>
      <c r="G704" s="45" t="s">
        <v>2653</v>
      </c>
      <c r="H704" s="45" t="s">
        <v>127</v>
      </c>
      <c r="I704" s="45" t="s">
        <v>2654</v>
      </c>
      <c r="J704" s="108">
        <v>43896</v>
      </c>
      <c r="K704" s="100">
        <v>43981</v>
      </c>
      <c r="L704" s="100">
        <v>44043</v>
      </c>
      <c r="M704" s="198" t="s">
        <v>2655</v>
      </c>
      <c r="N704" s="198" t="s">
        <v>2656</v>
      </c>
      <c r="O704" s="104" t="s">
        <v>523</v>
      </c>
      <c r="P704" s="102">
        <v>76895.73</v>
      </c>
      <c r="Q704" s="102"/>
      <c r="R704" s="131"/>
      <c r="S704" s="132"/>
      <c r="T704" s="102">
        <v>76895.73</v>
      </c>
      <c r="U704" s="100"/>
      <c r="V704" s="219" t="s">
        <v>2657</v>
      </c>
      <c r="W704" s="210"/>
    </row>
    <row r="705" s="43" customFormat="1" ht="22" hidden="1" customHeight="1" spans="1:23">
      <c r="A705" s="144" t="s">
        <v>2658</v>
      </c>
      <c r="B705" s="174" t="s">
        <v>2226</v>
      </c>
      <c r="C705" s="175"/>
      <c r="D705" s="45" t="s">
        <v>31</v>
      </c>
      <c r="E705" s="82" t="s">
        <v>1508</v>
      </c>
      <c r="F705" s="81">
        <f>IFERROR(VLOOKUP(E705,客户!B:C,2,FALSE),"/")</f>
        <v>0</v>
      </c>
      <c r="G705" s="45" t="s">
        <v>43</v>
      </c>
      <c r="H705" s="45" t="s">
        <v>123</v>
      </c>
      <c r="I705" s="45" t="s">
        <v>2352</v>
      </c>
      <c r="J705" s="108">
        <v>43907</v>
      </c>
      <c r="K705" s="100">
        <v>43946</v>
      </c>
      <c r="L705" s="100">
        <v>43982</v>
      </c>
      <c r="M705" s="164" t="s">
        <v>2659</v>
      </c>
      <c r="N705" s="198" t="s">
        <v>2660</v>
      </c>
      <c r="O705" s="104" t="s">
        <v>523</v>
      </c>
      <c r="P705" s="102">
        <v>21372.2</v>
      </c>
      <c r="Q705" s="102">
        <v>5000</v>
      </c>
      <c r="R705" s="131"/>
      <c r="S705" s="132"/>
      <c r="T705" s="102">
        <v>16340</v>
      </c>
      <c r="U705" s="100"/>
      <c r="V705" s="243" t="s">
        <v>2661</v>
      </c>
      <c r="W705" s="210"/>
    </row>
    <row r="706" s="43" customFormat="1" ht="22" hidden="1" customHeight="1" spans="1:23">
      <c r="A706" s="144" t="s">
        <v>2662</v>
      </c>
      <c r="B706" s="174" t="s">
        <v>2226</v>
      </c>
      <c r="C706" s="175"/>
      <c r="D706" s="45" t="s">
        <v>31</v>
      </c>
      <c r="E706" s="82" t="s">
        <v>1508</v>
      </c>
      <c r="F706" s="81">
        <f>IFERROR(VLOOKUP(E706,客户!B:C,2,FALSE),"/")</f>
        <v>0</v>
      </c>
      <c r="G706" s="45" t="s">
        <v>2663</v>
      </c>
      <c r="H706" s="45" t="s">
        <v>123</v>
      </c>
      <c r="I706" s="45" t="s">
        <v>2664</v>
      </c>
      <c r="J706" s="108">
        <v>43927</v>
      </c>
      <c r="K706" s="100">
        <v>43995</v>
      </c>
      <c r="L706" s="100">
        <v>44027</v>
      </c>
      <c r="M706" s="165" t="s">
        <v>2665</v>
      </c>
      <c r="N706" s="198" t="s">
        <v>2666</v>
      </c>
      <c r="O706" s="104" t="s">
        <v>523</v>
      </c>
      <c r="P706" s="102">
        <v>39270.4</v>
      </c>
      <c r="Q706" s="102">
        <v>8550</v>
      </c>
      <c r="R706" s="131"/>
      <c r="S706" s="132"/>
      <c r="T706" s="102">
        <v>30679</v>
      </c>
      <c r="U706" s="100"/>
      <c r="V706" s="243" t="s">
        <v>2667</v>
      </c>
      <c r="W706" s="210"/>
    </row>
    <row r="707" s="43" customFormat="1" ht="22" hidden="1" customHeight="1" spans="1:23">
      <c r="A707" s="144" t="s">
        <v>2668</v>
      </c>
      <c r="B707" s="174" t="s">
        <v>2226</v>
      </c>
      <c r="C707" s="175"/>
      <c r="D707" s="45" t="s">
        <v>31</v>
      </c>
      <c r="E707" s="82" t="s">
        <v>1508</v>
      </c>
      <c r="F707" s="81">
        <f>IFERROR(VLOOKUP(E707,客户!B:C,2,FALSE),"/")</f>
        <v>0</v>
      </c>
      <c r="G707" s="45" t="s">
        <v>2663</v>
      </c>
      <c r="H707" s="45" t="s">
        <v>123</v>
      </c>
      <c r="I707" s="45" t="s">
        <v>2664</v>
      </c>
      <c r="J707" s="108">
        <v>43927</v>
      </c>
      <c r="K707" s="100">
        <v>44002</v>
      </c>
      <c r="L707" s="100">
        <v>44034</v>
      </c>
      <c r="M707" s="165" t="s">
        <v>2669</v>
      </c>
      <c r="N707" s="198" t="s">
        <v>2670</v>
      </c>
      <c r="O707" s="104" t="s">
        <v>523</v>
      </c>
      <c r="P707" s="102">
        <v>39260.35</v>
      </c>
      <c r="Q707" s="102">
        <v>8550</v>
      </c>
      <c r="R707" s="131"/>
      <c r="S707" s="132"/>
      <c r="T707" s="102">
        <v>30669</v>
      </c>
      <c r="U707" s="100"/>
      <c r="V707" s="246" t="s">
        <v>2671</v>
      </c>
      <c r="W707" s="210"/>
    </row>
    <row r="708" s="43" customFormat="1" ht="22" hidden="1" customHeight="1" spans="1:23">
      <c r="A708" s="145" t="s">
        <v>2672</v>
      </c>
      <c r="B708" s="174" t="s">
        <v>2226</v>
      </c>
      <c r="C708" s="175"/>
      <c r="D708" s="45" t="s">
        <v>31</v>
      </c>
      <c r="E708" s="82" t="s">
        <v>1508</v>
      </c>
      <c r="F708" s="81">
        <f>IFERROR(VLOOKUP(E708,客户!B:C,2,FALSE),"/")</f>
        <v>0</v>
      </c>
      <c r="G708" s="45" t="s">
        <v>1759</v>
      </c>
      <c r="H708" s="45" t="s">
        <v>123</v>
      </c>
      <c r="I708" s="45" t="s">
        <v>2673</v>
      </c>
      <c r="J708" s="108">
        <v>43927</v>
      </c>
      <c r="K708" s="100">
        <v>43991</v>
      </c>
      <c r="L708" s="100">
        <v>44027</v>
      </c>
      <c r="M708" s="165" t="s">
        <v>2674</v>
      </c>
      <c r="N708" s="198" t="s">
        <v>2675</v>
      </c>
      <c r="O708" s="104" t="s">
        <v>523</v>
      </c>
      <c r="P708" s="102">
        <v>16120</v>
      </c>
      <c r="Q708" s="102">
        <v>4300</v>
      </c>
      <c r="R708" s="131"/>
      <c r="S708" s="132"/>
      <c r="T708" s="102">
        <v>11820</v>
      </c>
      <c r="U708" s="100"/>
      <c r="V708" s="299" t="s">
        <v>2676</v>
      </c>
      <c r="W708" s="210"/>
    </row>
    <row r="709" s="43" customFormat="1" ht="22" hidden="1" customHeight="1" spans="1:23">
      <c r="A709" s="144" t="s">
        <v>2677</v>
      </c>
      <c r="B709" s="174" t="s">
        <v>2226</v>
      </c>
      <c r="C709" s="175"/>
      <c r="D709" s="45" t="s">
        <v>31</v>
      </c>
      <c r="E709" s="82" t="s">
        <v>1508</v>
      </c>
      <c r="F709" s="81"/>
      <c r="G709" s="45" t="s">
        <v>1455</v>
      </c>
      <c r="H709" s="45" t="s">
        <v>123</v>
      </c>
      <c r="I709" s="45" t="s">
        <v>2678</v>
      </c>
      <c r="J709" s="108">
        <v>43927</v>
      </c>
      <c r="K709" s="100">
        <v>43967</v>
      </c>
      <c r="L709" s="100">
        <v>44007</v>
      </c>
      <c r="M709" s="165" t="s">
        <v>2679</v>
      </c>
      <c r="N709" s="198" t="s">
        <v>2680</v>
      </c>
      <c r="O709" s="104" t="s">
        <v>523</v>
      </c>
      <c r="P709" s="102">
        <v>38353.6</v>
      </c>
      <c r="Q709" s="102">
        <v>8600</v>
      </c>
      <c r="R709" s="131"/>
      <c r="S709" s="132"/>
      <c r="T709" s="102">
        <v>29712</v>
      </c>
      <c r="U709" s="100"/>
      <c r="V709" s="243" t="s">
        <v>2681</v>
      </c>
      <c r="W709" s="210"/>
    </row>
    <row r="710" s="43" customFormat="1" ht="22" hidden="1" customHeight="1" spans="1:23">
      <c r="A710" s="144" t="s">
        <v>2682</v>
      </c>
      <c r="B710" s="174" t="s">
        <v>2226</v>
      </c>
      <c r="C710" s="175"/>
      <c r="D710" s="45" t="s">
        <v>31</v>
      </c>
      <c r="E710" s="82" t="s">
        <v>2683</v>
      </c>
      <c r="F710" s="81">
        <f>IFERROR(VLOOKUP(E710,客户!B:C,2,FALSE),"/")</f>
        <v>0</v>
      </c>
      <c r="G710" s="45" t="s">
        <v>2684</v>
      </c>
      <c r="H710" s="45"/>
      <c r="I710" s="45"/>
      <c r="J710" s="108">
        <v>43929</v>
      </c>
      <c r="K710" s="100">
        <v>43946</v>
      </c>
      <c r="L710" s="100"/>
      <c r="M710" s="198" t="s">
        <v>2685</v>
      </c>
      <c r="N710" s="108"/>
      <c r="O710" s="104" t="s">
        <v>970</v>
      </c>
      <c r="P710" s="297">
        <v>17214.25</v>
      </c>
      <c r="Q710" s="102"/>
      <c r="R710" s="131"/>
      <c r="S710" s="132"/>
      <c r="T710" s="102"/>
      <c r="U710" s="100"/>
      <c r="V710" s="130"/>
      <c r="W710" s="210"/>
    </row>
    <row r="711" s="43" customFormat="1" ht="22" hidden="1" customHeight="1" spans="1:23">
      <c r="A711" s="144" t="s">
        <v>2686</v>
      </c>
      <c r="B711" s="174" t="s">
        <v>2226</v>
      </c>
      <c r="C711" s="175"/>
      <c r="D711" s="45" t="s">
        <v>31</v>
      </c>
      <c r="E711" s="82" t="s">
        <v>1901</v>
      </c>
      <c r="F711" s="81">
        <f>IFERROR(VLOOKUP(E711,客户!B:C,2,FALSE),"/")</f>
        <v>0</v>
      </c>
      <c r="G711" s="45" t="s">
        <v>2687</v>
      </c>
      <c r="H711" s="45" t="s">
        <v>123</v>
      </c>
      <c r="I711" s="45" t="s">
        <v>2688</v>
      </c>
      <c r="J711" s="108">
        <v>43930</v>
      </c>
      <c r="K711" s="100">
        <v>43953</v>
      </c>
      <c r="L711" s="100">
        <v>43992</v>
      </c>
      <c r="M711" s="165" t="s">
        <v>2689</v>
      </c>
      <c r="N711" s="198" t="s">
        <v>2690</v>
      </c>
      <c r="O711" s="104" t="s">
        <v>523</v>
      </c>
      <c r="P711" s="102">
        <v>34783</v>
      </c>
      <c r="Q711" s="102">
        <v>10000</v>
      </c>
      <c r="R711" s="131"/>
      <c r="S711" s="132"/>
      <c r="T711" s="102">
        <v>24745.5</v>
      </c>
      <c r="U711" s="100"/>
      <c r="V711" s="243" t="s">
        <v>2691</v>
      </c>
      <c r="W711" s="210"/>
    </row>
    <row r="712" s="43" customFormat="1" ht="22" hidden="1" customHeight="1" spans="1:23">
      <c r="A712" s="144" t="s">
        <v>2692</v>
      </c>
      <c r="B712" s="174" t="s">
        <v>2226</v>
      </c>
      <c r="C712" s="175"/>
      <c r="D712" s="45" t="s">
        <v>31</v>
      </c>
      <c r="E712" s="82" t="s">
        <v>1508</v>
      </c>
      <c r="F712" s="81">
        <f>IFERROR(VLOOKUP(E712,客户!B:C,2,FALSE),"/")</f>
        <v>0</v>
      </c>
      <c r="G712" s="45" t="s">
        <v>2693</v>
      </c>
      <c r="H712" s="45" t="s">
        <v>123</v>
      </c>
      <c r="I712" s="45" t="s">
        <v>1335</v>
      </c>
      <c r="J712" s="108">
        <v>43937</v>
      </c>
      <c r="K712" s="100">
        <v>43960</v>
      </c>
      <c r="L712" s="100">
        <v>43992</v>
      </c>
      <c r="M712" s="165" t="s">
        <v>2694</v>
      </c>
      <c r="N712" s="198" t="s">
        <v>2695</v>
      </c>
      <c r="O712" s="104" t="s">
        <v>523</v>
      </c>
      <c r="P712" s="102">
        <v>55765.65</v>
      </c>
      <c r="Q712" s="102">
        <v>18000</v>
      </c>
      <c r="R712" s="131"/>
      <c r="S712" s="132"/>
      <c r="T712" s="102">
        <v>37724</v>
      </c>
      <c r="U712" s="100"/>
      <c r="V712" s="243" t="s">
        <v>2696</v>
      </c>
      <c r="W712" s="210"/>
    </row>
    <row r="713" s="43" customFormat="1" ht="22" hidden="1" customHeight="1" spans="1:23">
      <c r="A713" s="220" t="s">
        <v>2697</v>
      </c>
      <c r="B713" s="174" t="s">
        <v>2226</v>
      </c>
      <c r="C713" s="175"/>
      <c r="D713" s="45" t="s">
        <v>31</v>
      </c>
      <c r="E713" s="82" t="s">
        <v>1345</v>
      </c>
      <c r="F713" s="81" t="str">
        <f>IFERROR(VLOOKUP(E713,客户!B:C,2,FALSE),"/")</f>
        <v>J4159还差USD265.65没付齐 J4220还有定金5674.3 账上剩5408.65</v>
      </c>
      <c r="G713" s="45" t="s">
        <v>2698</v>
      </c>
      <c r="H713" s="45" t="s">
        <v>123</v>
      </c>
      <c r="I713" s="45" t="s">
        <v>1346</v>
      </c>
      <c r="J713" s="108">
        <v>43944</v>
      </c>
      <c r="K713" s="100">
        <v>43978</v>
      </c>
      <c r="L713" s="100">
        <v>44015</v>
      </c>
      <c r="M713" s="165" t="s">
        <v>2699</v>
      </c>
      <c r="N713" s="198" t="s">
        <v>1844</v>
      </c>
      <c r="O713" s="104" t="s">
        <v>523</v>
      </c>
      <c r="P713" s="102">
        <v>20320.06</v>
      </c>
      <c r="Q713" s="102">
        <v>6257</v>
      </c>
      <c r="R713" s="131"/>
      <c r="S713" s="132"/>
      <c r="T713" s="102">
        <v>14063.06</v>
      </c>
      <c r="U713" s="100"/>
      <c r="V713" s="243" t="s">
        <v>2700</v>
      </c>
      <c r="W713" s="210"/>
    </row>
    <row r="714" s="43" customFormat="1" ht="22" hidden="1" customHeight="1" spans="1:23">
      <c r="A714" s="220" t="s">
        <v>2701</v>
      </c>
      <c r="B714" s="174" t="s">
        <v>2226</v>
      </c>
      <c r="C714" s="175"/>
      <c r="D714" s="45" t="s">
        <v>31</v>
      </c>
      <c r="E714" s="82" t="s">
        <v>2702</v>
      </c>
      <c r="F714" s="81">
        <f>IFERROR(VLOOKUP(E714,客户!B:C,2,FALSE),"/")</f>
        <v>0</v>
      </c>
      <c r="G714" s="45" t="s">
        <v>2703</v>
      </c>
      <c r="H714" s="229" t="s">
        <v>970</v>
      </c>
      <c r="I714" s="45"/>
      <c r="J714" s="108">
        <v>43966</v>
      </c>
      <c r="K714" s="100">
        <v>44020</v>
      </c>
      <c r="L714" s="100"/>
      <c r="M714" s="198" t="s">
        <v>2704</v>
      </c>
      <c r="N714" s="198"/>
      <c r="O714" s="104" t="s">
        <v>970</v>
      </c>
      <c r="P714" s="240">
        <v>101430</v>
      </c>
      <c r="Q714" s="240">
        <f>30429+50000</f>
        <v>80429</v>
      </c>
      <c r="R714" s="131"/>
      <c r="S714" s="132"/>
      <c r="T714" s="240">
        <v>21001</v>
      </c>
      <c r="U714" s="100"/>
      <c r="V714" s="130"/>
      <c r="W714" s="210"/>
    </row>
    <row r="715" s="43" customFormat="1" ht="22" hidden="1" customHeight="1" spans="1:23">
      <c r="A715" s="144" t="s">
        <v>2705</v>
      </c>
      <c r="B715" s="174" t="s">
        <v>2226</v>
      </c>
      <c r="C715" s="175"/>
      <c r="D715" s="45" t="s">
        <v>31</v>
      </c>
      <c r="E715" s="82" t="s">
        <v>2568</v>
      </c>
      <c r="F715" s="81" t="str">
        <f>IFERROR(VLOOKUP(E715,客户!B:C,2,FALSE),"/")</f>
        <v>J4159还差USD265.65没付齐 J4220还有定金5674.3 账上剩5408.65</v>
      </c>
      <c r="G715" s="45" t="s">
        <v>2706</v>
      </c>
      <c r="H715" s="45" t="s">
        <v>123</v>
      </c>
      <c r="I715" s="45" t="s">
        <v>1346</v>
      </c>
      <c r="J715" s="108">
        <v>43983</v>
      </c>
      <c r="K715" s="100">
        <v>44013</v>
      </c>
      <c r="L715" s="100">
        <v>44050</v>
      </c>
      <c r="M715" s="165" t="s">
        <v>2707</v>
      </c>
      <c r="N715" s="198" t="s">
        <v>2708</v>
      </c>
      <c r="O715" s="104" t="s">
        <v>523</v>
      </c>
      <c r="P715" s="102">
        <v>21539.1</v>
      </c>
      <c r="Q715" s="102">
        <v>6381.74</v>
      </c>
      <c r="R715" s="131"/>
      <c r="S715" s="132"/>
      <c r="T715" s="102">
        <v>15157.36</v>
      </c>
      <c r="U715" s="100"/>
      <c r="V715" s="243" t="s">
        <v>2709</v>
      </c>
      <c r="W715" s="210"/>
    </row>
    <row r="716" s="43" customFormat="1" ht="22" hidden="1" customHeight="1" spans="1:23">
      <c r="A716" s="144" t="s">
        <v>2710</v>
      </c>
      <c r="B716" s="174" t="s">
        <v>2226</v>
      </c>
      <c r="C716" s="175"/>
      <c r="D716" s="45" t="s">
        <v>31</v>
      </c>
      <c r="E716" s="82" t="s">
        <v>1508</v>
      </c>
      <c r="F716" s="81"/>
      <c r="G716" s="45" t="s">
        <v>2711</v>
      </c>
      <c r="H716" s="45" t="s">
        <v>123</v>
      </c>
      <c r="I716" s="45" t="s">
        <v>1546</v>
      </c>
      <c r="J716" s="108">
        <v>44011</v>
      </c>
      <c r="K716" s="100">
        <v>44036</v>
      </c>
      <c r="L716" s="197">
        <v>44067</v>
      </c>
      <c r="M716" s="165" t="s">
        <v>2712</v>
      </c>
      <c r="N716" s="198" t="s">
        <v>2713</v>
      </c>
      <c r="O716" s="104" t="s">
        <v>523</v>
      </c>
      <c r="P716" s="102">
        <v>20808.4</v>
      </c>
      <c r="Q716" s="102">
        <v>6000</v>
      </c>
      <c r="R716" s="131"/>
      <c r="S716" s="132"/>
      <c r="T716" s="102">
        <v>14808.4</v>
      </c>
      <c r="U716" s="100"/>
      <c r="V716" s="130"/>
      <c r="W716" s="210"/>
    </row>
    <row r="717" s="43" customFormat="1" ht="22" hidden="1" customHeight="1" spans="1:23">
      <c r="A717" s="144" t="s">
        <v>2714</v>
      </c>
      <c r="B717" s="174" t="s">
        <v>2226</v>
      </c>
      <c r="C717" s="175"/>
      <c r="D717" s="45" t="s">
        <v>31</v>
      </c>
      <c r="E717" s="82" t="s">
        <v>1508</v>
      </c>
      <c r="F717" s="81"/>
      <c r="G717" s="45" t="s">
        <v>2711</v>
      </c>
      <c r="H717" s="45" t="s">
        <v>123</v>
      </c>
      <c r="I717" s="45" t="s">
        <v>1546</v>
      </c>
      <c r="J717" s="108">
        <v>44011</v>
      </c>
      <c r="K717" s="100">
        <v>44076</v>
      </c>
      <c r="L717" s="100">
        <v>44110</v>
      </c>
      <c r="M717" s="165" t="s">
        <v>2715</v>
      </c>
      <c r="N717" s="198" t="s">
        <v>2716</v>
      </c>
      <c r="O717" s="104" t="s">
        <v>523</v>
      </c>
      <c r="P717" s="102">
        <v>20928.4</v>
      </c>
      <c r="Q717" s="102">
        <v>6000</v>
      </c>
      <c r="R717" s="131"/>
      <c r="S717" s="132"/>
      <c r="T717" s="102">
        <v>14908</v>
      </c>
      <c r="U717" s="100"/>
      <c r="V717" s="245" t="s">
        <v>2717</v>
      </c>
      <c r="W717" s="210"/>
    </row>
    <row r="718" s="43" customFormat="1" ht="22" hidden="1" customHeight="1" spans="1:23">
      <c r="A718" s="144" t="s">
        <v>2718</v>
      </c>
      <c r="B718" s="174" t="s">
        <v>2226</v>
      </c>
      <c r="C718" s="175"/>
      <c r="D718" s="45" t="s">
        <v>31</v>
      </c>
      <c r="E718" s="82" t="s">
        <v>2719</v>
      </c>
      <c r="F718" s="81">
        <f>IFERROR(VLOOKUP(E718,客户!B:C,2,FALSE),"/")</f>
        <v>0</v>
      </c>
      <c r="G718" s="45" t="s">
        <v>2720</v>
      </c>
      <c r="H718" s="229" t="s">
        <v>970</v>
      </c>
      <c r="I718" s="45"/>
      <c r="J718" s="108">
        <v>44014</v>
      </c>
      <c r="K718" s="100">
        <v>44035</v>
      </c>
      <c r="L718" s="100"/>
      <c r="M718" s="198" t="s">
        <v>2721</v>
      </c>
      <c r="N718" s="198"/>
      <c r="O718" s="104" t="s">
        <v>970</v>
      </c>
      <c r="P718" s="240">
        <v>28490</v>
      </c>
      <c r="Q718" s="240">
        <v>8000</v>
      </c>
      <c r="R718" s="131"/>
      <c r="S718" s="132"/>
      <c r="T718" s="240">
        <v>20490</v>
      </c>
      <c r="U718" s="100"/>
      <c r="V718" s="130"/>
      <c r="W718" s="210"/>
    </row>
    <row r="719" s="43" customFormat="1" ht="22" hidden="1" customHeight="1" spans="1:23">
      <c r="A719" s="144" t="s">
        <v>2722</v>
      </c>
      <c r="B719" s="174" t="s">
        <v>2226</v>
      </c>
      <c r="C719" s="175"/>
      <c r="D719" s="45" t="s">
        <v>31</v>
      </c>
      <c r="E719" s="82" t="s">
        <v>2723</v>
      </c>
      <c r="F719" s="81">
        <f>IFERROR(VLOOKUP(E719,客户!B:C,2,FALSE),"/")</f>
        <v>0</v>
      </c>
      <c r="G719" s="45" t="s">
        <v>2724</v>
      </c>
      <c r="H719" s="229" t="s">
        <v>970</v>
      </c>
      <c r="I719" s="45"/>
      <c r="J719" s="108">
        <v>44019</v>
      </c>
      <c r="K719" s="100">
        <v>44267</v>
      </c>
      <c r="L719" s="100"/>
      <c r="M719" s="198" t="s">
        <v>2725</v>
      </c>
      <c r="N719" s="198"/>
      <c r="O719" s="104" t="s">
        <v>970</v>
      </c>
      <c r="P719" s="240">
        <f>196900+1350+630</f>
        <v>198880</v>
      </c>
      <c r="Q719" s="240">
        <v>17550</v>
      </c>
      <c r="R719" s="131"/>
      <c r="S719" s="132"/>
      <c r="T719" s="300">
        <v>42300</v>
      </c>
      <c r="U719" s="300">
        <f>20000+64400+54630</f>
        <v>139030</v>
      </c>
      <c r="V719" s="130"/>
      <c r="W719" s="210"/>
    </row>
    <row r="720" s="43" customFormat="1" ht="22" hidden="1" customHeight="1" spans="1:23">
      <c r="A720" s="144" t="s">
        <v>2726</v>
      </c>
      <c r="B720" s="174" t="s">
        <v>2226</v>
      </c>
      <c r="C720" s="175"/>
      <c r="D720" s="45" t="s">
        <v>31</v>
      </c>
      <c r="E720" s="82" t="s">
        <v>1901</v>
      </c>
      <c r="F720" s="81">
        <f>IFERROR(VLOOKUP(E720,客户!B:C,2,FALSE),"/")</f>
        <v>0</v>
      </c>
      <c r="G720" s="45" t="s">
        <v>2727</v>
      </c>
      <c r="H720" s="229" t="s">
        <v>123</v>
      </c>
      <c r="I720" s="45" t="s">
        <v>1903</v>
      </c>
      <c r="J720" s="108">
        <v>44025</v>
      </c>
      <c r="K720" s="100">
        <v>44051</v>
      </c>
      <c r="L720" s="100">
        <v>44081</v>
      </c>
      <c r="M720" s="165" t="s">
        <v>2728</v>
      </c>
      <c r="N720" s="198" t="s">
        <v>2729</v>
      </c>
      <c r="O720" s="104" t="s">
        <v>523</v>
      </c>
      <c r="P720" s="102">
        <v>36720</v>
      </c>
      <c r="Q720" s="102"/>
      <c r="R720" s="131"/>
      <c r="S720" s="132"/>
      <c r="T720" s="102">
        <v>36720</v>
      </c>
      <c r="U720" s="100"/>
      <c r="V720" s="130"/>
      <c r="W720" s="210"/>
    </row>
    <row r="721" s="43" customFormat="1" ht="22" hidden="1" customHeight="1" spans="1:23">
      <c r="A721" s="144" t="s">
        <v>2730</v>
      </c>
      <c r="B721" s="174" t="s">
        <v>2226</v>
      </c>
      <c r="C721" s="175"/>
      <c r="D721" s="45" t="s">
        <v>31</v>
      </c>
      <c r="E721" s="82" t="s">
        <v>2731</v>
      </c>
      <c r="F721" s="81">
        <f>IFERROR(VLOOKUP(E721,客户!B:C,2,FALSE),"/")</f>
        <v>0</v>
      </c>
      <c r="G721" s="45" t="s">
        <v>2732</v>
      </c>
      <c r="H721" s="229" t="s">
        <v>186</v>
      </c>
      <c r="I721" s="45"/>
      <c r="J721" s="108">
        <v>44035</v>
      </c>
      <c r="K721" s="100">
        <v>44064</v>
      </c>
      <c r="L721" s="100"/>
      <c r="M721" s="198" t="s">
        <v>2733</v>
      </c>
      <c r="N721" s="198"/>
      <c r="O721" s="104" t="s">
        <v>970</v>
      </c>
      <c r="P721" s="102">
        <v>934.48</v>
      </c>
      <c r="Q721" s="102"/>
      <c r="R721" s="131"/>
      <c r="S721" s="132"/>
      <c r="T721" s="102">
        <v>1035</v>
      </c>
      <c r="U721" s="100"/>
      <c r="V721" s="219" t="s">
        <v>2734</v>
      </c>
      <c r="W721" s="210"/>
    </row>
    <row r="722" s="43" customFormat="1" ht="21" hidden="1" customHeight="1" spans="1:23">
      <c r="A722" s="144" t="s">
        <v>2735</v>
      </c>
      <c r="B722" s="174" t="s">
        <v>2226</v>
      </c>
      <c r="C722" s="175"/>
      <c r="D722" s="45" t="s">
        <v>31</v>
      </c>
      <c r="E722" s="82" t="s">
        <v>1901</v>
      </c>
      <c r="F722" s="81">
        <f>IFERROR(VLOOKUP(E722,客户!B:C,2,FALSE),"/")</f>
        <v>0</v>
      </c>
      <c r="G722" s="45" t="s">
        <v>2687</v>
      </c>
      <c r="H722" s="229" t="s">
        <v>123</v>
      </c>
      <c r="I722" s="45" t="s">
        <v>1903</v>
      </c>
      <c r="J722" s="108">
        <v>44053</v>
      </c>
      <c r="K722" s="100">
        <v>44111</v>
      </c>
      <c r="L722" s="100">
        <v>44143</v>
      </c>
      <c r="M722" s="165" t="s">
        <v>2736</v>
      </c>
      <c r="N722" s="198" t="s">
        <v>2737</v>
      </c>
      <c r="O722" s="104" t="s">
        <v>523</v>
      </c>
      <c r="P722" s="102">
        <v>37734.5</v>
      </c>
      <c r="Q722" s="102">
        <v>11500</v>
      </c>
      <c r="R722" s="131"/>
      <c r="S722" s="132"/>
      <c r="T722" s="102">
        <v>26234.5</v>
      </c>
      <c r="U722" s="100"/>
      <c r="V722" s="219"/>
      <c r="W722" s="210"/>
    </row>
    <row r="723" s="43" customFormat="1" ht="22" hidden="1" customHeight="1" spans="1:23">
      <c r="A723" s="144" t="s">
        <v>2738</v>
      </c>
      <c r="B723" s="174" t="s">
        <v>2226</v>
      </c>
      <c r="C723" s="175"/>
      <c r="D723" s="45" t="s">
        <v>31</v>
      </c>
      <c r="E723" s="82" t="s">
        <v>1429</v>
      </c>
      <c r="F723" s="81">
        <f>IFERROR(VLOOKUP(E723,客户!B:C,2,FALSE),"/")</f>
        <v>0</v>
      </c>
      <c r="G723" s="45" t="s">
        <v>2739</v>
      </c>
      <c r="H723" s="229" t="s">
        <v>127</v>
      </c>
      <c r="I723" s="45" t="s">
        <v>1431</v>
      </c>
      <c r="J723" s="108">
        <v>44075</v>
      </c>
      <c r="K723" s="100">
        <v>44131</v>
      </c>
      <c r="L723" s="100">
        <v>44193</v>
      </c>
      <c r="M723" s="198" t="s">
        <v>2740</v>
      </c>
      <c r="N723" s="198" t="s">
        <v>2741</v>
      </c>
      <c r="O723" s="104" t="s">
        <v>523</v>
      </c>
      <c r="P723" s="102">
        <v>76954.45</v>
      </c>
      <c r="Q723" s="102"/>
      <c r="R723" s="131"/>
      <c r="S723" s="132"/>
      <c r="T723" s="102">
        <v>76954.45</v>
      </c>
      <c r="U723" s="100"/>
      <c r="V723" s="219"/>
      <c r="W723" s="210"/>
    </row>
    <row r="724" s="43" customFormat="1" ht="22" hidden="1" customHeight="1" spans="1:23">
      <c r="A724" s="144" t="s">
        <v>2742</v>
      </c>
      <c r="B724" s="174" t="s">
        <v>2226</v>
      </c>
      <c r="C724" s="175"/>
      <c r="D724" s="45" t="s">
        <v>31</v>
      </c>
      <c r="E724" s="82" t="s">
        <v>1377</v>
      </c>
      <c r="F724" s="81">
        <f>IFERROR(VLOOKUP(E724,客户!B:C,2,FALSE),"/")</f>
        <v>0</v>
      </c>
      <c r="G724" s="45" t="s">
        <v>2743</v>
      </c>
      <c r="H724" s="229" t="s">
        <v>123</v>
      </c>
      <c r="I724" s="45" t="s">
        <v>2744</v>
      </c>
      <c r="J724" s="108">
        <v>44090</v>
      </c>
      <c r="K724" s="100">
        <v>44133</v>
      </c>
      <c r="L724" s="100">
        <v>44168</v>
      </c>
      <c r="M724" s="165" t="s">
        <v>2745</v>
      </c>
      <c r="N724" s="198" t="s">
        <v>2746</v>
      </c>
      <c r="O724" s="104" t="s">
        <v>523</v>
      </c>
      <c r="P724" s="102">
        <v>21546.52</v>
      </c>
      <c r="Q724" s="102">
        <v>6057</v>
      </c>
      <c r="R724" s="131"/>
      <c r="S724" s="132"/>
      <c r="T724" s="102">
        <v>15489.52</v>
      </c>
      <c r="U724" s="100"/>
      <c r="V724" s="219"/>
      <c r="W724" s="210"/>
    </row>
    <row r="725" s="43" customFormat="1" ht="20" hidden="1" customHeight="1" spans="1:23">
      <c r="A725" s="144" t="s">
        <v>2747</v>
      </c>
      <c r="B725" s="174" t="s">
        <v>2226</v>
      </c>
      <c r="C725" s="175"/>
      <c r="D725" s="45" t="s">
        <v>31</v>
      </c>
      <c r="E725" s="82" t="s">
        <v>1901</v>
      </c>
      <c r="F725" s="81">
        <f>IFERROR(VLOOKUP(E725,客户!B:C,2,FALSE),"/")</f>
        <v>0</v>
      </c>
      <c r="G725" s="45" t="s">
        <v>40</v>
      </c>
      <c r="H725" s="229" t="s">
        <v>123</v>
      </c>
      <c r="I725" s="45" t="s">
        <v>2748</v>
      </c>
      <c r="J725" s="108">
        <v>44091</v>
      </c>
      <c r="K725" s="100">
        <v>44180</v>
      </c>
      <c r="L725" s="100">
        <v>44221</v>
      </c>
      <c r="M725" s="165" t="s">
        <v>2749</v>
      </c>
      <c r="N725" s="198" t="s">
        <v>2750</v>
      </c>
      <c r="O725" s="104" t="s">
        <v>523</v>
      </c>
      <c r="P725" s="102">
        <v>40721</v>
      </c>
      <c r="Q725" s="102">
        <v>11500</v>
      </c>
      <c r="R725" s="131"/>
      <c r="S725" s="132"/>
      <c r="T725" s="102">
        <v>29221</v>
      </c>
      <c r="U725" s="100"/>
      <c r="V725" s="219"/>
      <c r="W725" s="210"/>
    </row>
    <row r="726" s="43" customFormat="1" ht="22" hidden="1" customHeight="1" spans="1:23">
      <c r="A726" s="144" t="s">
        <v>2751</v>
      </c>
      <c r="B726" s="174" t="s">
        <v>2226</v>
      </c>
      <c r="C726" s="175"/>
      <c r="D726" s="45" t="s">
        <v>31</v>
      </c>
      <c r="E726" s="82" t="s">
        <v>2752</v>
      </c>
      <c r="F726" s="81">
        <f>IFERROR(VLOOKUP(E726,客户!B:C,2,FALSE),"/")</f>
        <v>0</v>
      </c>
      <c r="G726" s="45" t="s">
        <v>941</v>
      </c>
      <c r="H726" s="229" t="s">
        <v>123</v>
      </c>
      <c r="I726" s="45" t="s">
        <v>2753</v>
      </c>
      <c r="J726" s="108">
        <v>44096</v>
      </c>
      <c r="K726" s="100">
        <v>44161</v>
      </c>
      <c r="L726" s="100">
        <v>44211</v>
      </c>
      <c r="M726" s="165" t="s">
        <v>2754</v>
      </c>
      <c r="N726" s="198" t="s">
        <v>2755</v>
      </c>
      <c r="O726" s="104" t="s">
        <v>523</v>
      </c>
      <c r="P726" s="102">
        <v>22210.25</v>
      </c>
      <c r="Q726" s="102">
        <v>4750</v>
      </c>
      <c r="R726" s="131"/>
      <c r="S726" s="132"/>
      <c r="T726" s="102">
        <v>17460.25</v>
      </c>
      <c r="U726" s="100"/>
      <c r="V726" s="219"/>
      <c r="W726" s="210"/>
    </row>
    <row r="727" s="43" customFormat="1" ht="22" hidden="1" customHeight="1" spans="1:23">
      <c r="A727" s="144" t="s">
        <v>2756</v>
      </c>
      <c r="B727" s="174" t="s">
        <v>2226</v>
      </c>
      <c r="C727" s="175"/>
      <c r="D727" s="45" t="s">
        <v>31</v>
      </c>
      <c r="E727" s="82" t="s">
        <v>2757</v>
      </c>
      <c r="F727" s="81">
        <f>IFERROR(VLOOKUP(E727,客户!B:C,2,FALSE),"/")</f>
        <v>0</v>
      </c>
      <c r="G727" s="45" t="s">
        <v>941</v>
      </c>
      <c r="H727" s="229" t="s">
        <v>123</v>
      </c>
      <c r="I727" s="45" t="s">
        <v>2753</v>
      </c>
      <c r="J727" s="108">
        <v>44096</v>
      </c>
      <c r="K727" s="100">
        <v>44147</v>
      </c>
      <c r="L727" s="100">
        <v>44204</v>
      </c>
      <c r="M727" s="198" t="s">
        <v>2758</v>
      </c>
      <c r="N727" s="198" t="s">
        <v>2759</v>
      </c>
      <c r="O727" s="104" t="s">
        <v>523</v>
      </c>
      <c r="P727" s="102">
        <v>22260.88</v>
      </c>
      <c r="Q727" s="102">
        <v>4750</v>
      </c>
      <c r="R727" s="131"/>
      <c r="S727" s="132"/>
      <c r="T727" s="102">
        <v>17510.88</v>
      </c>
      <c r="U727" s="100"/>
      <c r="V727" s="130"/>
      <c r="W727" s="210"/>
    </row>
    <row r="728" s="43" customFormat="1" ht="22" hidden="1" customHeight="1" spans="1:23">
      <c r="A728" s="144" t="s">
        <v>2760</v>
      </c>
      <c r="B728" s="174" t="s">
        <v>2226</v>
      </c>
      <c r="C728" s="175"/>
      <c r="D728" s="45" t="s">
        <v>31</v>
      </c>
      <c r="E728" s="82" t="s">
        <v>2752</v>
      </c>
      <c r="F728" s="81">
        <f>IFERROR(VLOOKUP(E728,客户!B:C,2,FALSE),"/")</f>
        <v>0</v>
      </c>
      <c r="G728" s="45" t="s">
        <v>979</v>
      </c>
      <c r="H728" s="229" t="s">
        <v>123</v>
      </c>
      <c r="I728" s="45" t="s">
        <v>2761</v>
      </c>
      <c r="J728" s="108">
        <v>44103</v>
      </c>
      <c r="K728" s="100">
        <v>44160</v>
      </c>
      <c r="L728" s="100">
        <v>44196</v>
      </c>
      <c r="M728" s="165" t="s">
        <v>2762</v>
      </c>
      <c r="N728" s="198" t="s">
        <v>2763</v>
      </c>
      <c r="O728" s="104" t="s">
        <v>523</v>
      </c>
      <c r="P728" s="102">
        <v>44528</v>
      </c>
      <c r="Q728" s="102">
        <v>10000</v>
      </c>
      <c r="R728" s="131"/>
      <c r="S728" s="132"/>
      <c r="T728" s="102">
        <v>34528</v>
      </c>
      <c r="U728" s="100"/>
      <c r="V728" s="130"/>
      <c r="W728" s="210"/>
    </row>
    <row r="729" s="43" customFormat="1" ht="22" hidden="1" customHeight="1" spans="1:23">
      <c r="A729" s="144" t="s">
        <v>2764</v>
      </c>
      <c r="B729" s="174" t="s">
        <v>2226</v>
      </c>
      <c r="C729" s="175"/>
      <c r="D729" s="45" t="s">
        <v>31</v>
      </c>
      <c r="E729" s="82" t="s">
        <v>2765</v>
      </c>
      <c r="F729" s="81">
        <f>IFERROR(VLOOKUP(E729,客户!B:C,2,FALSE),"/")</f>
        <v>0</v>
      </c>
      <c r="G729" s="45" t="s">
        <v>2766</v>
      </c>
      <c r="H729" s="229" t="s">
        <v>186</v>
      </c>
      <c r="I729" s="45"/>
      <c r="J729" s="108">
        <v>44126</v>
      </c>
      <c r="K729" s="100">
        <v>44137</v>
      </c>
      <c r="L729" s="100"/>
      <c r="M729" s="198"/>
      <c r="N729" s="108"/>
      <c r="O729" s="104" t="s">
        <v>970</v>
      </c>
      <c r="P729" s="240">
        <v>22072.5</v>
      </c>
      <c r="Q729" s="240">
        <v>6600</v>
      </c>
      <c r="R729" s="131"/>
      <c r="S729" s="132"/>
      <c r="T729" s="240">
        <v>15472.5</v>
      </c>
      <c r="U729" s="100"/>
      <c r="V729" s="130"/>
      <c r="W729" s="210"/>
    </row>
    <row r="730" s="43" customFormat="1" ht="22" hidden="1" customHeight="1" spans="1:23">
      <c r="A730" s="144" t="s">
        <v>2767</v>
      </c>
      <c r="B730" s="174" t="s">
        <v>2226</v>
      </c>
      <c r="C730" s="175"/>
      <c r="D730" s="45" t="s">
        <v>31</v>
      </c>
      <c r="E730" s="82" t="s">
        <v>2768</v>
      </c>
      <c r="F730" s="81">
        <f>IFERROR(VLOOKUP(E730,客户!B:C,2,FALSE),"/")</f>
        <v>0</v>
      </c>
      <c r="G730" s="45" t="s">
        <v>2769</v>
      </c>
      <c r="H730" s="229" t="s">
        <v>123</v>
      </c>
      <c r="I730" s="45" t="s">
        <v>2770</v>
      </c>
      <c r="J730" s="108">
        <v>44133</v>
      </c>
      <c r="K730" s="100">
        <v>44231</v>
      </c>
      <c r="L730" s="100">
        <v>44271</v>
      </c>
      <c r="M730" s="198" t="s">
        <v>2771</v>
      </c>
      <c r="N730" s="198" t="s">
        <v>2772</v>
      </c>
      <c r="O730" s="104" t="s">
        <v>523</v>
      </c>
      <c r="P730" s="102">
        <v>19962.5</v>
      </c>
      <c r="Q730" s="102">
        <v>5000</v>
      </c>
      <c r="R730" s="131"/>
      <c r="S730" s="132"/>
      <c r="T730" s="102">
        <f>5000+5000</f>
        <v>10000</v>
      </c>
      <c r="U730" s="102">
        <v>4962</v>
      </c>
      <c r="V730" s="130"/>
      <c r="W730" s="210"/>
    </row>
    <row r="731" s="43" customFormat="1" ht="22" hidden="1" customHeight="1" spans="1:23">
      <c r="A731" s="255"/>
      <c r="B731" s="174"/>
      <c r="C731" s="175"/>
      <c r="D731" s="45"/>
      <c r="E731" s="80"/>
      <c r="F731" s="81" t="str">
        <f>IFERROR(VLOOKUP(E731,客户!B:C,2,FALSE),"/")</f>
        <v>/</v>
      </c>
      <c r="G731" s="45"/>
      <c r="H731" s="45"/>
      <c r="I731" s="45"/>
      <c r="J731" s="108"/>
      <c r="K731" s="100"/>
      <c r="L731" s="100"/>
      <c r="M731" s="108"/>
      <c r="N731" s="108"/>
      <c r="O731" s="104"/>
      <c r="P731" s="102"/>
      <c r="Q731" s="102"/>
      <c r="R731" s="131"/>
      <c r="S731" s="132"/>
      <c r="T731" s="102"/>
      <c r="U731" s="100"/>
      <c r="V731" s="130"/>
      <c r="W731" s="210"/>
    </row>
    <row r="732" s="43" customFormat="1" ht="22" hidden="1" customHeight="1" spans="1:23">
      <c r="A732" s="45" t="s">
        <v>2773</v>
      </c>
      <c r="B732" s="174" t="s">
        <v>2226</v>
      </c>
      <c r="C732" s="175"/>
      <c r="D732" s="45" t="s">
        <v>31</v>
      </c>
      <c r="E732" s="83" t="s">
        <v>2774</v>
      </c>
      <c r="F732" s="81">
        <f>IFERROR(VLOOKUP(E732,客户!B:C,2,FALSE),"/")</f>
        <v>0</v>
      </c>
      <c r="G732" s="45" t="s">
        <v>2015</v>
      </c>
      <c r="H732" s="45" t="s">
        <v>127</v>
      </c>
      <c r="I732" s="45" t="s">
        <v>89</v>
      </c>
      <c r="J732" s="108"/>
      <c r="K732" s="100"/>
      <c r="L732" s="100"/>
      <c r="M732" s="108"/>
      <c r="N732" s="108"/>
      <c r="O732" s="104"/>
      <c r="P732" s="102">
        <v>13101.2608</v>
      </c>
      <c r="Q732" s="102">
        <v>7000</v>
      </c>
      <c r="R732" s="131"/>
      <c r="S732" s="132"/>
      <c r="T732" s="102">
        <f>P732-R732</f>
        <v>13101.2608</v>
      </c>
      <c r="U732" s="100"/>
      <c r="V732" s="102"/>
      <c r="W732" s="285"/>
    </row>
    <row r="733" s="43" customFormat="1" ht="22" hidden="1" customHeight="1" spans="1:23">
      <c r="A733" s="143" t="s">
        <v>2775</v>
      </c>
      <c r="B733" s="174" t="s">
        <v>2226</v>
      </c>
      <c r="C733" s="175"/>
      <c r="D733" s="45" t="s">
        <v>31</v>
      </c>
      <c r="E733" s="45" t="s">
        <v>2273</v>
      </c>
      <c r="F733" s="81" t="str">
        <f>IFERROR(VLOOKUP(E733,客户!B:C,2,FALSE),"/")</f>
        <v>/</v>
      </c>
      <c r="G733" s="45" t="s">
        <v>2776</v>
      </c>
      <c r="H733" s="45" t="s">
        <v>123</v>
      </c>
      <c r="I733" s="45"/>
      <c r="J733" s="108">
        <v>43368</v>
      </c>
      <c r="K733" s="100"/>
      <c r="L733" s="100"/>
      <c r="M733" s="162" t="s">
        <v>2777</v>
      </c>
      <c r="N733" s="162" t="s">
        <v>2778</v>
      </c>
      <c r="O733" s="104"/>
      <c r="P733" s="102"/>
      <c r="Q733" s="102">
        <v>4500</v>
      </c>
      <c r="R733" s="131"/>
      <c r="S733" s="132"/>
      <c r="T733" s="102"/>
      <c r="U733" s="100"/>
      <c r="V733" s="130"/>
      <c r="W733" s="285"/>
    </row>
    <row r="734" s="43" customFormat="1" ht="22" hidden="1" customHeight="1" spans="1:23">
      <c r="A734" s="115" t="s">
        <v>2779</v>
      </c>
      <c r="B734" s="174" t="s">
        <v>2226</v>
      </c>
      <c r="C734" s="175"/>
      <c r="D734" s="45" t="s">
        <v>31</v>
      </c>
      <c r="E734" s="83" t="s">
        <v>2774</v>
      </c>
      <c r="F734" s="81">
        <f>IFERROR(VLOOKUP(E734,客户!B:C,2,FALSE),"/")</f>
        <v>0</v>
      </c>
      <c r="G734" s="45" t="s">
        <v>2780</v>
      </c>
      <c r="H734" s="45" t="s">
        <v>123</v>
      </c>
      <c r="I734" s="45"/>
      <c r="J734" s="108">
        <v>43362</v>
      </c>
      <c r="K734" s="100"/>
      <c r="L734" s="100"/>
      <c r="M734" s="162" t="s">
        <v>2781</v>
      </c>
      <c r="N734" s="108" t="s">
        <v>2782</v>
      </c>
      <c r="O734" s="104"/>
      <c r="P734" s="102">
        <v>34298</v>
      </c>
      <c r="Q734" s="102">
        <v>19000</v>
      </c>
      <c r="R734" s="131"/>
      <c r="S734" s="132"/>
      <c r="T734" s="102">
        <v>15298</v>
      </c>
      <c r="U734" s="100"/>
      <c r="V734" s="128"/>
      <c r="W734" s="285"/>
    </row>
    <row r="735" s="43" customFormat="1" ht="22" hidden="1" customHeight="1" spans="1:23">
      <c r="A735" s="144" t="s">
        <v>2783</v>
      </c>
      <c r="B735" s="174" t="s">
        <v>2226</v>
      </c>
      <c r="C735" s="175"/>
      <c r="D735" s="45" t="s">
        <v>31</v>
      </c>
      <c r="E735" s="80" t="s">
        <v>2784</v>
      </c>
      <c r="F735" s="81">
        <f>IFERROR(VLOOKUP(E735,客户!B:C,2,FALSE),"/")</f>
        <v>0</v>
      </c>
      <c r="G735" s="45" t="s">
        <v>2785</v>
      </c>
      <c r="H735" s="45"/>
      <c r="I735" s="45" t="s">
        <v>2786</v>
      </c>
      <c r="J735" s="108">
        <v>43392</v>
      </c>
      <c r="K735" s="100">
        <v>43461</v>
      </c>
      <c r="L735" s="100">
        <v>43514</v>
      </c>
      <c r="M735" s="159" t="s">
        <v>2787</v>
      </c>
      <c r="N735" s="108" t="s">
        <v>620</v>
      </c>
      <c r="O735" s="104"/>
      <c r="P735" s="102">
        <v>13801.26</v>
      </c>
      <c r="Q735" s="102">
        <v>6000</v>
      </c>
      <c r="R735" s="131">
        <v>0</v>
      </c>
      <c r="S735" s="132"/>
      <c r="T735" s="102">
        <v>7778.83</v>
      </c>
      <c r="U735" s="100">
        <v>43510</v>
      </c>
      <c r="V735" s="130"/>
      <c r="W735" s="285"/>
    </row>
    <row r="736" s="43" customFormat="1" ht="22" hidden="1" customHeight="1" spans="1:23">
      <c r="A736" s="144" t="s">
        <v>2788</v>
      </c>
      <c r="B736" s="174" t="s">
        <v>2226</v>
      </c>
      <c r="C736" s="175"/>
      <c r="D736" s="45" t="s">
        <v>31</v>
      </c>
      <c r="E736" s="80" t="s">
        <v>2784</v>
      </c>
      <c r="F736" s="81">
        <f>IFERROR(VLOOKUP(E736,客户!B:C,2,FALSE),"/")</f>
        <v>0</v>
      </c>
      <c r="G736" s="45" t="s">
        <v>2789</v>
      </c>
      <c r="H736" s="144" t="s">
        <v>127</v>
      </c>
      <c r="I736" s="45" t="s">
        <v>2790</v>
      </c>
      <c r="J736" s="108">
        <v>43481</v>
      </c>
      <c r="K736" s="100">
        <v>43522</v>
      </c>
      <c r="L736" s="100">
        <v>43574</v>
      </c>
      <c r="M736" s="159" t="s">
        <v>2791</v>
      </c>
      <c r="N736" s="108" t="s">
        <v>2792</v>
      </c>
      <c r="O736" s="104"/>
      <c r="P736" s="102">
        <v>22106.55</v>
      </c>
      <c r="Q736" s="102">
        <v>7000</v>
      </c>
      <c r="R736" s="131">
        <v>0</v>
      </c>
      <c r="S736" s="132"/>
      <c r="T736" s="102" t="s">
        <v>2793</v>
      </c>
      <c r="U736" s="100">
        <v>43546</v>
      </c>
      <c r="V736" s="130"/>
      <c r="W736" s="285"/>
    </row>
    <row r="737" s="43" customFormat="1" ht="22" hidden="1" customHeight="1" spans="1:23">
      <c r="A737" s="144" t="s">
        <v>2794</v>
      </c>
      <c r="B737" s="174" t="s">
        <v>2226</v>
      </c>
      <c r="C737" s="175"/>
      <c r="D737" s="45" t="s">
        <v>31</v>
      </c>
      <c r="E737" s="80" t="s">
        <v>2784</v>
      </c>
      <c r="F737" s="81">
        <f>IFERROR(VLOOKUP(E737,客户!B:C,2,FALSE),"/")</f>
        <v>0</v>
      </c>
      <c r="G737" s="45" t="s">
        <v>2795</v>
      </c>
      <c r="H737" s="144" t="s">
        <v>127</v>
      </c>
      <c r="I737" s="45" t="s">
        <v>2790</v>
      </c>
      <c r="J737" s="108">
        <v>43518</v>
      </c>
      <c r="K737" s="100">
        <v>43536</v>
      </c>
      <c r="L737" s="100">
        <v>43599</v>
      </c>
      <c r="M737" s="159" t="s">
        <v>2796</v>
      </c>
      <c r="N737" s="108"/>
      <c r="O737" s="104"/>
      <c r="P737" s="102">
        <v>33718.18</v>
      </c>
      <c r="Q737" s="102">
        <v>7500</v>
      </c>
      <c r="R737" s="131">
        <v>0</v>
      </c>
      <c r="S737" s="132"/>
      <c r="T737" s="102" t="s">
        <v>2797</v>
      </c>
      <c r="U737" s="100">
        <v>43593</v>
      </c>
      <c r="V737" s="130"/>
      <c r="W737" s="285"/>
    </row>
    <row r="738" s="43" customFormat="1" ht="22" hidden="1" customHeight="1" spans="1:23">
      <c r="A738" s="144" t="s">
        <v>2798</v>
      </c>
      <c r="B738" s="174" t="s">
        <v>2226</v>
      </c>
      <c r="C738" s="175"/>
      <c r="D738" s="45" t="s">
        <v>31</v>
      </c>
      <c r="E738" s="80" t="s">
        <v>2784</v>
      </c>
      <c r="F738" s="81">
        <f>IFERROR(VLOOKUP(E738,客户!B:C,2,FALSE),"/")</f>
        <v>0</v>
      </c>
      <c r="G738" s="45" t="s">
        <v>2799</v>
      </c>
      <c r="H738" s="144" t="s">
        <v>127</v>
      </c>
      <c r="I738" s="45" t="s">
        <v>2790</v>
      </c>
      <c r="J738" s="108">
        <v>43628</v>
      </c>
      <c r="K738" s="100">
        <v>43638</v>
      </c>
      <c r="L738" s="100">
        <v>43684</v>
      </c>
      <c r="M738" s="181" t="s">
        <v>2800</v>
      </c>
      <c r="N738" s="108" t="s">
        <v>2801</v>
      </c>
      <c r="O738" s="104"/>
      <c r="P738" s="102">
        <v>35972.5</v>
      </c>
      <c r="Q738" s="102" t="s">
        <v>2802</v>
      </c>
      <c r="R738" s="131">
        <v>0</v>
      </c>
      <c r="S738" s="132"/>
      <c r="T738" s="102">
        <v>20792</v>
      </c>
      <c r="U738" s="100">
        <v>43700</v>
      </c>
      <c r="V738" s="130"/>
      <c r="W738" s="285"/>
    </row>
    <row r="739" s="43" customFormat="1" ht="22" hidden="1" customHeight="1" spans="1:23">
      <c r="A739" s="190" t="s">
        <v>2803</v>
      </c>
      <c r="B739" s="174" t="s">
        <v>2226</v>
      </c>
      <c r="C739" s="175"/>
      <c r="D739" s="45" t="s">
        <v>31</v>
      </c>
      <c r="E739" s="80" t="s">
        <v>2804</v>
      </c>
      <c r="F739" s="81">
        <f>IFERROR(VLOOKUP(E739,客户!B:C,2,FALSE),"/")</f>
        <v>0</v>
      </c>
      <c r="G739" s="45" t="s">
        <v>2805</v>
      </c>
      <c r="H739" s="45" t="s">
        <v>123</v>
      </c>
      <c r="I739" s="45" t="s">
        <v>2806</v>
      </c>
      <c r="J739" s="108">
        <v>43634</v>
      </c>
      <c r="K739" s="100">
        <v>43665</v>
      </c>
      <c r="L739" s="100"/>
      <c r="M739" s="159" t="s">
        <v>2807</v>
      </c>
      <c r="N739" s="108" t="s">
        <v>2808</v>
      </c>
      <c r="O739" s="104"/>
      <c r="P739" s="102">
        <v>27400</v>
      </c>
      <c r="Q739" s="102">
        <v>5000</v>
      </c>
      <c r="R739" s="131"/>
      <c r="S739" s="132"/>
      <c r="T739" s="102">
        <v>22400</v>
      </c>
      <c r="U739" s="100"/>
      <c r="V739" s="130"/>
      <c r="W739" s="285"/>
    </row>
    <row r="740" s="43" customFormat="1" ht="22" hidden="1" customHeight="1" spans="1:23">
      <c r="A740" s="261" t="s">
        <v>2809</v>
      </c>
      <c r="B740" s="174" t="s">
        <v>2226</v>
      </c>
      <c r="C740" s="175"/>
      <c r="D740" s="45" t="s">
        <v>31</v>
      </c>
      <c r="E740" s="80" t="s">
        <v>2784</v>
      </c>
      <c r="F740" s="81">
        <f>IFERROR(VLOOKUP(E740,客户!B:C,2,FALSE),"/")</f>
        <v>0</v>
      </c>
      <c r="G740" s="291" t="s">
        <v>2810</v>
      </c>
      <c r="H740" s="45" t="s">
        <v>127</v>
      </c>
      <c r="I740" s="45" t="s">
        <v>2811</v>
      </c>
      <c r="J740" s="108">
        <v>43749</v>
      </c>
      <c r="K740" s="100">
        <v>43391</v>
      </c>
      <c r="L740" s="100">
        <v>43796</v>
      </c>
      <c r="M740" s="178" t="s">
        <v>2812</v>
      </c>
      <c r="N740" s="108" t="s">
        <v>2813</v>
      </c>
      <c r="O740" s="104"/>
      <c r="P740" s="102">
        <v>34706.45</v>
      </c>
      <c r="Q740" s="102">
        <v>10000</v>
      </c>
      <c r="R740" s="131"/>
      <c r="S740" s="132"/>
      <c r="T740" s="102" t="s">
        <v>2814</v>
      </c>
      <c r="U740" s="100">
        <v>43773</v>
      </c>
      <c r="V740" s="130"/>
      <c r="W740" s="285"/>
    </row>
    <row r="741" s="43" customFormat="1" ht="22" hidden="1" customHeight="1" spans="1:23">
      <c r="A741" s="292" t="s">
        <v>2815</v>
      </c>
      <c r="B741" s="174" t="s">
        <v>2226</v>
      </c>
      <c r="C741" s="175"/>
      <c r="D741" s="45" t="s">
        <v>31</v>
      </c>
      <c r="E741" s="80" t="s">
        <v>2784</v>
      </c>
      <c r="F741" s="81">
        <f>IFERROR(VLOOKUP(E741,客户!B:C,2,FALSE),"/")</f>
        <v>0</v>
      </c>
      <c r="G741" s="291" t="s">
        <v>2816</v>
      </c>
      <c r="H741" s="45" t="s">
        <v>127</v>
      </c>
      <c r="I741" s="45" t="s">
        <v>2817</v>
      </c>
      <c r="J741" s="108">
        <v>43760</v>
      </c>
      <c r="K741" s="100">
        <v>43777</v>
      </c>
      <c r="L741" s="100">
        <v>43817</v>
      </c>
      <c r="M741" s="159" t="s">
        <v>2818</v>
      </c>
      <c r="N741" s="108" t="s">
        <v>2819</v>
      </c>
      <c r="O741" s="104" t="s">
        <v>523</v>
      </c>
      <c r="P741" s="102">
        <v>16518.85</v>
      </c>
      <c r="Q741" s="102">
        <v>7000</v>
      </c>
      <c r="R741" s="131"/>
      <c r="S741" s="132"/>
      <c r="T741" s="102">
        <v>9950.5</v>
      </c>
      <c r="U741" s="100">
        <v>43837</v>
      </c>
      <c r="V741" s="130"/>
      <c r="W741" s="285"/>
    </row>
    <row r="742" s="43" customFormat="1" ht="22" hidden="1" customHeight="1" spans="1:23">
      <c r="A742" s="261" t="s">
        <v>2820</v>
      </c>
      <c r="B742" s="174" t="s">
        <v>2226</v>
      </c>
      <c r="C742" s="175"/>
      <c r="D742" s="45" t="s">
        <v>31</v>
      </c>
      <c r="E742" s="80" t="s">
        <v>2784</v>
      </c>
      <c r="F742" s="81">
        <f>IFERROR(VLOOKUP(E742,客户!B:C,2,FALSE),"/")</f>
        <v>0</v>
      </c>
      <c r="G742" s="291" t="s">
        <v>2821</v>
      </c>
      <c r="H742" s="45" t="s">
        <v>127</v>
      </c>
      <c r="I742" s="45" t="s">
        <v>2817</v>
      </c>
      <c r="J742" s="108">
        <v>43789</v>
      </c>
      <c r="K742" s="100">
        <v>43805</v>
      </c>
      <c r="L742" s="100">
        <v>43852</v>
      </c>
      <c r="M742" s="159" t="s">
        <v>2822</v>
      </c>
      <c r="N742" s="108" t="s">
        <v>2823</v>
      </c>
      <c r="O742" s="104" t="s">
        <v>523</v>
      </c>
      <c r="P742" s="102">
        <v>11517.9</v>
      </c>
      <c r="Q742" s="102">
        <v>5000</v>
      </c>
      <c r="R742" s="131"/>
      <c r="S742" s="132"/>
      <c r="T742" s="102">
        <v>5986.5</v>
      </c>
      <c r="U742" s="100">
        <v>43840</v>
      </c>
      <c r="V742" s="130"/>
      <c r="W742" s="285"/>
    </row>
    <row r="743" s="43" customFormat="1" ht="22" hidden="1" customHeight="1" spans="1:23">
      <c r="A743" s="261" t="s">
        <v>2824</v>
      </c>
      <c r="B743" s="174" t="s">
        <v>2226</v>
      </c>
      <c r="C743" s="175"/>
      <c r="D743" s="45" t="s">
        <v>31</v>
      </c>
      <c r="E743" s="82" t="s">
        <v>2825</v>
      </c>
      <c r="F743" s="81">
        <f>IFERROR(VLOOKUP(E743,客户!B:C,2,FALSE),"/")</f>
        <v>0</v>
      </c>
      <c r="G743" s="291" t="s">
        <v>2826</v>
      </c>
      <c r="H743" s="45" t="s">
        <v>127</v>
      </c>
      <c r="I743" s="45" t="s">
        <v>2827</v>
      </c>
      <c r="J743" s="108">
        <v>43812</v>
      </c>
      <c r="K743" s="100">
        <v>43821</v>
      </c>
      <c r="L743" s="100"/>
      <c r="M743" s="159" t="s">
        <v>2828</v>
      </c>
      <c r="N743" s="108" t="s">
        <v>2829</v>
      </c>
      <c r="O743" s="104" t="s">
        <v>970</v>
      </c>
      <c r="P743" s="102">
        <v>3859.2</v>
      </c>
      <c r="Q743" s="102"/>
      <c r="R743" s="131"/>
      <c r="S743" s="132"/>
      <c r="T743" s="102">
        <v>3859.2</v>
      </c>
      <c r="U743" s="100">
        <v>43809</v>
      </c>
      <c r="V743" s="130"/>
      <c r="W743" s="285"/>
    </row>
    <row r="744" s="43" customFormat="1" ht="22" hidden="1" customHeight="1" spans="1:23">
      <c r="A744" s="261" t="s">
        <v>2830</v>
      </c>
      <c r="B744" s="174" t="s">
        <v>2226</v>
      </c>
      <c r="C744" s="175"/>
      <c r="D744" s="45" t="s">
        <v>31</v>
      </c>
      <c r="E744" s="82" t="s">
        <v>2831</v>
      </c>
      <c r="F744" s="81">
        <f>IFERROR(VLOOKUP(E744,客户!B:C,2,FALSE),"/")</f>
        <v>0</v>
      </c>
      <c r="G744" s="291" t="s">
        <v>2832</v>
      </c>
      <c r="H744" s="45" t="s">
        <v>127</v>
      </c>
      <c r="I744" s="45" t="s">
        <v>2833</v>
      </c>
      <c r="J744" s="108">
        <v>43874</v>
      </c>
      <c r="K744" s="100">
        <v>43938</v>
      </c>
      <c r="L744" s="100">
        <v>43995</v>
      </c>
      <c r="M744" s="165" t="s">
        <v>2834</v>
      </c>
      <c r="N744" s="198" t="s">
        <v>2835</v>
      </c>
      <c r="O744" s="104" t="s">
        <v>523</v>
      </c>
      <c r="P744" s="102">
        <v>33027.98</v>
      </c>
      <c r="Q744" s="102">
        <v>11628.8</v>
      </c>
      <c r="R744" s="131"/>
      <c r="S744" s="132"/>
      <c r="T744" s="102">
        <v>10000</v>
      </c>
      <c r="U744" s="102">
        <f>10000+1400</f>
        <v>11400</v>
      </c>
      <c r="V744" s="243" t="s">
        <v>2836</v>
      </c>
      <c r="W744" s="285"/>
    </row>
    <row r="745" s="43" customFormat="1" ht="22" hidden="1" customHeight="1" spans="1:23">
      <c r="A745" s="261" t="s">
        <v>2837</v>
      </c>
      <c r="B745" s="174" t="s">
        <v>2226</v>
      </c>
      <c r="C745" s="175"/>
      <c r="D745" s="45" t="s">
        <v>31</v>
      </c>
      <c r="E745" s="83" t="s">
        <v>2838</v>
      </c>
      <c r="F745" s="81">
        <f>IFERROR(VLOOKUP(E745,客户!B:C,2,FALSE),"/")</f>
        <v>0</v>
      </c>
      <c r="G745" s="291" t="s">
        <v>2839</v>
      </c>
      <c r="H745" s="45" t="s">
        <v>127</v>
      </c>
      <c r="I745" s="45" t="s">
        <v>2840</v>
      </c>
      <c r="J745" s="108">
        <v>43887</v>
      </c>
      <c r="K745" s="100">
        <v>43900</v>
      </c>
      <c r="L745" s="100">
        <v>43941</v>
      </c>
      <c r="M745" s="165" t="s">
        <v>2841</v>
      </c>
      <c r="N745" s="108" t="s">
        <v>2842</v>
      </c>
      <c r="O745" s="104" t="s">
        <v>523</v>
      </c>
      <c r="P745" s="102">
        <v>8394.6</v>
      </c>
      <c r="Q745" s="102">
        <v>4049</v>
      </c>
      <c r="R745" s="131"/>
      <c r="S745" s="132"/>
      <c r="T745" s="102">
        <v>4345.6</v>
      </c>
      <c r="U745" s="100">
        <v>43892</v>
      </c>
      <c r="V745" s="130"/>
      <c r="W745" s="285"/>
    </row>
    <row r="746" s="43" customFormat="1" ht="22" hidden="1" customHeight="1" spans="1:23">
      <c r="A746" s="261" t="s">
        <v>2843</v>
      </c>
      <c r="B746" s="174" t="s">
        <v>2226</v>
      </c>
      <c r="C746" s="175"/>
      <c r="D746" s="45" t="s">
        <v>31</v>
      </c>
      <c r="E746" s="82" t="s">
        <v>2844</v>
      </c>
      <c r="F746" s="81">
        <f>IFERROR(VLOOKUP(E746,客户!B:C,2,FALSE),"/")</f>
        <v>0</v>
      </c>
      <c r="G746" s="291" t="s">
        <v>2845</v>
      </c>
      <c r="H746" s="45" t="s">
        <v>123</v>
      </c>
      <c r="I746" s="45" t="s">
        <v>2846</v>
      </c>
      <c r="J746" s="108">
        <v>44014</v>
      </c>
      <c r="K746" s="100">
        <v>44028</v>
      </c>
      <c r="L746" s="100">
        <v>44061</v>
      </c>
      <c r="M746" s="165" t="s">
        <v>2847</v>
      </c>
      <c r="N746" s="198" t="s">
        <v>2848</v>
      </c>
      <c r="O746" s="104" t="s">
        <v>970</v>
      </c>
      <c r="P746" s="102">
        <v>2119.68</v>
      </c>
      <c r="Q746" s="102"/>
      <c r="R746" s="131"/>
      <c r="S746" s="132"/>
      <c r="T746" s="102">
        <v>2095.68</v>
      </c>
      <c r="U746" s="100"/>
      <c r="V746" s="130"/>
      <c r="W746" s="285"/>
    </row>
    <row r="747" s="43" customFormat="1" ht="22" hidden="1" customHeight="1" spans="1:23">
      <c r="A747" s="261" t="s">
        <v>2849</v>
      </c>
      <c r="B747" s="174" t="s">
        <v>2226</v>
      </c>
      <c r="C747" s="175"/>
      <c r="D747" s="45" t="s">
        <v>31</v>
      </c>
      <c r="E747" s="82" t="s">
        <v>2831</v>
      </c>
      <c r="F747" s="81"/>
      <c r="G747" s="291" t="s">
        <v>2850</v>
      </c>
      <c r="H747" s="45" t="s">
        <v>127</v>
      </c>
      <c r="I747" s="45" t="s">
        <v>2183</v>
      </c>
      <c r="J747" s="108">
        <v>44069</v>
      </c>
      <c r="K747" s="100">
        <v>44086</v>
      </c>
      <c r="L747" s="100">
        <v>44139</v>
      </c>
      <c r="M747" s="165" t="s">
        <v>2851</v>
      </c>
      <c r="N747" s="198" t="s">
        <v>2852</v>
      </c>
      <c r="O747" s="104" t="s">
        <v>523</v>
      </c>
      <c r="P747" s="102">
        <v>12766.75</v>
      </c>
      <c r="Q747" s="102">
        <v>5000</v>
      </c>
      <c r="R747" s="131"/>
      <c r="S747" s="132"/>
      <c r="T747" s="102">
        <v>7766.75</v>
      </c>
      <c r="U747" s="100"/>
      <c r="V747" s="130"/>
      <c r="W747" s="285"/>
    </row>
    <row r="748" s="43" customFormat="1" ht="22" hidden="1" customHeight="1" spans="1:23">
      <c r="A748" s="293"/>
      <c r="B748" s="174"/>
      <c r="C748" s="175"/>
      <c r="D748" s="45"/>
      <c r="E748" s="80"/>
      <c r="F748" s="81"/>
      <c r="G748" s="291"/>
      <c r="H748" s="45"/>
      <c r="I748" s="45"/>
      <c r="J748" s="108"/>
      <c r="K748" s="100"/>
      <c r="L748" s="100"/>
      <c r="M748" s="159"/>
      <c r="N748" s="108"/>
      <c r="O748" s="104"/>
      <c r="P748" s="102"/>
      <c r="Q748" s="102"/>
      <c r="R748" s="131"/>
      <c r="S748" s="132"/>
      <c r="T748" s="102"/>
      <c r="U748" s="100"/>
      <c r="V748" s="130"/>
      <c r="W748" s="285"/>
    </row>
    <row r="749" s="43" customFormat="1" ht="22" hidden="1" customHeight="1" spans="1:23">
      <c r="A749" s="293"/>
      <c r="B749" s="174"/>
      <c r="C749" s="175"/>
      <c r="D749" s="45"/>
      <c r="E749" s="80"/>
      <c r="F749" s="81"/>
      <c r="G749" s="291"/>
      <c r="H749" s="45"/>
      <c r="I749" s="45"/>
      <c r="J749" s="108"/>
      <c r="K749" s="100"/>
      <c r="L749" s="100"/>
      <c r="M749" s="159"/>
      <c r="N749" s="108"/>
      <c r="O749" s="104"/>
      <c r="P749" s="102"/>
      <c r="Q749" s="102"/>
      <c r="R749" s="131"/>
      <c r="S749" s="132"/>
      <c r="T749" s="102"/>
      <c r="U749" s="100"/>
      <c r="V749" s="130"/>
      <c r="W749" s="285"/>
    </row>
    <row r="750" s="43" customFormat="1" ht="22" hidden="1" customHeight="1" spans="1:23">
      <c r="A750" s="256"/>
      <c r="B750" s="174"/>
      <c r="C750" s="175"/>
      <c r="D750" s="45"/>
      <c r="E750" s="80"/>
      <c r="F750" s="81" t="str">
        <f>IFERROR(VLOOKUP(E750,客户!B:C,2,FALSE),"/")</f>
        <v>/</v>
      </c>
      <c r="G750" s="45"/>
      <c r="H750" s="45"/>
      <c r="I750" s="45"/>
      <c r="J750" s="108"/>
      <c r="K750" s="100"/>
      <c r="L750" s="100"/>
      <c r="M750" s="178"/>
      <c r="N750" s="108"/>
      <c r="O750" s="104"/>
      <c r="P750" s="102"/>
      <c r="Q750" s="102"/>
      <c r="R750" s="131"/>
      <c r="S750" s="132"/>
      <c r="T750" s="102"/>
      <c r="U750" s="100"/>
      <c r="V750" s="130"/>
      <c r="W750" s="285"/>
    </row>
    <row r="751" s="43" customFormat="1" ht="22" hidden="1" customHeight="1" spans="1:23">
      <c r="A751" s="144" t="s">
        <v>2853</v>
      </c>
      <c r="B751" s="174"/>
      <c r="C751" s="175"/>
      <c r="D751" s="45"/>
      <c r="E751" s="80"/>
      <c r="F751" s="81" t="str">
        <f>IFERROR(VLOOKUP(E751,客户!B:C,2,FALSE),"/")</f>
        <v>/</v>
      </c>
      <c r="G751" s="294"/>
      <c r="H751" s="143"/>
      <c r="I751" s="294"/>
      <c r="J751" s="108"/>
      <c r="K751" s="100"/>
      <c r="L751" s="100"/>
      <c r="M751" s="108"/>
      <c r="N751" s="108"/>
      <c r="O751" s="104"/>
      <c r="P751" s="102"/>
      <c r="Q751" s="294"/>
      <c r="R751" s="131"/>
      <c r="S751" s="132"/>
      <c r="T751" s="102"/>
      <c r="U751" s="100"/>
      <c r="V751" s="130"/>
      <c r="W751" s="285"/>
    </row>
    <row r="752" s="43" customFormat="1" ht="22" hidden="1" customHeight="1" spans="1:23">
      <c r="A752" s="158" t="s">
        <v>2854</v>
      </c>
      <c r="B752" s="295" t="s">
        <v>2855</v>
      </c>
      <c r="C752" s="296"/>
      <c r="D752" s="45" t="s">
        <v>31</v>
      </c>
      <c r="E752" s="45" t="s">
        <v>2856</v>
      </c>
      <c r="F752" s="81">
        <f>IFERROR(VLOOKUP(E752,客户!B:C,2,FALSE),"/")</f>
        <v>0</v>
      </c>
      <c r="G752" s="45" t="s">
        <v>2857</v>
      </c>
      <c r="H752" s="45" t="s">
        <v>123</v>
      </c>
      <c r="I752" s="45"/>
      <c r="J752" s="108"/>
      <c r="K752" s="100"/>
      <c r="L752" s="100"/>
      <c r="M752" s="108"/>
      <c r="N752" s="162" t="s">
        <v>2858</v>
      </c>
      <c r="O752" s="104"/>
      <c r="P752" s="102">
        <v>16410.23</v>
      </c>
      <c r="Q752" s="230">
        <v>4832.86</v>
      </c>
      <c r="R752" s="131"/>
      <c r="S752" s="132"/>
      <c r="T752" s="102">
        <v>11577</v>
      </c>
      <c r="U752" s="100"/>
      <c r="V752" s="128"/>
      <c r="W752" s="285"/>
    </row>
    <row r="753" s="45" customFormat="1" ht="22" hidden="1" customHeight="1" spans="1:23">
      <c r="A753" s="158" t="s">
        <v>2859</v>
      </c>
      <c r="B753" s="295" t="s">
        <v>2855</v>
      </c>
      <c r="C753" s="296"/>
      <c r="D753" s="45" t="s">
        <v>31</v>
      </c>
      <c r="E753" s="45" t="s">
        <v>2860</v>
      </c>
      <c r="F753" s="81" t="str">
        <f>IFERROR(VLOOKUP(E753,客户!B:C,2,FALSE),"/")</f>
        <v>/</v>
      </c>
      <c r="G753" s="45" t="s">
        <v>2861</v>
      </c>
      <c r="H753" s="45" t="s">
        <v>123</v>
      </c>
      <c r="J753" s="159">
        <v>43353</v>
      </c>
      <c r="K753" s="100"/>
      <c r="L753" s="100"/>
      <c r="M753" s="108"/>
      <c r="N753" s="159" t="s">
        <v>2862</v>
      </c>
      <c r="O753" s="104"/>
      <c r="P753" s="102">
        <v>25975.21</v>
      </c>
      <c r="Q753" s="230"/>
      <c r="R753" s="131"/>
      <c r="S753" s="132"/>
      <c r="T753" s="102"/>
      <c r="U753" s="100"/>
      <c r="V753" s="128"/>
      <c r="W753" s="210"/>
    </row>
    <row r="754" s="45" customFormat="1" ht="22" hidden="1" customHeight="1" spans="1:23">
      <c r="A754" s="45" t="s">
        <v>2863</v>
      </c>
      <c r="B754" s="295" t="s">
        <v>2855</v>
      </c>
      <c r="C754" s="296"/>
      <c r="D754" s="45" t="s">
        <v>31</v>
      </c>
      <c r="E754" s="45" t="s">
        <v>2864</v>
      </c>
      <c r="F754" s="81" t="str">
        <f>IFERROR(VLOOKUP(E754,客户!B:C,2,FALSE),"/")</f>
        <v>/</v>
      </c>
      <c r="G754" s="45" t="s">
        <v>2865</v>
      </c>
      <c r="H754" s="45" t="s">
        <v>123</v>
      </c>
      <c r="J754" s="159"/>
      <c r="K754" s="100"/>
      <c r="L754" s="100"/>
      <c r="M754" s="108"/>
      <c r="N754" s="159" t="s">
        <v>2866</v>
      </c>
      <c r="O754" s="104"/>
      <c r="P754" s="102">
        <v>22230</v>
      </c>
      <c r="Q754" s="230">
        <v>6726.34</v>
      </c>
      <c r="R754" s="131"/>
      <c r="S754" s="132"/>
      <c r="T754" s="102"/>
      <c r="U754" s="100"/>
      <c r="V754" s="128"/>
      <c r="W754" s="210"/>
    </row>
    <row r="755" s="45" customFormat="1" ht="22" hidden="1" customHeight="1" spans="1:23">
      <c r="A755" s="45" t="s">
        <v>2867</v>
      </c>
      <c r="B755" s="295" t="s">
        <v>2855</v>
      </c>
      <c r="C755" s="296"/>
      <c r="D755" s="45" t="s">
        <v>31</v>
      </c>
      <c r="E755" s="45" t="s">
        <v>2868</v>
      </c>
      <c r="F755" s="81" t="str">
        <f>IFERROR(VLOOKUP(E755,客户!B:C,2,FALSE),"/")</f>
        <v>/</v>
      </c>
      <c r="G755" s="45" t="s">
        <v>2869</v>
      </c>
      <c r="H755" s="45" t="s">
        <v>123</v>
      </c>
      <c r="J755" s="159">
        <v>43300</v>
      </c>
      <c r="K755" s="100"/>
      <c r="L755" s="100"/>
      <c r="M755" s="108"/>
      <c r="N755" s="165" t="s">
        <v>2870</v>
      </c>
      <c r="O755" s="104"/>
      <c r="P755" s="144"/>
      <c r="Q755" s="230">
        <v>4700</v>
      </c>
      <c r="R755" s="131"/>
      <c r="S755" s="132"/>
      <c r="T755" s="102"/>
      <c r="U755" s="100"/>
      <c r="V755" s="128"/>
      <c r="W755" s="210"/>
    </row>
    <row r="756" s="43" customFormat="1" ht="22" hidden="1" customHeight="1" spans="1:23">
      <c r="A756" s="45" t="s">
        <v>2871</v>
      </c>
      <c r="B756" s="295" t="s">
        <v>2855</v>
      </c>
      <c r="C756" s="296"/>
      <c r="D756" s="45" t="s">
        <v>31</v>
      </c>
      <c r="E756" s="45" t="s">
        <v>2872</v>
      </c>
      <c r="F756" s="81">
        <f>IFERROR(VLOOKUP(E756,客户!B:C,2,FALSE),"/")</f>
        <v>0</v>
      </c>
      <c r="G756" s="45" t="s">
        <v>2873</v>
      </c>
      <c r="H756" s="143" t="s">
        <v>123</v>
      </c>
      <c r="I756" s="143"/>
      <c r="J756" s="108"/>
      <c r="K756" s="100"/>
      <c r="L756" s="100"/>
      <c r="M756" s="108"/>
      <c r="N756" s="162" t="s">
        <v>2874</v>
      </c>
      <c r="O756" s="104"/>
      <c r="P756" s="102">
        <v>47001</v>
      </c>
      <c r="Q756" s="230">
        <v>16100</v>
      </c>
      <c r="R756" s="131"/>
      <c r="S756" s="132"/>
      <c r="T756" s="102">
        <v>30879</v>
      </c>
      <c r="U756" s="100"/>
      <c r="V756" s="128"/>
      <c r="W756" s="285"/>
    </row>
    <row r="757" s="45" customFormat="1" ht="22" hidden="1" customHeight="1" spans="1:23">
      <c r="A757" s="45" t="s">
        <v>2875</v>
      </c>
      <c r="B757" s="295" t="s">
        <v>2855</v>
      </c>
      <c r="C757" s="296"/>
      <c r="D757" s="45" t="s">
        <v>31</v>
      </c>
      <c r="E757" s="45" t="s">
        <v>2860</v>
      </c>
      <c r="F757" s="81" t="str">
        <f>IFERROR(VLOOKUP(E757,客户!B:C,2,FALSE),"/")</f>
        <v>/</v>
      </c>
      <c r="G757" s="45" t="s">
        <v>222</v>
      </c>
      <c r="H757" s="45" t="s">
        <v>123</v>
      </c>
      <c r="J757" s="159">
        <v>43351</v>
      </c>
      <c r="K757" s="100"/>
      <c r="L757" s="100"/>
      <c r="M757" s="108"/>
      <c r="N757" s="165" t="s">
        <v>2876</v>
      </c>
      <c r="O757" s="104"/>
      <c r="P757" s="102">
        <v>26607.9</v>
      </c>
      <c r="Q757" s="230"/>
      <c r="R757" s="131"/>
      <c r="S757" s="132"/>
      <c r="T757" s="102"/>
      <c r="U757" s="100"/>
      <c r="V757" s="128"/>
      <c r="W757" s="210"/>
    </row>
    <row r="758" s="43" customFormat="1" ht="22" hidden="1" customHeight="1" spans="1:23">
      <c r="A758" s="144" t="s">
        <v>2877</v>
      </c>
      <c r="B758" s="295" t="s">
        <v>2855</v>
      </c>
      <c r="C758" s="296"/>
      <c r="D758" s="45" t="s">
        <v>31</v>
      </c>
      <c r="E758" s="45" t="s">
        <v>2878</v>
      </c>
      <c r="F758" s="81">
        <f>IFERROR(VLOOKUP(E758,客户!B:C,2,FALSE),"/")</f>
        <v>0</v>
      </c>
      <c r="G758" s="45" t="s">
        <v>2879</v>
      </c>
      <c r="H758" s="143" t="s">
        <v>147</v>
      </c>
      <c r="I758" s="143"/>
      <c r="J758" s="108"/>
      <c r="K758" s="100"/>
      <c r="L758" s="100"/>
      <c r="M758" s="108"/>
      <c r="N758" s="159" t="s">
        <v>2880</v>
      </c>
      <c r="O758" s="104"/>
      <c r="P758" s="102">
        <v>22255.8</v>
      </c>
      <c r="Q758" s="230">
        <v>4452</v>
      </c>
      <c r="R758" s="284"/>
      <c r="S758" s="132"/>
      <c r="T758" s="102"/>
      <c r="U758" s="100"/>
      <c r="V758" s="128"/>
      <c r="W758" s="210"/>
    </row>
    <row r="759" s="43" customFormat="1" ht="22" hidden="1" customHeight="1" spans="1:23">
      <c r="A759" s="144" t="s">
        <v>2881</v>
      </c>
      <c r="B759" s="295" t="s">
        <v>2855</v>
      </c>
      <c r="C759" s="296"/>
      <c r="D759" s="45" t="s">
        <v>31</v>
      </c>
      <c r="E759" s="45" t="s">
        <v>2882</v>
      </c>
      <c r="F759" s="81" t="str">
        <f>IFERROR(VLOOKUP(E759,客户!B:C,2,FALSE),"/")</f>
        <v>/</v>
      </c>
      <c r="G759" s="45" t="s">
        <v>2883</v>
      </c>
      <c r="H759" s="143"/>
      <c r="I759" s="143"/>
      <c r="J759" s="108">
        <v>43371</v>
      </c>
      <c r="K759" s="100"/>
      <c r="L759" s="100"/>
      <c r="M759" s="108"/>
      <c r="N759" s="162" t="s">
        <v>2884</v>
      </c>
      <c r="O759" s="104"/>
      <c r="P759" s="102">
        <v>49281.2</v>
      </c>
      <c r="Q759" s="230">
        <v>14253</v>
      </c>
      <c r="R759" s="131"/>
      <c r="S759" s="132"/>
      <c r="T759" s="102"/>
      <c r="U759" s="100"/>
      <c r="V759" s="130"/>
      <c r="W759" s="210"/>
    </row>
    <row r="760" s="43" customFormat="1" ht="22" hidden="1" customHeight="1" spans="1:23">
      <c r="A760" s="144" t="s">
        <v>2885</v>
      </c>
      <c r="B760" s="295" t="s">
        <v>2855</v>
      </c>
      <c r="C760" s="296"/>
      <c r="D760" s="45" t="s">
        <v>31</v>
      </c>
      <c r="E760" s="45" t="s">
        <v>2886</v>
      </c>
      <c r="F760" s="81" t="str">
        <f>IFERROR(VLOOKUP(E760,客户!B:C,2,FALSE),"/")</f>
        <v>/</v>
      </c>
      <c r="G760" s="45" t="s">
        <v>2887</v>
      </c>
      <c r="H760" s="143"/>
      <c r="I760" s="143"/>
      <c r="J760" s="108">
        <v>43384</v>
      </c>
      <c r="K760" s="100"/>
      <c r="L760" s="100"/>
      <c r="M760" s="108"/>
      <c r="N760" s="162" t="s">
        <v>2888</v>
      </c>
      <c r="O760" s="104"/>
      <c r="P760" s="102">
        <v>38250.37</v>
      </c>
      <c r="Q760" s="230">
        <v>12064</v>
      </c>
      <c r="R760" s="131"/>
      <c r="S760" s="132"/>
      <c r="T760" s="102"/>
      <c r="U760" s="100"/>
      <c r="V760" s="128"/>
      <c r="W760" s="285"/>
    </row>
    <row r="761" s="43" customFormat="1" ht="22" hidden="1" customHeight="1" spans="1:23">
      <c r="A761" s="144" t="s">
        <v>2889</v>
      </c>
      <c r="B761" s="295" t="s">
        <v>2855</v>
      </c>
      <c r="C761" s="296"/>
      <c r="D761" s="45" t="s">
        <v>31</v>
      </c>
      <c r="E761" s="45" t="s">
        <v>2890</v>
      </c>
      <c r="F761" s="81" t="str">
        <f>IFERROR(VLOOKUP(E761,客户!B:C,2,FALSE),"/")</f>
        <v>/</v>
      </c>
      <c r="G761" s="45" t="s">
        <v>2891</v>
      </c>
      <c r="H761" s="143"/>
      <c r="I761" s="143" t="s">
        <v>2892</v>
      </c>
      <c r="J761" s="108">
        <v>43389</v>
      </c>
      <c r="K761" s="100">
        <v>43427</v>
      </c>
      <c r="L761" s="100">
        <v>43456</v>
      </c>
      <c r="M761" s="108"/>
      <c r="N761" s="108" t="s">
        <v>2893</v>
      </c>
      <c r="O761" s="104"/>
      <c r="P761" s="102">
        <v>22153.1</v>
      </c>
      <c r="Q761" s="230">
        <v>6400</v>
      </c>
      <c r="R761" s="131"/>
      <c r="S761" s="132"/>
      <c r="T761" s="102">
        <v>15744</v>
      </c>
      <c r="U761" s="100"/>
      <c r="V761" s="102"/>
      <c r="W761" s="210"/>
    </row>
    <row r="762" s="43" customFormat="1" ht="22" hidden="1" customHeight="1" spans="1:23">
      <c r="A762" s="144" t="s">
        <v>2894</v>
      </c>
      <c r="B762" s="295" t="s">
        <v>2855</v>
      </c>
      <c r="C762" s="296"/>
      <c r="D762" s="45" t="s">
        <v>31</v>
      </c>
      <c r="E762" s="45" t="s">
        <v>2895</v>
      </c>
      <c r="F762" s="81" t="str">
        <f>IFERROR(VLOOKUP(E762,客户!B:C,2,FALSE),"/")</f>
        <v>/</v>
      </c>
      <c r="G762" s="45" t="s">
        <v>2896</v>
      </c>
      <c r="H762" s="143" t="s">
        <v>123</v>
      </c>
      <c r="I762" s="143" t="s">
        <v>2897</v>
      </c>
      <c r="J762" s="108">
        <v>43427</v>
      </c>
      <c r="K762" s="100">
        <v>43444</v>
      </c>
      <c r="L762" s="100">
        <v>43486</v>
      </c>
      <c r="M762" s="203"/>
      <c r="N762" s="162" t="s">
        <v>2898</v>
      </c>
      <c r="O762" s="104"/>
      <c r="P762" s="102">
        <v>9626.75</v>
      </c>
      <c r="Q762" s="230">
        <v>2706.2</v>
      </c>
      <c r="R762" s="131">
        <v>0</v>
      </c>
      <c r="S762" s="132"/>
      <c r="T762" s="102">
        <v>6911.73</v>
      </c>
      <c r="U762" s="100"/>
      <c r="V762" s="130"/>
      <c r="W762" s="210"/>
    </row>
    <row r="763" s="43" customFormat="1" ht="22" hidden="1" customHeight="1" spans="1:23">
      <c r="A763" s="144" t="s">
        <v>2899</v>
      </c>
      <c r="B763" s="295" t="s">
        <v>2855</v>
      </c>
      <c r="C763" s="296"/>
      <c r="D763" s="45" t="s">
        <v>31</v>
      </c>
      <c r="E763" s="45" t="s">
        <v>2900</v>
      </c>
      <c r="F763" s="81" t="str">
        <f>IFERROR(VLOOKUP(E763,客户!B:C,2,FALSE),"/")</f>
        <v>/</v>
      </c>
      <c r="G763" s="45" t="s">
        <v>2901</v>
      </c>
      <c r="H763" s="143" t="s">
        <v>123</v>
      </c>
      <c r="I763" s="143" t="s">
        <v>2892</v>
      </c>
      <c r="J763" s="108">
        <v>43426</v>
      </c>
      <c r="K763" s="100">
        <v>43466</v>
      </c>
      <c r="L763" s="100">
        <v>43505</v>
      </c>
      <c r="M763" s="298"/>
      <c r="N763" s="108" t="s">
        <v>2902</v>
      </c>
      <c r="O763" s="104"/>
      <c r="P763" s="102">
        <v>48551.5</v>
      </c>
      <c r="Q763" s="230">
        <v>16266.8</v>
      </c>
      <c r="R763" s="131">
        <v>0</v>
      </c>
      <c r="S763" s="132"/>
      <c r="T763" s="102">
        <v>32263</v>
      </c>
      <c r="U763" s="100">
        <v>43494</v>
      </c>
      <c r="V763" s="189"/>
      <c r="W763" s="210"/>
    </row>
    <row r="764" s="43" customFormat="1" ht="22" hidden="1" customHeight="1" spans="1:23">
      <c r="A764" s="144" t="s">
        <v>2903</v>
      </c>
      <c r="B764" s="295" t="s">
        <v>2855</v>
      </c>
      <c r="C764" s="296"/>
      <c r="D764" s="45" t="s">
        <v>31</v>
      </c>
      <c r="E764" s="45" t="s">
        <v>2904</v>
      </c>
      <c r="F764" s="81">
        <f>IFERROR(VLOOKUP(E764,客户!B:C,2,FALSE),"/")</f>
        <v>0</v>
      </c>
      <c r="G764" s="45" t="s">
        <v>2905</v>
      </c>
      <c r="H764" s="143" t="s">
        <v>123</v>
      </c>
      <c r="I764" s="143" t="s">
        <v>2892</v>
      </c>
      <c r="J764" s="108">
        <v>43436</v>
      </c>
      <c r="K764" s="100">
        <v>43476</v>
      </c>
      <c r="L764" s="100">
        <v>43512</v>
      </c>
      <c r="M764" s="298"/>
      <c r="N764" s="108" t="s">
        <v>2906</v>
      </c>
      <c r="O764" s="104"/>
      <c r="P764" s="102">
        <v>71307.2</v>
      </c>
      <c r="Q764" s="301">
        <v>39414.45</v>
      </c>
      <c r="R764" s="131">
        <v>0</v>
      </c>
      <c r="S764" s="132"/>
      <c r="T764" s="102">
        <v>99266</v>
      </c>
      <c r="U764" s="100">
        <v>43490</v>
      </c>
      <c r="V764" s="130"/>
      <c r="W764" s="210"/>
    </row>
    <row r="765" s="43" customFormat="1" ht="22" hidden="1" customHeight="1" spans="1:23">
      <c r="A765" s="144" t="s">
        <v>2907</v>
      </c>
      <c r="B765" s="295" t="s">
        <v>2855</v>
      </c>
      <c r="C765" s="296"/>
      <c r="D765" s="45" t="s">
        <v>31</v>
      </c>
      <c r="E765" s="45" t="s">
        <v>2904</v>
      </c>
      <c r="F765" s="81">
        <f>IFERROR(VLOOKUP(E765,客户!B:C,2,FALSE),"/")</f>
        <v>0</v>
      </c>
      <c r="G765" s="45" t="s">
        <v>2908</v>
      </c>
      <c r="H765" s="143" t="s">
        <v>123</v>
      </c>
      <c r="I765" s="143" t="s">
        <v>2892</v>
      </c>
      <c r="J765" s="108"/>
      <c r="K765" s="100">
        <v>43480</v>
      </c>
      <c r="L765" s="100">
        <v>43519</v>
      </c>
      <c r="M765" s="298"/>
      <c r="N765" s="108" t="s">
        <v>2909</v>
      </c>
      <c r="O765" s="104"/>
      <c r="P765" s="102">
        <v>67391.02</v>
      </c>
      <c r="Q765" s="301"/>
      <c r="R765" s="131"/>
      <c r="S765" s="132"/>
      <c r="T765" s="102"/>
      <c r="U765" s="100">
        <v>43490</v>
      </c>
      <c r="V765" s="130"/>
      <c r="W765" s="210"/>
    </row>
    <row r="766" s="43" customFormat="1" ht="22" hidden="1" customHeight="1" spans="1:23">
      <c r="A766" s="144" t="s">
        <v>2910</v>
      </c>
      <c r="B766" s="295" t="s">
        <v>2855</v>
      </c>
      <c r="C766" s="296"/>
      <c r="D766" s="45" t="s">
        <v>31</v>
      </c>
      <c r="E766" s="45" t="s">
        <v>2878</v>
      </c>
      <c r="F766" s="81">
        <f>IFERROR(VLOOKUP(E766,客户!B:C,2,FALSE),"/")</f>
        <v>0</v>
      </c>
      <c r="G766" s="45" t="s">
        <v>2911</v>
      </c>
      <c r="H766" s="190" t="s">
        <v>147</v>
      </c>
      <c r="I766" s="143" t="s">
        <v>2892</v>
      </c>
      <c r="J766" s="108">
        <v>43446</v>
      </c>
      <c r="K766" s="100">
        <v>43487</v>
      </c>
      <c r="L766" s="100">
        <v>43527</v>
      </c>
      <c r="M766" s="203" t="s">
        <v>2912</v>
      </c>
      <c r="N766" s="108" t="s">
        <v>2913</v>
      </c>
      <c r="O766" s="104"/>
      <c r="P766" s="102">
        <v>39950.9</v>
      </c>
      <c r="Q766" s="230">
        <v>2987.53</v>
      </c>
      <c r="R766" s="131">
        <v>0</v>
      </c>
      <c r="S766" s="132"/>
      <c r="T766" s="211">
        <v>33914</v>
      </c>
      <c r="U766" s="100">
        <v>43511</v>
      </c>
      <c r="V766" s="130"/>
      <c r="W766" s="210"/>
    </row>
    <row r="767" s="43" customFormat="1" ht="22" hidden="1" customHeight="1" spans="1:23">
      <c r="A767" s="144" t="s">
        <v>2914</v>
      </c>
      <c r="B767" s="295" t="s">
        <v>2855</v>
      </c>
      <c r="C767" s="296"/>
      <c r="D767" s="45" t="s">
        <v>31</v>
      </c>
      <c r="E767" s="45" t="s">
        <v>2878</v>
      </c>
      <c r="F767" s="81">
        <f>IFERROR(VLOOKUP(E767,客户!B:C,2,FALSE),"/")</f>
        <v>0</v>
      </c>
      <c r="G767" s="45" t="s">
        <v>2915</v>
      </c>
      <c r="H767" s="190" t="s">
        <v>147</v>
      </c>
      <c r="I767" s="143" t="s">
        <v>2892</v>
      </c>
      <c r="J767" s="108">
        <v>43451</v>
      </c>
      <c r="K767" s="100">
        <v>43487</v>
      </c>
      <c r="L767" s="100">
        <v>43527</v>
      </c>
      <c r="M767" s="203" t="s">
        <v>2912</v>
      </c>
      <c r="N767" s="108" t="s">
        <v>2913</v>
      </c>
      <c r="O767" s="104"/>
      <c r="P767" s="102"/>
      <c r="Q767" s="230">
        <v>3005.1</v>
      </c>
      <c r="R767" s="131"/>
      <c r="S767" s="132"/>
      <c r="T767" s="211"/>
      <c r="U767" s="100">
        <v>43511</v>
      </c>
      <c r="V767" s="130"/>
      <c r="W767" s="210"/>
    </row>
    <row r="768" s="43" customFormat="1" ht="22" hidden="1" customHeight="1" spans="1:23">
      <c r="A768" s="144" t="s">
        <v>2916</v>
      </c>
      <c r="B768" s="295" t="s">
        <v>2855</v>
      </c>
      <c r="C768" s="296"/>
      <c r="D768" s="45" t="s">
        <v>31</v>
      </c>
      <c r="E768" s="45" t="s">
        <v>2917</v>
      </c>
      <c r="F768" s="81" t="str">
        <f>IFERROR(VLOOKUP(E768,客户!B:C,2,FALSE),"/")</f>
        <v>/</v>
      </c>
      <c r="G768" s="45" t="s">
        <v>93</v>
      </c>
      <c r="H768" s="143" t="s">
        <v>123</v>
      </c>
      <c r="I768" s="143" t="s">
        <v>2295</v>
      </c>
      <c r="J768" s="108">
        <v>43454</v>
      </c>
      <c r="K768" s="100">
        <v>43485</v>
      </c>
      <c r="L768" s="100">
        <v>43519</v>
      </c>
      <c r="M768" s="298"/>
      <c r="N768" s="108" t="s">
        <v>2918</v>
      </c>
      <c r="O768" s="104"/>
      <c r="P768" s="102">
        <v>20392.44</v>
      </c>
      <c r="Q768" s="230" t="s">
        <v>2919</v>
      </c>
      <c r="R768" s="131">
        <v>0</v>
      </c>
      <c r="S768" s="132"/>
      <c r="T768" s="102" t="s">
        <v>2920</v>
      </c>
      <c r="U768" s="100">
        <v>43483</v>
      </c>
      <c r="V768" s="130"/>
      <c r="W768" s="210"/>
    </row>
    <row r="769" s="43" customFormat="1" ht="22" hidden="1" customHeight="1" spans="1:23">
      <c r="A769" s="144" t="s">
        <v>2921</v>
      </c>
      <c r="B769" s="295" t="s">
        <v>2855</v>
      </c>
      <c r="C769" s="296"/>
      <c r="D769" s="45" t="s">
        <v>31</v>
      </c>
      <c r="E769" s="45" t="s">
        <v>2878</v>
      </c>
      <c r="F769" s="81">
        <f>IFERROR(VLOOKUP(E769,客户!B:C,2,FALSE),"/")</f>
        <v>0</v>
      </c>
      <c r="G769" s="45" t="s">
        <v>93</v>
      </c>
      <c r="H769" s="190" t="s">
        <v>147</v>
      </c>
      <c r="I769" s="143" t="s">
        <v>1877</v>
      </c>
      <c r="J769" s="108">
        <v>43465</v>
      </c>
      <c r="K769" s="100">
        <v>43496</v>
      </c>
      <c r="L769" s="100">
        <v>43540</v>
      </c>
      <c r="M769" s="203" t="s">
        <v>2922</v>
      </c>
      <c r="N769" s="108" t="s">
        <v>2923</v>
      </c>
      <c r="O769" s="104"/>
      <c r="P769" s="102">
        <v>36100.3</v>
      </c>
      <c r="Q769" s="102">
        <v>3046</v>
      </c>
      <c r="R769" s="131">
        <v>0</v>
      </c>
      <c r="S769" s="132"/>
      <c r="T769" s="211">
        <v>30641</v>
      </c>
      <c r="U769" s="100">
        <v>43538</v>
      </c>
      <c r="V769" s="102"/>
      <c r="W769" s="210"/>
    </row>
    <row r="770" s="43" customFormat="1" ht="22" hidden="1" customHeight="1" spans="1:23">
      <c r="A770" s="144" t="s">
        <v>2924</v>
      </c>
      <c r="B770" s="295" t="s">
        <v>2855</v>
      </c>
      <c r="C770" s="296"/>
      <c r="D770" s="45" t="s">
        <v>31</v>
      </c>
      <c r="E770" s="45" t="s">
        <v>2878</v>
      </c>
      <c r="F770" s="81">
        <f>IFERROR(VLOOKUP(E770,客户!B:C,2,FALSE),"/")</f>
        <v>0</v>
      </c>
      <c r="G770" s="45" t="s">
        <v>1599</v>
      </c>
      <c r="H770" s="190" t="s">
        <v>147</v>
      </c>
      <c r="I770" s="143" t="s">
        <v>1877</v>
      </c>
      <c r="J770" s="108">
        <v>43465</v>
      </c>
      <c r="K770" s="100">
        <v>43496</v>
      </c>
      <c r="L770" s="100">
        <v>43540</v>
      </c>
      <c r="M770" s="203" t="s">
        <v>2922</v>
      </c>
      <c r="N770" s="108" t="s">
        <v>2925</v>
      </c>
      <c r="O770" s="104"/>
      <c r="P770" s="102"/>
      <c r="Q770" s="102">
        <v>2369</v>
      </c>
      <c r="R770" s="131"/>
      <c r="S770" s="132"/>
      <c r="T770" s="211"/>
      <c r="U770" s="100">
        <v>43538</v>
      </c>
      <c r="V770" s="102"/>
      <c r="W770" s="210"/>
    </row>
    <row r="771" s="43" customFormat="1" ht="22" hidden="1" customHeight="1" spans="1:23">
      <c r="A771" s="144" t="s">
        <v>2926</v>
      </c>
      <c r="B771" s="295" t="s">
        <v>2855</v>
      </c>
      <c r="C771" s="296"/>
      <c r="D771" s="45" t="s">
        <v>31</v>
      </c>
      <c r="E771" s="45" t="s">
        <v>2927</v>
      </c>
      <c r="F771" s="81" t="str">
        <f>IFERROR(VLOOKUP(E771,客户!B:C,2,FALSE),"/")</f>
        <v>/</v>
      </c>
      <c r="G771" s="45" t="s">
        <v>2928</v>
      </c>
      <c r="H771" s="143" t="s">
        <v>123</v>
      </c>
      <c r="I771" s="143" t="s">
        <v>1877</v>
      </c>
      <c r="J771" s="108">
        <v>43465</v>
      </c>
      <c r="K771" s="100">
        <v>43496</v>
      </c>
      <c r="L771" s="100">
        <v>43540</v>
      </c>
      <c r="M771" s="203" t="s">
        <v>2929</v>
      </c>
      <c r="N771" s="108" t="s">
        <v>620</v>
      </c>
      <c r="O771" s="104"/>
      <c r="P771" s="102">
        <v>40615.9</v>
      </c>
      <c r="Q771" s="230">
        <v>7633</v>
      </c>
      <c r="R771" s="131">
        <v>0</v>
      </c>
      <c r="S771" s="132"/>
      <c r="T771" s="102">
        <v>32960</v>
      </c>
      <c r="U771" s="100">
        <v>43535</v>
      </c>
      <c r="V771" s="139"/>
      <c r="W771" s="210"/>
    </row>
    <row r="772" s="43" customFormat="1" ht="22" hidden="1" customHeight="1" spans="1:23">
      <c r="A772" s="144" t="s">
        <v>2930</v>
      </c>
      <c r="B772" s="295" t="s">
        <v>2855</v>
      </c>
      <c r="C772" s="296"/>
      <c r="D772" s="45" t="s">
        <v>31</v>
      </c>
      <c r="E772" s="45" t="s">
        <v>2872</v>
      </c>
      <c r="F772" s="81">
        <f>IFERROR(VLOOKUP(E772,客户!B:C,2,FALSE),"/")</f>
        <v>0</v>
      </c>
      <c r="G772" s="45" t="s">
        <v>93</v>
      </c>
      <c r="H772" s="143" t="s">
        <v>123</v>
      </c>
      <c r="I772" s="143" t="s">
        <v>1877</v>
      </c>
      <c r="J772" s="108">
        <v>43469</v>
      </c>
      <c r="K772" s="100">
        <v>43496</v>
      </c>
      <c r="L772" s="100">
        <v>43519</v>
      </c>
      <c r="M772" s="203" t="s">
        <v>2931</v>
      </c>
      <c r="N772" s="108" t="s">
        <v>2932</v>
      </c>
      <c r="O772" s="104"/>
      <c r="P772" s="102">
        <v>20313.7</v>
      </c>
      <c r="Q772" s="230">
        <v>3817</v>
      </c>
      <c r="R772" s="131">
        <v>0</v>
      </c>
      <c r="S772" s="132"/>
      <c r="T772" s="102">
        <v>16474</v>
      </c>
      <c r="U772" s="100">
        <v>43514</v>
      </c>
      <c r="V772" s="139"/>
      <c r="W772" s="210"/>
    </row>
    <row r="773" s="43" customFormat="1" ht="22" hidden="1" customHeight="1" spans="1:23">
      <c r="A773" s="144" t="s">
        <v>2933</v>
      </c>
      <c r="B773" s="295" t="s">
        <v>2855</v>
      </c>
      <c r="C773" s="296"/>
      <c r="D773" s="45" t="s">
        <v>31</v>
      </c>
      <c r="E773" s="45" t="s">
        <v>2934</v>
      </c>
      <c r="F773" s="81" t="str">
        <f>IFERROR(VLOOKUP(E773,客户!B:C,2,FALSE),"/")</f>
        <v>/</v>
      </c>
      <c r="G773" s="45" t="s">
        <v>2421</v>
      </c>
      <c r="H773" s="190" t="s">
        <v>147</v>
      </c>
      <c r="I773" s="143" t="s">
        <v>1877</v>
      </c>
      <c r="J773" s="108">
        <v>43472</v>
      </c>
      <c r="K773" s="100">
        <v>43537</v>
      </c>
      <c r="L773" s="100">
        <v>43582</v>
      </c>
      <c r="M773" s="203" t="s">
        <v>2935</v>
      </c>
      <c r="N773" s="108" t="s">
        <v>2936</v>
      </c>
      <c r="O773" s="104"/>
      <c r="P773" s="102">
        <v>38793</v>
      </c>
      <c r="Q773" s="230">
        <v>7758.6</v>
      </c>
      <c r="R773" s="131">
        <v>0</v>
      </c>
      <c r="S773" s="132"/>
      <c r="T773" s="102">
        <v>30963</v>
      </c>
      <c r="U773" s="100">
        <v>43588</v>
      </c>
      <c r="V773" s="102"/>
      <c r="W773" s="210"/>
    </row>
    <row r="774" s="43" customFormat="1" ht="22" hidden="1" customHeight="1" spans="1:23">
      <c r="A774" s="144" t="s">
        <v>2937</v>
      </c>
      <c r="B774" s="295" t="s">
        <v>2855</v>
      </c>
      <c r="C774" s="296"/>
      <c r="D774" s="45" t="s">
        <v>31</v>
      </c>
      <c r="E774" s="45" t="s">
        <v>2938</v>
      </c>
      <c r="F774" s="81" t="str">
        <f>IFERROR(VLOOKUP(E774,客户!B:C,2,FALSE),"/")</f>
        <v>/</v>
      </c>
      <c r="G774" s="45" t="s">
        <v>91</v>
      </c>
      <c r="H774" s="190" t="s">
        <v>147</v>
      </c>
      <c r="I774" s="143" t="s">
        <v>2939</v>
      </c>
      <c r="J774" s="108">
        <v>43489</v>
      </c>
      <c r="K774" s="100">
        <v>43551</v>
      </c>
      <c r="L774" s="100">
        <v>43564</v>
      </c>
      <c r="M774" s="309" t="s">
        <v>2940</v>
      </c>
      <c r="N774" s="108" t="s">
        <v>2941</v>
      </c>
      <c r="O774" s="104"/>
      <c r="P774" s="102">
        <v>23739.2</v>
      </c>
      <c r="Q774" s="230">
        <v>7103</v>
      </c>
      <c r="R774" s="131">
        <v>0</v>
      </c>
      <c r="S774" s="132"/>
      <c r="T774" s="102">
        <v>16627</v>
      </c>
      <c r="U774" s="100">
        <v>43558</v>
      </c>
      <c r="V774" s="102"/>
      <c r="W774" s="210"/>
    </row>
    <row r="775" s="43" customFormat="1" ht="22" hidden="1" customHeight="1" spans="1:23">
      <c r="A775" s="144" t="s">
        <v>2942</v>
      </c>
      <c r="B775" s="295" t="s">
        <v>2855</v>
      </c>
      <c r="C775" s="296"/>
      <c r="D775" s="45" t="s">
        <v>31</v>
      </c>
      <c r="E775" s="45" t="s">
        <v>2943</v>
      </c>
      <c r="F775" s="81" t="str">
        <f>IFERROR(VLOOKUP(E775,客户!B:C,2,FALSE),"/")</f>
        <v>/</v>
      </c>
      <c r="G775" s="45" t="s">
        <v>2944</v>
      </c>
      <c r="H775" s="143" t="s">
        <v>123</v>
      </c>
      <c r="I775" s="143" t="s">
        <v>2945</v>
      </c>
      <c r="J775" s="108">
        <v>43509</v>
      </c>
      <c r="K775" s="100">
        <v>43545</v>
      </c>
      <c r="L775" s="100" t="s">
        <v>2946</v>
      </c>
      <c r="M775" s="189"/>
      <c r="N775" s="108"/>
      <c r="O775" s="104"/>
      <c r="P775" s="102">
        <v>19496.35</v>
      </c>
      <c r="Q775" s="230" t="s">
        <v>2947</v>
      </c>
      <c r="R775" s="131">
        <v>0</v>
      </c>
      <c r="S775" s="132"/>
      <c r="T775" s="102">
        <v>11670</v>
      </c>
      <c r="U775" s="100">
        <v>43543</v>
      </c>
      <c r="V775" s="102"/>
      <c r="W775" s="210"/>
    </row>
    <row r="776" s="43" customFormat="1" ht="22" hidden="1" customHeight="1" spans="1:23">
      <c r="A776" s="144" t="s">
        <v>2948</v>
      </c>
      <c r="B776" s="295" t="s">
        <v>2855</v>
      </c>
      <c r="C776" s="296"/>
      <c r="D776" s="45" t="s">
        <v>31</v>
      </c>
      <c r="E776" s="45" t="s">
        <v>2949</v>
      </c>
      <c r="F776" s="81">
        <f>IFERROR(VLOOKUP(E776,客户!B:C,2,FALSE),"/")</f>
        <v>0</v>
      </c>
      <c r="G776" s="45" t="s">
        <v>36</v>
      </c>
      <c r="H776" s="143" t="s">
        <v>123</v>
      </c>
      <c r="I776" s="143" t="s">
        <v>1684</v>
      </c>
      <c r="J776" s="108">
        <v>43510</v>
      </c>
      <c r="K776" s="100">
        <v>43546</v>
      </c>
      <c r="L776" s="100">
        <v>43584</v>
      </c>
      <c r="M776" s="203" t="s">
        <v>2950</v>
      </c>
      <c r="N776" s="108" t="s">
        <v>2951</v>
      </c>
      <c r="O776" s="104"/>
      <c r="P776" s="102">
        <v>16301.6</v>
      </c>
      <c r="Q776" s="230">
        <v>5000</v>
      </c>
      <c r="R776" s="131">
        <v>0</v>
      </c>
      <c r="S776" s="132"/>
      <c r="T776" s="102">
        <v>11245</v>
      </c>
      <c r="U776" s="100">
        <v>43585</v>
      </c>
      <c r="V776" s="102"/>
      <c r="W776" s="210"/>
    </row>
    <row r="777" s="43" customFormat="1" ht="22" hidden="1" customHeight="1" spans="1:23">
      <c r="A777" s="144" t="s">
        <v>2952</v>
      </c>
      <c r="B777" s="295" t="s">
        <v>2855</v>
      </c>
      <c r="C777" s="296"/>
      <c r="D777" s="45" t="s">
        <v>31</v>
      </c>
      <c r="E777" s="45" t="s">
        <v>2953</v>
      </c>
      <c r="F777" s="81">
        <f>IFERROR(VLOOKUP(E777,客户!B:C,2,FALSE),"/")</f>
        <v>0</v>
      </c>
      <c r="G777" s="45" t="s">
        <v>2954</v>
      </c>
      <c r="H777" s="190" t="s">
        <v>147</v>
      </c>
      <c r="I777" s="108" t="s">
        <v>2939</v>
      </c>
      <c r="J777" s="108">
        <v>43525</v>
      </c>
      <c r="K777" s="100">
        <v>43561</v>
      </c>
      <c r="L777" s="100">
        <v>43578</v>
      </c>
      <c r="M777" s="162" t="s">
        <v>2955</v>
      </c>
      <c r="N777" s="102" t="s">
        <v>2956</v>
      </c>
      <c r="O777" s="104"/>
      <c r="P777" s="230">
        <v>24790.42</v>
      </c>
      <c r="Q777" s="230">
        <v>7508</v>
      </c>
      <c r="R777" s="131"/>
      <c r="S777" s="132"/>
      <c r="T777" s="102">
        <v>17282.42</v>
      </c>
      <c r="U777" s="100"/>
      <c r="V777" s="102"/>
      <c r="W777" s="210"/>
    </row>
    <row r="778" s="43" customFormat="1" ht="22" hidden="1" customHeight="1" spans="1:23">
      <c r="A778" s="144" t="s">
        <v>2957</v>
      </c>
      <c r="B778" s="295" t="s">
        <v>2855</v>
      </c>
      <c r="C778" s="296"/>
      <c r="D778" s="45" t="s">
        <v>31</v>
      </c>
      <c r="E778" s="45" t="s">
        <v>2904</v>
      </c>
      <c r="F778" s="81">
        <f>IFERROR(VLOOKUP(E778,客户!B:C,2,FALSE),"/")</f>
        <v>0</v>
      </c>
      <c r="G778" s="45" t="s">
        <v>61</v>
      </c>
      <c r="H778" s="143" t="s">
        <v>123</v>
      </c>
      <c r="I778" s="108" t="s">
        <v>1877</v>
      </c>
      <c r="J778" s="108">
        <v>43535</v>
      </c>
      <c r="K778" s="100">
        <v>43578</v>
      </c>
      <c r="L778" s="100">
        <v>43624</v>
      </c>
      <c r="M778" s="159" t="s">
        <v>2958</v>
      </c>
      <c r="N778" s="102" t="s">
        <v>2959</v>
      </c>
      <c r="O778" s="104"/>
      <c r="P778" s="230">
        <v>103129.44</v>
      </c>
      <c r="Q778" s="230">
        <v>48076</v>
      </c>
      <c r="R778" s="131">
        <v>0</v>
      </c>
      <c r="S778" s="132"/>
      <c r="T778" s="102">
        <v>55010</v>
      </c>
      <c r="U778" s="100">
        <v>43600</v>
      </c>
      <c r="V778" s="102"/>
      <c r="W778" s="210"/>
    </row>
    <row r="779" s="43" customFormat="1" ht="22" hidden="1" customHeight="1" spans="1:23">
      <c r="A779" s="144" t="s">
        <v>2960</v>
      </c>
      <c r="B779" s="295" t="s">
        <v>2855</v>
      </c>
      <c r="C779" s="296"/>
      <c r="D779" s="45" t="s">
        <v>31</v>
      </c>
      <c r="E779" s="45" t="s">
        <v>2961</v>
      </c>
      <c r="F779" s="81" t="str">
        <f>IFERROR(VLOOKUP(E779,客户!B:C,2,FALSE),"/")</f>
        <v>/</v>
      </c>
      <c r="G779" s="45" t="s">
        <v>2962</v>
      </c>
      <c r="H779" s="143" t="s">
        <v>123</v>
      </c>
      <c r="I779" s="108" t="s">
        <v>2963</v>
      </c>
      <c r="J779" s="108">
        <v>43539</v>
      </c>
      <c r="K779" s="100">
        <v>43583</v>
      </c>
      <c r="L779" s="100"/>
      <c r="M779" s="182"/>
      <c r="N779" s="102" t="s">
        <v>2964</v>
      </c>
      <c r="O779" s="104"/>
      <c r="P779" s="230">
        <v>19848.8</v>
      </c>
      <c r="Q779" s="230">
        <v>5955</v>
      </c>
      <c r="R779" s="131">
        <v>0</v>
      </c>
      <c r="S779" s="132"/>
      <c r="T779" s="102">
        <v>13855</v>
      </c>
      <c r="U779" s="100">
        <v>43577</v>
      </c>
      <c r="V779" s="102"/>
      <c r="W779" s="210"/>
    </row>
    <row r="780" s="43" customFormat="1" ht="22" hidden="1" customHeight="1" spans="1:23">
      <c r="A780" s="144" t="s">
        <v>2965</v>
      </c>
      <c r="B780" s="295" t="s">
        <v>2855</v>
      </c>
      <c r="C780" s="296"/>
      <c r="D780" s="45" t="s">
        <v>31</v>
      </c>
      <c r="E780" s="45" t="s">
        <v>2872</v>
      </c>
      <c r="F780" s="81">
        <f>IFERROR(VLOOKUP(E780,客户!B:C,2,FALSE),"/")</f>
        <v>0</v>
      </c>
      <c r="G780" s="45" t="s">
        <v>2966</v>
      </c>
      <c r="H780" s="143" t="s">
        <v>123</v>
      </c>
      <c r="I780" s="108" t="s">
        <v>1877</v>
      </c>
      <c r="J780" s="108">
        <v>43550</v>
      </c>
      <c r="K780" s="100">
        <v>43587</v>
      </c>
      <c r="L780" s="100">
        <v>43624</v>
      </c>
      <c r="M780" s="181" t="s">
        <v>2967</v>
      </c>
      <c r="N780" s="102" t="s">
        <v>2968</v>
      </c>
      <c r="O780" s="104"/>
      <c r="P780" s="230">
        <v>43105.1</v>
      </c>
      <c r="Q780" s="230">
        <v>12152</v>
      </c>
      <c r="R780" s="131">
        <v>0</v>
      </c>
      <c r="S780" s="132"/>
      <c r="T780" s="102">
        <v>30931</v>
      </c>
      <c r="U780" s="100">
        <v>43620</v>
      </c>
      <c r="V780" s="102"/>
      <c r="W780" s="210"/>
    </row>
    <row r="781" s="43" customFormat="1" ht="22" hidden="1" customHeight="1" spans="1:23">
      <c r="A781" s="144" t="s">
        <v>2969</v>
      </c>
      <c r="B781" s="295" t="s">
        <v>2855</v>
      </c>
      <c r="C781" s="296"/>
      <c r="D781" s="45" t="s">
        <v>31</v>
      </c>
      <c r="E781" s="45" t="s">
        <v>2934</v>
      </c>
      <c r="F781" s="81" t="str">
        <f>IFERROR(VLOOKUP(E781,客户!B:C,2,FALSE),"/")</f>
        <v>/</v>
      </c>
      <c r="G781" s="45" t="s">
        <v>36</v>
      </c>
      <c r="H781" s="190" t="s">
        <v>147</v>
      </c>
      <c r="I781" s="108" t="s">
        <v>1877</v>
      </c>
      <c r="J781" s="108">
        <v>43556</v>
      </c>
      <c r="K781" s="100">
        <v>43601</v>
      </c>
      <c r="L781" s="100">
        <v>43638</v>
      </c>
      <c r="M781" s="181" t="s">
        <v>2970</v>
      </c>
      <c r="N781" s="102" t="s">
        <v>2971</v>
      </c>
      <c r="O781" s="104"/>
      <c r="P781" s="230">
        <v>22430.2</v>
      </c>
      <c r="Q781" s="230">
        <v>4223.6</v>
      </c>
      <c r="R781" s="131">
        <v>0</v>
      </c>
      <c r="S781" s="132"/>
      <c r="T781" s="102">
        <v>18145</v>
      </c>
      <c r="U781" s="100">
        <v>43642</v>
      </c>
      <c r="V781" s="102"/>
      <c r="W781" s="210"/>
    </row>
    <row r="782" s="43" customFormat="1" ht="22" hidden="1" customHeight="1" spans="1:23">
      <c r="A782" s="144" t="s">
        <v>2972</v>
      </c>
      <c r="B782" s="295" t="s">
        <v>2855</v>
      </c>
      <c r="C782" s="296"/>
      <c r="D782" s="45" t="s">
        <v>31</v>
      </c>
      <c r="E782" s="45" t="s">
        <v>2961</v>
      </c>
      <c r="F782" s="81" t="str">
        <f>IFERROR(VLOOKUP(E782,客户!B:C,2,FALSE),"/")</f>
        <v>/</v>
      </c>
      <c r="G782" s="45" t="s">
        <v>2944</v>
      </c>
      <c r="H782" s="143" t="s">
        <v>123</v>
      </c>
      <c r="I782" s="108" t="s">
        <v>2973</v>
      </c>
      <c r="J782" s="108">
        <v>43556</v>
      </c>
      <c r="K782" s="100">
        <v>43586</v>
      </c>
      <c r="L782" s="100"/>
      <c r="M782" s="181" t="s">
        <v>2974</v>
      </c>
      <c r="N782" s="102" t="s">
        <v>2975</v>
      </c>
      <c r="O782" s="104"/>
      <c r="P782" s="230">
        <v>11861.85</v>
      </c>
      <c r="Q782" s="230">
        <v>3559</v>
      </c>
      <c r="R782" s="131">
        <v>0</v>
      </c>
      <c r="S782" s="132"/>
      <c r="T782" s="102">
        <v>8263</v>
      </c>
      <c r="U782" s="100">
        <v>43585</v>
      </c>
      <c r="V782" s="102"/>
      <c r="W782" s="210"/>
    </row>
    <row r="783" s="43" customFormat="1" ht="22" hidden="1" customHeight="1" spans="1:23">
      <c r="A783" s="144" t="s">
        <v>2976</v>
      </c>
      <c r="B783" s="295" t="s">
        <v>2855</v>
      </c>
      <c r="C783" s="296"/>
      <c r="D783" s="45" t="s">
        <v>31</v>
      </c>
      <c r="E783" s="45" t="s">
        <v>2953</v>
      </c>
      <c r="F783" s="81">
        <f>IFERROR(VLOOKUP(E783,客户!B:C,2,FALSE),"/")</f>
        <v>0</v>
      </c>
      <c r="G783" s="45" t="s">
        <v>2977</v>
      </c>
      <c r="H783" s="190" t="s">
        <v>147</v>
      </c>
      <c r="I783" s="108" t="s">
        <v>2939</v>
      </c>
      <c r="J783" s="108">
        <v>43557</v>
      </c>
      <c r="K783" s="100">
        <v>43596</v>
      </c>
      <c r="L783" s="100">
        <v>43614</v>
      </c>
      <c r="M783" s="181"/>
      <c r="N783" s="102" t="s">
        <v>2978</v>
      </c>
      <c r="O783" s="104"/>
      <c r="P783" s="230">
        <v>23448.08</v>
      </c>
      <c r="Q783" s="230">
        <v>7098</v>
      </c>
      <c r="R783" s="131">
        <v>0</v>
      </c>
      <c r="S783" s="132"/>
      <c r="T783" s="102">
        <v>16341</v>
      </c>
      <c r="U783" s="100">
        <v>43599</v>
      </c>
      <c r="V783" s="102"/>
      <c r="W783" s="210"/>
    </row>
    <row r="784" s="43" customFormat="1" ht="22" hidden="1" customHeight="1" spans="1:23">
      <c r="A784" s="144" t="s">
        <v>2979</v>
      </c>
      <c r="B784" s="295" t="s">
        <v>2855</v>
      </c>
      <c r="C784" s="296"/>
      <c r="D784" s="45" t="s">
        <v>31</v>
      </c>
      <c r="E784" s="45" t="s">
        <v>2878</v>
      </c>
      <c r="F784" s="81">
        <f>IFERROR(VLOOKUP(E784,客户!B:C,2,FALSE),"/")</f>
        <v>0</v>
      </c>
      <c r="G784" s="45" t="s">
        <v>36</v>
      </c>
      <c r="H784" s="190" t="s">
        <v>147</v>
      </c>
      <c r="I784" s="108" t="s">
        <v>1877</v>
      </c>
      <c r="J784" s="108">
        <v>43578</v>
      </c>
      <c r="K784" s="100">
        <v>43609</v>
      </c>
      <c r="L784" s="100">
        <v>43652</v>
      </c>
      <c r="M784" s="181" t="s">
        <v>2980</v>
      </c>
      <c r="N784" s="102" t="s">
        <v>2472</v>
      </c>
      <c r="O784" s="104"/>
      <c r="P784" s="230">
        <v>21192.5</v>
      </c>
      <c r="Q784" s="230">
        <v>3180</v>
      </c>
      <c r="R784" s="131">
        <v>0</v>
      </c>
      <c r="S784" s="132"/>
      <c r="T784" s="102">
        <v>18012</v>
      </c>
      <c r="U784" s="100">
        <v>43643</v>
      </c>
      <c r="V784" s="102"/>
      <c r="W784" s="210"/>
    </row>
    <row r="785" s="43" customFormat="1" ht="22" hidden="1" customHeight="1" spans="1:23">
      <c r="A785" s="144" t="s">
        <v>2981</v>
      </c>
      <c r="B785" s="295" t="s">
        <v>2855</v>
      </c>
      <c r="C785" s="296"/>
      <c r="D785" s="45" t="s">
        <v>31</v>
      </c>
      <c r="E785" s="45" t="s">
        <v>2904</v>
      </c>
      <c r="F785" s="81">
        <f>IFERROR(VLOOKUP(E785,客户!B:C,2,FALSE),"/")</f>
        <v>0</v>
      </c>
      <c r="G785" s="45" t="s">
        <v>513</v>
      </c>
      <c r="H785" s="143" t="s">
        <v>123</v>
      </c>
      <c r="I785" s="108" t="s">
        <v>1877</v>
      </c>
      <c r="J785" s="108">
        <v>43584</v>
      </c>
      <c r="K785" s="100">
        <v>43621</v>
      </c>
      <c r="L785" s="100"/>
      <c r="M785" s="159" t="s">
        <v>2982</v>
      </c>
      <c r="N785" s="102" t="s">
        <v>620</v>
      </c>
      <c r="O785" s="104"/>
      <c r="P785" s="230">
        <v>83331.08</v>
      </c>
      <c r="Q785" s="230">
        <v>68598</v>
      </c>
      <c r="R785" s="131">
        <v>0</v>
      </c>
      <c r="S785" s="132"/>
      <c r="T785" s="102">
        <v>59699</v>
      </c>
      <c r="U785" s="100">
        <v>43635</v>
      </c>
      <c r="V785" s="102"/>
      <c r="W785" s="210"/>
    </row>
    <row r="786" s="43" customFormat="1" ht="22" hidden="1" customHeight="1" spans="1:23">
      <c r="A786" s="144" t="s">
        <v>2983</v>
      </c>
      <c r="B786" s="295" t="s">
        <v>2855</v>
      </c>
      <c r="C786" s="296"/>
      <c r="D786" s="45" t="s">
        <v>31</v>
      </c>
      <c r="E786" s="45" t="s">
        <v>2904</v>
      </c>
      <c r="F786" s="81">
        <f>IFERROR(VLOOKUP(E786,客户!B:C,2,FALSE),"/")</f>
        <v>0</v>
      </c>
      <c r="G786" s="45" t="s">
        <v>2984</v>
      </c>
      <c r="H786" s="143" t="s">
        <v>123</v>
      </c>
      <c r="I786" s="108" t="s">
        <v>1877</v>
      </c>
      <c r="J786" s="108">
        <v>43584</v>
      </c>
      <c r="K786" s="100">
        <v>43634</v>
      </c>
      <c r="L786" s="100">
        <v>43673</v>
      </c>
      <c r="M786" s="181" t="s">
        <v>2985</v>
      </c>
      <c r="N786" s="102" t="s">
        <v>2986</v>
      </c>
      <c r="O786" s="104"/>
      <c r="P786" s="230">
        <v>49051.62</v>
      </c>
      <c r="Q786" s="230"/>
      <c r="R786" s="131"/>
      <c r="S786" s="132"/>
      <c r="T786" s="102"/>
      <c r="U786" s="100"/>
      <c r="V786" s="102"/>
      <c r="W786" s="210"/>
    </row>
    <row r="787" s="43" customFormat="1" ht="22" hidden="1" customHeight="1" spans="1:23">
      <c r="A787" s="144" t="s">
        <v>2987</v>
      </c>
      <c r="B787" s="174" t="s">
        <v>2855</v>
      </c>
      <c r="C787" s="175"/>
      <c r="D787" s="45" t="s">
        <v>31</v>
      </c>
      <c r="E787" s="45" t="s">
        <v>2904</v>
      </c>
      <c r="F787" s="81">
        <f>IFERROR(VLOOKUP(E787,客户!B:C,2,FALSE),"/")</f>
        <v>0</v>
      </c>
      <c r="G787" s="45" t="s">
        <v>234</v>
      </c>
      <c r="H787" s="143" t="s">
        <v>123</v>
      </c>
      <c r="I787" s="108" t="s">
        <v>1877</v>
      </c>
      <c r="J787" s="108">
        <v>43584</v>
      </c>
      <c r="K787" s="100">
        <v>43641</v>
      </c>
      <c r="L787" s="100">
        <v>43687</v>
      </c>
      <c r="M787" s="181" t="s">
        <v>2988</v>
      </c>
      <c r="N787" s="102" t="s">
        <v>2989</v>
      </c>
      <c r="O787" s="104"/>
      <c r="P787" s="230">
        <v>65502.6</v>
      </c>
      <c r="Q787" s="230"/>
      <c r="R787" s="131"/>
      <c r="S787" s="132"/>
      <c r="T787" s="102"/>
      <c r="U787" s="100"/>
      <c r="V787" s="102"/>
      <c r="W787" s="210"/>
    </row>
    <row r="788" s="43" customFormat="1" ht="22" hidden="1" customHeight="1" spans="1:23">
      <c r="A788" s="144" t="s">
        <v>2990</v>
      </c>
      <c r="B788" s="174" t="s">
        <v>2855</v>
      </c>
      <c r="C788" s="175"/>
      <c r="D788" s="45" t="s">
        <v>31</v>
      </c>
      <c r="E788" s="45" t="s">
        <v>2904</v>
      </c>
      <c r="F788" s="81">
        <f>IFERROR(VLOOKUP(E788,客户!B:C,2,FALSE),"/")</f>
        <v>0</v>
      </c>
      <c r="G788" s="45" t="s">
        <v>2991</v>
      </c>
      <c r="H788" s="143" t="s">
        <v>123</v>
      </c>
      <c r="I788" s="108" t="s">
        <v>1877</v>
      </c>
      <c r="J788" s="108">
        <v>43584</v>
      </c>
      <c r="K788" s="100">
        <v>43678</v>
      </c>
      <c r="L788" s="100">
        <v>43728</v>
      </c>
      <c r="M788" s="196" t="s">
        <v>643</v>
      </c>
      <c r="N788" s="102" t="s">
        <v>2992</v>
      </c>
      <c r="O788" s="104"/>
      <c r="P788" s="230">
        <v>41096.6</v>
      </c>
      <c r="Q788" s="230"/>
      <c r="R788" s="131"/>
      <c r="S788" s="132"/>
      <c r="T788" s="102">
        <v>29413</v>
      </c>
      <c r="U788" s="100">
        <v>43718</v>
      </c>
      <c r="V788" s="102"/>
      <c r="W788" s="210"/>
    </row>
    <row r="789" s="43" customFormat="1" ht="22" hidden="1" customHeight="1" spans="1:23">
      <c r="A789" s="144" t="s">
        <v>2993</v>
      </c>
      <c r="B789" s="295" t="s">
        <v>2855</v>
      </c>
      <c r="C789" s="296"/>
      <c r="D789" s="45" t="s">
        <v>31</v>
      </c>
      <c r="E789" s="229" t="s">
        <v>2994</v>
      </c>
      <c r="F789" s="81" t="str">
        <f>IFERROR(VLOOKUP(E789,客户!B:C,2,FALSE),"/")</f>
        <v>安哥拉门及配件给清单  灯的清单和照片 如果HScode是九十五章  提前和报关货代说
2021.3.4收¥55000(汇率6.46，折合美金$8512.93)
冻结中</v>
      </c>
      <c r="G789" s="45" t="s">
        <v>57</v>
      </c>
      <c r="H789" s="143" t="s">
        <v>123</v>
      </c>
      <c r="I789" s="108" t="s">
        <v>2995</v>
      </c>
      <c r="J789" s="108">
        <v>43589</v>
      </c>
      <c r="K789" s="100">
        <v>43614</v>
      </c>
      <c r="L789" s="100">
        <v>43660</v>
      </c>
      <c r="M789" s="182"/>
      <c r="N789" s="102" t="s">
        <v>2996</v>
      </c>
      <c r="O789" s="104"/>
      <c r="P789" s="230">
        <v>20726.08</v>
      </c>
      <c r="Q789" s="230">
        <v>5412.4</v>
      </c>
      <c r="R789" s="131">
        <v>0</v>
      </c>
      <c r="S789" s="132"/>
      <c r="T789" s="317">
        <v>142000</v>
      </c>
      <c r="U789" s="100">
        <v>43650</v>
      </c>
      <c r="V789" s="102"/>
      <c r="W789" s="210"/>
    </row>
    <row r="790" s="43" customFormat="1" ht="22" hidden="1" customHeight="1" spans="1:23">
      <c r="A790" s="144" t="s">
        <v>2997</v>
      </c>
      <c r="B790" s="174" t="s">
        <v>2855</v>
      </c>
      <c r="C790" s="175"/>
      <c r="D790" s="45" t="s">
        <v>31</v>
      </c>
      <c r="E790" s="45" t="s">
        <v>2872</v>
      </c>
      <c r="F790" s="81">
        <f>IFERROR(VLOOKUP(E790,客户!B:C,2,FALSE),"/")</f>
        <v>0</v>
      </c>
      <c r="G790" s="45" t="s">
        <v>2998</v>
      </c>
      <c r="H790" s="143" t="s">
        <v>123</v>
      </c>
      <c r="I790" s="108" t="s">
        <v>1877</v>
      </c>
      <c r="J790" s="108">
        <v>43608</v>
      </c>
      <c r="K790" s="100">
        <v>43655</v>
      </c>
      <c r="L790" s="100">
        <v>43693</v>
      </c>
      <c r="M790" s="181" t="s">
        <v>2999</v>
      </c>
      <c r="N790" s="102" t="s">
        <v>3000</v>
      </c>
      <c r="O790" s="104"/>
      <c r="P790" s="230">
        <v>49639.5</v>
      </c>
      <c r="Q790" s="230">
        <v>16526</v>
      </c>
      <c r="R790" s="131"/>
      <c r="S790" s="132"/>
      <c r="T790" s="102">
        <v>33113</v>
      </c>
      <c r="U790" s="100" t="s">
        <v>3001</v>
      </c>
      <c r="V790" s="102"/>
      <c r="W790" s="210"/>
    </row>
    <row r="791" s="43" customFormat="1" ht="22" hidden="1" customHeight="1" spans="1:23">
      <c r="A791" s="144" t="s">
        <v>3002</v>
      </c>
      <c r="B791" s="295" t="s">
        <v>2855</v>
      </c>
      <c r="C791" s="296"/>
      <c r="D791" s="45" t="s">
        <v>31</v>
      </c>
      <c r="E791" s="45" t="s">
        <v>3003</v>
      </c>
      <c r="F791" s="81" t="str">
        <f>IFERROR(VLOOKUP(E791,客户!B:C,2,FALSE),"/")</f>
        <v>/</v>
      </c>
      <c r="G791" s="45"/>
      <c r="H791" s="143" t="s">
        <v>970</v>
      </c>
      <c r="I791" s="108"/>
      <c r="J791" s="108"/>
      <c r="K791" s="100"/>
      <c r="L791" s="100"/>
      <c r="M791" s="181"/>
      <c r="N791" s="102"/>
      <c r="O791" s="104"/>
      <c r="P791" s="230"/>
      <c r="Q791" s="230"/>
      <c r="R791" s="131"/>
      <c r="S791" s="132"/>
      <c r="T791" s="102" t="s">
        <v>3004</v>
      </c>
      <c r="U791" s="100"/>
      <c r="V791" s="102"/>
      <c r="W791" s="210"/>
    </row>
    <row r="792" s="43" customFormat="1" ht="22" hidden="1" customHeight="1" spans="1:23">
      <c r="A792" s="144" t="s">
        <v>3005</v>
      </c>
      <c r="B792" s="174" t="s">
        <v>2855</v>
      </c>
      <c r="C792" s="175"/>
      <c r="D792" s="45" t="s">
        <v>31</v>
      </c>
      <c r="E792" s="45" t="s">
        <v>2934</v>
      </c>
      <c r="F792" s="81" t="str">
        <f>IFERROR(VLOOKUP(E792,客户!B:C,2,FALSE),"/")</f>
        <v>/</v>
      </c>
      <c r="G792" s="45" t="s">
        <v>3006</v>
      </c>
      <c r="H792" s="190" t="s">
        <v>147</v>
      </c>
      <c r="I792" s="108" t="s">
        <v>1877</v>
      </c>
      <c r="J792" s="108">
        <v>43613</v>
      </c>
      <c r="K792" s="100">
        <v>43655</v>
      </c>
      <c r="L792" s="100">
        <v>43693</v>
      </c>
      <c r="M792" s="181" t="s">
        <v>3007</v>
      </c>
      <c r="N792" s="102" t="s">
        <v>3008</v>
      </c>
      <c r="O792" s="104"/>
      <c r="P792" s="230">
        <v>21688.2</v>
      </c>
      <c r="Q792" s="230" t="s">
        <v>3009</v>
      </c>
      <c r="R792" s="131"/>
      <c r="S792" s="132"/>
      <c r="T792" s="102">
        <v>15534</v>
      </c>
      <c r="U792" s="100">
        <v>43692</v>
      </c>
      <c r="V792" s="102"/>
      <c r="W792" s="210"/>
    </row>
    <row r="793" s="43" customFormat="1" ht="22" hidden="1" customHeight="1" spans="1:23">
      <c r="A793" s="144" t="s">
        <v>3010</v>
      </c>
      <c r="B793" s="174" t="s">
        <v>2855</v>
      </c>
      <c r="C793" s="175"/>
      <c r="D793" s="45" t="s">
        <v>31</v>
      </c>
      <c r="E793" s="45" t="s">
        <v>3011</v>
      </c>
      <c r="F793" s="81">
        <f>IFERROR(VLOOKUP(E793,客户!B:C,2,FALSE),"/")</f>
        <v>0</v>
      </c>
      <c r="G793" s="45" t="s">
        <v>36</v>
      </c>
      <c r="H793" s="143" t="s">
        <v>123</v>
      </c>
      <c r="I793" s="108" t="s">
        <v>3012</v>
      </c>
      <c r="J793" s="108">
        <v>43597</v>
      </c>
      <c r="K793" s="100">
        <v>43729</v>
      </c>
      <c r="L793" s="100">
        <v>43751</v>
      </c>
      <c r="M793" s="182"/>
      <c r="N793" s="102" t="s">
        <v>3013</v>
      </c>
      <c r="O793" s="104"/>
      <c r="P793" s="230">
        <v>19020.76</v>
      </c>
      <c r="Q793" s="230">
        <v>2000</v>
      </c>
      <c r="R793" s="131">
        <v>0</v>
      </c>
      <c r="S793" s="132"/>
      <c r="T793" s="213">
        <v>16998</v>
      </c>
      <c r="U793" s="212">
        <v>43746</v>
      </c>
      <c r="V793" s="102"/>
      <c r="W793" s="210"/>
    </row>
    <row r="794" s="43" customFormat="1" ht="22" hidden="1" customHeight="1" spans="1:23">
      <c r="A794" s="144" t="s">
        <v>3014</v>
      </c>
      <c r="B794" s="174" t="s">
        <v>2855</v>
      </c>
      <c r="C794" s="175"/>
      <c r="D794" s="45" t="s">
        <v>31</v>
      </c>
      <c r="E794" s="45" t="s">
        <v>3011</v>
      </c>
      <c r="F794" s="81">
        <f>IFERROR(VLOOKUP(E794,客户!B:C,2,FALSE),"/")</f>
        <v>0</v>
      </c>
      <c r="G794" s="45" t="s">
        <v>3015</v>
      </c>
      <c r="H794" s="143" t="s">
        <v>123</v>
      </c>
      <c r="I794" s="108" t="s">
        <v>3012</v>
      </c>
      <c r="J794" s="108">
        <v>43597</v>
      </c>
      <c r="K794" s="100">
        <v>43729</v>
      </c>
      <c r="L794" s="100">
        <v>43765</v>
      </c>
      <c r="M794" s="181" t="s">
        <v>3016</v>
      </c>
      <c r="N794" s="102" t="s">
        <v>3013</v>
      </c>
      <c r="O794" s="104"/>
      <c r="P794" s="230">
        <v>19427.8</v>
      </c>
      <c r="Q794" s="318" t="s">
        <v>3017</v>
      </c>
      <c r="R794" s="131">
        <v>0</v>
      </c>
      <c r="S794" s="132"/>
      <c r="T794" s="102">
        <v>19417.8</v>
      </c>
      <c r="U794" s="100">
        <v>43763</v>
      </c>
      <c r="V794" s="102"/>
      <c r="W794" s="210"/>
    </row>
    <row r="795" s="43" customFormat="1" ht="22" hidden="1" customHeight="1" spans="1:23">
      <c r="A795" s="144" t="s">
        <v>3018</v>
      </c>
      <c r="B795" s="174" t="s">
        <v>2855</v>
      </c>
      <c r="C795" s="175"/>
      <c r="D795" s="45" t="s">
        <v>31</v>
      </c>
      <c r="E795" s="45" t="s">
        <v>3019</v>
      </c>
      <c r="F795" s="81" t="str">
        <f>IFERROR(VLOOKUP(E795,客户!B:C,2,FALSE),"/")</f>
        <v>/</v>
      </c>
      <c r="G795" s="45" t="s">
        <v>566</v>
      </c>
      <c r="H795" s="143" t="s">
        <v>123</v>
      </c>
      <c r="I795" s="108" t="s">
        <v>1877</v>
      </c>
      <c r="J795" s="108">
        <v>43640</v>
      </c>
      <c r="K795" s="100">
        <v>43691</v>
      </c>
      <c r="L795" s="100">
        <v>43729</v>
      </c>
      <c r="M795" s="196" t="s">
        <v>3020</v>
      </c>
      <c r="N795" s="102" t="s">
        <v>3021</v>
      </c>
      <c r="O795" s="104"/>
      <c r="P795" s="230">
        <v>41440</v>
      </c>
      <c r="Q795" s="230">
        <v>8091</v>
      </c>
      <c r="R795" s="131"/>
      <c r="S795" s="132"/>
      <c r="T795" s="102">
        <v>33276</v>
      </c>
      <c r="U795" s="100">
        <v>43724</v>
      </c>
      <c r="V795" s="102"/>
      <c r="W795" s="210"/>
    </row>
    <row r="796" s="43" customFormat="1" ht="22" hidden="1" customHeight="1" spans="1:23">
      <c r="A796" s="144" t="s">
        <v>3022</v>
      </c>
      <c r="B796" s="174" t="s">
        <v>2855</v>
      </c>
      <c r="C796" s="175"/>
      <c r="D796" s="45" t="s">
        <v>31</v>
      </c>
      <c r="E796" s="45" t="s">
        <v>2878</v>
      </c>
      <c r="F796" s="81">
        <f>IFERROR(VLOOKUP(E796,客户!B:C,2,FALSE),"/")</f>
        <v>0</v>
      </c>
      <c r="G796" s="45" t="s">
        <v>3023</v>
      </c>
      <c r="H796" s="190" t="s">
        <v>147</v>
      </c>
      <c r="I796" s="108" t="s">
        <v>3024</v>
      </c>
      <c r="J796" s="108">
        <v>43641</v>
      </c>
      <c r="K796" s="100">
        <v>43699</v>
      </c>
      <c r="L796" s="100">
        <v>43735</v>
      </c>
      <c r="M796" s="181" t="s">
        <v>3025</v>
      </c>
      <c r="N796" s="102" t="s">
        <v>3026</v>
      </c>
      <c r="O796" s="104"/>
      <c r="P796" s="230">
        <v>43020</v>
      </c>
      <c r="Q796" s="230"/>
      <c r="R796" s="131"/>
      <c r="S796" s="132"/>
      <c r="T796" s="102">
        <v>36109</v>
      </c>
      <c r="U796" s="100">
        <v>43726</v>
      </c>
      <c r="V796" s="102"/>
      <c r="W796" s="210"/>
    </row>
    <row r="797" s="43" customFormat="1" ht="22" hidden="1" customHeight="1" spans="1:23">
      <c r="A797" s="191" t="s">
        <v>3027</v>
      </c>
      <c r="B797" s="258" t="s">
        <v>2855</v>
      </c>
      <c r="C797" s="259"/>
      <c r="D797" s="45" t="s">
        <v>31</v>
      </c>
      <c r="E797" s="192" t="s">
        <v>3011</v>
      </c>
      <c r="F797" s="81">
        <f>IFERROR(VLOOKUP(E797,客户!B:C,2,FALSE),"/")</f>
        <v>0</v>
      </c>
      <c r="G797" s="192" t="s">
        <v>36</v>
      </c>
      <c r="H797" s="302" t="s">
        <v>123</v>
      </c>
      <c r="I797" s="104" t="s">
        <v>3012</v>
      </c>
      <c r="J797" s="104">
        <v>43597</v>
      </c>
      <c r="K797" s="205">
        <v>43750</v>
      </c>
      <c r="L797" s="100">
        <v>43786</v>
      </c>
      <c r="M797" s="182" t="s">
        <v>3028</v>
      </c>
      <c r="N797" s="207" t="s">
        <v>3013</v>
      </c>
      <c r="O797" s="104" t="s">
        <v>523</v>
      </c>
      <c r="P797" s="213">
        <v>19190.36</v>
      </c>
      <c r="Q797" s="230"/>
      <c r="R797" s="131">
        <v>0</v>
      </c>
      <c r="S797" s="132"/>
      <c r="T797" s="102">
        <v>19180.36</v>
      </c>
      <c r="U797" s="100">
        <v>43784</v>
      </c>
      <c r="V797" s="102"/>
      <c r="W797" s="210"/>
    </row>
    <row r="798" s="43" customFormat="1" ht="22" hidden="1" customHeight="1" spans="1:23">
      <c r="A798" s="257" t="s">
        <v>3029</v>
      </c>
      <c r="B798" s="258" t="s">
        <v>2855</v>
      </c>
      <c r="C798" s="259"/>
      <c r="D798" s="45" t="s">
        <v>31</v>
      </c>
      <c r="E798" s="192" t="s">
        <v>3011</v>
      </c>
      <c r="F798" s="81">
        <f>IFERROR(VLOOKUP(E798,客户!B:C,2,FALSE),"/")</f>
        <v>0</v>
      </c>
      <c r="G798" s="192" t="s">
        <v>36</v>
      </c>
      <c r="H798" s="302" t="s">
        <v>123</v>
      </c>
      <c r="I798" s="104" t="s">
        <v>3012</v>
      </c>
      <c r="J798" s="104">
        <v>43597</v>
      </c>
      <c r="K798" s="100">
        <v>43764</v>
      </c>
      <c r="L798" s="100">
        <v>43800</v>
      </c>
      <c r="M798" s="159" t="s">
        <v>3030</v>
      </c>
      <c r="N798" s="102" t="s">
        <v>3031</v>
      </c>
      <c r="O798" s="104" t="s">
        <v>523</v>
      </c>
      <c r="P798" s="230">
        <v>18350.5</v>
      </c>
      <c r="Q798" s="230"/>
      <c r="R798" s="131">
        <v>0</v>
      </c>
      <c r="S798" s="132"/>
      <c r="T798" s="102">
        <v>18340.5</v>
      </c>
      <c r="U798" s="100">
        <v>43797</v>
      </c>
      <c r="V798" s="102"/>
      <c r="W798" s="210"/>
    </row>
    <row r="799" s="43" customFormat="1" ht="22" hidden="1" customHeight="1" spans="1:23">
      <c r="A799" s="191" t="s">
        <v>3032</v>
      </c>
      <c r="B799" s="258" t="s">
        <v>2855</v>
      </c>
      <c r="C799" s="259"/>
      <c r="D799" s="45" t="s">
        <v>31</v>
      </c>
      <c r="E799" s="192" t="s">
        <v>3011</v>
      </c>
      <c r="F799" s="81">
        <f>IFERROR(VLOOKUP(E799,客户!B:C,2,FALSE),"/")</f>
        <v>0</v>
      </c>
      <c r="G799" s="192" t="s">
        <v>36</v>
      </c>
      <c r="H799" s="302" t="s">
        <v>123</v>
      </c>
      <c r="I799" s="104" t="s">
        <v>3012</v>
      </c>
      <c r="J799" s="104">
        <v>43597</v>
      </c>
      <c r="K799" s="100">
        <v>43799</v>
      </c>
      <c r="L799" s="100">
        <v>43835</v>
      </c>
      <c r="M799" s="181" t="s">
        <v>3033</v>
      </c>
      <c r="N799" s="102" t="s">
        <v>3031</v>
      </c>
      <c r="O799" s="104" t="s">
        <v>523</v>
      </c>
      <c r="P799" s="230">
        <v>18781.51</v>
      </c>
      <c r="Q799" s="230"/>
      <c r="R799" s="131"/>
      <c r="S799" s="132"/>
      <c r="T799" s="102">
        <v>18781.51</v>
      </c>
      <c r="U799" s="100"/>
      <c r="V799" s="102"/>
      <c r="W799" s="210"/>
    </row>
    <row r="800" s="43" customFormat="1" ht="22" hidden="1" customHeight="1" spans="1:23">
      <c r="A800" s="144" t="s">
        <v>3034</v>
      </c>
      <c r="B800" s="174" t="s">
        <v>2855</v>
      </c>
      <c r="C800" s="175"/>
      <c r="D800" s="45" t="s">
        <v>31</v>
      </c>
      <c r="E800" s="45" t="s">
        <v>2878</v>
      </c>
      <c r="F800" s="81">
        <f>IFERROR(VLOOKUP(E800,客户!B:C,2,FALSE),"/")</f>
        <v>0</v>
      </c>
      <c r="G800" s="45" t="s">
        <v>3023</v>
      </c>
      <c r="H800" s="190" t="s">
        <v>147</v>
      </c>
      <c r="I800" s="108" t="s">
        <v>3024</v>
      </c>
      <c r="J800" s="108">
        <v>43641</v>
      </c>
      <c r="K800" s="100">
        <v>43700</v>
      </c>
      <c r="L800" s="100">
        <v>43745</v>
      </c>
      <c r="M800" s="178" t="s">
        <v>3035</v>
      </c>
      <c r="N800" s="102" t="s">
        <v>3036</v>
      </c>
      <c r="O800" s="104"/>
      <c r="P800" s="230">
        <v>43066</v>
      </c>
      <c r="Q800" s="230">
        <v>13721.25</v>
      </c>
      <c r="R800" s="131">
        <v>0</v>
      </c>
      <c r="S800" s="132"/>
      <c r="T800" s="213">
        <v>36200</v>
      </c>
      <c r="U800" s="212">
        <v>43738</v>
      </c>
      <c r="V800" s="102"/>
      <c r="W800" s="210"/>
    </row>
    <row r="801" s="43" customFormat="1" ht="22" hidden="1" customHeight="1" spans="1:23">
      <c r="A801" s="144" t="s">
        <v>3037</v>
      </c>
      <c r="B801" s="174" t="s">
        <v>2855</v>
      </c>
      <c r="C801" s="175"/>
      <c r="D801" s="45" t="s">
        <v>31</v>
      </c>
      <c r="E801" s="45" t="s">
        <v>2886</v>
      </c>
      <c r="F801" s="81" t="str">
        <f>IFERROR(VLOOKUP(E801,客户!B:C,2,FALSE),"/")</f>
        <v>/</v>
      </c>
      <c r="G801" s="45" t="s">
        <v>3038</v>
      </c>
      <c r="H801" s="143" t="s">
        <v>123</v>
      </c>
      <c r="I801" s="108" t="s">
        <v>3039</v>
      </c>
      <c r="J801" s="108">
        <v>43647</v>
      </c>
      <c r="K801" s="100">
        <v>43675</v>
      </c>
      <c r="L801" s="197"/>
      <c r="M801" s="181"/>
      <c r="N801" s="102" t="s">
        <v>3040</v>
      </c>
      <c r="O801" s="104"/>
      <c r="P801" s="230">
        <v>18856.78</v>
      </c>
      <c r="Q801" s="230">
        <v>5682</v>
      </c>
      <c r="R801" s="131"/>
      <c r="S801" s="132"/>
      <c r="T801" s="102">
        <v>13174</v>
      </c>
      <c r="U801" s="100">
        <v>43690</v>
      </c>
      <c r="V801" s="102"/>
      <c r="W801" s="210"/>
    </row>
    <row r="802" s="43" customFormat="1" ht="22" hidden="1" customHeight="1" spans="1:23">
      <c r="A802" s="144" t="s">
        <v>3041</v>
      </c>
      <c r="B802" s="174" t="s">
        <v>2855</v>
      </c>
      <c r="C802" s="175"/>
      <c r="D802" s="45" t="s">
        <v>31</v>
      </c>
      <c r="E802" s="45" t="s">
        <v>3042</v>
      </c>
      <c r="F802" s="81" t="str">
        <f>IFERROR(VLOOKUP(E802,客户!B:C,2,FALSE),"/")</f>
        <v>/</v>
      </c>
      <c r="G802" s="45" t="s">
        <v>2928</v>
      </c>
      <c r="H802" s="143" t="s">
        <v>123</v>
      </c>
      <c r="I802" s="108" t="s">
        <v>3024</v>
      </c>
      <c r="J802" s="108">
        <v>43675</v>
      </c>
      <c r="K802" s="100">
        <v>43731</v>
      </c>
      <c r="L802" s="100">
        <v>43777</v>
      </c>
      <c r="M802" s="178" t="s">
        <v>3043</v>
      </c>
      <c r="N802" s="102" t="s">
        <v>3044</v>
      </c>
      <c r="O802" s="104"/>
      <c r="P802" s="230">
        <v>41479.04</v>
      </c>
      <c r="Q802" s="230">
        <v>13854</v>
      </c>
      <c r="R802" s="131"/>
      <c r="S802" s="132"/>
      <c r="T802" s="102">
        <v>27534.5</v>
      </c>
      <c r="U802" s="100">
        <v>43773</v>
      </c>
      <c r="V802" s="102"/>
      <c r="W802" s="210"/>
    </row>
    <row r="803" s="43" customFormat="1" ht="22" hidden="1" customHeight="1" spans="1:23">
      <c r="A803" s="145" t="s">
        <v>3045</v>
      </c>
      <c r="B803" s="174" t="s">
        <v>2855</v>
      </c>
      <c r="C803" s="175"/>
      <c r="D803" s="45" t="s">
        <v>31</v>
      </c>
      <c r="E803" s="82" t="s">
        <v>3046</v>
      </c>
      <c r="F803" s="81">
        <f>IFERROR(VLOOKUP(E803,客户!B:C,2,FALSE),"/")</f>
        <v>0</v>
      </c>
      <c r="G803" s="80" t="s">
        <v>598</v>
      </c>
      <c r="H803" s="303" t="s">
        <v>147</v>
      </c>
      <c r="I803" s="108" t="s">
        <v>3024</v>
      </c>
      <c r="J803" s="108">
        <v>43700</v>
      </c>
      <c r="K803" s="100">
        <v>43761</v>
      </c>
      <c r="L803" s="232">
        <v>43798</v>
      </c>
      <c r="M803" s="178" t="s">
        <v>3047</v>
      </c>
      <c r="N803" s="102" t="s">
        <v>3048</v>
      </c>
      <c r="O803" s="104" t="s">
        <v>523</v>
      </c>
      <c r="P803" s="230">
        <v>20001.14</v>
      </c>
      <c r="Q803" s="230">
        <v>4117</v>
      </c>
      <c r="R803" s="131"/>
      <c r="S803" s="132"/>
      <c r="T803" s="102">
        <v>15851.64</v>
      </c>
      <c r="U803" s="100">
        <v>43795</v>
      </c>
      <c r="V803" s="102"/>
      <c r="W803" s="210"/>
    </row>
    <row r="804" s="43" customFormat="1" ht="22" hidden="1" customHeight="1" spans="1:23">
      <c r="A804" s="145" t="s">
        <v>3049</v>
      </c>
      <c r="B804" s="174" t="s">
        <v>2855</v>
      </c>
      <c r="C804" s="175"/>
      <c r="D804" s="45" t="s">
        <v>31</v>
      </c>
      <c r="E804" s="80" t="s">
        <v>2878</v>
      </c>
      <c r="F804" s="81">
        <f>IFERROR(VLOOKUP(E804,客户!B:C,2,FALSE),"/")</f>
        <v>0</v>
      </c>
      <c r="G804" s="80" t="s">
        <v>3050</v>
      </c>
      <c r="H804" s="303" t="s">
        <v>147</v>
      </c>
      <c r="I804" s="108" t="s">
        <v>1877</v>
      </c>
      <c r="J804" s="108">
        <v>43714</v>
      </c>
      <c r="K804" s="100">
        <v>43767</v>
      </c>
      <c r="L804" s="100">
        <v>43812</v>
      </c>
      <c r="M804" s="159" t="s">
        <v>3051</v>
      </c>
      <c r="N804" s="102" t="s">
        <v>3052</v>
      </c>
      <c r="O804" s="104" t="s">
        <v>523</v>
      </c>
      <c r="P804" s="230">
        <v>36002</v>
      </c>
      <c r="Q804" s="230">
        <v>4998.33</v>
      </c>
      <c r="R804" s="131"/>
      <c r="S804" s="132"/>
      <c r="T804" s="102">
        <v>31003.67</v>
      </c>
      <c r="U804" s="100">
        <v>43784</v>
      </c>
      <c r="V804" s="102"/>
      <c r="W804" s="210"/>
    </row>
    <row r="805" s="43" customFormat="1" ht="22" hidden="1" customHeight="1" spans="1:23">
      <c r="A805" s="144" t="s">
        <v>3053</v>
      </c>
      <c r="B805" s="295" t="s">
        <v>2855</v>
      </c>
      <c r="C805" s="296"/>
      <c r="D805" s="45" t="s">
        <v>31</v>
      </c>
      <c r="E805" s="80" t="s">
        <v>3054</v>
      </c>
      <c r="F805" s="81" t="str">
        <f>IFERROR(VLOOKUP(E805,客户!B:C,2,FALSE),"/")</f>
        <v>/</v>
      </c>
      <c r="G805" s="80" t="s">
        <v>3055</v>
      </c>
      <c r="H805" s="303" t="s">
        <v>147</v>
      </c>
      <c r="I805" s="108" t="s">
        <v>3056</v>
      </c>
      <c r="J805" s="108">
        <v>43714</v>
      </c>
      <c r="K805" s="100">
        <v>43766</v>
      </c>
      <c r="L805" s="100">
        <v>43810</v>
      </c>
      <c r="M805" s="178" t="s">
        <v>3057</v>
      </c>
      <c r="N805" s="102" t="s">
        <v>3058</v>
      </c>
      <c r="O805" s="104"/>
      <c r="P805" s="230">
        <v>24798.64</v>
      </c>
      <c r="Q805" s="230">
        <v>8200</v>
      </c>
      <c r="R805" s="131"/>
      <c r="S805" s="132"/>
      <c r="T805" s="102">
        <v>16598.64</v>
      </c>
      <c r="U805" s="100">
        <v>43781</v>
      </c>
      <c r="V805" s="102"/>
      <c r="W805" s="210"/>
    </row>
    <row r="806" s="43" customFormat="1" ht="22" hidden="1" customHeight="1" spans="1:23">
      <c r="A806" s="191" t="s">
        <v>3059</v>
      </c>
      <c r="B806" s="258" t="s">
        <v>2855</v>
      </c>
      <c r="C806" s="259"/>
      <c r="D806" s="45" t="s">
        <v>31</v>
      </c>
      <c r="E806" s="193" t="s">
        <v>2994</v>
      </c>
      <c r="F806" s="81" t="str">
        <f>IFERROR(VLOOKUP(E806,客户!B:C,2,FALSE),"/")</f>
        <v>安哥拉门及配件给清单  灯的清单和照片 如果HScode是九十五章  提前和报关货代说
2021.3.4收¥55000(汇率6.46，折合美金$8512.93)
冻结中</v>
      </c>
      <c r="G806" s="304" t="s">
        <v>3060</v>
      </c>
      <c r="H806" s="305" t="s">
        <v>123</v>
      </c>
      <c r="I806" s="104" t="s">
        <v>3061</v>
      </c>
      <c r="J806" s="104">
        <v>43731</v>
      </c>
      <c r="K806" s="205">
        <v>43775</v>
      </c>
      <c r="L806" s="205">
        <v>43825</v>
      </c>
      <c r="M806" s="310" t="s">
        <v>3062</v>
      </c>
      <c r="N806" s="207" t="s">
        <v>3063</v>
      </c>
      <c r="O806" s="104" t="s">
        <v>523</v>
      </c>
      <c r="P806" s="311">
        <v>25305.09</v>
      </c>
      <c r="Q806" s="311">
        <v>9302</v>
      </c>
      <c r="R806" s="241"/>
      <c r="S806" s="242"/>
      <c r="T806" s="207">
        <v>16003.09</v>
      </c>
      <c r="U806" s="205">
        <v>43824</v>
      </c>
      <c r="V806" s="207"/>
      <c r="W806" s="319"/>
    </row>
    <row r="807" s="43" customFormat="1" ht="22" hidden="1" customHeight="1" spans="1:23">
      <c r="A807" s="191" t="s">
        <v>3064</v>
      </c>
      <c r="B807" s="258" t="s">
        <v>2855</v>
      </c>
      <c r="C807" s="259"/>
      <c r="D807" s="45" t="s">
        <v>31</v>
      </c>
      <c r="E807" s="193" t="s">
        <v>2994</v>
      </c>
      <c r="F807" s="81" t="str">
        <f>IFERROR(VLOOKUP(E807,客户!B:C,2,FALSE),"/")</f>
        <v>安哥拉门及配件给清单  灯的清单和照片 如果HScode是九十五章  提前和报关货代说
2021.3.4收¥55000(汇率6.46，折合美金$8512.93)
冻结中</v>
      </c>
      <c r="G807" s="304" t="s">
        <v>3065</v>
      </c>
      <c r="H807" s="305" t="s">
        <v>123</v>
      </c>
      <c r="I807" s="104" t="s">
        <v>3061</v>
      </c>
      <c r="J807" s="104">
        <v>43731</v>
      </c>
      <c r="K807" s="205">
        <v>43796</v>
      </c>
      <c r="L807" s="205">
        <v>43843</v>
      </c>
      <c r="M807" s="312" t="s">
        <v>3066</v>
      </c>
      <c r="N807" s="207" t="s">
        <v>3063</v>
      </c>
      <c r="O807" s="104" t="s">
        <v>523</v>
      </c>
      <c r="P807" s="311">
        <v>23534.48</v>
      </c>
      <c r="Q807" s="311">
        <v>4570.39</v>
      </c>
      <c r="R807" s="241"/>
      <c r="S807" s="242"/>
      <c r="T807" s="207">
        <v>18930.64</v>
      </c>
      <c r="U807" s="205">
        <v>43840</v>
      </c>
      <c r="V807" s="207"/>
      <c r="W807" s="319"/>
    </row>
    <row r="808" s="43" customFormat="1" ht="22" hidden="1" customHeight="1" spans="1:23">
      <c r="A808" s="144" t="s">
        <v>3067</v>
      </c>
      <c r="B808" s="174" t="s">
        <v>2855</v>
      </c>
      <c r="C808" s="175"/>
      <c r="D808" s="45" t="s">
        <v>31</v>
      </c>
      <c r="E808" s="82" t="s">
        <v>3068</v>
      </c>
      <c r="F808" s="81" t="str">
        <f>IFERROR(VLOOKUP(E808,客户!B:C,2,FALSE),"/")</f>
        <v>/</v>
      </c>
      <c r="G808" s="84" t="s">
        <v>3069</v>
      </c>
      <c r="H808" s="142" t="s">
        <v>123</v>
      </c>
      <c r="I808" s="108" t="s">
        <v>3024</v>
      </c>
      <c r="J808" s="108">
        <v>43735</v>
      </c>
      <c r="K808" s="100">
        <v>43792</v>
      </c>
      <c r="L808" s="100">
        <v>43833</v>
      </c>
      <c r="M808" s="159" t="s">
        <v>3070</v>
      </c>
      <c r="N808" s="102" t="s">
        <v>3071</v>
      </c>
      <c r="O808" s="104" t="s">
        <v>523</v>
      </c>
      <c r="P808" s="230">
        <v>44822.5</v>
      </c>
      <c r="Q808" s="230">
        <v>14903</v>
      </c>
      <c r="R808" s="131"/>
      <c r="S808" s="132"/>
      <c r="T808" s="102">
        <v>29919</v>
      </c>
      <c r="U808" s="100">
        <v>43825</v>
      </c>
      <c r="V808" s="102"/>
      <c r="W808" s="210"/>
    </row>
    <row r="809" s="43" customFormat="1" ht="22" hidden="1" customHeight="1" spans="1:23">
      <c r="A809" s="261" t="s">
        <v>3072</v>
      </c>
      <c r="B809" s="174" t="s">
        <v>2855</v>
      </c>
      <c r="C809" s="175"/>
      <c r="D809" s="45" t="s">
        <v>31</v>
      </c>
      <c r="E809" s="306" t="s">
        <v>3073</v>
      </c>
      <c r="F809" s="81" t="str">
        <f>IFERROR(VLOOKUP(E809,客户!B:C,2,FALSE),"/")</f>
        <v>/</v>
      </c>
      <c r="G809" s="306" t="s">
        <v>3074</v>
      </c>
      <c r="H809" s="142" t="s">
        <v>123</v>
      </c>
      <c r="I809" s="108" t="s">
        <v>3039</v>
      </c>
      <c r="J809" s="108">
        <v>43746</v>
      </c>
      <c r="K809" s="100">
        <v>43784</v>
      </c>
      <c r="L809" s="100">
        <v>43818</v>
      </c>
      <c r="M809" s="181" t="s">
        <v>3075</v>
      </c>
      <c r="N809" s="102" t="s">
        <v>3076</v>
      </c>
      <c r="O809" s="104" t="s">
        <v>523</v>
      </c>
      <c r="P809" s="230">
        <v>20515</v>
      </c>
      <c r="Q809" s="230">
        <v>6155</v>
      </c>
      <c r="R809" s="131"/>
      <c r="S809" s="132"/>
      <c r="T809" s="102">
        <v>14325.5</v>
      </c>
      <c r="U809" s="100">
        <v>43782</v>
      </c>
      <c r="V809" s="102"/>
      <c r="W809" s="210"/>
    </row>
    <row r="810" s="43" customFormat="1" ht="22" hidden="1" customHeight="1" spans="1:23">
      <c r="A810" s="261" t="s">
        <v>3077</v>
      </c>
      <c r="B810" s="174" t="s">
        <v>2855</v>
      </c>
      <c r="C810" s="175"/>
      <c r="D810" s="45" t="s">
        <v>31</v>
      </c>
      <c r="E810" s="306" t="s">
        <v>3078</v>
      </c>
      <c r="F810" s="81">
        <f>IFERROR(VLOOKUP(E810,客户!B:C,2,FALSE),"/")</f>
        <v>0</v>
      </c>
      <c r="G810" s="306" t="s">
        <v>3079</v>
      </c>
      <c r="H810" s="142" t="s">
        <v>147</v>
      </c>
      <c r="I810" s="108" t="s">
        <v>2892</v>
      </c>
      <c r="J810" s="108">
        <v>43752</v>
      </c>
      <c r="K810" s="100">
        <v>43793</v>
      </c>
      <c r="L810" s="100">
        <v>43835</v>
      </c>
      <c r="M810" s="159" t="s">
        <v>3080</v>
      </c>
      <c r="N810" s="102" t="s">
        <v>3081</v>
      </c>
      <c r="O810" s="104" t="s">
        <v>523</v>
      </c>
      <c r="P810" s="230">
        <v>20357.88</v>
      </c>
      <c r="Q810" s="230">
        <v>2862</v>
      </c>
      <c r="R810" s="131"/>
      <c r="S810" s="132"/>
      <c r="T810" s="102">
        <v>17495.88</v>
      </c>
      <c r="U810" s="100">
        <v>43829</v>
      </c>
      <c r="V810" s="102"/>
      <c r="W810" s="210"/>
    </row>
    <row r="811" s="43" customFormat="1" ht="22" hidden="1" customHeight="1" spans="1:23">
      <c r="A811" s="292" t="s">
        <v>3082</v>
      </c>
      <c r="B811" s="174" t="s">
        <v>2855</v>
      </c>
      <c r="C811" s="175"/>
      <c r="D811" s="45" t="s">
        <v>31</v>
      </c>
      <c r="E811" s="307" t="s">
        <v>3083</v>
      </c>
      <c r="F811" s="81" t="str">
        <f>IFERROR(VLOOKUP(E811,客户!B:C,2,FALSE),"/")</f>
        <v>/</v>
      </c>
      <c r="G811" s="306" t="s">
        <v>3079</v>
      </c>
      <c r="H811" s="142" t="s">
        <v>147</v>
      </c>
      <c r="I811" s="108" t="s">
        <v>2939</v>
      </c>
      <c r="J811" s="108">
        <v>43755</v>
      </c>
      <c r="K811" s="100">
        <v>43778</v>
      </c>
      <c r="L811" s="100">
        <v>43804</v>
      </c>
      <c r="M811" s="196" t="s">
        <v>3084</v>
      </c>
      <c r="N811" s="102" t="s">
        <v>3085</v>
      </c>
      <c r="O811" s="104" t="s">
        <v>523</v>
      </c>
      <c r="P811" s="230">
        <v>22590</v>
      </c>
      <c r="Q811" s="230">
        <v>6763.59</v>
      </c>
      <c r="R811" s="131"/>
      <c r="S811" s="132"/>
      <c r="T811" s="102">
        <v>15799.56</v>
      </c>
      <c r="U811" s="100">
        <v>43790</v>
      </c>
      <c r="V811" s="102"/>
      <c r="W811" s="210"/>
    </row>
    <row r="812" s="43" customFormat="1" ht="22" hidden="1" customHeight="1" spans="1:23">
      <c r="A812" s="261" t="s">
        <v>3086</v>
      </c>
      <c r="B812" s="174" t="s">
        <v>2855</v>
      </c>
      <c r="C812" s="175"/>
      <c r="D812" s="45" t="s">
        <v>31</v>
      </c>
      <c r="E812" s="306" t="s">
        <v>3078</v>
      </c>
      <c r="F812" s="81">
        <f>IFERROR(VLOOKUP(E812,客户!B:C,2,FALSE),"/")</f>
        <v>0</v>
      </c>
      <c r="G812" s="306" t="s">
        <v>3087</v>
      </c>
      <c r="H812" s="142" t="s">
        <v>147</v>
      </c>
      <c r="I812" s="108" t="s">
        <v>1877</v>
      </c>
      <c r="J812" s="108">
        <v>43762</v>
      </c>
      <c r="K812" s="100">
        <v>43793</v>
      </c>
      <c r="L812" s="100">
        <v>43835</v>
      </c>
      <c r="M812" s="313" t="s">
        <v>3088</v>
      </c>
      <c r="N812" s="102" t="s">
        <v>3089</v>
      </c>
      <c r="O812" s="104" t="s">
        <v>523</v>
      </c>
      <c r="P812" s="230">
        <v>19816.77</v>
      </c>
      <c r="Q812" s="230">
        <v>3163</v>
      </c>
      <c r="R812" s="320">
        <v>136.98</v>
      </c>
      <c r="S812" s="321"/>
      <c r="T812" s="102">
        <v>16515.79</v>
      </c>
      <c r="U812" s="100">
        <v>43829</v>
      </c>
      <c r="V812" s="102"/>
      <c r="W812" s="210"/>
    </row>
    <row r="813" s="43" customFormat="1" ht="22" hidden="1" customHeight="1" spans="1:23">
      <c r="A813" s="261" t="s">
        <v>3090</v>
      </c>
      <c r="B813" s="174" t="s">
        <v>2855</v>
      </c>
      <c r="C813" s="175"/>
      <c r="D813" s="45" t="s">
        <v>31</v>
      </c>
      <c r="E813" s="80" t="s">
        <v>2878</v>
      </c>
      <c r="F813" s="81">
        <f>IFERROR(VLOOKUP(E813,客户!B:C,2,FALSE),"/")</f>
        <v>0</v>
      </c>
      <c r="G813" s="306" t="s">
        <v>3091</v>
      </c>
      <c r="H813" s="142" t="s">
        <v>147</v>
      </c>
      <c r="I813" s="108" t="s">
        <v>1877</v>
      </c>
      <c r="J813" s="108">
        <v>43782</v>
      </c>
      <c r="K813" s="100">
        <v>43830</v>
      </c>
      <c r="L813" s="100">
        <v>43868</v>
      </c>
      <c r="M813" s="313" t="s">
        <v>3092</v>
      </c>
      <c r="N813" s="102" t="s">
        <v>3093</v>
      </c>
      <c r="O813" s="104" t="s">
        <v>523</v>
      </c>
      <c r="P813" s="230">
        <v>60720</v>
      </c>
      <c r="Q813" s="230">
        <v>9108.2</v>
      </c>
      <c r="R813" s="131"/>
      <c r="S813" s="132"/>
      <c r="T813" s="102">
        <v>51584.5</v>
      </c>
      <c r="U813" s="100">
        <v>43846</v>
      </c>
      <c r="V813" s="102"/>
      <c r="W813" s="210"/>
    </row>
    <row r="814" s="43" customFormat="1" ht="22" hidden="1" customHeight="1" spans="1:23">
      <c r="A814" s="261" t="s">
        <v>3094</v>
      </c>
      <c r="B814" s="174" t="s">
        <v>2855</v>
      </c>
      <c r="C814" s="175"/>
      <c r="D814" s="45" t="s">
        <v>31</v>
      </c>
      <c r="E814" s="307" t="s">
        <v>3095</v>
      </c>
      <c r="F814" s="81">
        <f>IFERROR(VLOOKUP(E814,客户!B:C,2,FALSE),"/")</f>
        <v>0</v>
      </c>
      <c r="G814" s="306" t="s">
        <v>3096</v>
      </c>
      <c r="H814" s="142" t="s">
        <v>147</v>
      </c>
      <c r="I814" s="108" t="s">
        <v>1877</v>
      </c>
      <c r="J814" s="108">
        <v>43788</v>
      </c>
      <c r="K814" s="100">
        <v>43833</v>
      </c>
      <c r="L814" s="100">
        <v>43877</v>
      </c>
      <c r="M814" s="314" t="s">
        <v>3097</v>
      </c>
      <c r="N814" s="102" t="s">
        <v>3098</v>
      </c>
      <c r="O814" s="104" t="s">
        <v>523</v>
      </c>
      <c r="P814" s="230">
        <v>22223.4</v>
      </c>
      <c r="Q814" s="230">
        <v>4353.28</v>
      </c>
      <c r="R814" s="131"/>
      <c r="S814" s="132"/>
      <c r="T814" s="102">
        <v>17987.62</v>
      </c>
      <c r="U814" s="100">
        <v>43871</v>
      </c>
      <c r="V814" s="102"/>
      <c r="W814" s="210"/>
    </row>
    <row r="815" s="43" customFormat="1" ht="22" hidden="1" customHeight="1" spans="1:23">
      <c r="A815" s="261" t="s">
        <v>3099</v>
      </c>
      <c r="B815" s="174" t="s">
        <v>2855</v>
      </c>
      <c r="C815" s="175"/>
      <c r="D815" s="45" t="s">
        <v>31</v>
      </c>
      <c r="E815" s="306" t="s">
        <v>3100</v>
      </c>
      <c r="F815" s="81" t="str">
        <f>IFERROR(VLOOKUP(E815,客户!B:C,2,FALSE),"/")</f>
        <v>/</v>
      </c>
      <c r="G815" s="306" t="s">
        <v>3101</v>
      </c>
      <c r="H815" s="142" t="s">
        <v>123</v>
      </c>
      <c r="I815" s="108" t="s">
        <v>3039</v>
      </c>
      <c r="J815" s="108">
        <v>43794</v>
      </c>
      <c r="K815" s="100">
        <v>43820</v>
      </c>
      <c r="L815" s="100"/>
      <c r="M815" s="313" t="s">
        <v>3102</v>
      </c>
      <c r="N815" s="102" t="s">
        <v>3103</v>
      </c>
      <c r="O815" s="104" t="s">
        <v>970</v>
      </c>
      <c r="P815" s="230">
        <v>19815.08</v>
      </c>
      <c r="Q815" s="230">
        <v>5945</v>
      </c>
      <c r="R815" s="131"/>
      <c r="S815" s="132"/>
      <c r="T815" s="102">
        <v>13870.08</v>
      </c>
      <c r="U815" s="100">
        <v>43815</v>
      </c>
      <c r="V815" s="102"/>
      <c r="W815" s="210"/>
    </row>
    <row r="816" s="43" customFormat="1" ht="22" hidden="1" customHeight="1" spans="1:23">
      <c r="A816" s="261" t="s">
        <v>3104</v>
      </c>
      <c r="B816" s="174" t="s">
        <v>2855</v>
      </c>
      <c r="C816" s="175"/>
      <c r="D816" s="45" t="s">
        <v>31</v>
      </c>
      <c r="E816" s="306" t="s">
        <v>3100</v>
      </c>
      <c r="F816" s="81" t="str">
        <f>IFERROR(VLOOKUP(E816,客户!B:C,2,FALSE),"/")</f>
        <v>/</v>
      </c>
      <c r="G816" s="306" t="s">
        <v>3105</v>
      </c>
      <c r="H816" s="142" t="s">
        <v>123</v>
      </c>
      <c r="I816" s="108" t="s">
        <v>3039</v>
      </c>
      <c r="J816" s="108">
        <v>43800</v>
      </c>
      <c r="K816" s="100">
        <v>43826</v>
      </c>
      <c r="L816" s="100"/>
      <c r="M816" s="313" t="s">
        <v>3106</v>
      </c>
      <c r="N816" s="102" t="s">
        <v>2964</v>
      </c>
      <c r="O816" s="104" t="s">
        <v>970</v>
      </c>
      <c r="P816" s="230">
        <v>19335.62</v>
      </c>
      <c r="Q816" s="230">
        <v>5763.5</v>
      </c>
      <c r="R816" s="131"/>
      <c r="S816" s="132"/>
      <c r="T816" s="102">
        <v>13572.12</v>
      </c>
      <c r="U816" s="100">
        <v>43823</v>
      </c>
      <c r="V816" s="102"/>
      <c r="W816" s="210"/>
    </row>
    <row r="817" s="43" customFormat="1" ht="22" hidden="1" customHeight="1" spans="1:23">
      <c r="A817" s="261" t="s">
        <v>3107</v>
      </c>
      <c r="B817" s="174" t="s">
        <v>2855</v>
      </c>
      <c r="C817" s="175"/>
      <c r="D817" s="45" t="s">
        <v>31</v>
      </c>
      <c r="E817" s="306" t="s">
        <v>3108</v>
      </c>
      <c r="F817" s="81" t="str">
        <f>IFERROR(VLOOKUP(E817,客户!B:C,2,FALSE),"/")</f>
        <v>/</v>
      </c>
      <c r="G817" s="306" t="s">
        <v>3109</v>
      </c>
      <c r="H817" s="142" t="s">
        <v>123</v>
      </c>
      <c r="I817" s="108" t="s">
        <v>1877</v>
      </c>
      <c r="J817" s="108">
        <v>43805</v>
      </c>
      <c r="K817" s="100">
        <v>43867</v>
      </c>
      <c r="L817" s="100">
        <v>43910</v>
      </c>
      <c r="M817" s="313" t="s">
        <v>3110</v>
      </c>
      <c r="N817" s="102" t="s">
        <v>3111</v>
      </c>
      <c r="O817" s="104" t="s">
        <v>523</v>
      </c>
      <c r="P817" s="230">
        <v>81505.8</v>
      </c>
      <c r="Q817" s="230">
        <v>22507.74</v>
      </c>
      <c r="R817" s="131"/>
      <c r="S817" s="132"/>
      <c r="T817" s="102">
        <v>58965.5</v>
      </c>
      <c r="U817" s="100">
        <v>43900</v>
      </c>
      <c r="V817" s="102"/>
      <c r="W817" s="210"/>
    </row>
    <row r="818" s="43" customFormat="1" ht="22" hidden="1" customHeight="1" spans="1:23">
      <c r="A818" s="261" t="s">
        <v>3112</v>
      </c>
      <c r="B818" s="174" t="s">
        <v>2855</v>
      </c>
      <c r="C818" s="175"/>
      <c r="D818" s="45" t="s">
        <v>31</v>
      </c>
      <c r="E818" s="80" t="s">
        <v>3113</v>
      </c>
      <c r="F818" s="81">
        <f>IFERROR(VLOOKUP(E818,客户!B:C,2,FALSE),"/")</f>
        <v>0</v>
      </c>
      <c r="G818" s="306" t="s">
        <v>3096</v>
      </c>
      <c r="H818" s="142" t="s">
        <v>123</v>
      </c>
      <c r="I818" s="108" t="s">
        <v>3114</v>
      </c>
      <c r="J818" s="108">
        <v>43805</v>
      </c>
      <c r="K818" s="100">
        <v>43894</v>
      </c>
      <c r="L818" s="100">
        <v>43941</v>
      </c>
      <c r="M818" s="315" t="s">
        <v>3115</v>
      </c>
      <c r="N818" s="102" t="s">
        <v>3116</v>
      </c>
      <c r="O818" s="104" t="s">
        <v>523</v>
      </c>
      <c r="P818" s="230">
        <v>17074.6</v>
      </c>
      <c r="Q818" s="230">
        <v>5122</v>
      </c>
      <c r="R818" s="131"/>
      <c r="S818" s="132"/>
      <c r="T818" s="102">
        <v>11952.6</v>
      </c>
      <c r="U818" s="100">
        <v>43823</v>
      </c>
      <c r="V818" s="102"/>
      <c r="W818" s="210"/>
    </row>
    <row r="819" s="43" customFormat="1" ht="22" hidden="1" customHeight="1" spans="1:23">
      <c r="A819" s="261" t="s">
        <v>3117</v>
      </c>
      <c r="B819" s="174" t="s">
        <v>2855</v>
      </c>
      <c r="C819" s="175"/>
      <c r="D819" s="45" t="s">
        <v>31</v>
      </c>
      <c r="E819" s="306" t="s">
        <v>3118</v>
      </c>
      <c r="F819" s="81">
        <f>IFERROR(VLOOKUP(E819,客户!B:C,2,FALSE),"/")</f>
        <v>0</v>
      </c>
      <c r="G819" s="306" t="s">
        <v>3119</v>
      </c>
      <c r="H819" s="142" t="s">
        <v>123</v>
      </c>
      <c r="I819" s="108" t="s">
        <v>3024</v>
      </c>
      <c r="J819" s="108">
        <v>43812</v>
      </c>
      <c r="K819" s="100">
        <v>43848</v>
      </c>
      <c r="L819" s="100">
        <v>43883</v>
      </c>
      <c r="M819" s="316" t="s">
        <v>3120</v>
      </c>
      <c r="N819" s="102" t="s">
        <v>3121</v>
      </c>
      <c r="O819" s="104" t="s">
        <v>523</v>
      </c>
      <c r="P819" s="230">
        <v>41740.4</v>
      </c>
      <c r="Q819" s="230">
        <v>21474</v>
      </c>
      <c r="R819" s="131"/>
      <c r="S819" s="132"/>
      <c r="T819" s="102">
        <v>19901</v>
      </c>
      <c r="U819" s="100">
        <v>43873</v>
      </c>
      <c r="V819" s="102" t="s">
        <v>3122</v>
      </c>
      <c r="W819" s="210"/>
    </row>
    <row r="820" s="43" customFormat="1" ht="22" hidden="1" customHeight="1" spans="1:23">
      <c r="A820" s="261" t="s">
        <v>3123</v>
      </c>
      <c r="B820" s="174" t="s">
        <v>2855</v>
      </c>
      <c r="C820" s="175"/>
      <c r="D820" s="45" t="s">
        <v>31</v>
      </c>
      <c r="E820" s="306" t="s">
        <v>3118</v>
      </c>
      <c r="F820" s="81">
        <f>IFERROR(VLOOKUP(E820,客户!B:C,2,FALSE),"/")</f>
        <v>0</v>
      </c>
      <c r="G820" s="306" t="s">
        <v>3124</v>
      </c>
      <c r="H820" s="142" t="s">
        <v>123</v>
      </c>
      <c r="I820" s="108" t="s">
        <v>3024</v>
      </c>
      <c r="J820" s="108">
        <v>43812</v>
      </c>
      <c r="K820" s="100">
        <v>43856</v>
      </c>
      <c r="L820" s="100">
        <v>43896</v>
      </c>
      <c r="M820" s="313" t="s">
        <v>3125</v>
      </c>
      <c r="N820" s="102" t="s">
        <v>3126</v>
      </c>
      <c r="O820" s="104" t="s">
        <v>523</v>
      </c>
      <c r="P820" s="230">
        <v>23099.12</v>
      </c>
      <c r="Q820" s="230"/>
      <c r="R820" s="131"/>
      <c r="S820" s="132"/>
      <c r="T820" s="102">
        <v>23099</v>
      </c>
      <c r="U820" s="100">
        <v>43873</v>
      </c>
      <c r="V820" s="102"/>
      <c r="W820" s="210"/>
    </row>
    <row r="821" s="43" customFormat="1" ht="22" hidden="1" customHeight="1" spans="1:23">
      <c r="A821" s="261" t="s">
        <v>3127</v>
      </c>
      <c r="B821" s="174" t="s">
        <v>2855</v>
      </c>
      <c r="C821" s="175"/>
      <c r="D821" s="45" t="s">
        <v>31</v>
      </c>
      <c r="E821" s="80" t="s">
        <v>3128</v>
      </c>
      <c r="F821" s="81">
        <f>IFERROR(VLOOKUP(E821,客户!B:C,2,FALSE),"/")</f>
        <v>0</v>
      </c>
      <c r="G821" s="306" t="s">
        <v>3129</v>
      </c>
      <c r="H821" s="142" t="s">
        <v>123</v>
      </c>
      <c r="I821" s="108" t="s">
        <v>3130</v>
      </c>
      <c r="J821" s="108">
        <v>43839</v>
      </c>
      <c r="K821" s="100">
        <v>43966</v>
      </c>
      <c r="L821" s="100"/>
      <c r="M821" s="315" t="s">
        <v>3131</v>
      </c>
      <c r="N821" s="246" t="s">
        <v>3132</v>
      </c>
      <c r="O821" s="104" t="s">
        <v>970</v>
      </c>
      <c r="P821" s="230">
        <v>10653.93</v>
      </c>
      <c r="Q821" s="230">
        <v>3200</v>
      </c>
      <c r="R821" s="131"/>
      <c r="S821" s="132"/>
      <c r="T821" s="102">
        <v>6979.61</v>
      </c>
      <c r="U821" s="102">
        <f>288+143.35</f>
        <v>431.35</v>
      </c>
      <c r="V821" s="246" t="s">
        <v>3133</v>
      </c>
      <c r="W821" s="210"/>
    </row>
    <row r="822" s="43" customFormat="1" ht="22" hidden="1" customHeight="1" spans="1:23">
      <c r="A822" s="308" t="s">
        <v>3134</v>
      </c>
      <c r="B822" s="174" t="s">
        <v>2855</v>
      </c>
      <c r="C822" s="175"/>
      <c r="D822" s="45" t="s">
        <v>31</v>
      </c>
      <c r="E822" s="82" t="s">
        <v>3135</v>
      </c>
      <c r="F822" s="81">
        <f>IFERROR(VLOOKUP(E822,客户!B:C,2,FALSE),"/")</f>
        <v>0</v>
      </c>
      <c r="G822" s="306" t="s">
        <v>3136</v>
      </c>
      <c r="H822" s="142" t="s">
        <v>147</v>
      </c>
      <c r="I822" s="108" t="s">
        <v>1877</v>
      </c>
      <c r="J822" s="108">
        <v>43843</v>
      </c>
      <c r="K822" s="100">
        <v>43981</v>
      </c>
      <c r="L822" s="100">
        <v>44011</v>
      </c>
      <c r="M822" s="315" t="s">
        <v>3137</v>
      </c>
      <c r="N822" s="246" t="s">
        <v>3138</v>
      </c>
      <c r="O822" s="104" t="s">
        <v>523</v>
      </c>
      <c r="P822" s="230">
        <v>64960.5</v>
      </c>
      <c r="Q822" s="230">
        <v>10911</v>
      </c>
      <c r="R822" s="131"/>
      <c r="S822" s="132"/>
      <c r="T822" s="102">
        <v>29948</v>
      </c>
      <c r="U822" s="322">
        <v>24002.5</v>
      </c>
      <c r="V822" s="246" t="s">
        <v>3139</v>
      </c>
      <c r="W822" s="210"/>
    </row>
    <row r="823" s="43" customFormat="1" ht="22" hidden="1" customHeight="1" spans="1:23">
      <c r="A823" s="261" t="s">
        <v>3140</v>
      </c>
      <c r="B823" s="174" t="s">
        <v>2855</v>
      </c>
      <c r="C823" s="175"/>
      <c r="D823" s="45" t="s">
        <v>31</v>
      </c>
      <c r="E823" s="82" t="s">
        <v>3135</v>
      </c>
      <c r="F823" s="81">
        <f>IFERROR(VLOOKUP(E823,客户!B:C,2,FALSE),"/")</f>
        <v>0</v>
      </c>
      <c r="G823" s="306" t="s">
        <v>3141</v>
      </c>
      <c r="H823" s="142" t="s">
        <v>147</v>
      </c>
      <c r="I823" s="108" t="s">
        <v>1877</v>
      </c>
      <c r="J823" s="108">
        <v>43843</v>
      </c>
      <c r="K823" s="100">
        <v>43911</v>
      </c>
      <c r="L823" s="100">
        <v>43945</v>
      </c>
      <c r="M823" s="315" t="s">
        <v>3142</v>
      </c>
      <c r="N823" s="246" t="s">
        <v>3143</v>
      </c>
      <c r="O823" s="104" t="s">
        <v>523</v>
      </c>
      <c r="P823" s="230">
        <v>20590.14</v>
      </c>
      <c r="Q823" s="230">
        <v>3088</v>
      </c>
      <c r="R823" s="131"/>
      <c r="S823" s="132"/>
      <c r="T823" s="102">
        <v>17481.16</v>
      </c>
      <c r="U823" s="100"/>
      <c r="V823" s="246" t="s">
        <v>3144</v>
      </c>
      <c r="W823" s="210"/>
    </row>
    <row r="824" s="43" customFormat="1" ht="22" hidden="1" customHeight="1" spans="1:23">
      <c r="A824" s="308" t="s">
        <v>3145</v>
      </c>
      <c r="B824" s="174" t="s">
        <v>2855</v>
      </c>
      <c r="C824" s="175"/>
      <c r="D824" s="45" t="s">
        <v>31</v>
      </c>
      <c r="E824" s="82" t="s">
        <v>3135</v>
      </c>
      <c r="F824" s="81">
        <f>IFERROR(VLOOKUP(E824,客户!B:C,2,FALSE),"/")</f>
        <v>0</v>
      </c>
      <c r="G824" s="306" t="s">
        <v>3146</v>
      </c>
      <c r="H824" s="142" t="s">
        <v>147</v>
      </c>
      <c r="I824" s="108" t="s">
        <v>1877</v>
      </c>
      <c r="J824" s="108">
        <v>43843</v>
      </c>
      <c r="K824" s="100">
        <v>43976</v>
      </c>
      <c r="L824" s="100">
        <v>44015</v>
      </c>
      <c r="M824" s="315" t="s">
        <v>3147</v>
      </c>
      <c r="N824" s="246" t="s">
        <v>3148</v>
      </c>
      <c r="O824" s="104" t="s">
        <v>523</v>
      </c>
      <c r="P824" s="230">
        <v>41395.26</v>
      </c>
      <c r="Q824" s="230">
        <v>6209</v>
      </c>
      <c r="R824" s="131"/>
      <c r="S824" s="132"/>
      <c r="T824" s="102">
        <v>35134.26</v>
      </c>
      <c r="U824" s="100"/>
      <c r="V824" s="246" t="s">
        <v>3149</v>
      </c>
      <c r="W824" s="210"/>
    </row>
    <row r="825" s="43" customFormat="1" ht="22" hidden="1" customHeight="1" spans="1:23">
      <c r="A825" s="261" t="s">
        <v>3150</v>
      </c>
      <c r="B825" s="174" t="s">
        <v>2855</v>
      </c>
      <c r="C825" s="175"/>
      <c r="D825" s="45" t="s">
        <v>31</v>
      </c>
      <c r="E825" s="82" t="s">
        <v>3151</v>
      </c>
      <c r="F825" s="81">
        <f>IFERROR(VLOOKUP(E825,客户!B:C,2,FALSE),"/")</f>
        <v>0</v>
      </c>
      <c r="G825" s="306" t="s">
        <v>3152</v>
      </c>
      <c r="H825" s="142" t="s">
        <v>147</v>
      </c>
      <c r="I825" s="108" t="s">
        <v>2939</v>
      </c>
      <c r="J825" s="108">
        <v>43850</v>
      </c>
      <c r="K825" s="100">
        <v>43947</v>
      </c>
      <c r="L825" s="100">
        <v>43970</v>
      </c>
      <c r="M825" s="313" t="s">
        <v>3153</v>
      </c>
      <c r="N825" s="246" t="s">
        <v>3154</v>
      </c>
      <c r="O825" s="104" t="s">
        <v>523</v>
      </c>
      <c r="P825" s="230">
        <v>23745</v>
      </c>
      <c r="Q825" s="230">
        <v>7123</v>
      </c>
      <c r="R825" s="131"/>
      <c r="S825" s="132"/>
      <c r="T825" s="102">
        <v>16594.5</v>
      </c>
      <c r="U825" s="100"/>
      <c r="V825" s="246" t="s">
        <v>3155</v>
      </c>
      <c r="W825" s="210"/>
    </row>
    <row r="826" s="43" customFormat="1" ht="22" hidden="1" customHeight="1" spans="1:23">
      <c r="A826" s="261" t="s">
        <v>3156</v>
      </c>
      <c r="B826" s="174" t="s">
        <v>2855</v>
      </c>
      <c r="C826" s="175"/>
      <c r="D826" s="45" t="s">
        <v>31</v>
      </c>
      <c r="E826" s="80" t="s">
        <v>3113</v>
      </c>
      <c r="F826" s="81">
        <f>IFERROR(VLOOKUP(E826,客户!B:C,2,FALSE),"/")</f>
        <v>0</v>
      </c>
      <c r="G826" s="306" t="s">
        <v>3157</v>
      </c>
      <c r="H826" s="142" t="s">
        <v>123</v>
      </c>
      <c r="I826" s="108" t="s">
        <v>3158</v>
      </c>
      <c r="J826" s="108">
        <v>43859</v>
      </c>
      <c r="K826" s="100">
        <v>43929</v>
      </c>
      <c r="L826" s="100">
        <v>43959</v>
      </c>
      <c r="M826" s="315" t="s">
        <v>3159</v>
      </c>
      <c r="N826" s="246" t="s">
        <v>3160</v>
      </c>
      <c r="O826" s="104" t="s">
        <v>523</v>
      </c>
      <c r="P826" s="230">
        <v>20216.12</v>
      </c>
      <c r="Q826" s="230">
        <v>6030.5</v>
      </c>
      <c r="R826" s="131"/>
      <c r="S826" s="132"/>
      <c r="T826" s="102">
        <v>14116.62</v>
      </c>
      <c r="U826" s="100"/>
      <c r="V826" s="246" t="s">
        <v>3161</v>
      </c>
      <c r="W826" s="210"/>
    </row>
    <row r="827" s="43" customFormat="1" ht="22" hidden="1" customHeight="1" spans="1:23">
      <c r="A827" s="308" t="s">
        <v>3162</v>
      </c>
      <c r="B827" s="174" t="s">
        <v>2855</v>
      </c>
      <c r="C827" s="175"/>
      <c r="D827" s="45" t="s">
        <v>31</v>
      </c>
      <c r="E827" s="80" t="s">
        <v>3011</v>
      </c>
      <c r="F827" s="81">
        <f>IFERROR(VLOOKUP(E827,客户!B:C,2,FALSE),"/")</f>
        <v>0</v>
      </c>
      <c r="G827" s="306" t="s">
        <v>3096</v>
      </c>
      <c r="H827" s="142" t="s">
        <v>123</v>
      </c>
      <c r="I827" s="108" t="s">
        <v>3012</v>
      </c>
      <c r="J827" s="108">
        <v>43867</v>
      </c>
      <c r="K827" s="100">
        <v>44016</v>
      </c>
      <c r="L827" s="100">
        <v>44053</v>
      </c>
      <c r="M827" s="315" t="s">
        <v>3163</v>
      </c>
      <c r="N827" s="102" t="s">
        <v>3031</v>
      </c>
      <c r="O827" s="104" t="s">
        <v>523</v>
      </c>
      <c r="P827" s="230">
        <v>17254.81</v>
      </c>
      <c r="Q827" s="230">
        <v>5428.24</v>
      </c>
      <c r="R827" s="131"/>
      <c r="S827" s="132"/>
      <c r="T827" s="102">
        <v>11826.57</v>
      </c>
      <c r="U827" s="100"/>
      <c r="V827" s="102" t="s">
        <v>3164</v>
      </c>
      <c r="W827" s="210"/>
    </row>
    <row r="828" s="43" customFormat="1" ht="22" hidden="1" customHeight="1" spans="1:23">
      <c r="A828" s="261" t="s">
        <v>3165</v>
      </c>
      <c r="B828" s="174" t="s">
        <v>2855</v>
      </c>
      <c r="C828" s="175"/>
      <c r="D828" s="45" t="s">
        <v>31</v>
      </c>
      <c r="E828" s="80" t="s">
        <v>3011</v>
      </c>
      <c r="F828" s="81">
        <f>IFERROR(VLOOKUP(E828,客户!B:C,2,FALSE),"/")</f>
        <v>0</v>
      </c>
      <c r="G828" s="306" t="s">
        <v>3096</v>
      </c>
      <c r="H828" s="142" t="s">
        <v>123</v>
      </c>
      <c r="I828" s="108" t="s">
        <v>3012</v>
      </c>
      <c r="J828" s="108">
        <v>43867</v>
      </c>
      <c r="K828" s="100">
        <v>43939</v>
      </c>
      <c r="L828" s="100">
        <v>44000</v>
      </c>
      <c r="M828" s="315" t="s">
        <v>3166</v>
      </c>
      <c r="N828" s="246" t="s">
        <v>3031</v>
      </c>
      <c r="O828" s="104" t="s">
        <v>523</v>
      </c>
      <c r="P828" s="230">
        <v>17654.19</v>
      </c>
      <c r="Q828" s="230">
        <v>5428</v>
      </c>
      <c r="R828" s="131"/>
      <c r="S828" s="132"/>
      <c r="T828" s="102">
        <v>12216.11</v>
      </c>
      <c r="U828" s="100"/>
      <c r="V828" s="246" t="s">
        <v>3167</v>
      </c>
      <c r="W828" s="210"/>
    </row>
    <row r="829" s="43" customFormat="1" ht="22" hidden="1" customHeight="1" spans="1:23">
      <c r="A829" s="308" t="s">
        <v>3168</v>
      </c>
      <c r="B829" s="174" t="s">
        <v>2855</v>
      </c>
      <c r="C829" s="175"/>
      <c r="D829" s="45" t="s">
        <v>31</v>
      </c>
      <c r="E829" s="80" t="s">
        <v>3011</v>
      </c>
      <c r="F829" s="81">
        <f>IFERROR(VLOOKUP(E829,客户!B:C,2,FALSE),"/")</f>
        <v>0</v>
      </c>
      <c r="G829" s="306" t="s">
        <v>3096</v>
      </c>
      <c r="H829" s="142" t="s">
        <v>123</v>
      </c>
      <c r="I829" s="108" t="s">
        <v>3012</v>
      </c>
      <c r="J829" s="108">
        <v>43867</v>
      </c>
      <c r="K829" s="100">
        <v>43995</v>
      </c>
      <c r="L829" s="100">
        <v>44030</v>
      </c>
      <c r="M829" s="315" t="s">
        <v>3169</v>
      </c>
      <c r="N829" s="246" t="s">
        <v>3170</v>
      </c>
      <c r="O829" s="104" t="s">
        <v>523</v>
      </c>
      <c r="P829" s="230">
        <v>17359.91</v>
      </c>
      <c r="Q829" s="230">
        <v>5428</v>
      </c>
      <c r="R829" s="131"/>
      <c r="S829" s="132"/>
      <c r="T829" s="102">
        <v>11921.83</v>
      </c>
      <c r="U829" s="100"/>
      <c r="V829" s="246" t="s">
        <v>3171</v>
      </c>
      <c r="W829" s="210"/>
    </row>
    <row r="830" s="43" customFormat="1" ht="22" hidden="1" customHeight="1" spans="1:23">
      <c r="A830" s="261" t="s">
        <v>3172</v>
      </c>
      <c r="B830" s="174" t="s">
        <v>2855</v>
      </c>
      <c r="C830" s="175"/>
      <c r="D830" s="45" t="s">
        <v>31</v>
      </c>
      <c r="E830" s="82" t="s">
        <v>3173</v>
      </c>
      <c r="F830" s="81">
        <f>IFERROR(VLOOKUP(E830,客户!B:C,2,FALSE),"/")</f>
        <v>0</v>
      </c>
      <c r="G830" s="306" t="s">
        <v>3174</v>
      </c>
      <c r="H830" s="142" t="s">
        <v>123</v>
      </c>
      <c r="I830" s="108" t="s">
        <v>3175</v>
      </c>
      <c r="J830" s="108">
        <v>43874</v>
      </c>
      <c r="K830" s="100">
        <v>43946</v>
      </c>
      <c r="L830" s="100">
        <v>43994</v>
      </c>
      <c r="M830" s="315" t="s">
        <v>3176</v>
      </c>
      <c r="N830" s="246" t="s">
        <v>3177</v>
      </c>
      <c r="O830" s="104" t="s">
        <v>523</v>
      </c>
      <c r="P830" s="230">
        <v>22915.65</v>
      </c>
      <c r="Q830" s="230">
        <v>8150</v>
      </c>
      <c r="R830" s="131"/>
      <c r="S830" s="132"/>
      <c r="T830" s="102">
        <v>14732.5</v>
      </c>
      <c r="U830" s="100"/>
      <c r="V830" s="246" t="s">
        <v>3178</v>
      </c>
      <c r="W830" s="210"/>
    </row>
    <row r="831" s="43" customFormat="1" ht="22" hidden="1" customHeight="1" spans="1:23">
      <c r="A831" s="261" t="s">
        <v>3179</v>
      </c>
      <c r="B831" s="174" t="s">
        <v>2855</v>
      </c>
      <c r="C831" s="175"/>
      <c r="D831" s="45" t="s">
        <v>31</v>
      </c>
      <c r="E831" s="82" t="s">
        <v>3173</v>
      </c>
      <c r="F831" s="81"/>
      <c r="G831" s="306" t="s">
        <v>3180</v>
      </c>
      <c r="H831" s="142" t="s">
        <v>123</v>
      </c>
      <c r="I831" s="108" t="s">
        <v>3175</v>
      </c>
      <c r="J831" s="108">
        <v>43874</v>
      </c>
      <c r="K831" s="100">
        <v>43938</v>
      </c>
      <c r="L831" s="100">
        <v>43974</v>
      </c>
      <c r="M831" s="315" t="s">
        <v>3181</v>
      </c>
      <c r="N831" s="246" t="s">
        <v>3182</v>
      </c>
      <c r="O831" s="104" t="s">
        <v>523</v>
      </c>
      <c r="P831" s="230">
        <v>20116</v>
      </c>
      <c r="Q831" s="230">
        <v>6000</v>
      </c>
      <c r="R831" s="131"/>
      <c r="S831" s="132"/>
      <c r="T831" s="102">
        <v>14116</v>
      </c>
      <c r="U831" s="100"/>
      <c r="V831" s="246" t="s">
        <v>3183</v>
      </c>
      <c r="W831" s="210"/>
    </row>
    <row r="832" s="43" customFormat="1" ht="22" hidden="1" customHeight="1" spans="1:23">
      <c r="A832" s="261" t="s">
        <v>3184</v>
      </c>
      <c r="B832" s="174" t="s">
        <v>2855</v>
      </c>
      <c r="C832" s="175"/>
      <c r="D832" s="45" t="s">
        <v>31</v>
      </c>
      <c r="E832" s="82" t="s">
        <v>3046</v>
      </c>
      <c r="F832" s="81">
        <f>IFERROR(VLOOKUP(E832,客户!B:C,2,FALSE),"/")</f>
        <v>0</v>
      </c>
      <c r="G832" s="306" t="s">
        <v>3185</v>
      </c>
      <c r="H832" s="142" t="s">
        <v>147</v>
      </c>
      <c r="I832" s="108" t="s">
        <v>3175</v>
      </c>
      <c r="J832" s="108">
        <v>43874</v>
      </c>
      <c r="K832" s="100">
        <v>43947</v>
      </c>
      <c r="L832" s="100">
        <v>43988</v>
      </c>
      <c r="M832" s="315" t="s">
        <v>3186</v>
      </c>
      <c r="N832" s="246" t="s">
        <v>3187</v>
      </c>
      <c r="O832" s="104" t="s">
        <v>523</v>
      </c>
      <c r="P832" s="230">
        <v>21956</v>
      </c>
      <c r="Q832" s="230">
        <v>4391.2</v>
      </c>
      <c r="R832" s="131"/>
      <c r="S832" s="132"/>
      <c r="T832" s="102">
        <v>17532.3</v>
      </c>
      <c r="U832" s="100"/>
      <c r="V832" s="246" t="s">
        <v>3188</v>
      </c>
      <c r="W832" s="210"/>
    </row>
    <row r="833" s="43" customFormat="1" ht="22" hidden="1" customHeight="1" spans="1:23">
      <c r="A833" s="308" t="s">
        <v>3189</v>
      </c>
      <c r="B833" s="174" t="s">
        <v>2855</v>
      </c>
      <c r="C833" s="175"/>
      <c r="D833" s="45" t="s">
        <v>31</v>
      </c>
      <c r="E833" s="80" t="s">
        <v>3113</v>
      </c>
      <c r="F833" s="81">
        <f>IFERROR(VLOOKUP(E833,客户!B:C,2,FALSE),"/")</f>
        <v>0</v>
      </c>
      <c r="G833" s="306" t="s">
        <v>3096</v>
      </c>
      <c r="H833" s="142" t="s">
        <v>123</v>
      </c>
      <c r="I833" s="108" t="s">
        <v>3114</v>
      </c>
      <c r="J833" s="108">
        <v>43897</v>
      </c>
      <c r="K833" s="100">
        <v>43953</v>
      </c>
      <c r="L833" s="100">
        <v>43997</v>
      </c>
      <c r="M833" s="315" t="s">
        <v>3190</v>
      </c>
      <c r="N833" s="246" t="s">
        <v>3191</v>
      </c>
      <c r="O833" s="104" t="s">
        <v>970</v>
      </c>
      <c r="P833" s="230">
        <v>17687.6</v>
      </c>
      <c r="Q833" s="230">
        <v>5301</v>
      </c>
      <c r="R833" s="131"/>
      <c r="S833" s="132"/>
      <c r="T833" s="102">
        <v>12335.5</v>
      </c>
      <c r="U833" s="100"/>
      <c r="V833" s="246" t="s">
        <v>3192</v>
      </c>
      <c r="W833" s="210"/>
    </row>
    <row r="834" s="43" customFormat="1" ht="22" hidden="1" customHeight="1" spans="1:23">
      <c r="A834" s="261" t="s">
        <v>3193</v>
      </c>
      <c r="B834" s="174" t="s">
        <v>2855</v>
      </c>
      <c r="C834" s="175"/>
      <c r="D834" s="45" t="s">
        <v>31</v>
      </c>
      <c r="E834" s="82" t="s">
        <v>2994</v>
      </c>
      <c r="F834" s="81" t="str">
        <f>IFERROR(VLOOKUP(E834,客户!B:C,2,FALSE),"/")</f>
        <v>安哥拉门及配件给清单  灯的清单和照片 如果HScode是九十五章  提前和报关货代说
2021.3.4收¥55000(汇率6.46，折合美金$8512.93)
冻结中</v>
      </c>
      <c r="G834" s="306" t="s">
        <v>3194</v>
      </c>
      <c r="H834" s="142" t="s">
        <v>123</v>
      </c>
      <c r="I834" s="108" t="s">
        <v>3195</v>
      </c>
      <c r="J834" s="108">
        <v>43916</v>
      </c>
      <c r="K834" s="100">
        <v>44023</v>
      </c>
      <c r="L834" s="100">
        <v>44082</v>
      </c>
      <c r="M834" s="315" t="s">
        <v>3196</v>
      </c>
      <c r="N834" s="246" t="s">
        <v>3197</v>
      </c>
      <c r="O834" s="104" t="s">
        <v>523</v>
      </c>
      <c r="P834" s="230">
        <v>47634.09</v>
      </c>
      <c r="Q834" s="230">
        <v>4799</v>
      </c>
      <c r="R834" s="131"/>
      <c r="S834" s="132"/>
      <c r="T834" s="102">
        <f>236000/6.87</f>
        <v>34352.2561863173</v>
      </c>
      <c r="U834" s="102">
        <f>58000/6.8</f>
        <v>8529.41176470588</v>
      </c>
      <c r="V834" s="102"/>
      <c r="W834" s="210"/>
    </row>
    <row r="835" s="43" customFormat="1" ht="22" hidden="1" customHeight="1" spans="1:23">
      <c r="A835" s="323" t="s">
        <v>3198</v>
      </c>
      <c r="B835" s="174" t="s">
        <v>2855</v>
      </c>
      <c r="C835" s="175"/>
      <c r="D835" s="45" t="s">
        <v>31</v>
      </c>
      <c r="E835" s="82" t="s">
        <v>3199</v>
      </c>
      <c r="F835" s="81">
        <f>IFERROR(VLOOKUP(E835,客户!B:C,2,FALSE),"/")</f>
        <v>0</v>
      </c>
      <c r="G835" s="306" t="s">
        <v>3200</v>
      </c>
      <c r="H835" s="142" t="s">
        <v>123</v>
      </c>
      <c r="I835" s="108" t="s">
        <v>2892</v>
      </c>
      <c r="J835" s="108">
        <v>43944</v>
      </c>
      <c r="K835" s="100">
        <v>43966</v>
      </c>
      <c r="L835" s="100">
        <v>44002</v>
      </c>
      <c r="M835" s="315" t="s">
        <v>3201</v>
      </c>
      <c r="N835" s="246" t="s">
        <v>3202</v>
      </c>
      <c r="O835" s="104" t="s">
        <v>523</v>
      </c>
      <c r="P835" s="230">
        <v>38198.5</v>
      </c>
      <c r="Q835" s="230">
        <v>17481</v>
      </c>
      <c r="R835" s="131"/>
      <c r="S835" s="132"/>
      <c r="T835" s="102">
        <v>20235</v>
      </c>
      <c r="U835" s="100"/>
      <c r="V835" s="246" t="s">
        <v>3203</v>
      </c>
      <c r="W835" s="210"/>
    </row>
    <row r="836" s="43" customFormat="1" ht="22" hidden="1" customHeight="1" spans="1:23">
      <c r="A836" s="323" t="s">
        <v>3204</v>
      </c>
      <c r="B836" s="174" t="s">
        <v>2855</v>
      </c>
      <c r="C836" s="175"/>
      <c r="D836" s="45" t="s">
        <v>31</v>
      </c>
      <c r="E836" s="80" t="s">
        <v>3205</v>
      </c>
      <c r="F836" s="81"/>
      <c r="G836" s="306" t="s">
        <v>3206</v>
      </c>
      <c r="H836" s="142" t="s">
        <v>123</v>
      </c>
      <c r="I836" s="108" t="s">
        <v>2892</v>
      </c>
      <c r="J836" s="108">
        <v>43944</v>
      </c>
      <c r="K836" s="100">
        <v>43956</v>
      </c>
      <c r="L836" s="100">
        <v>43994</v>
      </c>
      <c r="M836" s="315" t="s">
        <v>3207</v>
      </c>
      <c r="N836" s="246" t="s">
        <v>3208</v>
      </c>
      <c r="O836" s="104" t="s">
        <v>523</v>
      </c>
      <c r="P836" s="230">
        <v>19180</v>
      </c>
      <c r="Q836" s="230">
        <v>9590</v>
      </c>
      <c r="R836" s="131"/>
      <c r="S836" s="132"/>
      <c r="T836" s="102">
        <v>10015.5</v>
      </c>
      <c r="U836" s="100"/>
      <c r="V836" s="246" t="s">
        <v>3209</v>
      </c>
      <c r="W836" s="210"/>
    </row>
    <row r="837" s="43" customFormat="1" ht="22" hidden="1" customHeight="1" spans="1:23">
      <c r="A837" s="323" t="s">
        <v>3210</v>
      </c>
      <c r="B837" s="174" t="s">
        <v>2855</v>
      </c>
      <c r="C837" s="175"/>
      <c r="D837" s="45" t="s">
        <v>31</v>
      </c>
      <c r="E837" s="82" t="s">
        <v>3046</v>
      </c>
      <c r="F837" s="81">
        <f>IFERROR(VLOOKUP(E837,客户!B:C,2,FALSE),"/")</f>
        <v>0</v>
      </c>
      <c r="G837" s="306" t="s">
        <v>3096</v>
      </c>
      <c r="H837" s="142" t="s">
        <v>147</v>
      </c>
      <c r="I837" s="108" t="s">
        <v>2617</v>
      </c>
      <c r="J837" s="108">
        <v>43950</v>
      </c>
      <c r="K837" s="100">
        <v>44008</v>
      </c>
      <c r="L837" s="100">
        <v>44052</v>
      </c>
      <c r="M837" s="315" t="s">
        <v>3211</v>
      </c>
      <c r="N837" s="246" t="s">
        <v>3212</v>
      </c>
      <c r="O837" s="104" t="s">
        <v>523</v>
      </c>
      <c r="P837" s="230">
        <v>19825.3</v>
      </c>
      <c r="Q837" s="230">
        <v>3961.1</v>
      </c>
      <c r="R837" s="131"/>
      <c r="S837" s="132"/>
      <c r="T837" s="102">
        <v>15864.2</v>
      </c>
      <c r="U837" s="100"/>
      <c r="V837" s="102"/>
      <c r="W837" s="210"/>
    </row>
    <row r="838" s="43" customFormat="1" ht="22" hidden="1" customHeight="1" spans="1:23">
      <c r="A838" s="261" t="s">
        <v>3213</v>
      </c>
      <c r="B838" s="174" t="s">
        <v>2855</v>
      </c>
      <c r="C838" s="175"/>
      <c r="D838" s="45" t="s">
        <v>31</v>
      </c>
      <c r="E838" s="80" t="s">
        <v>3214</v>
      </c>
      <c r="F838" s="81">
        <f>IFERROR(VLOOKUP(E838,客户!B:C,2,FALSE),"/")</f>
        <v>0</v>
      </c>
      <c r="G838" s="306" t="s">
        <v>3096</v>
      </c>
      <c r="H838" s="142" t="s">
        <v>123</v>
      </c>
      <c r="I838" s="108" t="s">
        <v>3114</v>
      </c>
      <c r="J838" s="108">
        <v>43957</v>
      </c>
      <c r="K838" s="100">
        <v>43997</v>
      </c>
      <c r="L838" s="100"/>
      <c r="M838" s="315" t="s">
        <v>3215</v>
      </c>
      <c r="N838" s="246" t="s">
        <v>3216</v>
      </c>
      <c r="O838" s="104" t="s">
        <v>970</v>
      </c>
      <c r="P838" s="230">
        <v>17129.6</v>
      </c>
      <c r="Q838" s="230">
        <v>5139</v>
      </c>
      <c r="R838" s="131"/>
      <c r="S838" s="132"/>
      <c r="T838" s="102">
        <v>11956.1</v>
      </c>
      <c r="U838" s="100"/>
      <c r="V838" s="246" t="s">
        <v>3217</v>
      </c>
      <c r="W838" s="210"/>
    </row>
    <row r="839" s="43" customFormat="1" ht="22" hidden="1" customHeight="1" spans="1:23">
      <c r="A839" s="261" t="s">
        <v>3218</v>
      </c>
      <c r="B839" s="174" t="s">
        <v>2855</v>
      </c>
      <c r="C839" s="175"/>
      <c r="D839" s="45" t="s">
        <v>31</v>
      </c>
      <c r="E839" s="82" t="s">
        <v>3173</v>
      </c>
      <c r="F839" s="81">
        <f>IFERROR(VLOOKUP(E839,客户!B:C,2,FALSE),"/")</f>
        <v>0</v>
      </c>
      <c r="G839" s="306" t="s">
        <v>3219</v>
      </c>
      <c r="H839" s="142" t="s">
        <v>154</v>
      </c>
      <c r="I839" s="108" t="s">
        <v>1877</v>
      </c>
      <c r="J839" s="108">
        <v>43957</v>
      </c>
      <c r="K839" s="100">
        <v>44029</v>
      </c>
      <c r="L839" s="100">
        <v>44066</v>
      </c>
      <c r="M839" s="315" t="s">
        <v>3220</v>
      </c>
      <c r="N839" s="246" t="s">
        <v>3221</v>
      </c>
      <c r="O839" s="104" t="s">
        <v>523</v>
      </c>
      <c r="P839" s="230">
        <v>69427</v>
      </c>
      <c r="Q839" s="230">
        <f>23000-1160</f>
        <v>21840</v>
      </c>
      <c r="R839" s="131"/>
      <c r="S839" s="132"/>
      <c r="T839" s="102">
        <v>47587</v>
      </c>
      <c r="U839" s="100"/>
      <c r="V839" s="102"/>
      <c r="W839" s="210"/>
    </row>
    <row r="840" s="43" customFormat="1" ht="22" hidden="1" customHeight="1" spans="1:23">
      <c r="A840" s="261" t="s">
        <v>3222</v>
      </c>
      <c r="B840" s="174" t="s">
        <v>2855</v>
      </c>
      <c r="C840" s="175"/>
      <c r="D840" s="45" t="s">
        <v>31</v>
      </c>
      <c r="E840" s="82" t="s">
        <v>3223</v>
      </c>
      <c r="F840" s="81">
        <f>IFERROR(VLOOKUP(E840,客户!B:C,2,FALSE),"/")</f>
        <v>0</v>
      </c>
      <c r="G840" s="306" t="s">
        <v>3224</v>
      </c>
      <c r="H840" s="142" t="s">
        <v>123</v>
      </c>
      <c r="I840" s="108" t="s">
        <v>3225</v>
      </c>
      <c r="J840" s="108">
        <v>43967</v>
      </c>
      <c r="K840" s="100">
        <v>43997</v>
      </c>
      <c r="L840" s="100"/>
      <c r="M840" s="315" t="s">
        <v>3226</v>
      </c>
      <c r="N840" s="246" t="s">
        <v>3227</v>
      </c>
      <c r="O840" s="104" t="s">
        <v>970</v>
      </c>
      <c r="P840" s="230">
        <v>16338</v>
      </c>
      <c r="Q840" s="230">
        <v>4901</v>
      </c>
      <c r="R840" s="131"/>
      <c r="S840" s="132"/>
      <c r="T840" s="102">
        <v>11405</v>
      </c>
      <c r="U840" s="100"/>
      <c r="V840" s="246" t="s">
        <v>3228</v>
      </c>
      <c r="W840" s="210"/>
    </row>
    <row r="841" s="43" customFormat="1" ht="22" hidden="1" customHeight="1" spans="1:23">
      <c r="A841" s="261" t="s">
        <v>3229</v>
      </c>
      <c r="B841" s="174" t="s">
        <v>2855</v>
      </c>
      <c r="C841" s="175"/>
      <c r="D841" s="45" t="s">
        <v>31</v>
      </c>
      <c r="E841" s="82" t="s">
        <v>3214</v>
      </c>
      <c r="F841" s="81">
        <f>IFERROR(VLOOKUP(E841,客户!B:C,2,FALSE),"/")</f>
        <v>0</v>
      </c>
      <c r="G841" s="306" t="s">
        <v>3230</v>
      </c>
      <c r="H841" s="142" t="s">
        <v>123</v>
      </c>
      <c r="I841" s="108" t="s">
        <v>3039</v>
      </c>
      <c r="J841" s="108">
        <v>43980</v>
      </c>
      <c r="K841" s="100">
        <v>44028</v>
      </c>
      <c r="L841" s="100"/>
      <c r="M841" s="315" t="s">
        <v>3231</v>
      </c>
      <c r="N841" s="246" t="s">
        <v>3232</v>
      </c>
      <c r="O841" s="104" t="s">
        <v>970</v>
      </c>
      <c r="P841" s="230">
        <v>21237.5</v>
      </c>
      <c r="Q841" s="230">
        <v>6371</v>
      </c>
      <c r="R841" s="131"/>
      <c r="S841" s="132"/>
      <c r="T841" s="102">
        <v>14834.5</v>
      </c>
      <c r="U841" s="100"/>
      <c r="V841" s="102"/>
      <c r="W841" s="210"/>
    </row>
    <row r="842" s="43" customFormat="1" ht="22" hidden="1" customHeight="1" spans="1:23">
      <c r="A842" s="261" t="s">
        <v>3233</v>
      </c>
      <c r="B842" s="174" t="s">
        <v>2855</v>
      </c>
      <c r="C842" s="175"/>
      <c r="D842" s="45" t="s">
        <v>31</v>
      </c>
      <c r="E842" s="82" t="s">
        <v>3234</v>
      </c>
      <c r="F842" s="81">
        <f>IFERROR(VLOOKUP(E842,客户!B:C,2,FALSE),"/")</f>
        <v>0</v>
      </c>
      <c r="G842" s="306" t="s">
        <v>3235</v>
      </c>
      <c r="H842" s="142" t="s">
        <v>147</v>
      </c>
      <c r="I842" s="108" t="s">
        <v>2761</v>
      </c>
      <c r="J842" s="108">
        <v>44006</v>
      </c>
      <c r="K842" s="100">
        <v>44037</v>
      </c>
      <c r="L842" s="232">
        <v>44074</v>
      </c>
      <c r="M842" s="325" t="s">
        <v>3236</v>
      </c>
      <c r="N842" s="246" t="s">
        <v>3237</v>
      </c>
      <c r="O842" s="104" t="s">
        <v>523</v>
      </c>
      <c r="P842" s="230">
        <v>39125.5</v>
      </c>
      <c r="Q842" s="230">
        <v>7825.1</v>
      </c>
      <c r="R842" s="131"/>
      <c r="S842" s="132"/>
      <c r="T842" s="102">
        <v>31300</v>
      </c>
      <c r="U842" s="100"/>
      <c r="V842" s="102"/>
      <c r="W842" s="210"/>
    </row>
    <row r="843" s="43" customFormat="1" ht="22" hidden="1" customHeight="1" spans="1:23">
      <c r="A843" s="261" t="s">
        <v>3238</v>
      </c>
      <c r="B843" s="174" t="s">
        <v>2855</v>
      </c>
      <c r="C843" s="175"/>
      <c r="D843" s="45" t="s">
        <v>31</v>
      </c>
      <c r="E843" s="82" t="s">
        <v>3239</v>
      </c>
      <c r="F843" s="81">
        <f>IFERROR(VLOOKUP(E843,客户!B:C,2,FALSE),"/")</f>
        <v>0</v>
      </c>
      <c r="G843" s="306" t="s">
        <v>3240</v>
      </c>
      <c r="H843" s="142" t="s">
        <v>154</v>
      </c>
      <c r="I843" s="108" t="s">
        <v>1877</v>
      </c>
      <c r="J843" s="108">
        <v>44019</v>
      </c>
      <c r="K843" s="100">
        <v>44053</v>
      </c>
      <c r="L843" s="100">
        <v>44092</v>
      </c>
      <c r="M843" s="315" t="s">
        <v>3241</v>
      </c>
      <c r="N843" s="246" t="s">
        <v>3242</v>
      </c>
      <c r="O843" s="104" t="s">
        <v>523</v>
      </c>
      <c r="P843" s="230">
        <v>61527.3</v>
      </c>
      <c r="Q843" s="230">
        <v>20920</v>
      </c>
      <c r="R843" s="131"/>
      <c r="S843" s="132"/>
      <c r="T843" s="102">
        <v>40607.3</v>
      </c>
      <c r="U843" s="100"/>
      <c r="V843" s="102"/>
      <c r="W843" s="210"/>
    </row>
    <row r="844" s="43" customFormat="1" ht="22" hidden="1" customHeight="1" spans="1:23">
      <c r="A844" s="261" t="s">
        <v>3243</v>
      </c>
      <c r="B844" s="174" t="s">
        <v>2855</v>
      </c>
      <c r="C844" s="175"/>
      <c r="D844" s="45" t="s">
        <v>31</v>
      </c>
      <c r="E844" s="82" t="s">
        <v>3239</v>
      </c>
      <c r="F844" s="81">
        <f>IFERROR(VLOOKUP(E844,客户!B:C,2,FALSE),"/")</f>
        <v>0</v>
      </c>
      <c r="G844" s="306" t="s">
        <v>3244</v>
      </c>
      <c r="H844" s="142" t="s">
        <v>154</v>
      </c>
      <c r="I844" s="108" t="s">
        <v>1877</v>
      </c>
      <c r="J844" s="108">
        <v>44019</v>
      </c>
      <c r="K844" s="100">
        <v>44062</v>
      </c>
      <c r="L844" s="100">
        <v>44099</v>
      </c>
      <c r="M844" s="315" t="s">
        <v>3245</v>
      </c>
      <c r="N844" s="246" t="s">
        <v>3246</v>
      </c>
      <c r="O844" s="104" t="s">
        <v>523</v>
      </c>
      <c r="P844" s="230">
        <v>27520.8</v>
      </c>
      <c r="Q844" s="230">
        <v>8820</v>
      </c>
      <c r="R844" s="131"/>
      <c r="S844" s="132"/>
      <c r="T844" s="102">
        <v>18700.8</v>
      </c>
      <c r="U844" s="100"/>
      <c r="V844" s="102"/>
      <c r="W844" s="210"/>
    </row>
    <row r="845" s="43" customFormat="1" ht="22" hidden="1" customHeight="1" spans="1:23">
      <c r="A845" s="261" t="s">
        <v>3247</v>
      </c>
      <c r="B845" s="174" t="s">
        <v>2855</v>
      </c>
      <c r="C845" s="175"/>
      <c r="D845" s="45" t="s">
        <v>31</v>
      </c>
      <c r="E845" s="82" t="s">
        <v>3223</v>
      </c>
      <c r="F845" s="81">
        <f>IFERROR(VLOOKUP(E845,客户!B:C,2,FALSE),"/")</f>
        <v>0</v>
      </c>
      <c r="G845" s="306" t="s">
        <v>3248</v>
      </c>
      <c r="H845" s="142" t="s">
        <v>154</v>
      </c>
      <c r="I845" s="108" t="s">
        <v>3039</v>
      </c>
      <c r="J845" s="108">
        <v>44021</v>
      </c>
      <c r="K845" s="100">
        <v>44055</v>
      </c>
      <c r="L845" s="100">
        <v>44086</v>
      </c>
      <c r="M845" s="315" t="s">
        <v>3249</v>
      </c>
      <c r="N845" s="246" t="s">
        <v>3250</v>
      </c>
      <c r="O845" s="104" t="s">
        <v>970</v>
      </c>
      <c r="P845" s="230">
        <v>20611.55</v>
      </c>
      <c r="Q845" s="230">
        <v>6194</v>
      </c>
      <c r="R845" s="131"/>
      <c r="S845" s="132"/>
      <c r="T845" s="102">
        <v>14452.95</v>
      </c>
      <c r="U845" s="100"/>
      <c r="V845" s="246" t="s">
        <v>3251</v>
      </c>
      <c r="W845" s="210"/>
    </row>
    <row r="846" s="43" customFormat="1" ht="22" hidden="1" customHeight="1" spans="1:23">
      <c r="A846" s="261" t="s">
        <v>3252</v>
      </c>
      <c r="B846" s="174" t="s">
        <v>2855</v>
      </c>
      <c r="C846" s="175"/>
      <c r="D846" s="45" t="s">
        <v>31</v>
      </c>
      <c r="E846" s="82" t="s">
        <v>3253</v>
      </c>
      <c r="F846" s="81">
        <f>IFERROR(VLOOKUP(E846,客户!B:C,2,FALSE),"/")</f>
        <v>0</v>
      </c>
      <c r="G846" s="306" t="s">
        <v>3096</v>
      </c>
      <c r="H846" s="142" t="s">
        <v>154</v>
      </c>
      <c r="I846" s="108" t="s">
        <v>1230</v>
      </c>
      <c r="J846" s="108">
        <v>44042</v>
      </c>
      <c r="K846" s="100">
        <v>44096</v>
      </c>
      <c r="L846" s="100">
        <v>44132</v>
      </c>
      <c r="M846" s="315" t="s">
        <v>3254</v>
      </c>
      <c r="N846" s="246" t="s">
        <v>3255</v>
      </c>
      <c r="O846" s="104" t="s">
        <v>970</v>
      </c>
      <c r="P846" s="230">
        <v>21476</v>
      </c>
      <c r="Q846" s="230">
        <f>42728.47/6.99</f>
        <v>6112.79971387697</v>
      </c>
      <c r="R846" s="131"/>
      <c r="S846" s="132"/>
      <c r="T846" s="102">
        <f>95885.38/6.82</f>
        <v>14059.4398826979</v>
      </c>
      <c r="U846" s="102">
        <f>7590/6.9</f>
        <v>1100</v>
      </c>
      <c r="V846" s="102" t="s">
        <v>3256</v>
      </c>
      <c r="W846" s="210"/>
    </row>
    <row r="847" s="43" customFormat="1" ht="22" hidden="1" customHeight="1" spans="1:23">
      <c r="A847" s="261" t="s">
        <v>3257</v>
      </c>
      <c r="B847" s="174" t="s">
        <v>2855</v>
      </c>
      <c r="C847" s="175"/>
      <c r="D847" s="45" t="s">
        <v>31</v>
      </c>
      <c r="E847" s="82" t="s">
        <v>3214</v>
      </c>
      <c r="F847" s="81"/>
      <c r="G847" s="306" t="s">
        <v>3258</v>
      </c>
      <c r="H847" s="142" t="s">
        <v>154</v>
      </c>
      <c r="I847" s="108" t="s">
        <v>3039</v>
      </c>
      <c r="J847" s="108">
        <v>44046</v>
      </c>
      <c r="K847" s="100">
        <v>44079</v>
      </c>
      <c r="L847" s="100"/>
      <c r="M847" s="315" t="s">
        <v>3259</v>
      </c>
      <c r="N847" s="246" t="s">
        <v>3216</v>
      </c>
      <c r="O847" s="104" t="s">
        <v>970</v>
      </c>
      <c r="P847" s="230">
        <v>28379.3</v>
      </c>
      <c r="Q847" s="230">
        <f>35.4+8514</f>
        <v>8549.4</v>
      </c>
      <c r="R847" s="131"/>
      <c r="S847" s="132"/>
      <c r="T847" s="102">
        <v>19829.9</v>
      </c>
      <c r="U847" s="100"/>
      <c r="V847" s="102"/>
      <c r="W847" s="210"/>
    </row>
    <row r="848" s="43" customFormat="1" ht="22" hidden="1" customHeight="1" spans="1:23">
      <c r="A848" s="261" t="s">
        <v>3260</v>
      </c>
      <c r="B848" s="174" t="s">
        <v>2855</v>
      </c>
      <c r="C848" s="175"/>
      <c r="D848" s="45" t="s">
        <v>31</v>
      </c>
      <c r="E848" s="82" t="s">
        <v>3214</v>
      </c>
      <c r="F848" s="81">
        <f>IFERROR(VLOOKUP(E848,客户!B:C,2,FALSE),"/")</f>
        <v>0</v>
      </c>
      <c r="G848" s="306" t="s">
        <v>3261</v>
      </c>
      <c r="H848" s="142" t="s">
        <v>154</v>
      </c>
      <c r="I848" s="108" t="s">
        <v>3039</v>
      </c>
      <c r="J848" s="108">
        <v>44065</v>
      </c>
      <c r="K848" s="100">
        <v>44100</v>
      </c>
      <c r="L848" s="100"/>
      <c r="M848" s="315" t="s">
        <v>3262</v>
      </c>
      <c r="N848" s="246" t="s">
        <v>3250</v>
      </c>
      <c r="O848" s="104" t="s">
        <v>970</v>
      </c>
      <c r="P848" s="230">
        <v>18696.25</v>
      </c>
      <c r="Q848" s="230">
        <v>5609</v>
      </c>
      <c r="R848" s="131"/>
      <c r="S848" s="132"/>
      <c r="T848" s="102">
        <v>13087.25</v>
      </c>
      <c r="U848" s="100"/>
      <c r="V848" s="102"/>
      <c r="W848" s="210"/>
    </row>
    <row r="849" s="43" customFormat="1" ht="22" hidden="1" customHeight="1" spans="1:23">
      <c r="A849" s="261" t="s">
        <v>3263</v>
      </c>
      <c r="B849" s="174" t="s">
        <v>2855</v>
      </c>
      <c r="C849" s="175"/>
      <c r="D849" s="45" t="s">
        <v>31</v>
      </c>
      <c r="E849" s="82" t="s">
        <v>3264</v>
      </c>
      <c r="F849" s="81">
        <f>IFERROR(VLOOKUP(E849,客户!B:C,2,FALSE),"/")</f>
        <v>0</v>
      </c>
      <c r="G849" s="306" t="s">
        <v>3146</v>
      </c>
      <c r="H849" s="142" t="s">
        <v>147</v>
      </c>
      <c r="I849" s="108" t="s">
        <v>1877</v>
      </c>
      <c r="J849" s="108">
        <v>44075</v>
      </c>
      <c r="K849" s="100">
        <v>44118</v>
      </c>
      <c r="L849" s="100">
        <v>44162</v>
      </c>
      <c r="M849" s="315" t="s">
        <v>3265</v>
      </c>
      <c r="N849" s="246" t="s">
        <v>3266</v>
      </c>
      <c r="O849" s="104" t="s">
        <v>523</v>
      </c>
      <c r="P849" s="230">
        <v>38182</v>
      </c>
      <c r="Q849" s="230">
        <v>5727</v>
      </c>
      <c r="R849" s="131"/>
      <c r="S849" s="132"/>
      <c r="T849" s="102">
        <v>31558.45</v>
      </c>
      <c r="U849" s="100"/>
      <c r="V849" s="102"/>
      <c r="W849" s="210"/>
    </row>
    <row r="850" s="43" customFormat="1" ht="20" hidden="1" customHeight="1" spans="1:23">
      <c r="A850" s="261" t="s">
        <v>3267</v>
      </c>
      <c r="B850" s="174" t="s">
        <v>2855</v>
      </c>
      <c r="C850" s="175"/>
      <c r="D850" s="45" t="s">
        <v>31</v>
      </c>
      <c r="E850" s="82" t="s">
        <v>3264</v>
      </c>
      <c r="F850" s="81">
        <f>IFERROR(VLOOKUP(E850,客户!B:C,2,FALSE),"/")</f>
        <v>0</v>
      </c>
      <c r="G850" s="306" t="s">
        <v>3268</v>
      </c>
      <c r="H850" s="142" t="s">
        <v>147</v>
      </c>
      <c r="I850" s="108" t="s">
        <v>1877</v>
      </c>
      <c r="J850" s="108">
        <v>44075</v>
      </c>
      <c r="K850" s="100">
        <v>44133</v>
      </c>
      <c r="L850" s="100">
        <v>44171</v>
      </c>
      <c r="M850" s="315" t="s">
        <v>3269</v>
      </c>
      <c r="N850" s="246" t="s">
        <v>3270</v>
      </c>
      <c r="O850" s="104" t="s">
        <v>523</v>
      </c>
      <c r="P850" s="230">
        <v>42084.8</v>
      </c>
      <c r="Q850" s="230">
        <f>13164.3-5727</f>
        <v>7437.3</v>
      </c>
      <c r="R850" s="131"/>
      <c r="S850" s="132"/>
      <c r="T850" s="102">
        <v>20000</v>
      </c>
      <c r="U850" s="102">
        <v>14647.5</v>
      </c>
      <c r="V850" s="102"/>
      <c r="W850" s="210"/>
    </row>
    <row r="851" s="43" customFormat="1" ht="22" hidden="1" customHeight="1" spans="1:23">
      <c r="A851" s="261" t="s">
        <v>3271</v>
      </c>
      <c r="B851" s="174" t="s">
        <v>2855</v>
      </c>
      <c r="C851" s="175"/>
      <c r="D851" s="45" t="s">
        <v>31</v>
      </c>
      <c r="E851" s="82" t="s">
        <v>3239</v>
      </c>
      <c r="F851" s="81">
        <f>IFERROR(VLOOKUP(E851,客户!B:C,2,FALSE),"/")</f>
        <v>0</v>
      </c>
      <c r="G851" s="306" t="s">
        <v>3272</v>
      </c>
      <c r="H851" s="142" t="s">
        <v>123</v>
      </c>
      <c r="I851" s="108" t="s">
        <v>1877</v>
      </c>
      <c r="J851" s="108">
        <v>44076</v>
      </c>
      <c r="K851" s="100">
        <v>44106</v>
      </c>
      <c r="L851" s="100">
        <v>44145</v>
      </c>
      <c r="M851" s="315" t="s">
        <v>3273</v>
      </c>
      <c r="N851" s="246" t="s">
        <v>3274</v>
      </c>
      <c r="O851" s="104" t="s">
        <v>523</v>
      </c>
      <c r="P851" s="230">
        <v>42732.2</v>
      </c>
      <c r="Q851" s="230">
        <v>13000</v>
      </c>
      <c r="R851" s="131"/>
      <c r="S851" s="132"/>
      <c r="T851" s="102">
        <v>29732.2</v>
      </c>
      <c r="U851" s="100"/>
      <c r="V851" s="102"/>
      <c r="W851" s="210"/>
    </row>
    <row r="852" s="43" customFormat="1" ht="22" hidden="1" customHeight="1" spans="1:23">
      <c r="A852" s="261" t="s">
        <v>3275</v>
      </c>
      <c r="B852" s="174" t="s">
        <v>2855</v>
      </c>
      <c r="C852" s="175"/>
      <c r="D852" s="45" t="s">
        <v>31</v>
      </c>
      <c r="E852" s="82" t="s">
        <v>3239</v>
      </c>
      <c r="F852" s="81">
        <f>IFERROR(VLOOKUP(E852,客户!B:C,2,FALSE),"/")</f>
        <v>0</v>
      </c>
      <c r="G852" s="306" t="s">
        <v>3276</v>
      </c>
      <c r="H852" s="142" t="s">
        <v>123</v>
      </c>
      <c r="I852" s="108" t="s">
        <v>1877</v>
      </c>
      <c r="J852" s="108">
        <v>44076</v>
      </c>
      <c r="K852" s="100">
        <v>44125</v>
      </c>
      <c r="L852" s="100">
        <v>44161</v>
      </c>
      <c r="M852" s="315" t="s">
        <v>3277</v>
      </c>
      <c r="N852" s="246" t="s">
        <v>3278</v>
      </c>
      <c r="O852" s="104" t="s">
        <v>523</v>
      </c>
      <c r="P852" s="230">
        <v>51496.3</v>
      </c>
      <c r="Q852" s="230">
        <f>31210-13000</f>
        <v>18210</v>
      </c>
      <c r="R852" s="131"/>
      <c r="S852" s="132"/>
      <c r="T852" s="102">
        <v>33286</v>
      </c>
      <c r="U852" s="100"/>
      <c r="V852" s="102"/>
      <c r="W852" s="210"/>
    </row>
    <row r="853" s="43" customFormat="1" ht="22" hidden="1" customHeight="1" spans="1:23">
      <c r="A853" s="261" t="s">
        <v>3279</v>
      </c>
      <c r="B853" s="174" t="s">
        <v>2855</v>
      </c>
      <c r="C853" s="175"/>
      <c r="D853" s="45" t="s">
        <v>31</v>
      </c>
      <c r="E853" s="82" t="s">
        <v>3280</v>
      </c>
      <c r="F853" s="81" t="str">
        <f>IFERROR(VLOOKUP(E853,客户!B:C,2,FALSE),"/")</f>
        <v>安哥拉门及配件给清单  灯的清单和照片 如果HScode是九十五章  提前和报关货代说
2021.3.4收¥55000(汇率6.46，折合美金$8512.93)
冻结中</v>
      </c>
      <c r="G853" s="306" t="s">
        <v>3281</v>
      </c>
      <c r="H853" s="142" t="s">
        <v>123</v>
      </c>
      <c r="I853" s="108" t="s">
        <v>2995</v>
      </c>
      <c r="J853" s="108">
        <v>44081</v>
      </c>
      <c r="K853" s="100">
        <v>44137</v>
      </c>
      <c r="L853" s="100">
        <v>44189</v>
      </c>
      <c r="M853" s="315" t="s">
        <v>3282</v>
      </c>
      <c r="N853" s="246" t="s">
        <v>3283</v>
      </c>
      <c r="O853" s="104" t="s">
        <v>523</v>
      </c>
      <c r="P853" s="230">
        <v>41937.5</v>
      </c>
      <c r="Q853" s="230">
        <f>45000/6.82</f>
        <v>6598.24046920821</v>
      </c>
      <c r="R853" s="131"/>
      <c r="S853" s="132"/>
      <c r="T853" s="102">
        <f>190000/6.5337</f>
        <v>29080.0006122105</v>
      </c>
      <c r="U853" s="102">
        <f>40896/6.5337</f>
        <v>6259.24055282612</v>
      </c>
      <c r="V853" s="102"/>
      <c r="W853" s="210"/>
    </row>
    <row r="854" s="43" customFormat="1" ht="22" hidden="1" customHeight="1" spans="1:23">
      <c r="A854" s="261" t="s">
        <v>3284</v>
      </c>
      <c r="B854" s="174" t="s">
        <v>2855</v>
      </c>
      <c r="C854" s="175"/>
      <c r="D854" s="45" t="s">
        <v>31</v>
      </c>
      <c r="E854" s="82" t="s">
        <v>3285</v>
      </c>
      <c r="F854" s="81">
        <f>IFERROR(VLOOKUP(E854,客户!B:C,2,FALSE),"/")</f>
        <v>0</v>
      </c>
      <c r="G854" s="306" t="s">
        <v>3286</v>
      </c>
      <c r="H854" s="142" t="s">
        <v>123</v>
      </c>
      <c r="I854" s="108" t="s">
        <v>3287</v>
      </c>
      <c r="J854" s="108">
        <v>44088</v>
      </c>
      <c r="K854" s="111">
        <v>44284</v>
      </c>
      <c r="L854" s="100">
        <v>44331</v>
      </c>
      <c r="M854" s="315" t="s">
        <v>3288</v>
      </c>
      <c r="N854" s="246" t="s">
        <v>3289</v>
      </c>
      <c r="O854" s="104" t="s">
        <v>970</v>
      </c>
      <c r="P854" s="230">
        <v>21828.65</v>
      </c>
      <c r="Q854" s="230">
        <v>8200</v>
      </c>
      <c r="R854" s="131"/>
      <c r="S854" s="132"/>
      <c r="T854" s="102">
        <v>13628.65</v>
      </c>
      <c r="U854" s="100"/>
      <c r="V854" s="102"/>
      <c r="W854" s="210"/>
    </row>
    <row r="855" s="43" customFormat="1" ht="22" hidden="1" customHeight="1" spans="1:23">
      <c r="A855" s="261" t="s">
        <v>3290</v>
      </c>
      <c r="B855" s="174" t="s">
        <v>2855</v>
      </c>
      <c r="C855" s="175"/>
      <c r="D855" s="45" t="s">
        <v>31</v>
      </c>
      <c r="E855" s="82" t="s">
        <v>3291</v>
      </c>
      <c r="F855" s="81">
        <f>IFERROR(VLOOKUP(E855,客户!B:C,2,FALSE),"/")</f>
        <v>0</v>
      </c>
      <c r="G855" s="306" t="s">
        <v>3292</v>
      </c>
      <c r="H855" s="142" t="s">
        <v>147</v>
      </c>
      <c r="I855" s="108" t="s">
        <v>2939</v>
      </c>
      <c r="J855" s="108">
        <v>44096</v>
      </c>
      <c r="K855" s="100">
        <v>44164</v>
      </c>
      <c r="L855" s="100">
        <v>44175</v>
      </c>
      <c r="M855" s="315" t="s">
        <v>3293</v>
      </c>
      <c r="N855" s="246" t="s">
        <v>3294</v>
      </c>
      <c r="O855" s="104" t="s">
        <v>523</v>
      </c>
      <c r="P855" s="230">
        <v>25239.1</v>
      </c>
      <c r="Q855" s="230">
        <v>7618</v>
      </c>
      <c r="R855" s="131"/>
      <c r="S855" s="132"/>
      <c r="T855" s="102">
        <v>17621.1</v>
      </c>
      <c r="U855" s="100"/>
      <c r="V855" s="102"/>
      <c r="W855" s="210"/>
    </row>
    <row r="856" s="43" customFormat="1" ht="22" hidden="1" customHeight="1" spans="1:23">
      <c r="A856" s="261" t="s">
        <v>3295</v>
      </c>
      <c r="B856" s="174" t="s">
        <v>2855</v>
      </c>
      <c r="C856" s="175"/>
      <c r="D856" s="45" t="s">
        <v>31</v>
      </c>
      <c r="E856" s="82" t="s">
        <v>3296</v>
      </c>
      <c r="F856" s="81">
        <f>IFERROR(VLOOKUP(E856,客户!B:C,2,FALSE),"/")</f>
        <v>0</v>
      </c>
      <c r="G856" s="306" t="s">
        <v>3297</v>
      </c>
      <c r="H856" s="142" t="s">
        <v>123</v>
      </c>
      <c r="I856" s="108" t="s">
        <v>2995</v>
      </c>
      <c r="J856" s="108">
        <v>44104</v>
      </c>
      <c r="K856" s="100">
        <v>44142</v>
      </c>
      <c r="L856" s="100"/>
      <c r="M856" s="315" t="s">
        <v>3298</v>
      </c>
      <c r="N856" s="246" t="s">
        <v>3299</v>
      </c>
      <c r="O856" s="104" t="s">
        <v>970</v>
      </c>
      <c r="P856" s="230">
        <v>22173</v>
      </c>
      <c r="Q856" s="230">
        <v>6000</v>
      </c>
      <c r="R856" s="131"/>
      <c r="S856" s="132"/>
      <c r="T856" s="102">
        <v>16173</v>
      </c>
      <c r="U856" s="100"/>
      <c r="V856" s="102"/>
      <c r="W856" s="210"/>
    </row>
    <row r="857" s="43" customFormat="1" ht="22" hidden="1" customHeight="1" spans="1:23">
      <c r="A857" s="261" t="s">
        <v>3300</v>
      </c>
      <c r="B857" s="174" t="s">
        <v>2855</v>
      </c>
      <c r="C857" s="175"/>
      <c r="D857" s="45" t="s">
        <v>31</v>
      </c>
      <c r="E857" s="82" t="s">
        <v>3234</v>
      </c>
      <c r="F857" s="81">
        <f>IFERROR(VLOOKUP(E857,客户!B:C,2,FALSE),"/")</f>
        <v>0</v>
      </c>
      <c r="G857" s="306" t="s">
        <v>3301</v>
      </c>
      <c r="H857" s="142" t="s">
        <v>147</v>
      </c>
      <c r="I857" s="108" t="s">
        <v>1546</v>
      </c>
      <c r="J857" s="108">
        <v>44117</v>
      </c>
      <c r="K857" s="100">
        <v>44154</v>
      </c>
      <c r="L857" s="100">
        <v>44190</v>
      </c>
      <c r="M857" s="315" t="s">
        <v>3302</v>
      </c>
      <c r="N857" s="246" t="s">
        <v>3303</v>
      </c>
      <c r="O857" s="104" t="s">
        <v>523</v>
      </c>
      <c r="P857" s="230">
        <v>22310</v>
      </c>
      <c r="Q857" s="230">
        <v>4398</v>
      </c>
      <c r="R857" s="131"/>
      <c r="S857" s="132"/>
      <c r="T857" s="102">
        <v>17912</v>
      </c>
      <c r="U857" s="100"/>
      <c r="V857" s="102"/>
      <c r="W857" s="210"/>
    </row>
    <row r="858" s="43" customFormat="1" ht="20" hidden="1" customHeight="1" spans="1:23">
      <c r="A858" s="261" t="s">
        <v>3304</v>
      </c>
      <c r="B858" s="174" t="s">
        <v>2855</v>
      </c>
      <c r="C858" s="175"/>
      <c r="D858" s="45" t="s">
        <v>31</v>
      </c>
      <c r="E858" s="82" t="s">
        <v>3234</v>
      </c>
      <c r="F858" s="81">
        <f>IFERROR(VLOOKUP(E858,客户!B:C,2,FALSE),"/")</f>
        <v>0</v>
      </c>
      <c r="G858" s="306" t="s">
        <v>3305</v>
      </c>
      <c r="H858" s="142" t="s">
        <v>147</v>
      </c>
      <c r="I858" s="108" t="s">
        <v>1546</v>
      </c>
      <c r="J858" s="108">
        <v>44119</v>
      </c>
      <c r="K858" s="100">
        <v>44162</v>
      </c>
      <c r="L858" s="100">
        <v>44205</v>
      </c>
      <c r="M858" s="326" t="s">
        <v>3306</v>
      </c>
      <c r="N858" s="246" t="s">
        <v>3307</v>
      </c>
      <c r="O858" s="104" t="s">
        <v>523</v>
      </c>
      <c r="P858" s="230">
        <v>47268.37</v>
      </c>
      <c r="Q858" s="230">
        <v>9132.28</v>
      </c>
      <c r="R858" s="131"/>
      <c r="S858" s="132"/>
      <c r="T858" s="102">
        <v>38136.09</v>
      </c>
      <c r="U858" s="100"/>
      <c r="V858" s="102"/>
      <c r="W858" s="210"/>
    </row>
    <row r="859" s="43" customFormat="1" ht="22" hidden="1" customHeight="1" spans="1:23">
      <c r="A859" s="292" t="s">
        <v>3308</v>
      </c>
      <c r="B859" s="174" t="s">
        <v>2855</v>
      </c>
      <c r="C859" s="175"/>
      <c r="D859" s="45" t="s">
        <v>31</v>
      </c>
      <c r="E859" s="82" t="s">
        <v>3264</v>
      </c>
      <c r="F859" s="81">
        <f>IFERROR(VLOOKUP(E859,客户!B:C,2,FALSE),"/")</f>
        <v>0</v>
      </c>
      <c r="G859" s="306" t="s">
        <v>3309</v>
      </c>
      <c r="H859" s="142" t="s">
        <v>147</v>
      </c>
      <c r="I859" s="108" t="s">
        <v>1546</v>
      </c>
      <c r="J859" s="108">
        <v>44139</v>
      </c>
      <c r="K859" s="100">
        <v>44176</v>
      </c>
      <c r="L859" s="200">
        <v>44212</v>
      </c>
      <c r="M859" s="315" t="s">
        <v>3310</v>
      </c>
      <c r="N859" s="246" t="s">
        <v>3311</v>
      </c>
      <c r="O859" s="104" t="s">
        <v>523</v>
      </c>
      <c r="P859" s="230">
        <v>44253.2</v>
      </c>
      <c r="Q859" s="230">
        <v>6634.5</v>
      </c>
      <c r="R859" s="131"/>
      <c r="S859" s="132"/>
      <c r="T859" s="102">
        <v>17618.7</v>
      </c>
      <c r="U859" s="102">
        <v>20000</v>
      </c>
      <c r="V859" s="102"/>
      <c r="W859" s="210"/>
    </row>
    <row r="860" s="43" customFormat="1" ht="22" hidden="1" customHeight="1" spans="1:23">
      <c r="A860" s="261" t="s">
        <v>3312</v>
      </c>
      <c r="B860" s="174" t="s">
        <v>2855</v>
      </c>
      <c r="C860" s="175"/>
      <c r="D860" s="45" t="s">
        <v>31</v>
      </c>
      <c r="E860" s="82" t="s">
        <v>3264</v>
      </c>
      <c r="F860" s="81">
        <f>IFERROR(VLOOKUP(E860,客户!B:C,2,FALSE),"/")</f>
        <v>0</v>
      </c>
      <c r="G860" s="306" t="s">
        <v>3309</v>
      </c>
      <c r="H860" s="142" t="s">
        <v>147</v>
      </c>
      <c r="I860" s="108" t="s">
        <v>1546</v>
      </c>
      <c r="J860" s="108">
        <v>44139</v>
      </c>
      <c r="K860" s="100">
        <v>44184</v>
      </c>
      <c r="L860" s="200">
        <v>44223</v>
      </c>
      <c r="M860" s="315" t="s">
        <v>3313</v>
      </c>
      <c r="N860" s="246" t="s">
        <v>3314</v>
      </c>
      <c r="O860" s="104" t="s">
        <v>523</v>
      </c>
      <c r="P860" s="230">
        <v>44908.8</v>
      </c>
      <c r="Q860" s="230">
        <v>6634.5</v>
      </c>
      <c r="R860" s="131"/>
      <c r="S860" s="132"/>
      <c r="T860" s="102">
        <v>2000</v>
      </c>
      <c r="U860" s="230">
        <v>18274.3</v>
      </c>
      <c r="V860" s="102"/>
      <c r="W860" s="210"/>
    </row>
    <row r="861" s="43" customFormat="1" ht="22" hidden="1" customHeight="1" spans="1:23">
      <c r="A861" s="292" t="s">
        <v>3315</v>
      </c>
      <c r="B861" s="174" t="s">
        <v>2855</v>
      </c>
      <c r="C861" s="175"/>
      <c r="D861" s="45" t="s">
        <v>31</v>
      </c>
      <c r="E861" s="82" t="s">
        <v>3214</v>
      </c>
      <c r="F861" s="81">
        <f>IFERROR(VLOOKUP(E861,客户!B:C,2,FALSE),"/")</f>
        <v>0</v>
      </c>
      <c r="G861" s="306" t="s">
        <v>3316</v>
      </c>
      <c r="H861" s="142" t="s">
        <v>123</v>
      </c>
      <c r="I861" s="108" t="s">
        <v>3114</v>
      </c>
      <c r="J861" s="108">
        <v>44146</v>
      </c>
      <c r="K861" s="100">
        <v>44231</v>
      </c>
      <c r="L861" s="100"/>
      <c r="M861" s="315" t="s">
        <v>3317</v>
      </c>
      <c r="N861" s="246" t="s">
        <v>3318</v>
      </c>
      <c r="O861" s="104" t="s">
        <v>970</v>
      </c>
      <c r="P861" s="230">
        <v>21703.58</v>
      </c>
      <c r="Q861" s="230">
        <v>6777</v>
      </c>
      <c r="R861" s="131"/>
      <c r="S861" s="132"/>
      <c r="T861" s="102">
        <v>14926.58</v>
      </c>
      <c r="U861" s="100"/>
      <c r="V861" s="102"/>
      <c r="W861" s="210"/>
    </row>
    <row r="862" s="43" customFormat="1" ht="22" hidden="1" customHeight="1" spans="1:23">
      <c r="A862" s="261" t="s">
        <v>3319</v>
      </c>
      <c r="B862" s="174" t="s">
        <v>2855</v>
      </c>
      <c r="C862" s="175"/>
      <c r="D862" s="45" t="s">
        <v>31</v>
      </c>
      <c r="E862" s="82" t="s">
        <v>3214</v>
      </c>
      <c r="F862" s="81">
        <f>IFERROR(VLOOKUP(E862,客户!B:C,2,FALSE),"/")</f>
        <v>0</v>
      </c>
      <c r="G862" s="306" t="s">
        <v>3320</v>
      </c>
      <c r="H862" s="142" t="s">
        <v>123</v>
      </c>
      <c r="I862" s="108" t="s">
        <v>3039</v>
      </c>
      <c r="J862" s="108">
        <v>44146</v>
      </c>
      <c r="K862" s="100">
        <v>44190</v>
      </c>
      <c r="L862" s="100"/>
      <c r="M862" s="315" t="s">
        <v>3321</v>
      </c>
      <c r="N862" s="246" t="s">
        <v>3227</v>
      </c>
      <c r="O862" s="104" t="s">
        <v>970</v>
      </c>
      <c r="P862" s="230">
        <v>18955</v>
      </c>
      <c r="Q862" s="230">
        <v>5687</v>
      </c>
      <c r="R862" s="131"/>
      <c r="S862" s="132"/>
      <c r="T862" s="102">
        <v>13268</v>
      </c>
      <c r="U862" s="100"/>
      <c r="V862" s="102"/>
      <c r="W862" s="210"/>
    </row>
    <row r="863" s="43" customFormat="1" ht="22" hidden="1" customHeight="1" spans="1:23">
      <c r="A863" s="292" t="s">
        <v>3322</v>
      </c>
      <c r="B863" s="174" t="s">
        <v>2855</v>
      </c>
      <c r="C863" s="175"/>
      <c r="D863" s="45" t="s">
        <v>31</v>
      </c>
      <c r="E863" s="82" t="s">
        <v>3214</v>
      </c>
      <c r="F863" s="81">
        <f>IFERROR(VLOOKUP(E863,客户!B:C,2,FALSE),"/")</f>
        <v>0</v>
      </c>
      <c r="G863" s="306" t="s">
        <v>3323</v>
      </c>
      <c r="H863" s="142" t="s">
        <v>123</v>
      </c>
      <c r="I863" s="108" t="s">
        <v>3114</v>
      </c>
      <c r="J863" s="108">
        <v>44148</v>
      </c>
      <c r="K863" s="100">
        <v>44231</v>
      </c>
      <c r="L863" s="100"/>
      <c r="M863" s="315" t="s">
        <v>3324</v>
      </c>
      <c r="N863" s="246" t="s">
        <v>3325</v>
      </c>
      <c r="O863" s="104" t="s">
        <v>970</v>
      </c>
      <c r="P863" s="230">
        <v>17452.75</v>
      </c>
      <c r="Q863" s="230">
        <v>5301</v>
      </c>
      <c r="R863" s="131"/>
      <c r="S863" s="132"/>
      <c r="T863" s="102">
        <v>12151.75</v>
      </c>
      <c r="U863" s="100"/>
      <c r="V863" s="102"/>
      <c r="W863" s="210"/>
    </row>
    <row r="864" s="43" customFormat="1" ht="22" hidden="1" customHeight="1" spans="1:23">
      <c r="A864" s="261" t="s">
        <v>3326</v>
      </c>
      <c r="B864" s="174" t="s">
        <v>2855</v>
      </c>
      <c r="C864" s="175"/>
      <c r="D864" s="229" t="s">
        <v>31</v>
      </c>
      <c r="E864" s="82" t="s">
        <v>3327</v>
      </c>
      <c r="F864" s="81">
        <f>IFERROR(VLOOKUP(E864,客户!B:C,2,FALSE),"/")</f>
        <v>0</v>
      </c>
      <c r="G864" s="306" t="s">
        <v>3328</v>
      </c>
      <c r="H864" s="142" t="s">
        <v>123</v>
      </c>
      <c r="I864" s="108" t="s">
        <v>2453</v>
      </c>
      <c r="J864" s="108">
        <v>44158</v>
      </c>
      <c r="K864" s="100">
        <v>44354</v>
      </c>
      <c r="L864" s="100"/>
      <c r="M864" s="315" t="s">
        <v>3329</v>
      </c>
      <c r="N864" s="246"/>
      <c r="O864" s="104" t="s">
        <v>970</v>
      </c>
      <c r="P864" s="230">
        <v>14170.3</v>
      </c>
      <c r="Q864" s="230">
        <v>5000</v>
      </c>
      <c r="R864" s="131"/>
      <c r="S864" s="132"/>
      <c r="T864" s="102">
        <v>9170.3</v>
      </c>
      <c r="U864" s="100"/>
      <c r="V864" s="102"/>
      <c r="W864" s="210"/>
    </row>
    <row r="865" s="43" customFormat="1" ht="22" hidden="1" customHeight="1" spans="1:23">
      <c r="A865" s="261" t="s">
        <v>3330</v>
      </c>
      <c r="B865" s="174" t="s">
        <v>2855</v>
      </c>
      <c r="C865" s="175"/>
      <c r="D865" s="45" t="s">
        <v>31</v>
      </c>
      <c r="E865" s="82" t="s">
        <v>3280</v>
      </c>
      <c r="F865" s="81" t="str">
        <f>IFERROR(VLOOKUP(E865,客户!B:C,2,FALSE),"/")</f>
        <v>安哥拉门及配件给清单  灯的清单和照片 如果HScode是九十五章  提前和报关货代说
2021.3.4收¥55000(汇率6.46，折合美金$8512.93)
冻结中</v>
      </c>
      <c r="G865" s="306" t="s">
        <v>3331</v>
      </c>
      <c r="H865" s="142" t="s">
        <v>123</v>
      </c>
      <c r="I865" s="199" t="s">
        <v>3332</v>
      </c>
      <c r="J865" s="108">
        <v>44158</v>
      </c>
      <c r="K865" s="100">
        <v>44227</v>
      </c>
      <c r="L865" s="100">
        <v>44298</v>
      </c>
      <c r="M865" s="315" t="s">
        <v>3333</v>
      </c>
      <c r="N865" s="246" t="s">
        <v>3334</v>
      </c>
      <c r="O865" s="104" t="s">
        <v>523</v>
      </c>
      <c r="P865" s="230">
        <v>45189.44</v>
      </c>
      <c r="Q865" s="230">
        <f>43993/6.5522</f>
        <v>6714.23338725924</v>
      </c>
      <c r="R865" s="131">
        <v>125.21</v>
      </c>
      <c r="S865" s="132"/>
      <c r="T865" s="102">
        <v>38350</v>
      </c>
      <c r="U865" s="100"/>
      <c r="V865" s="246" t="s">
        <v>3335</v>
      </c>
      <c r="W865" s="210"/>
    </row>
    <row r="866" s="43" customFormat="1" ht="22" hidden="1" customHeight="1" spans="1:23">
      <c r="A866" s="261" t="s">
        <v>3336</v>
      </c>
      <c r="B866" s="174" t="s">
        <v>2855</v>
      </c>
      <c r="C866" s="175"/>
      <c r="D866" s="45" t="s">
        <v>31</v>
      </c>
      <c r="E866" s="82" t="s">
        <v>3214</v>
      </c>
      <c r="F866" s="81">
        <f>IFERROR(VLOOKUP(E866,客户!B:C,2,FALSE),"/")</f>
        <v>0</v>
      </c>
      <c r="G866" s="306" t="s">
        <v>3337</v>
      </c>
      <c r="H866" s="142" t="s">
        <v>123</v>
      </c>
      <c r="I866" s="159" t="s">
        <v>3039</v>
      </c>
      <c r="J866" s="108">
        <v>44202</v>
      </c>
      <c r="K866" s="100">
        <v>44305</v>
      </c>
      <c r="L866" s="100"/>
      <c r="M866" s="315" t="s">
        <v>3338</v>
      </c>
      <c r="N866" s="246" t="s">
        <v>3339</v>
      </c>
      <c r="O866" s="104" t="s">
        <v>970</v>
      </c>
      <c r="P866" s="230">
        <v>21073</v>
      </c>
      <c r="Q866" s="230">
        <f>6322+514.28</f>
        <v>6836.28</v>
      </c>
      <c r="R866" s="131"/>
      <c r="S866" s="132"/>
      <c r="T866" s="102">
        <v>14236.72</v>
      </c>
      <c r="U866" s="100"/>
      <c r="V866" s="102"/>
      <c r="W866" s="210"/>
    </row>
    <row r="867" s="43" customFormat="1" ht="22" hidden="1" customHeight="1" spans="1:23">
      <c r="A867" s="261" t="s">
        <v>3340</v>
      </c>
      <c r="B867" s="174" t="s">
        <v>2855</v>
      </c>
      <c r="C867" s="175"/>
      <c r="D867" s="45" t="s">
        <v>31</v>
      </c>
      <c r="E867" s="82" t="s">
        <v>3214</v>
      </c>
      <c r="F867" s="81">
        <f>IFERROR(VLOOKUP(E867,客户!B:C,2,FALSE),"/")</f>
        <v>0</v>
      </c>
      <c r="G867" s="306" t="s">
        <v>3320</v>
      </c>
      <c r="H867" s="142" t="s">
        <v>123</v>
      </c>
      <c r="I867" s="159" t="s">
        <v>3114</v>
      </c>
      <c r="J867" s="108">
        <v>44221</v>
      </c>
      <c r="K867" s="111">
        <v>44296</v>
      </c>
      <c r="L867" s="100"/>
      <c r="M867" s="315" t="s">
        <v>3341</v>
      </c>
      <c r="N867" s="246" t="s">
        <v>3342</v>
      </c>
      <c r="O867" s="104" t="s">
        <v>970</v>
      </c>
      <c r="P867" s="230">
        <v>20816.36</v>
      </c>
      <c r="Q867" s="230">
        <v>6400</v>
      </c>
      <c r="R867" s="131"/>
      <c r="S867" s="132"/>
      <c r="T867" s="102">
        <v>14930.64</v>
      </c>
      <c r="U867" s="100"/>
      <c r="V867" s="246"/>
      <c r="W867" s="210"/>
    </row>
    <row r="868" s="43" customFormat="1" ht="22" hidden="1" customHeight="1" spans="1:23">
      <c r="A868" s="261" t="s">
        <v>3343</v>
      </c>
      <c r="B868" s="174" t="s">
        <v>2855</v>
      </c>
      <c r="C868" s="175"/>
      <c r="D868" s="45" t="s">
        <v>31</v>
      </c>
      <c r="E868" s="82" t="s">
        <v>3291</v>
      </c>
      <c r="F868" s="81">
        <f>IFERROR(VLOOKUP(E868,客户!B:C,2,FALSE),"/")</f>
        <v>0</v>
      </c>
      <c r="G868" s="306" t="s">
        <v>3292</v>
      </c>
      <c r="H868" s="142" t="s">
        <v>147</v>
      </c>
      <c r="I868" s="159" t="s">
        <v>2939</v>
      </c>
      <c r="J868" s="108">
        <v>44258</v>
      </c>
      <c r="K868" s="100">
        <v>44318</v>
      </c>
      <c r="L868" s="100">
        <v>44339</v>
      </c>
      <c r="M868" s="315" t="s">
        <v>3344</v>
      </c>
      <c r="N868" s="246" t="s">
        <v>3345</v>
      </c>
      <c r="O868" s="104" t="s">
        <v>523</v>
      </c>
      <c r="P868" s="230">
        <v>31533</v>
      </c>
      <c r="Q868" s="230">
        <v>9460</v>
      </c>
      <c r="R868" s="131"/>
      <c r="S868" s="132"/>
      <c r="T868" s="102">
        <v>22073</v>
      </c>
      <c r="U868" s="100"/>
      <c r="V868" s="102"/>
      <c r="W868" s="210"/>
    </row>
    <row r="869" s="43" customFormat="1" ht="21" hidden="1" customHeight="1" spans="1:23">
      <c r="A869" s="261" t="s">
        <v>3346</v>
      </c>
      <c r="B869" s="174" t="s">
        <v>2855</v>
      </c>
      <c r="C869" s="175"/>
      <c r="D869" s="229" t="s">
        <v>31</v>
      </c>
      <c r="E869" s="82" t="s">
        <v>3280</v>
      </c>
      <c r="F869" s="81" t="str">
        <f>IFERROR(VLOOKUP(E869,客户!B:C,2,FALSE),"/")</f>
        <v>安哥拉门及配件给清单  灯的清单和照片 如果HScode是九十五章  提前和报关货代说
2021.3.4收¥55000(汇率6.46，折合美金$8512.93)
冻结中</v>
      </c>
      <c r="G869" s="306" t="s">
        <v>3347</v>
      </c>
      <c r="H869" s="142" t="s">
        <v>123</v>
      </c>
      <c r="I869" s="159" t="s">
        <v>2995</v>
      </c>
      <c r="J869" s="108">
        <v>44260</v>
      </c>
      <c r="K869" s="100">
        <v>44324</v>
      </c>
      <c r="L869" s="100">
        <v>44418</v>
      </c>
      <c r="M869" s="315" t="s">
        <v>3348</v>
      </c>
      <c r="N869" s="246" t="s">
        <v>3349</v>
      </c>
      <c r="O869" s="104" t="s">
        <v>523</v>
      </c>
      <c r="P869" s="230">
        <v>60939.26</v>
      </c>
      <c r="Q869" s="230">
        <f>219924/6.52</f>
        <v>33730.6748466258</v>
      </c>
      <c r="R869" s="131"/>
      <c r="S869" s="132"/>
      <c r="T869" s="102">
        <v>27208.59</v>
      </c>
      <c r="U869" s="230"/>
      <c r="V869" s="246" t="s">
        <v>3350</v>
      </c>
      <c r="W869" s="210"/>
    </row>
    <row r="870" s="43" customFormat="1" ht="22" hidden="1" customHeight="1" spans="1:23">
      <c r="A870" s="261" t="s">
        <v>3351</v>
      </c>
      <c r="B870" s="174" t="s">
        <v>2855</v>
      </c>
      <c r="C870" s="175"/>
      <c r="D870" s="45" t="s">
        <v>31</v>
      </c>
      <c r="E870" s="82" t="s">
        <v>3291</v>
      </c>
      <c r="F870" s="81">
        <f>IFERROR(VLOOKUP(E870,客户!B:C,2,FALSE),"/")</f>
        <v>0</v>
      </c>
      <c r="G870" s="306" t="s">
        <v>3292</v>
      </c>
      <c r="H870" s="142" t="s">
        <v>147</v>
      </c>
      <c r="I870" s="159" t="s">
        <v>2939</v>
      </c>
      <c r="J870" s="108">
        <v>44264</v>
      </c>
      <c r="K870" s="100">
        <v>44318</v>
      </c>
      <c r="L870" s="100">
        <v>44339</v>
      </c>
      <c r="M870" s="315" t="s">
        <v>3344</v>
      </c>
      <c r="N870" s="246" t="s">
        <v>3345</v>
      </c>
      <c r="O870" s="104" t="s">
        <v>523</v>
      </c>
      <c r="P870" s="327">
        <v>31547.2</v>
      </c>
      <c r="Q870" s="230">
        <v>9476</v>
      </c>
      <c r="R870" s="131"/>
      <c r="S870" s="132"/>
      <c r="T870" s="102">
        <v>22071.2</v>
      </c>
      <c r="U870" s="100"/>
      <c r="V870" s="102"/>
      <c r="W870" s="210"/>
    </row>
    <row r="871" s="43" customFormat="1" ht="22" hidden="1" customHeight="1" spans="1:23">
      <c r="A871" s="261" t="s">
        <v>3352</v>
      </c>
      <c r="B871" s="174" t="s">
        <v>2855</v>
      </c>
      <c r="C871" s="175"/>
      <c r="D871" s="229" t="s">
        <v>31</v>
      </c>
      <c r="E871" s="82" t="s">
        <v>3214</v>
      </c>
      <c r="F871" s="81">
        <f>IFERROR(VLOOKUP(E871,客户!B:C,2,FALSE),"/")</f>
        <v>0</v>
      </c>
      <c r="G871" s="306" t="s">
        <v>3320</v>
      </c>
      <c r="H871" s="142" t="s">
        <v>123</v>
      </c>
      <c r="I871" s="159" t="s">
        <v>3114</v>
      </c>
      <c r="J871" s="108">
        <v>44277</v>
      </c>
      <c r="K871" s="100">
        <v>44332</v>
      </c>
      <c r="L871" s="100"/>
      <c r="M871" s="315" t="s">
        <v>3353</v>
      </c>
      <c r="N871" s="246" t="s">
        <v>3354</v>
      </c>
      <c r="O871" s="104" t="s">
        <v>970</v>
      </c>
      <c r="P871" s="230">
        <v>22920.6</v>
      </c>
      <c r="Q871" s="230">
        <v>6876</v>
      </c>
      <c r="R871" s="131"/>
      <c r="S871" s="132"/>
      <c r="T871" s="102">
        <v>16044.6</v>
      </c>
      <c r="U871" s="100"/>
      <c r="V871" s="102"/>
      <c r="W871" s="210"/>
    </row>
    <row r="872" s="43" customFormat="1" ht="22" hidden="1" customHeight="1" spans="1:23">
      <c r="A872" s="261" t="s">
        <v>3355</v>
      </c>
      <c r="B872" s="174" t="s">
        <v>2855</v>
      </c>
      <c r="C872" s="175"/>
      <c r="D872" s="229" t="s">
        <v>31</v>
      </c>
      <c r="E872" s="82" t="s">
        <v>3214</v>
      </c>
      <c r="F872" s="81">
        <f>IFERROR(VLOOKUP(E872,客户!B:C,2,FALSE),"/")</f>
        <v>0</v>
      </c>
      <c r="G872" s="306" t="s">
        <v>3320</v>
      </c>
      <c r="H872" s="142" t="s">
        <v>123</v>
      </c>
      <c r="I872" s="159" t="s">
        <v>3039</v>
      </c>
      <c r="J872" s="108">
        <v>44277</v>
      </c>
      <c r="K872" s="100">
        <v>44338</v>
      </c>
      <c r="L872" s="100"/>
      <c r="M872" s="315" t="s">
        <v>3356</v>
      </c>
      <c r="N872" s="246" t="s">
        <v>3357</v>
      </c>
      <c r="O872" s="104" t="s">
        <v>970</v>
      </c>
      <c r="P872" s="230">
        <v>24057</v>
      </c>
      <c r="Q872" s="318">
        <v>7217</v>
      </c>
      <c r="R872" s="131"/>
      <c r="S872" s="132"/>
      <c r="T872" s="102">
        <v>16840</v>
      </c>
      <c r="U872" s="100"/>
      <c r="V872" s="102"/>
      <c r="W872" s="210"/>
    </row>
    <row r="873" s="43" customFormat="1" ht="22" hidden="1" customHeight="1" spans="1:23">
      <c r="A873" s="261" t="s">
        <v>3358</v>
      </c>
      <c r="B873" s="174" t="s">
        <v>2855</v>
      </c>
      <c r="C873" s="175"/>
      <c r="D873" s="229" t="s">
        <v>31</v>
      </c>
      <c r="E873" s="82" t="s">
        <v>3264</v>
      </c>
      <c r="F873" s="81">
        <f>IFERROR(VLOOKUP(E873,客户!B:C,2,FALSE),"/")</f>
        <v>0</v>
      </c>
      <c r="G873" s="306" t="s">
        <v>3359</v>
      </c>
      <c r="H873" s="142" t="s">
        <v>147</v>
      </c>
      <c r="I873" s="159" t="s">
        <v>1546</v>
      </c>
      <c r="J873" s="108">
        <v>44279</v>
      </c>
      <c r="K873" s="100">
        <v>44368</v>
      </c>
      <c r="L873" s="100">
        <v>44406</v>
      </c>
      <c r="M873" s="315" t="s">
        <v>3360</v>
      </c>
      <c r="N873" s="246" t="s">
        <v>3361</v>
      </c>
      <c r="O873" s="104" t="s">
        <v>523</v>
      </c>
      <c r="P873" s="230">
        <v>27734.16</v>
      </c>
      <c r="Q873" s="318">
        <v>4000</v>
      </c>
      <c r="R873" s="131"/>
      <c r="S873" s="132"/>
      <c r="T873" s="102">
        <v>20000</v>
      </c>
      <c r="U873" s="318">
        <v>3734.16</v>
      </c>
      <c r="V873" s="102"/>
      <c r="W873" s="210"/>
    </row>
    <row r="874" s="43" customFormat="1" ht="22" hidden="1" customHeight="1" spans="1:23">
      <c r="A874" s="261" t="s">
        <v>3362</v>
      </c>
      <c r="B874" s="174" t="s">
        <v>2855</v>
      </c>
      <c r="C874" s="175"/>
      <c r="D874" s="45" t="s">
        <v>31</v>
      </c>
      <c r="E874" s="82" t="s">
        <v>3264</v>
      </c>
      <c r="F874" s="81">
        <f>IFERROR(VLOOKUP(E874,客户!B:C,2,FALSE),"/")</f>
        <v>0</v>
      </c>
      <c r="G874" s="306" t="s">
        <v>3363</v>
      </c>
      <c r="H874" s="324" t="s">
        <v>147</v>
      </c>
      <c r="I874" s="159" t="s">
        <v>1546</v>
      </c>
      <c r="J874" s="108">
        <v>44279</v>
      </c>
      <c r="K874" s="100">
        <v>44300</v>
      </c>
      <c r="L874" s="100">
        <v>44340</v>
      </c>
      <c r="M874" s="315" t="s">
        <v>3364</v>
      </c>
      <c r="N874" s="246" t="s">
        <v>3365</v>
      </c>
      <c r="O874" s="104" t="s">
        <v>523</v>
      </c>
      <c r="P874" s="328">
        <v>21804.6</v>
      </c>
      <c r="Q874" s="318">
        <v>4000</v>
      </c>
      <c r="R874" s="131"/>
      <c r="S874" s="132"/>
      <c r="T874" s="102">
        <v>17804.6</v>
      </c>
      <c r="U874" s="100"/>
      <c r="V874" s="102"/>
      <c r="W874" s="210"/>
    </row>
    <row r="875" s="43" customFormat="1" ht="22" hidden="1" customHeight="1" spans="1:23">
      <c r="A875" s="261" t="s">
        <v>3366</v>
      </c>
      <c r="B875" s="174" t="s">
        <v>2855</v>
      </c>
      <c r="C875" s="175"/>
      <c r="D875" s="45" t="s">
        <v>31</v>
      </c>
      <c r="E875" s="82" t="s">
        <v>3264</v>
      </c>
      <c r="F875" s="81">
        <f>IFERROR(VLOOKUP(E875,客户!B:C,2,FALSE),"/")</f>
        <v>0</v>
      </c>
      <c r="G875" s="306" t="s">
        <v>3363</v>
      </c>
      <c r="H875" s="324" t="s">
        <v>147</v>
      </c>
      <c r="I875" s="159" t="s">
        <v>1546</v>
      </c>
      <c r="J875" s="108">
        <v>44279</v>
      </c>
      <c r="K875" s="100">
        <v>44344</v>
      </c>
      <c r="L875" s="200">
        <v>44391</v>
      </c>
      <c r="M875" s="315" t="s">
        <v>3367</v>
      </c>
      <c r="N875" s="246" t="s">
        <v>3368</v>
      </c>
      <c r="O875" s="104" t="s">
        <v>523</v>
      </c>
      <c r="P875" s="230">
        <v>28048.4</v>
      </c>
      <c r="Q875" s="318">
        <v>4000</v>
      </c>
      <c r="R875" s="131"/>
      <c r="S875" s="132"/>
      <c r="T875" s="102">
        <v>4048.4</v>
      </c>
      <c r="U875" s="318">
        <v>20000</v>
      </c>
      <c r="V875" s="102"/>
      <c r="W875" s="210"/>
    </row>
    <row r="876" s="43" customFormat="1" ht="22" hidden="1" customHeight="1" spans="1:23">
      <c r="A876" s="261" t="s">
        <v>3369</v>
      </c>
      <c r="B876" s="174" t="s">
        <v>2855</v>
      </c>
      <c r="C876" s="175"/>
      <c r="D876" s="45" t="s">
        <v>31</v>
      </c>
      <c r="E876" s="82" t="s">
        <v>3264</v>
      </c>
      <c r="F876" s="81">
        <f>IFERROR(VLOOKUP(E876,客户!B:C,2,FALSE),"/")</f>
        <v>0</v>
      </c>
      <c r="G876" s="306" t="s">
        <v>3363</v>
      </c>
      <c r="H876" s="324" t="s">
        <v>147</v>
      </c>
      <c r="I876" s="159" t="s">
        <v>1546</v>
      </c>
      <c r="J876" s="108">
        <v>44279</v>
      </c>
      <c r="K876" s="100">
        <v>44355</v>
      </c>
      <c r="L876" s="232">
        <v>44387</v>
      </c>
      <c r="M876" s="315" t="s">
        <v>3370</v>
      </c>
      <c r="N876" s="246" t="s">
        <v>3371</v>
      </c>
      <c r="O876" s="104" t="s">
        <v>523</v>
      </c>
      <c r="P876" s="230">
        <v>27992.86</v>
      </c>
      <c r="Q876" s="318">
        <v>4000</v>
      </c>
      <c r="R876" s="131"/>
      <c r="S876" s="132"/>
      <c r="T876" s="102">
        <v>20000</v>
      </c>
      <c r="U876" s="318">
        <v>3992.86</v>
      </c>
      <c r="V876" s="102"/>
      <c r="W876" s="210"/>
    </row>
    <row r="877" s="43" customFormat="1" ht="22" hidden="1" customHeight="1" spans="1:23">
      <c r="A877" s="261" t="s">
        <v>3372</v>
      </c>
      <c r="B877" s="174" t="s">
        <v>2855</v>
      </c>
      <c r="C877" s="175"/>
      <c r="D877" s="45" t="s">
        <v>31</v>
      </c>
      <c r="E877" s="82" t="s">
        <v>3264</v>
      </c>
      <c r="F877" s="81">
        <f>IFERROR(VLOOKUP(E877,客户!B:C,2,FALSE),"/")</f>
        <v>0</v>
      </c>
      <c r="G877" s="306" t="s">
        <v>3363</v>
      </c>
      <c r="H877" s="324" t="s">
        <v>147</v>
      </c>
      <c r="I877" s="159" t="s">
        <v>1546</v>
      </c>
      <c r="J877" s="108">
        <v>44279</v>
      </c>
      <c r="K877" s="100">
        <v>44362</v>
      </c>
      <c r="L877" s="200">
        <v>44405</v>
      </c>
      <c r="M877" s="315" t="s">
        <v>3373</v>
      </c>
      <c r="N877" s="246" t="s">
        <v>3361</v>
      </c>
      <c r="O877" s="104"/>
      <c r="P877" s="230">
        <v>29512.58</v>
      </c>
      <c r="Q877" s="318">
        <v>4000</v>
      </c>
      <c r="R877" s="131"/>
      <c r="S877" s="132"/>
      <c r="T877" s="102">
        <v>20000</v>
      </c>
      <c r="U877" s="318">
        <v>5512.58</v>
      </c>
      <c r="V877" s="102"/>
      <c r="W877" s="210"/>
    </row>
    <row r="878" s="43" customFormat="1" ht="22" hidden="1" customHeight="1" spans="1:23">
      <c r="A878" s="261" t="s">
        <v>3374</v>
      </c>
      <c r="B878" s="174" t="s">
        <v>2855</v>
      </c>
      <c r="C878" s="175"/>
      <c r="D878" s="229" t="s">
        <v>31</v>
      </c>
      <c r="E878" s="82" t="s">
        <v>3239</v>
      </c>
      <c r="F878" s="81">
        <f>IFERROR(VLOOKUP(E878,客户!B:C,2,FALSE),"/")</f>
        <v>0</v>
      </c>
      <c r="G878" s="306" t="s">
        <v>3375</v>
      </c>
      <c r="H878" s="324" t="s">
        <v>123</v>
      </c>
      <c r="I878" s="159" t="s">
        <v>1546</v>
      </c>
      <c r="J878" s="108">
        <v>44286</v>
      </c>
      <c r="K878" s="100">
        <v>44368</v>
      </c>
      <c r="L878" s="100">
        <v>44406</v>
      </c>
      <c r="M878" s="315" t="s">
        <v>3376</v>
      </c>
      <c r="N878" s="246" t="s">
        <v>3377</v>
      </c>
      <c r="O878" s="104" t="s">
        <v>523</v>
      </c>
      <c r="P878" s="230">
        <v>71147.1</v>
      </c>
      <c r="Q878" s="318">
        <v>21981</v>
      </c>
      <c r="R878" s="131"/>
      <c r="S878" s="132"/>
      <c r="T878" s="102">
        <v>49166.1</v>
      </c>
      <c r="U878" s="100"/>
      <c r="V878" s="102"/>
      <c r="W878" s="210"/>
    </row>
    <row r="879" s="43" customFormat="1" ht="22" hidden="1" customHeight="1" spans="1:23">
      <c r="A879" s="261" t="s">
        <v>3378</v>
      </c>
      <c r="B879" s="174" t="s">
        <v>2855</v>
      </c>
      <c r="C879" s="175"/>
      <c r="D879" s="229" t="s">
        <v>31</v>
      </c>
      <c r="E879" s="82" t="s">
        <v>3264</v>
      </c>
      <c r="F879" s="81">
        <f>IFERROR(VLOOKUP(E879,客户!B:C,2,FALSE),"/")</f>
        <v>0</v>
      </c>
      <c r="G879" s="306" t="s">
        <v>3379</v>
      </c>
      <c r="H879" s="324" t="s">
        <v>147</v>
      </c>
      <c r="I879" s="159" t="s">
        <v>1546</v>
      </c>
      <c r="J879" s="108">
        <v>44309</v>
      </c>
      <c r="K879" s="100">
        <v>44344</v>
      </c>
      <c r="L879" s="200">
        <v>44389</v>
      </c>
      <c r="M879" s="315" t="s">
        <v>3380</v>
      </c>
      <c r="N879" s="246" t="s">
        <v>3381</v>
      </c>
      <c r="O879" s="104" t="s">
        <v>523</v>
      </c>
      <c r="P879" s="230">
        <v>32155.52</v>
      </c>
      <c r="Q879" s="318">
        <v>4824</v>
      </c>
      <c r="R879" s="131"/>
      <c r="S879" s="132"/>
      <c r="T879" s="102">
        <v>27331.52</v>
      </c>
      <c r="U879" s="100"/>
      <c r="V879" s="102"/>
      <c r="W879" s="210"/>
    </row>
    <row r="880" s="43" customFormat="1" ht="22" hidden="1" customHeight="1" spans="1:23">
      <c r="A880" s="261" t="s">
        <v>3382</v>
      </c>
      <c r="B880" s="174" t="s">
        <v>2855</v>
      </c>
      <c r="C880" s="175"/>
      <c r="D880" s="229" t="s">
        <v>31</v>
      </c>
      <c r="E880" s="82" t="s">
        <v>3239</v>
      </c>
      <c r="F880" s="81">
        <f>IFERROR(VLOOKUP(E880,客户!B:C,2,FALSE),"/")</f>
        <v>0</v>
      </c>
      <c r="G880" s="306" t="s">
        <v>3383</v>
      </c>
      <c r="H880" s="324" t="s">
        <v>123</v>
      </c>
      <c r="I880" s="159" t="s">
        <v>1546</v>
      </c>
      <c r="J880" s="108">
        <v>44344</v>
      </c>
      <c r="K880" s="100">
        <v>44400</v>
      </c>
      <c r="L880" s="100">
        <v>44443</v>
      </c>
      <c r="M880" s="315" t="s">
        <v>3384</v>
      </c>
      <c r="N880" s="246" t="s">
        <v>3385</v>
      </c>
      <c r="O880" s="104" t="s">
        <v>523</v>
      </c>
      <c r="P880" s="230">
        <v>73664.28</v>
      </c>
      <c r="Q880" s="318">
        <v>10000</v>
      </c>
      <c r="R880" s="131"/>
      <c r="S880" s="132"/>
      <c r="T880" s="102">
        <f>27000+27000</f>
        <v>54000</v>
      </c>
      <c r="U880" s="102">
        <v>9664.28</v>
      </c>
      <c r="V880" s="102"/>
      <c r="W880" s="210"/>
    </row>
    <row r="881" s="43" customFormat="1" ht="22" hidden="1" customHeight="1" spans="1:23">
      <c r="A881" s="261" t="s">
        <v>3386</v>
      </c>
      <c r="B881" s="174" t="s">
        <v>2855</v>
      </c>
      <c r="C881" s="175"/>
      <c r="D881" s="229" t="s">
        <v>31</v>
      </c>
      <c r="E881" s="82" t="s">
        <v>3214</v>
      </c>
      <c r="F881" s="81">
        <f>IFERROR(VLOOKUP(E881,客户!B:C,2,FALSE),"/")</f>
        <v>0</v>
      </c>
      <c r="G881" s="306" t="s">
        <v>3320</v>
      </c>
      <c r="H881" s="324" t="s">
        <v>123</v>
      </c>
      <c r="I881" s="159" t="s">
        <v>3114</v>
      </c>
      <c r="J881" s="108">
        <v>44355</v>
      </c>
      <c r="K881" s="100">
        <v>44381</v>
      </c>
      <c r="L881" s="100"/>
      <c r="M881" s="315" t="s">
        <v>3387</v>
      </c>
      <c r="N881" s="246" t="s">
        <v>3388</v>
      </c>
      <c r="O881" s="104" t="s">
        <v>970</v>
      </c>
      <c r="P881" s="230">
        <v>27261.76</v>
      </c>
      <c r="Q881" s="318">
        <v>8179</v>
      </c>
      <c r="R881" s="131"/>
      <c r="S881" s="132"/>
      <c r="T881" s="102">
        <v>19082.76</v>
      </c>
      <c r="U881" s="100"/>
      <c r="V881" s="102"/>
      <c r="W881" s="210"/>
    </row>
    <row r="882" s="43" customFormat="1" ht="22" hidden="1" customHeight="1" spans="1:23">
      <c r="A882" s="261" t="s">
        <v>3389</v>
      </c>
      <c r="B882" s="174" t="s">
        <v>2855</v>
      </c>
      <c r="C882" s="175"/>
      <c r="D882" s="229" t="s">
        <v>31</v>
      </c>
      <c r="E882" s="82" t="s">
        <v>3234</v>
      </c>
      <c r="F882" s="81">
        <f>IFERROR(VLOOKUP(E882,客户!B:C,2,FALSE),"/")</f>
        <v>0</v>
      </c>
      <c r="G882" s="306" t="s">
        <v>3390</v>
      </c>
      <c r="H882" s="142" t="s">
        <v>147</v>
      </c>
      <c r="I882" s="159" t="s">
        <v>1546</v>
      </c>
      <c r="J882" s="108">
        <v>44405</v>
      </c>
      <c r="K882" s="100">
        <v>44448</v>
      </c>
      <c r="L882" s="100">
        <v>44490</v>
      </c>
      <c r="M882" s="315" t="s">
        <v>3391</v>
      </c>
      <c r="N882" s="246" t="s">
        <v>3392</v>
      </c>
      <c r="O882" s="265" t="s">
        <v>523</v>
      </c>
      <c r="P882" s="230">
        <v>71987.7</v>
      </c>
      <c r="Q882" s="318">
        <v>14050</v>
      </c>
      <c r="R882" s="131"/>
      <c r="S882" s="132"/>
      <c r="T882" s="102">
        <v>57937.7</v>
      </c>
      <c r="U882" s="100"/>
      <c r="V882" s="102"/>
      <c r="W882" s="210"/>
    </row>
    <row r="883" s="43" customFormat="1" ht="22" hidden="1" customHeight="1" spans="1:23">
      <c r="A883" s="261" t="s">
        <v>3393</v>
      </c>
      <c r="B883" s="174" t="s">
        <v>2855</v>
      </c>
      <c r="C883" s="175"/>
      <c r="D883" s="229" t="s">
        <v>31</v>
      </c>
      <c r="E883" s="82" t="s">
        <v>3264</v>
      </c>
      <c r="F883" s="81"/>
      <c r="G883" s="306" t="s">
        <v>3394</v>
      </c>
      <c r="H883" s="142" t="s">
        <v>147</v>
      </c>
      <c r="I883" s="159" t="s">
        <v>1546</v>
      </c>
      <c r="J883" s="108">
        <v>44406</v>
      </c>
      <c r="K883" s="100">
        <v>44473</v>
      </c>
      <c r="L883" s="100">
        <v>44515</v>
      </c>
      <c r="M883" s="315" t="s">
        <v>3395</v>
      </c>
      <c r="N883" s="329" t="s">
        <v>3396</v>
      </c>
      <c r="O883" s="104" t="s">
        <v>1283</v>
      </c>
      <c r="P883" s="327">
        <v>110689.52</v>
      </c>
      <c r="Q883" s="318"/>
      <c r="R883" s="131"/>
      <c r="S883" s="132"/>
      <c r="T883" s="102">
        <v>110689.52</v>
      </c>
      <c r="U883" s="100"/>
      <c r="V883" s="102"/>
      <c r="W883" s="210"/>
    </row>
    <row r="884" s="43" customFormat="1" ht="22" hidden="1" customHeight="1" spans="1:23">
      <c r="A884" s="261" t="s">
        <v>3397</v>
      </c>
      <c r="B884" s="174" t="s">
        <v>2855</v>
      </c>
      <c r="C884" s="175"/>
      <c r="D884" s="229" t="s">
        <v>31</v>
      </c>
      <c r="E884" s="82" t="s">
        <v>3264</v>
      </c>
      <c r="F884" s="81"/>
      <c r="G884" s="306" t="s">
        <v>3398</v>
      </c>
      <c r="H884" s="142" t="s">
        <v>147</v>
      </c>
      <c r="I884" s="159" t="s">
        <v>1546</v>
      </c>
      <c r="J884" s="108">
        <v>44406</v>
      </c>
      <c r="K884" s="100">
        <v>44448</v>
      </c>
      <c r="L884" s="100">
        <v>44487</v>
      </c>
      <c r="M884" s="315" t="s">
        <v>3399</v>
      </c>
      <c r="N884" s="246" t="s">
        <v>3400</v>
      </c>
      <c r="O884" s="104" t="s">
        <v>1283</v>
      </c>
      <c r="P884" s="230">
        <v>106006.46</v>
      </c>
      <c r="Q884" s="318"/>
      <c r="R884" s="131"/>
      <c r="S884" s="132"/>
      <c r="T884" s="102">
        <v>106006.46</v>
      </c>
      <c r="U884" s="100"/>
      <c r="V884" s="102"/>
      <c r="W884" s="210"/>
    </row>
    <row r="885" s="43" customFormat="1" ht="22" hidden="1" customHeight="1" spans="1:23">
      <c r="A885" s="261" t="s">
        <v>3401</v>
      </c>
      <c r="B885" s="174" t="s">
        <v>2855</v>
      </c>
      <c r="C885" s="175"/>
      <c r="D885" s="229" t="s">
        <v>31</v>
      </c>
      <c r="E885" s="82" t="s">
        <v>3214</v>
      </c>
      <c r="F885" s="81">
        <f>IFERROR(VLOOKUP(E885,客户!B:C,2,FALSE),"/")</f>
        <v>0</v>
      </c>
      <c r="G885" s="306" t="s">
        <v>3320</v>
      </c>
      <c r="H885" s="324" t="s">
        <v>123</v>
      </c>
      <c r="I885" s="159" t="s">
        <v>3039</v>
      </c>
      <c r="J885" s="108">
        <v>44439</v>
      </c>
      <c r="K885" s="100">
        <v>44484</v>
      </c>
      <c r="L885" s="100"/>
      <c r="M885" s="315" t="s">
        <v>3402</v>
      </c>
      <c r="N885" s="246" t="s">
        <v>3357</v>
      </c>
      <c r="O885" s="104" t="s">
        <v>970</v>
      </c>
      <c r="P885" s="230">
        <v>26825</v>
      </c>
      <c r="Q885" s="318">
        <v>8048</v>
      </c>
      <c r="R885" s="131"/>
      <c r="S885" s="132"/>
      <c r="T885" s="102">
        <v>18777</v>
      </c>
      <c r="U885" s="100"/>
      <c r="V885" s="102"/>
      <c r="W885" s="210"/>
    </row>
    <row r="886" s="43" customFormat="1" ht="22" hidden="1" customHeight="1" spans="1:23">
      <c r="A886" s="261" t="s">
        <v>3403</v>
      </c>
      <c r="B886" s="174" t="s">
        <v>2855</v>
      </c>
      <c r="C886" s="175"/>
      <c r="D886" s="229" t="s">
        <v>31</v>
      </c>
      <c r="E886" s="82" t="s">
        <v>3214</v>
      </c>
      <c r="F886" s="81">
        <f>IFERROR(VLOOKUP(E886,客户!B:C,2,FALSE),"/")</f>
        <v>0</v>
      </c>
      <c r="G886" s="306" t="s">
        <v>3316</v>
      </c>
      <c r="H886" s="324" t="s">
        <v>123</v>
      </c>
      <c r="I886" s="159" t="s">
        <v>3114</v>
      </c>
      <c r="J886" s="108">
        <v>44439</v>
      </c>
      <c r="K886" s="100">
        <v>44485</v>
      </c>
      <c r="L886" s="100"/>
      <c r="M886" s="315" t="s">
        <v>3404</v>
      </c>
      <c r="N886" s="246" t="s">
        <v>3405</v>
      </c>
      <c r="O886" s="104" t="s">
        <v>970</v>
      </c>
      <c r="P886" s="230">
        <v>29147.25</v>
      </c>
      <c r="Q886" s="318">
        <v>8930</v>
      </c>
      <c r="R886" s="131"/>
      <c r="S886" s="132"/>
      <c r="T886" s="102">
        <f>20836.45-619.2</f>
        <v>20217.25</v>
      </c>
      <c r="U886" s="287" t="s">
        <v>3406</v>
      </c>
      <c r="V886" s="102"/>
      <c r="W886" s="210"/>
    </row>
    <row r="887" s="43" customFormat="1" ht="22" hidden="1" customHeight="1" spans="1:23">
      <c r="A887" s="261" t="s">
        <v>3407</v>
      </c>
      <c r="B887" s="174" t="s">
        <v>2855</v>
      </c>
      <c r="C887" s="175"/>
      <c r="D887" s="229" t="s">
        <v>31</v>
      </c>
      <c r="E887" s="82" t="s">
        <v>3280</v>
      </c>
      <c r="F887" s="81" t="str">
        <f>IFERROR(VLOOKUP(E887,客户!B:C,2,FALSE),"/")</f>
        <v>安哥拉门及配件给清单  灯的清单和照片 如果HScode是九十五章  提前和报关货代说
2021.3.4收¥55000(汇率6.46，折合美金$8512.93)
冻结中</v>
      </c>
      <c r="G887" s="306" t="s">
        <v>3408</v>
      </c>
      <c r="H887" s="142" t="s">
        <v>123</v>
      </c>
      <c r="I887" s="159" t="s">
        <v>2995</v>
      </c>
      <c r="J887" s="108">
        <v>44445</v>
      </c>
      <c r="K887" s="100">
        <v>44512</v>
      </c>
      <c r="L887" s="100">
        <v>44586</v>
      </c>
      <c r="M887" s="315" t="s">
        <v>3409</v>
      </c>
      <c r="N887" s="329" t="s">
        <v>3410</v>
      </c>
      <c r="O887" s="104" t="s">
        <v>523</v>
      </c>
      <c r="P887" s="230">
        <v>83396</v>
      </c>
      <c r="Q887" s="318">
        <f>8408+110000/6.45</f>
        <v>25462.2635658915</v>
      </c>
      <c r="R887" s="131"/>
      <c r="S887" s="132"/>
      <c r="T887" s="102">
        <f>368667/6.3636</f>
        <v>57933.7167640958</v>
      </c>
      <c r="U887" s="100"/>
      <c r="V887" s="102"/>
      <c r="W887" s="210"/>
    </row>
    <row r="888" s="43" customFormat="1" ht="22" hidden="1" customHeight="1" spans="1:23">
      <c r="A888" s="292" t="s">
        <v>3411</v>
      </c>
      <c r="B888" s="174" t="s">
        <v>2855</v>
      </c>
      <c r="C888" s="175"/>
      <c r="D888" s="229" t="s">
        <v>31</v>
      </c>
      <c r="E888" s="82" t="s">
        <v>3234</v>
      </c>
      <c r="F888" s="81">
        <f>IFERROR(VLOOKUP(E888,客户!B:C,2,FALSE),"/")</f>
        <v>0</v>
      </c>
      <c r="G888" s="306" t="s">
        <v>3412</v>
      </c>
      <c r="H888" s="142" t="s">
        <v>147</v>
      </c>
      <c r="I888" s="159" t="s">
        <v>1546</v>
      </c>
      <c r="J888" s="108">
        <v>44448</v>
      </c>
      <c r="K888" s="100">
        <v>44515</v>
      </c>
      <c r="L888" s="100">
        <v>44562</v>
      </c>
      <c r="M888" s="315" t="s">
        <v>3413</v>
      </c>
      <c r="N888" s="329" t="s">
        <v>3414</v>
      </c>
      <c r="O888" s="104" t="s">
        <v>523</v>
      </c>
      <c r="P888" s="230">
        <v>36569.17</v>
      </c>
      <c r="Q888" s="318">
        <f>14533/2</f>
        <v>7266.5</v>
      </c>
      <c r="R888" s="131"/>
      <c r="S888" s="132"/>
      <c r="T888" s="102">
        <v>29302.67</v>
      </c>
      <c r="U888" s="100"/>
      <c r="V888" s="102"/>
      <c r="W888" s="210"/>
    </row>
    <row r="889" s="43" customFormat="1" ht="22" hidden="1" customHeight="1" spans="1:23">
      <c r="A889" s="261" t="s">
        <v>3415</v>
      </c>
      <c r="B889" s="174" t="s">
        <v>2855</v>
      </c>
      <c r="C889" s="175"/>
      <c r="D889" s="229" t="s">
        <v>31</v>
      </c>
      <c r="E889" s="82" t="s">
        <v>3416</v>
      </c>
      <c r="F889" s="81"/>
      <c r="G889" s="306" t="s">
        <v>3417</v>
      </c>
      <c r="H889" s="142" t="s">
        <v>147</v>
      </c>
      <c r="I889" s="159" t="s">
        <v>1546</v>
      </c>
      <c r="J889" s="108">
        <v>44448</v>
      </c>
      <c r="K889" s="100">
        <v>44527</v>
      </c>
      <c r="L889" s="100">
        <v>44560</v>
      </c>
      <c r="M889" s="315" t="s">
        <v>3418</v>
      </c>
      <c r="N889" s="329" t="s">
        <v>3419</v>
      </c>
      <c r="O889" s="104" t="s">
        <v>523</v>
      </c>
      <c r="P889" s="230">
        <v>35305.13</v>
      </c>
      <c r="Q889" s="318">
        <v>7266.5</v>
      </c>
      <c r="R889" s="131"/>
      <c r="S889" s="132"/>
      <c r="T889" s="102">
        <v>28038.63</v>
      </c>
      <c r="U889" s="100"/>
      <c r="V889" s="102"/>
      <c r="W889" s="210"/>
    </row>
    <row r="890" s="43" customFormat="1" ht="22" hidden="1" customHeight="1" spans="1:23">
      <c r="A890" s="261" t="s">
        <v>3420</v>
      </c>
      <c r="B890" s="174" t="s">
        <v>2855</v>
      </c>
      <c r="C890" s="175"/>
      <c r="D890" s="229" t="s">
        <v>31</v>
      </c>
      <c r="E890" s="82" t="s">
        <v>3214</v>
      </c>
      <c r="F890" s="81">
        <f>IFERROR(VLOOKUP(E890,客户!B:C,2,FALSE),"/")</f>
        <v>0</v>
      </c>
      <c r="G890" s="306" t="s">
        <v>3421</v>
      </c>
      <c r="H890" s="142" t="s">
        <v>123</v>
      </c>
      <c r="I890" s="159" t="s">
        <v>3225</v>
      </c>
      <c r="J890" s="108">
        <v>44449</v>
      </c>
      <c r="K890" s="100">
        <v>44507</v>
      </c>
      <c r="L890" s="100"/>
      <c r="M890" s="315" t="s">
        <v>3422</v>
      </c>
      <c r="N890" s="329" t="s">
        <v>3423</v>
      </c>
      <c r="O890" s="104" t="s">
        <v>970</v>
      </c>
      <c r="P890" s="230">
        <v>29061.9</v>
      </c>
      <c r="Q890" s="318">
        <v>8719</v>
      </c>
      <c r="R890" s="131"/>
      <c r="S890" s="132"/>
      <c r="T890" s="102">
        <f>619.2+19723.7</f>
        <v>20342.9</v>
      </c>
      <c r="U890" s="100"/>
      <c r="V890" s="102"/>
      <c r="W890" s="210"/>
    </row>
    <row r="891" s="43" customFormat="1" ht="22" hidden="1" customHeight="1" spans="1:23">
      <c r="A891" s="261" t="s">
        <v>3424</v>
      </c>
      <c r="B891" s="174" t="s">
        <v>2855</v>
      </c>
      <c r="C891" s="175"/>
      <c r="D891" s="229" t="s">
        <v>31</v>
      </c>
      <c r="E891" s="82" t="s">
        <v>3264</v>
      </c>
      <c r="F891" s="81">
        <f>IFERROR(VLOOKUP(E891,客户!B:C,2,FALSE),"/")</f>
        <v>0</v>
      </c>
      <c r="G891" s="306" t="s">
        <v>3079</v>
      </c>
      <c r="H891" s="142" t="s">
        <v>147</v>
      </c>
      <c r="I891" s="159" t="s">
        <v>1546</v>
      </c>
      <c r="J891" s="108">
        <v>44456</v>
      </c>
      <c r="K891" s="100">
        <v>44491</v>
      </c>
      <c r="L891" s="100">
        <v>44543</v>
      </c>
      <c r="M891" s="315" t="s">
        <v>3425</v>
      </c>
      <c r="N891" s="329" t="s">
        <v>3426</v>
      </c>
      <c r="O891" s="104" t="s">
        <v>523</v>
      </c>
      <c r="P891" s="230">
        <v>39581.28</v>
      </c>
      <c r="Q891" s="318">
        <v>6151.02</v>
      </c>
      <c r="R891" s="131"/>
      <c r="S891" s="132"/>
      <c r="T891" s="102">
        <v>33430.26</v>
      </c>
      <c r="U891" s="100"/>
      <c r="V891" s="102"/>
      <c r="W891" s="210"/>
    </row>
    <row r="892" s="43" customFormat="1" ht="22" hidden="1" customHeight="1" spans="1:23">
      <c r="A892" s="261" t="s">
        <v>3427</v>
      </c>
      <c r="B892" s="174" t="s">
        <v>2855</v>
      </c>
      <c r="C892" s="175"/>
      <c r="D892" s="229" t="s">
        <v>31</v>
      </c>
      <c r="E892" s="82" t="s">
        <v>3264</v>
      </c>
      <c r="F892" s="81">
        <f>IFERROR(VLOOKUP(E892,客户!B:C,2,FALSE),"/")</f>
        <v>0</v>
      </c>
      <c r="G892" s="306" t="s">
        <v>3428</v>
      </c>
      <c r="H892" s="142" t="s">
        <v>147</v>
      </c>
      <c r="I892" s="159" t="s">
        <v>1546</v>
      </c>
      <c r="J892" s="108">
        <v>44456</v>
      </c>
      <c r="K892" s="100">
        <v>44527</v>
      </c>
      <c r="L892" s="100">
        <v>44557</v>
      </c>
      <c r="M892" s="315" t="s">
        <v>3429</v>
      </c>
      <c r="N892" s="329" t="s">
        <v>3430</v>
      </c>
      <c r="O892" s="104" t="s">
        <v>523</v>
      </c>
      <c r="P892" s="230">
        <v>81140.46</v>
      </c>
      <c r="Q892" s="318">
        <v>12302.04</v>
      </c>
      <c r="R892" s="131"/>
      <c r="S892" s="132"/>
      <c r="T892" s="102">
        <v>68838.42</v>
      </c>
      <c r="U892" s="100"/>
      <c r="V892" s="102"/>
      <c r="W892" s="210"/>
    </row>
    <row r="893" s="43" customFormat="1" ht="22" hidden="1" customHeight="1" spans="1:23">
      <c r="A893" s="292" t="s">
        <v>3431</v>
      </c>
      <c r="B893" s="174" t="s">
        <v>2855</v>
      </c>
      <c r="C893" s="175"/>
      <c r="D893" s="229" t="s">
        <v>31</v>
      </c>
      <c r="E893" s="82" t="s">
        <v>3205</v>
      </c>
      <c r="F893" s="81">
        <f>IFERROR(VLOOKUP(E893,客户!B:C,2,FALSE),"/")</f>
        <v>0</v>
      </c>
      <c r="G893" s="306" t="s">
        <v>3432</v>
      </c>
      <c r="H893" s="142" t="s">
        <v>123</v>
      </c>
      <c r="I893" s="159" t="s">
        <v>1546</v>
      </c>
      <c r="J893" s="108">
        <v>44456</v>
      </c>
      <c r="K893" s="111">
        <v>44527</v>
      </c>
      <c r="L893" s="100">
        <v>44560</v>
      </c>
      <c r="M893" s="315" t="s">
        <v>3433</v>
      </c>
      <c r="N893" s="329" t="s">
        <v>3434</v>
      </c>
      <c r="O893" s="104" t="s">
        <v>523</v>
      </c>
      <c r="P893" s="230">
        <v>112512</v>
      </c>
      <c r="Q893" s="318">
        <v>18489</v>
      </c>
      <c r="R893" s="131"/>
      <c r="S893" s="132"/>
      <c r="T893" s="102">
        <f>20000+20000+20000</f>
        <v>60000</v>
      </c>
      <c r="U893" s="102">
        <f>18552.49+15470.51</f>
        <v>34023</v>
      </c>
      <c r="V893" s="102"/>
      <c r="W893" s="210"/>
    </row>
    <row r="894" s="43" customFormat="1" ht="22" hidden="1" customHeight="1" spans="1:23">
      <c r="A894" s="261" t="s">
        <v>3435</v>
      </c>
      <c r="B894" s="174" t="s">
        <v>2855</v>
      </c>
      <c r="C894" s="175"/>
      <c r="D894" s="229" t="s">
        <v>31</v>
      </c>
      <c r="E894" s="82" t="s">
        <v>3205</v>
      </c>
      <c r="F894" s="81">
        <f>IFERROR(VLOOKUP(E894,客户!B:C,2,FALSE),"/")</f>
        <v>0</v>
      </c>
      <c r="G894" s="306" t="s">
        <v>3436</v>
      </c>
      <c r="H894" s="142" t="s">
        <v>123</v>
      </c>
      <c r="I894" s="159" t="s">
        <v>1546</v>
      </c>
      <c r="J894" s="108">
        <v>44456</v>
      </c>
      <c r="K894" s="100">
        <v>44541</v>
      </c>
      <c r="L894" s="100">
        <v>44574</v>
      </c>
      <c r="M894" s="315" t="s">
        <v>3437</v>
      </c>
      <c r="N894" s="329" t="s">
        <v>3438</v>
      </c>
      <c r="O894" s="104" t="s">
        <v>523</v>
      </c>
      <c r="P894" s="230">
        <v>76927.11</v>
      </c>
      <c r="Q894" s="318">
        <v>12327</v>
      </c>
      <c r="R894" s="131"/>
      <c r="S894" s="132"/>
      <c r="T894" s="102">
        <f>4529.49+20000</f>
        <v>24529.49</v>
      </c>
      <c r="U894" s="102">
        <f>20071+20000</f>
        <v>40071</v>
      </c>
      <c r="V894" s="102"/>
      <c r="W894" s="210"/>
    </row>
    <row r="895" s="43" customFormat="1" ht="22" hidden="1" customHeight="1" spans="1:23">
      <c r="A895" s="261" t="s">
        <v>3439</v>
      </c>
      <c r="B895" s="174" t="s">
        <v>2855</v>
      </c>
      <c r="C895" s="175"/>
      <c r="D895" s="229" t="s">
        <v>31</v>
      </c>
      <c r="E895" s="82" t="s">
        <v>3205</v>
      </c>
      <c r="F895" s="81">
        <f>IFERROR(VLOOKUP(E895,客户!B:C,2,FALSE),"/")</f>
        <v>0</v>
      </c>
      <c r="G895" s="306" t="s">
        <v>3440</v>
      </c>
      <c r="H895" s="142" t="s">
        <v>123</v>
      </c>
      <c r="I895" s="159" t="s">
        <v>1546</v>
      </c>
      <c r="J895" s="108">
        <v>44456</v>
      </c>
      <c r="K895" s="100">
        <v>44527</v>
      </c>
      <c r="L895" s="100">
        <v>44560</v>
      </c>
      <c r="M895" s="315" t="s">
        <v>3441</v>
      </c>
      <c r="N895" s="329" t="s">
        <v>3442</v>
      </c>
      <c r="O895" s="104" t="s">
        <v>523</v>
      </c>
      <c r="P895" s="230">
        <v>99936.51</v>
      </c>
      <c r="Q895" s="318">
        <v>18489</v>
      </c>
      <c r="R895" s="131"/>
      <c r="S895" s="132"/>
      <c r="T895" s="102">
        <f>20000+20000+20000+20000</f>
        <v>80000</v>
      </c>
      <c r="U895" s="102">
        <v>1447.51</v>
      </c>
      <c r="V895" s="102"/>
      <c r="W895" s="210"/>
    </row>
    <row r="896" s="43" customFormat="1" ht="22" hidden="1" customHeight="1" spans="1:23">
      <c r="A896" s="261" t="s">
        <v>3443</v>
      </c>
      <c r="B896" s="174" t="s">
        <v>2855</v>
      </c>
      <c r="C896" s="175"/>
      <c r="D896" s="229" t="s">
        <v>31</v>
      </c>
      <c r="E896" s="82" t="s">
        <v>3214</v>
      </c>
      <c r="F896" s="81"/>
      <c r="G896" s="306" t="s">
        <v>3444</v>
      </c>
      <c r="H896" s="142" t="s">
        <v>123</v>
      </c>
      <c r="I896" s="159" t="s">
        <v>3445</v>
      </c>
      <c r="J896" s="108">
        <v>44505</v>
      </c>
      <c r="K896" s="100">
        <v>44565</v>
      </c>
      <c r="L896" s="100"/>
      <c r="M896" s="315" t="s">
        <v>3446</v>
      </c>
      <c r="N896" s="329" t="s">
        <v>3447</v>
      </c>
      <c r="O896" s="104" t="s">
        <v>970</v>
      </c>
      <c r="P896" s="230">
        <v>26838.18</v>
      </c>
      <c r="Q896" s="318">
        <v>8051.45</v>
      </c>
      <c r="R896" s="131"/>
      <c r="S896" s="132"/>
      <c r="T896" s="102">
        <v>18786.73</v>
      </c>
      <c r="U896" s="100"/>
      <c r="V896" s="102"/>
      <c r="W896" s="210"/>
    </row>
    <row r="897" s="43" customFormat="1" ht="22" hidden="1" customHeight="1" spans="1:23">
      <c r="A897" s="261" t="s">
        <v>3448</v>
      </c>
      <c r="B897" s="174" t="s">
        <v>2855</v>
      </c>
      <c r="C897" s="175"/>
      <c r="D897" s="229" t="s">
        <v>31</v>
      </c>
      <c r="E897" s="82" t="s">
        <v>3234</v>
      </c>
      <c r="F897" s="81">
        <f>IFERROR(VLOOKUP(E897,客户!B:C,2,FALSE),"/")</f>
        <v>0</v>
      </c>
      <c r="G897" s="306" t="s">
        <v>3449</v>
      </c>
      <c r="H897" s="142" t="s">
        <v>147</v>
      </c>
      <c r="I897" s="159" t="s">
        <v>1546</v>
      </c>
      <c r="J897" s="108">
        <v>44511</v>
      </c>
      <c r="K897" s="100">
        <v>44570</v>
      </c>
      <c r="L897" s="100">
        <v>44606</v>
      </c>
      <c r="M897" s="315" t="s">
        <v>3450</v>
      </c>
      <c r="N897" s="329" t="s">
        <v>3451</v>
      </c>
      <c r="O897" s="104" t="s">
        <v>523</v>
      </c>
      <c r="P897" s="230">
        <v>72886</v>
      </c>
      <c r="Q897" s="318">
        <v>13761</v>
      </c>
      <c r="R897" s="131"/>
      <c r="S897" s="132"/>
      <c r="T897" s="102">
        <v>59125</v>
      </c>
      <c r="U897" s="100"/>
      <c r="V897" s="102"/>
      <c r="W897" s="210"/>
    </row>
    <row r="898" s="43" customFormat="1" ht="22" hidden="1" customHeight="1" spans="1:23">
      <c r="A898" s="261" t="s">
        <v>3452</v>
      </c>
      <c r="B898" s="174" t="s">
        <v>2855</v>
      </c>
      <c r="C898" s="175"/>
      <c r="D898" s="229" t="s">
        <v>31</v>
      </c>
      <c r="E898" s="82" t="s">
        <v>3234</v>
      </c>
      <c r="F898" s="81">
        <f>IFERROR(VLOOKUP(E898,客户!B:C,2,FALSE),"/")</f>
        <v>0</v>
      </c>
      <c r="G898" s="306" t="s">
        <v>3079</v>
      </c>
      <c r="H898" s="142" t="s">
        <v>147</v>
      </c>
      <c r="I898" s="159" t="s">
        <v>1546</v>
      </c>
      <c r="J898" s="108">
        <v>44511</v>
      </c>
      <c r="K898" s="100">
        <v>44577</v>
      </c>
      <c r="L898" s="100">
        <v>44630</v>
      </c>
      <c r="M898" s="315" t="s">
        <v>3453</v>
      </c>
      <c r="N898" s="329" t="s">
        <v>3454</v>
      </c>
      <c r="O898" s="104" t="s">
        <v>523</v>
      </c>
      <c r="P898" s="230">
        <v>39995</v>
      </c>
      <c r="Q898" s="318">
        <f>21600-Q897</f>
        <v>7839</v>
      </c>
      <c r="R898" s="131">
        <f>P898-Q898</f>
        <v>32156</v>
      </c>
      <c r="S898" s="132"/>
      <c r="T898" s="102">
        <v>32156</v>
      </c>
      <c r="U898" s="100"/>
      <c r="V898" s="102"/>
      <c r="W898" s="210"/>
    </row>
    <row r="899" s="43" customFormat="1" ht="22" hidden="1" customHeight="1" spans="1:23">
      <c r="A899" s="261" t="s">
        <v>3455</v>
      </c>
      <c r="B899" s="174" t="s">
        <v>2855</v>
      </c>
      <c r="C899" s="175"/>
      <c r="D899" s="229" t="s">
        <v>31</v>
      </c>
      <c r="E899" s="82" t="s">
        <v>3264</v>
      </c>
      <c r="F899" s="81">
        <f>IFERROR(VLOOKUP(E899,客户!B:C,2,FALSE),"/")</f>
        <v>0</v>
      </c>
      <c r="G899" s="306" t="s">
        <v>3456</v>
      </c>
      <c r="H899" s="142" t="s">
        <v>147</v>
      </c>
      <c r="I899" s="159" t="s">
        <v>1546</v>
      </c>
      <c r="J899" s="108">
        <v>44529</v>
      </c>
      <c r="K899" s="100">
        <v>44577</v>
      </c>
      <c r="L899" s="100">
        <v>44621</v>
      </c>
      <c r="M899" s="315" t="s">
        <v>3457</v>
      </c>
      <c r="N899" s="329" t="s">
        <v>3458</v>
      </c>
      <c r="O899" s="104" t="s">
        <v>523</v>
      </c>
      <c r="P899" s="230">
        <v>73617.6</v>
      </c>
      <c r="Q899" s="318">
        <v>10787.64</v>
      </c>
      <c r="R899" s="131"/>
      <c r="S899" s="132"/>
      <c r="T899" s="102">
        <v>62829.96</v>
      </c>
      <c r="U899" s="100"/>
      <c r="V899" s="102"/>
      <c r="W899" s="210"/>
    </row>
    <row r="900" s="43" customFormat="1" ht="22" hidden="1" customHeight="1" spans="1:23">
      <c r="A900" s="261" t="s">
        <v>3459</v>
      </c>
      <c r="B900" s="174" t="s">
        <v>2855</v>
      </c>
      <c r="C900" s="175"/>
      <c r="D900" s="229" t="s">
        <v>31</v>
      </c>
      <c r="E900" s="82" t="s">
        <v>3460</v>
      </c>
      <c r="F900" s="81">
        <f>IFERROR(VLOOKUP(E900,客户!B:C,2,FALSE),"/")</f>
        <v>0</v>
      </c>
      <c r="G900" s="306" t="s">
        <v>3461</v>
      </c>
      <c r="H900" s="142" t="s">
        <v>123</v>
      </c>
      <c r="I900" s="159" t="s">
        <v>3462</v>
      </c>
      <c r="J900" s="108">
        <v>44533</v>
      </c>
      <c r="K900" s="100">
        <v>44625</v>
      </c>
      <c r="L900" s="100">
        <v>44707</v>
      </c>
      <c r="M900" s="315" t="s">
        <v>3463</v>
      </c>
      <c r="N900" s="329" t="s">
        <v>3464</v>
      </c>
      <c r="O900" s="104" t="s">
        <v>970</v>
      </c>
      <c r="P900" s="230">
        <v>32697.6</v>
      </c>
      <c r="Q900" s="318"/>
      <c r="R900" s="131"/>
      <c r="S900" s="132"/>
      <c r="T900" s="102">
        <v>32697.6</v>
      </c>
      <c r="U900" s="100"/>
      <c r="V900" s="102"/>
      <c r="W900" s="210"/>
    </row>
    <row r="901" s="43" customFormat="1" ht="22" hidden="1" customHeight="1" spans="1:23">
      <c r="A901" s="261" t="s">
        <v>3465</v>
      </c>
      <c r="B901" s="174" t="s">
        <v>2855</v>
      </c>
      <c r="C901" s="175"/>
      <c r="D901" s="229" t="s">
        <v>31</v>
      </c>
      <c r="E901" s="82" t="s">
        <v>3466</v>
      </c>
      <c r="F901" s="81">
        <f>IFERROR(VLOOKUP(E901,客户!B:C,2,FALSE),"/")</f>
        <v>0</v>
      </c>
      <c r="G901" s="306" t="s">
        <v>3467</v>
      </c>
      <c r="H901" s="142" t="s">
        <v>123</v>
      </c>
      <c r="I901" s="159" t="s">
        <v>3468</v>
      </c>
      <c r="J901" s="108">
        <v>44536</v>
      </c>
      <c r="K901" s="100">
        <v>44598</v>
      </c>
      <c r="L901" s="100">
        <v>44612</v>
      </c>
      <c r="M901" s="315" t="s">
        <v>3469</v>
      </c>
      <c r="N901" s="329" t="s">
        <v>3470</v>
      </c>
      <c r="O901" s="104" t="s">
        <v>523</v>
      </c>
      <c r="P901" s="230">
        <v>35110</v>
      </c>
      <c r="Q901" s="318">
        <v>9535.95</v>
      </c>
      <c r="R901" s="131"/>
      <c r="S901" s="132"/>
      <c r="T901" s="102">
        <f>11574.05+9500</f>
        <v>21074.05</v>
      </c>
      <c r="U901" s="102">
        <v>4500</v>
      </c>
      <c r="V901" s="102"/>
      <c r="W901" s="210"/>
    </row>
    <row r="902" s="43" customFormat="1" ht="22" hidden="1" customHeight="1" spans="1:23">
      <c r="A902" s="261" t="s">
        <v>3471</v>
      </c>
      <c r="B902" s="174" t="s">
        <v>2855</v>
      </c>
      <c r="C902" s="175"/>
      <c r="D902" s="229" t="s">
        <v>31</v>
      </c>
      <c r="E902" s="82" t="s">
        <v>3205</v>
      </c>
      <c r="F902" s="81">
        <f>IFERROR(VLOOKUP(E902,客户!B:C,2,FALSE),"/")</f>
        <v>0</v>
      </c>
      <c r="G902" s="306" t="s">
        <v>3472</v>
      </c>
      <c r="H902" s="142" t="s">
        <v>123</v>
      </c>
      <c r="I902" s="159" t="s">
        <v>1546</v>
      </c>
      <c r="J902" s="108">
        <v>44537</v>
      </c>
      <c r="K902" s="100">
        <v>44694</v>
      </c>
      <c r="L902" s="100">
        <v>44732</v>
      </c>
      <c r="M902" s="315" t="s">
        <v>3473</v>
      </c>
      <c r="N902" s="329" t="s">
        <v>3474</v>
      </c>
      <c r="O902" s="104" t="s">
        <v>523</v>
      </c>
      <c r="P902" s="230">
        <v>34110.47</v>
      </c>
      <c r="Q902" s="318">
        <f>80617-Q904-Q905-Q903</f>
        <v>8752</v>
      </c>
      <c r="R902" s="131"/>
      <c r="S902" s="132"/>
      <c r="T902" s="102">
        <v>192.56</v>
      </c>
      <c r="U902" s="230">
        <v>25165.91</v>
      </c>
      <c r="V902" s="102"/>
      <c r="W902" s="210"/>
    </row>
    <row r="903" s="43" customFormat="1" ht="21" hidden="1" customHeight="1" spans="1:23">
      <c r="A903" s="261" t="s">
        <v>3475</v>
      </c>
      <c r="B903" s="174" t="s">
        <v>2855</v>
      </c>
      <c r="C903" s="175"/>
      <c r="D903" s="229" t="s">
        <v>31</v>
      </c>
      <c r="E903" s="82" t="s">
        <v>3205</v>
      </c>
      <c r="F903" s="81"/>
      <c r="G903" s="306" t="s">
        <v>3476</v>
      </c>
      <c r="H903" s="142" t="s">
        <v>123</v>
      </c>
      <c r="I903" s="159" t="s">
        <v>1546</v>
      </c>
      <c r="J903" s="108">
        <v>44537</v>
      </c>
      <c r="K903" s="100">
        <v>44680</v>
      </c>
      <c r="L903" s="100">
        <v>44718</v>
      </c>
      <c r="M903" s="315" t="s">
        <v>3477</v>
      </c>
      <c r="N903" s="329" t="s">
        <v>3478</v>
      </c>
      <c r="O903" s="104" t="s">
        <v>523</v>
      </c>
      <c r="P903" s="230">
        <v>92894.4</v>
      </c>
      <c r="Q903" s="318">
        <v>23836</v>
      </c>
      <c r="R903" s="131"/>
      <c r="S903" s="132"/>
      <c r="T903" s="102">
        <f>25000+25000</f>
        <v>50000</v>
      </c>
      <c r="U903" s="102">
        <v>19058.4</v>
      </c>
      <c r="V903" s="102"/>
      <c r="W903" s="210"/>
    </row>
    <row r="904" s="43" customFormat="1" ht="22" hidden="1" customHeight="1" spans="1:23">
      <c r="A904" s="261" t="s">
        <v>3479</v>
      </c>
      <c r="B904" s="174" t="s">
        <v>2855</v>
      </c>
      <c r="C904" s="175"/>
      <c r="D904" s="229" t="s">
        <v>31</v>
      </c>
      <c r="E904" s="82" t="s">
        <v>3205</v>
      </c>
      <c r="F904" s="81">
        <f>IFERROR(VLOOKUP(E904,客户!B:C,2,FALSE),"/")</f>
        <v>0</v>
      </c>
      <c r="G904" s="306" t="s">
        <v>3480</v>
      </c>
      <c r="H904" s="142" t="s">
        <v>123</v>
      </c>
      <c r="I904" s="159" t="s">
        <v>1546</v>
      </c>
      <c r="J904" s="108">
        <v>44537</v>
      </c>
      <c r="K904" s="100">
        <v>44591</v>
      </c>
      <c r="L904" s="100">
        <v>44627</v>
      </c>
      <c r="M904" s="315" t="s">
        <v>3481</v>
      </c>
      <c r="N904" s="329" t="s">
        <v>3482</v>
      </c>
      <c r="O904" s="104" t="s">
        <v>523</v>
      </c>
      <c r="P904" s="230">
        <v>96917.6</v>
      </c>
      <c r="Q904" s="318">
        <v>24125</v>
      </c>
      <c r="R904" s="131"/>
      <c r="S904" s="132"/>
      <c r="T904" s="102">
        <f>20000+20000</f>
        <v>40000</v>
      </c>
      <c r="U904" s="102">
        <f>20000+12792.6</f>
        <v>32792.6</v>
      </c>
      <c r="V904" s="102"/>
      <c r="W904" s="210"/>
    </row>
    <row r="905" s="43" customFormat="1" ht="22" hidden="1" customHeight="1" spans="1:23">
      <c r="A905" s="261" t="s">
        <v>3483</v>
      </c>
      <c r="B905" s="174" t="s">
        <v>2855</v>
      </c>
      <c r="C905" s="175"/>
      <c r="D905" s="229" t="s">
        <v>31</v>
      </c>
      <c r="E905" s="82" t="s">
        <v>3205</v>
      </c>
      <c r="F905" s="81">
        <f>IFERROR(VLOOKUP(E905,客户!B:C,2,FALSE),"/")</f>
        <v>0</v>
      </c>
      <c r="G905" s="306" t="s">
        <v>3484</v>
      </c>
      <c r="H905" s="142" t="s">
        <v>123</v>
      </c>
      <c r="I905" s="159" t="s">
        <v>1546</v>
      </c>
      <c r="J905" s="108">
        <v>44537</v>
      </c>
      <c r="K905" s="100">
        <v>44640</v>
      </c>
      <c r="L905" s="100">
        <v>44678</v>
      </c>
      <c r="M905" s="315" t="s">
        <v>3485</v>
      </c>
      <c r="N905" s="329" t="s">
        <v>3486</v>
      </c>
      <c r="O905" s="104" t="s">
        <v>523</v>
      </c>
      <c r="P905" s="230">
        <v>91984.3</v>
      </c>
      <c r="Q905" s="318">
        <v>23904</v>
      </c>
      <c r="R905" s="131"/>
      <c r="S905" s="132"/>
      <c r="T905" s="102">
        <v>25000</v>
      </c>
      <c r="U905" s="102">
        <f>18080+25000</f>
        <v>43080</v>
      </c>
      <c r="V905" s="102"/>
      <c r="W905" s="210"/>
    </row>
    <row r="906" s="43" customFormat="1" ht="22" hidden="1" customHeight="1" spans="1:23">
      <c r="A906" s="261" t="s">
        <v>3487</v>
      </c>
      <c r="B906" s="174" t="s">
        <v>2855</v>
      </c>
      <c r="C906" s="175"/>
      <c r="D906" s="229" t="s">
        <v>31</v>
      </c>
      <c r="E906" s="82" t="s">
        <v>3239</v>
      </c>
      <c r="F906" s="81">
        <f>IFERROR(VLOOKUP(E906,客户!B:C,2,FALSE),"/")</f>
        <v>0</v>
      </c>
      <c r="G906" s="306" t="s">
        <v>3488</v>
      </c>
      <c r="H906" s="142" t="s">
        <v>123</v>
      </c>
      <c r="I906" s="159" t="s">
        <v>1546</v>
      </c>
      <c r="J906" s="108">
        <v>44545</v>
      </c>
      <c r="K906" s="100">
        <v>44602</v>
      </c>
      <c r="L906" s="100">
        <v>44656</v>
      </c>
      <c r="M906" s="315" t="s">
        <v>3489</v>
      </c>
      <c r="N906" s="329" t="s">
        <v>3490</v>
      </c>
      <c r="O906" s="104" t="s">
        <v>523</v>
      </c>
      <c r="P906" s="230">
        <v>57100.03</v>
      </c>
      <c r="Q906" s="318">
        <f>19985+27000+10115</f>
        <v>57100</v>
      </c>
      <c r="R906" s="131"/>
      <c r="S906" s="132"/>
      <c r="T906" s="102"/>
      <c r="U906" s="100"/>
      <c r="V906" s="102"/>
      <c r="W906" s="210"/>
    </row>
    <row r="907" s="43" customFormat="1" ht="22" hidden="1" customHeight="1" spans="1:23">
      <c r="A907" s="261" t="s">
        <v>3491</v>
      </c>
      <c r="B907" s="174" t="s">
        <v>2855</v>
      </c>
      <c r="C907" s="175"/>
      <c r="D907" s="229" t="s">
        <v>31</v>
      </c>
      <c r="E907" s="82" t="s">
        <v>3214</v>
      </c>
      <c r="F907" s="81">
        <f>IFERROR(VLOOKUP(E907,客户!B:C,2,FALSE),"/")</f>
        <v>0</v>
      </c>
      <c r="G907" s="306" t="s">
        <v>3492</v>
      </c>
      <c r="H907" s="142" t="s">
        <v>123</v>
      </c>
      <c r="I907" s="159" t="s">
        <v>3493</v>
      </c>
      <c r="J907" s="108">
        <v>44547</v>
      </c>
      <c r="K907" s="100">
        <v>44601</v>
      </c>
      <c r="L907" s="100"/>
      <c r="M907" s="315" t="s">
        <v>3494</v>
      </c>
      <c r="N907" s="329" t="s">
        <v>3495</v>
      </c>
      <c r="O907" s="104" t="s">
        <v>970</v>
      </c>
      <c r="P907" s="230">
        <v>49615.9</v>
      </c>
      <c r="Q907" s="318">
        <v>49615.9</v>
      </c>
      <c r="R907" s="131"/>
      <c r="S907" s="132"/>
      <c r="T907" s="102"/>
      <c r="U907" s="100"/>
      <c r="V907" s="102"/>
      <c r="W907" s="210"/>
    </row>
    <row r="908" s="43" customFormat="1" ht="22" hidden="1" customHeight="1" spans="1:23">
      <c r="A908" s="261" t="s">
        <v>3496</v>
      </c>
      <c r="B908" s="174" t="s">
        <v>2855</v>
      </c>
      <c r="C908" s="175"/>
      <c r="D908" s="229" t="s">
        <v>31</v>
      </c>
      <c r="E908" s="82" t="s">
        <v>3214</v>
      </c>
      <c r="F908" s="81">
        <f>IFERROR(VLOOKUP(E908,客户!B:C,2,FALSE),"/")</f>
        <v>0</v>
      </c>
      <c r="G908" s="306" t="s">
        <v>3497</v>
      </c>
      <c r="H908" s="142" t="s">
        <v>123</v>
      </c>
      <c r="I908" s="159" t="s">
        <v>3445</v>
      </c>
      <c r="J908" s="108">
        <v>44547</v>
      </c>
      <c r="K908" s="100">
        <v>44588</v>
      </c>
      <c r="L908" s="100">
        <v>44623</v>
      </c>
      <c r="M908" s="315" t="s">
        <v>3498</v>
      </c>
      <c r="N908" s="329" t="s">
        <v>3232</v>
      </c>
      <c r="O908" s="104" t="s">
        <v>970</v>
      </c>
      <c r="P908" s="230">
        <v>78169.35</v>
      </c>
      <c r="Q908" s="318">
        <f>74661.01+3508.34</f>
        <v>78169.35</v>
      </c>
      <c r="R908" s="131"/>
      <c r="S908" s="132"/>
      <c r="T908" s="102"/>
      <c r="U908" s="100"/>
      <c r="V908" s="102"/>
      <c r="W908" s="210"/>
    </row>
    <row r="909" s="43" customFormat="1" ht="22" hidden="1" customHeight="1" spans="1:23">
      <c r="A909" s="261" t="s">
        <v>3499</v>
      </c>
      <c r="B909" s="174" t="s">
        <v>2855</v>
      </c>
      <c r="C909" s="175"/>
      <c r="D909" s="229" t="s">
        <v>31</v>
      </c>
      <c r="E909" s="82" t="s">
        <v>3205</v>
      </c>
      <c r="F909" s="81">
        <f>IFERROR(VLOOKUP(E909,客户!B:C,2,FALSE),"/")</f>
        <v>0</v>
      </c>
      <c r="G909" s="306" t="s">
        <v>3500</v>
      </c>
      <c r="H909" s="142" t="s">
        <v>123</v>
      </c>
      <c r="I909" s="159" t="s">
        <v>1546</v>
      </c>
      <c r="J909" s="108">
        <v>44562</v>
      </c>
      <c r="K909" s="100">
        <v>44631</v>
      </c>
      <c r="L909" s="100">
        <v>44674</v>
      </c>
      <c r="M909" s="315" t="s">
        <v>3501</v>
      </c>
      <c r="N909" s="329" t="s">
        <v>3502</v>
      </c>
      <c r="O909" s="104" t="s">
        <v>523</v>
      </c>
      <c r="P909" s="230">
        <v>31467.03</v>
      </c>
      <c r="Q909" s="318">
        <v>8000</v>
      </c>
      <c r="R909" s="131"/>
      <c r="S909" s="132"/>
      <c r="T909" s="102">
        <v>23467.03</v>
      </c>
      <c r="U909" s="100"/>
      <c r="V909" s="102"/>
      <c r="W909" s="210"/>
    </row>
    <row r="910" s="43" customFormat="1" ht="22" hidden="1" customHeight="1" spans="1:23">
      <c r="A910" s="261" t="s">
        <v>3503</v>
      </c>
      <c r="B910" s="174" t="s">
        <v>2855</v>
      </c>
      <c r="C910" s="175"/>
      <c r="D910" s="229" t="s">
        <v>31</v>
      </c>
      <c r="E910" s="82" t="s">
        <v>3205</v>
      </c>
      <c r="F910" s="81">
        <f>IFERROR(VLOOKUP(E910,客户!B:C,2,FALSE),"/")</f>
        <v>0</v>
      </c>
      <c r="G910" s="307" t="s">
        <v>3504</v>
      </c>
      <c r="H910" s="142" t="s">
        <v>123</v>
      </c>
      <c r="I910" s="159" t="s">
        <v>1546</v>
      </c>
      <c r="J910" s="108">
        <v>44622</v>
      </c>
      <c r="K910" s="100">
        <v>44680</v>
      </c>
      <c r="L910" s="100">
        <v>44718</v>
      </c>
      <c r="M910" s="315" t="s">
        <v>3505</v>
      </c>
      <c r="N910" s="329" t="s">
        <v>3506</v>
      </c>
      <c r="O910" s="104" t="s">
        <v>523</v>
      </c>
      <c r="P910" s="230">
        <v>37956.44</v>
      </c>
      <c r="Q910" s="318">
        <v>7207.4</v>
      </c>
      <c r="R910" s="131"/>
      <c r="S910" s="132"/>
      <c r="T910" s="102">
        <v>5941.6</v>
      </c>
      <c r="U910" s="230">
        <v>24807.44</v>
      </c>
      <c r="V910" s="102"/>
      <c r="W910" s="210"/>
    </row>
    <row r="911" s="43" customFormat="1" ht="22" hidden="1" customHeight="1" spans="1:23">
      <c r="A911" s="293" t="s">
        <v>3507</v>
      </c>
      <c r="B911" s="174" t="s">
        <v>2855</v>
      </c>
      <c r="C911" s="175"/>
      <c r="D911" s="229" t="s">
        <v>3</v>
      </c>
      <c r="E911" s="82" t="s">
        <v>3508</v>
      </c>
      <c r="F911" s="81">
        <f>IFERROR(VLOOKUP(E911,客户!B:C,2,FALSE),"/")</f>
        <v>0</v>
      </c>
      <c r="G911" s="307" t="s">
        <v>3509</v>
      </c>
      <c r="H911" s="142" t="s">
        <v>123</v>
      </c>
      <c r="I911" s="159"/>
      <c r="J911" s="108">
        <v>44627</v>
      </c>
      <c r="K911" s="100"/>
      <c r="L911" s="100"/>
      <c r="M911" s="315" t="s">
        <v>3510</v>
      </c>
      <c r="N911" s="329"/>
      <c r="O911" s="104" t="s">
        <v>523</v>
      </c>
      <c r="P911" s="331">
        <v>230881.7</v>
      </c>
      <c r="Q911" s="318">
        <v>20000</v>
      </c>
      <c r="R911" s="131"/>
      <c r="S911" s="132"/>
      <c r="T911" s="102"/>
      <c r="U911" s="100"/>
      <c r="V911" s="102"/>
      <c r="W911" s="210"/>
    </row>
    <row r="912" s="43" customFormat="1" ht="22" hidden="1" customHeight="1" spans="1:23">
      <c r="A912" s="293" t="s">
        <v>3511</v>
      </c>
      <c r="B912" s="174" t="s">
        <v>2855</v>
      </c>
      <c r="C912" s="175"/>
      <c r="D912" s="229" t="s">
        <v>2</v>
      </c>
      <c r="E912" s="82" t="s">
        <v>3508</v>
      </c>
      <c r="F912" s="81"/>
      <c r="G912" s="307" t="s">
        <v>3512</v>
      </c>
      <c r="H912" s="142" t="s">
        <v>123</v>
      </c>
      <c r="I912" s="159" t="s">
        <v>3513</v>
      </c>
      <c r="J912" s="108">
        <v>44627</v>
      </c>
      <c r="K912" s="100">
        <v>44728</v>
      </c>
      <c r="L912" s="100">
        <v>44753</v>
      </c>
      <c r="M912" s="315" t="s">
        <v>1787</v>
      </c>
      <c r="N912" s="329" t="s">
        <v>3514</v>
      </c>
      <c r="O912" s="104" t="s">
        <v>523</v>
      </c>
      <c r="P912" s="230">
        <v>86610.09</v>
      </c>
      <c r="Q912" s="318"/>
      <c r="R912" s="131"/>
      <c r="S912" s="132"/>
      <c r="T912" s="102"/>
      <c r="U912" s="100"/>
      <c r="V912" s="102"/>
      <c r="W912" s="210"/>
    </row>
    <row r="913" s="43" customFormat="1" ht="22" hidden="1" customHeight="1" spans="1:23">
      <c r="A913" s="293" t="s">
        <v>3515</v>
      </c>
      <c r="B913" s="174" t="s">
        <v>2855</v>
      </c>
      <c r="C913" s="175"/>
      <c r="D913" s="229" t="s">
        <v>2</v>
      </c>
      <c r="E913" s="82" t="s">
        <v>3508</v>
      </c>
      <c r="F913" s="81">
        <f>IFERROR(VLOOKUP(E913,客户!B:C,2,FALSE),"/")</f>
        <v>0</v>
      </c>
      <c r="G913" s="307" t="s">
        <v>3516</v>
      </c>
      <c r="H913" s="142" t="s">
        <v>123</v>
      </c>
      <c r="I913" s="159"/>
      <c r="J913" s="108">
        <v>44627</v>
      </c>
      <c r="K913" s="100">
        <v>44707</v>
      </c>
      <c r="L913" s="100">
        <v>44762</v>
      </c>
      <c r="M913" s="315" t="s">
        <v>3517</v>
      </c>
      <c r="N913" s="329" t="s">
        <v>3518</v>
      </c>
      <c r="O913" s="104" t="s">
        <v>523</v>
      </c>
      <c r="P913" s="230">
        <v>86099.64</v>
      </c>
      <c r="Q913" s="318"/>
      <c r="R913" s="131"/>
      <c r="S913" s="132"/>
      <c r="T913" s="102">
        <v>28885.5</v>
      </c>
      <c r="U913" s="100"/>
      <c r="V913" s="102"/>
      <c r="W913" s="210"/>
    </row>
    <row r="914" s="43" customFormat="1" ht="22" hidden="1" customHeight="1" spans="1:23">
      <c r="A914" s="293" t="s">
        <v>3519</v>
      </c>
      <c r="B914" s="174" t="s">
        <v>2855</v>
      </c>
      <c r="C914" s="175"/>
      <c r="D914" s="229" t="s">
        <v>3</v>
      </c>
      <c r="E914" s="82" t="s">
        <v>3280</v>
      </c>
      <c r="F914" s="81" t="str">
        <f>IFERROR(VLOOKUP(E914,客户!B:C,2,FALSE),"/")</f>
        <v>安哥拉门及配件给清单  灯的清单和照片 如果HScode是九十五章  提前和报关货代说
2021.3.4收¥55000(汇率6.46，折合美金$8512.93)
冻结中</v>
      </c>
      <c r="G914" s="307" t="s">
        <v>3520</v>
      </c>
      <c r="H914" s="142" t="s">
        <v>123</v>
      </c>
      <c r="I914" s="159" t="s">
        <v>3061</v>
      </c>
      <c r="J914" s="108">
        <v>44629</v>
      </c>
      <c r="K914" s="100"/>
      <c r="L914" s="100"/>
      <c r="M914" s="315" t="s">
        <v>3521</v>
      </c>
      <c r="N914" s="329"/>
      <c r="O914" s="104" t="s">
        <v>523</v>
      </c>
      <c r="P914" s="331">
        <v>62389</v>
      </c>
      <c r="Q914" s="318">
        <f>40000/6.3061</f>
        <v>6343.06465168646</v>
      </c>
      <c r="R914" s="131"/>
      <c r="S914" s="132"/>
      <c r="T914" s="102"/>
      <c r="U914" s="100"/>
      <c r="V914" s="102"/>
      <c r="W914" s="210"/>
    </row>
    <row r="915" s="43" customFormat="1" ht="22" hidden="1" customHeight="1" spans="1:23">
      <c r="A915" s="261" t="s">
        <v>3522</v>
      </c>
      <c r="B915" s="174" t="s">
        <v>2855</v>
      </c>
      <c r="C915" s="175"/>
      <c r="D915" s="229" t="s">
        <v>31</v>
      </c>
      <c r="E915" s="82" t="s">
        <v>3264</v>
      </c>
      <c r="F915" s="81">
        <f>IFERROR(VLOOKUP(E915,客户!B:C,2,FALSE),"/")</f>
        <v>0</v>
      </c>
      <c r="G915" s="307" t="s">
        <v>3523</v>
      </c>
      <c r="H915" s="142" t="s">
        <v>147</v>
      </c>
      <c r="I915" s="159" t="s">
        <v>1546</v>
      </c>
      <c r="J915" s="108">
        <v>44631</v>
      </c>
      <c r="K915" s="100">
        <v>44680</v>
      </c>
      <c r="L915" s="100">
        <v>44710</v>
      </c>
      <c r="M915" s="315" t="s">
        <v>3524</v>
      </c>
      <c r="N915" s="329" t="s">
        <v>3525</v>
      </c>
      <c r="O915" s="104" t="s">
        <v>523</v>
      </c>
      <c r="P915" s="230">
        <v>61650</v>
      </c>
      <c r="Q915" s="318">
        <v>9667.5</v>
      </c>
      <c r="R915" s="131"/>
      <c r="S915" s="132"/>
      <c r="T915" s="102">
        <v>51982.5</v>
      </c>
      <c r="U915" s="100"/>
      <c r="V915" s="102"/>
      <c r="W915" s="210"/>
    </row>
    <row r="916" s="43" customFormat="1" ht="22" hidden="1" customHeight="1" spans="1:23">
      <c r="A916" s="261" t="s">
        <v>3526</v>
      </c>
      <c r="B916" s="174" t="s">
        <v>2855</v>
      </c>
      <c r="C916" s="175"/>
      <c r="D916" s="229" t="s">
        <v>31</v>
      </c>
      <c r="E916" s="82" t="s">
        <v>3214</v>
      </c>
      <c r="F916" s="81">
        <f>IFERROR(VLOOKUP(E916,客户!B:C,2,FALSE),"/")</f>
        <v>0</v>
      </c>
      <c r="G916" s="307" t="s">
        <v>3527</v>
      </c>
      <c r="H916" s="142" t="s">
        <v>123</v>
      </c>
      <c r="I916" s="159" t="s">
        <v>3445</v>
      </c>
      <c r="J916" s="108">
        <v>44652</v>
      </c>
      <c r="K916" s="100">
        <v>44730</v>
      </c>
      <c r="L916" s="100"/>
      <c r="M916" s="315" t="s">
        <v>3528</v>
      </c>
      <c r="N916" s="329" t="s">
        <v>3529</v>
      </c>
      <c r="O916" s="104" t="s">
        <v>970</v>
      </c>
      <c r="P916" s="230">
        <v>27819.48</v>
      </c>
      <c r="Q916" s="318">
        <v>8377</v>
      </c>
      <c r="R916" s="131"/>
      <c r="S916" s="132"/>
      <c r="T916" s="102">
        <v>19442.48</v>
      </c>
      <c r="U916" s="100"/>
      <c r="V916" s="102"/>
      <c r="W916" s="210"/>
    </row>
    <row r="917" s="43" customFormat="1" ht="22" hidden="1" customHeight="1" spans="1:23">
      <c r="A917" s="261" t="s">
        <v>3530</v>
      </c>
      <c r="B917" s="174" t="s">
        <v>2855</v>
      </c>
      <c r="C917" s="175"/>
      <c r="D917" s="229" t="s">
        <v>31</v>
      </c>
      <c r="E917" s="82" t="s">
        <v>3214</v>
      </c>
      <c r="F917" s="81">
        <f>IFERROR(VLOOKUP(E917,客户!B:C,2,FALSE),"/")</f>
        <v>0</v>
      </c>
      <c r="G917" s="307" t="s">
        <v>3531</v>
      </c>
      <c r="H917" s="142" t="s">
        <v>123</v>
      </c>
      <c r="I917" s="159" t="s">
        <v>3225</v>
      </c>
      <c r="J917" s="108">
        <v>44652</v>
      </c>
      <c r="K917" s="100">
        <v>44723</v>
      </c>
      <c r="L917" s="100"/>
      <c r="M917" s="315" t="s">
        <v>3532</v>
      </c>
      <c r="N917" s="329" t="s">
        <v>3529</v>
      </c>
      <c r="O917" s="104" t="s">
        <v>970</v>
      </c>
      <c r="P917" s="230">
        <v>27924.2</v>
      </c>
      <c r="Q917" s="318">
        <v>8386</v>
      </c>
      <c r="R917" s="131"/>
      <c r="S917" s="132"/>
      <c r="T917" s="102">
        <v>19538.2</v>
      </c>
      <c r="U917" s="100"/>
      <c r="V917" s="102"/>
      <c r="W917" s="210"/>
    </row>
    <row r="918" s="43" customFormat="1" ht="22" hidden="1" customHeight="1" spans="1:23">
      <c r="A918" s="293" t="s">
        <v>3533</v>
      </c>
      <c r="B918" s="174" t="s">
        <v>2855</v>
      </c>
      <c r="C918" s="175"/>
      <c r="D918" s="229" t="s">
        <v>3</v>
      </c>
      <c r="E918" s="82" t="s">
        <v>3534</v>
      </c>
      <c r="F918" s="81">
        <f>IFERROR(VLOOKUP(E918,客户!B:C,2,FALSE),"/")</f>
        <v>0</v>
      </c>
      <c r="G918" s="307" t="s">
        <v>3535</v>
      </c>
      <c r="H918" s="142" t="s">
        <v>186</v>
      </c>
      <c r="I918" s="159"/>
      <c r="J918" s="108">
        <v>44653</v>
      </c>
      <c r="K918" s="100"/>
      <c r="L918" s="100"/>
      <c r="M918" s="315" t="s">
        <v>3536</v>
      </c>
      <c r="N918" s="329"/>
      <c r="O918" s="104" t="s">
        <v>970</v>
      </c>
      <c r="P918" s="332">
        <v>12950</v>
      </c>
      <c r="Q918" s="318">
        <v>5000</v>
      </c>
      <c r="R918" s="131"/>
      <c r="S918" s="132"/>
      <c r="T918" s="102"/>
      <c r="U918" s="100"/>
      <c r="V918" s="102"/>
      <c r="W918" s="210"/>
    </row>
    <row r="919" s="43" customFormat="1" ht="22" hidden="1" customHeight="1" spans="1:23">
      <c r="A919" s="293" t="s">
        <v>3537</v>
      </c>
      <c r="B919" s="174" t="s">
        <v>2855</v>
      </c>
      <c r="C919" s="175"/>
      <c r="D919" s="229" t="s">
        <v>3</v>
      </c>
      <c r="E919" s="82" t="s">
        <v>3538</v>
      </c>
      <c r="F919" s="81">
        <f>IFERROR(VLOOKUP(E919,客户!B:C,2,FALSE),"/")</f>
        <v>0</v>
      </c>
      <c r="G919" s="307" t="s">
        <v>3539</v>
      </c>
      <c r="H919" s="142" t="s">
        <v>186</v>
      </c>
      <c r="I919" s="159"/>
      <c r="J919" s="108">
        <v>44654</v>
      </c>
      <c r="K919" s="100"/>
      <c r="L919" s="100"/>
      <c r="M919" s="315" t="s">
        <v>3540</v>
      </c>
      <c r="N919" s="329"/>
      <c r="O919" s="104" t="s">
        <v>970</v>
      </c>
      <c r="P919" s="332">
        <v>439830</v>
      </c>
      <c r="Q919" s="240">
        <f>50000+75000</f>
        <v>125000</v>
      </c>
      <c r="R919" s="131"/>
      <c r="S919" s="132"/>
      <c r="T919" s="102"/>
      <c r="U919" s="100"/>
      <c r="V919" s="102"/>
      <c r="W919" s="210"/>
    </row>
    <row r="920" s="43" customFormat="1" ht="22" customHeight="1" spans="1:23">
      <c r="A920" s="293" t="s">
        <v>3541</v>
      </c>
      <c r="B920" s="174" t="s">
        <v>2855</v>
      </c>
      <c r="C920" s="175"/>
      <c r="D920" s="229" t="s">
        <v>1</v>
      </c>
      <c r="E920" s="82" t="s">
        <v>3234</v>
      </c>
      <c r="F920" s="81">
        <f>IFERROR(VLOOKUP(E920,客户!B:C,2,FALSE),"/")</f>
        <v>0</v>
      </c>
      <c r="G920" s="307" t="s">
        <v>3542</v>
      </c>
      <c r="H920" s="142" t="s">
        <v>147</v>
      </c>
      <c r="I920" s="159" t="s">
        <v>1546</v>
      </c>
      <c r="J920" s="108">
        <v>44670</v>
      </c>
      <c r="K920" s="100">
        <v>44736</v>
      </c>
      <c r="L920" s="100"/>
      <c r="M920" s="315" t="s">
        <v>3543</v>
      </c>
      <c r="N920" s="329" t="s">
        <v>3544</v>
      </c>
      <c r="O920" s="104" t="s">
        <v>523</v>
      </c>
      <c r="P920" s="230">
        <v>76573.7</v>
      </c>
      <c r="Q920" s="318">
        <v>14518.74</v>
      </c>
      <c r="R920" s="131">
        <f>P920-Q920</f>
        <v>62054.96</v>
      </c>
      <c r="S920" s="132"/>
      <c r="T920" s="102"/>
      <c r="U920" s="100"/>
      <c r="V920" s="102"/>
      <c r="W920" s="210"/>
    </row>
    <row r="921" s="43" customFormat="1" ht="22" customHeight="1" spans="1:23">
      <c r="A921" s="293" t="s">
        <v>3545</v>
      </c>
      <c r="B921" s="174" t="s">
        <v>2855</v>
      </c>
      <c r="C921" s="175"/>
      <c r="D921" s="229" t="s">
        <v>1</v>
      </c>
      <c r="E921" s="82" t="s">
        <v>3264</v>
      </c>
      <c r="F921" s="81">
        <f>IFERROR(VLOOKUP(E921,客户!B:C,2,FALSE),"/")</f>
        <v>0</v>
      </c>
      <c r="G921" s="307" t="s">
        <v>3546</v>
      </c>
      <c r="H921" s="142" t="s">
        <v>147</v>
      </c>
      <c r="I921" s="159" t="s">
        <v>1546</v>
      </c>
      <c r="J921" s="108">
        <v>44672</v>
      </c>
      <c r="K921" s="100">
        <v>44729</v>
      </c>
      <c r="L921" s="100">
        <v>44762</v>
      </c>
      <c r="M921" s="315" t="s">
        <v>3547</v>
      </c>
      <c r="N921" s="329" t="s">
        <v>3548</v>
      </c>
      <c r="O921" s="104" t="s">
        <v>523</v>
      </c>
      <c r="P921" s="230">
        <v>109345.44</v>
      </c>
      <c r="Q921" s="318">
        <v>15233.1</v>
      </c>
      <c r="R921" s="131">
        <f>Q921</f>
        <v>15233.1</v>
      </c>
      <c r="S921" s="132"/>
      <c r="T921" s="102"/>
      <c r="U921" s="100"/>
      <c r="V921" s="102"/>
      <c r="W921" s="210"/>
    </row>
    <row r="922" s="43" customFormat="1" ht="22" hidden="1" customHeight="1" spans="1:23">
      <c r="A922" s="293" t="s">
        <v>3549</v>
      </c>
      <c r="B922" s="174" t="s">
        <v>2855</v>
      </c>
      <c r="C922" s="175"/>
      <c r="D922" s="229" t="s">
        <v>3</v>
      </c>
      <c r="E922" s="82" t="s">
        <v>3214</v>
      </c>
      <c r="F922" s="81">
        <f>IFERROR(VLOOKUP(E922,客户!B:C,2,FALSE),"/")</f>
        <v>0</v>
      </c>
      <c r="G922" s="307" t="s">
        <v>3550</v>
      </c>
      <c r="H922" s="142" t="s">
        <v>123</v>
      </c>
      <c r="I922" s="159" t="s">
        <v>3445</v>
      </c>
      <c r="J922" s="108">
        <v>44678</v>
      </c>
      <c r="K922" s="100"/>
      <c r="L922" s="100"/>
      <c r="M922" s="315" t="s">
        <v>3551</v>
      </c>
      <c r="N922" s="329"/>
      <c r="O922" s="104" t="s">
        <v>970</v>
      </c>
      <c r="P922" s="230">
        <v>82644.75</v>
      </c>
      <c r="Q922" s="318">
        <v>24928</v>
      </c>
      <c r="R922" s="131">
        <v>447.97</v>
      </c>
      <c r="S922" s="132"/>
      <c r="T922" s="102">
        <v>57268.78</v>
      </c>
      <c r="U922" s="100"/>
      <c r="V922" s="102"/>
      <c r="W922" s="210"/>
    </row>
    <row r="923" s="43" customFormat="1" ht="22" customHeight="1" spans="1:23">
      <c r="A923" s="293" t="s">
        <v>3552</v>
      </c>
      <c r="B923" s="174" t="s">
        <v>2855</v>
      </c>
      <c r="C923" s="175"/>
      <c r="D923" s="229" t="s">
        <v>1</v>
      </c>
      <c r="E923" s="82" t="s">
        <v>3214</v>
      </c>
      <c r="F923" s="81">
        <f>IFERROR(VLOOKUP(E923,客户!B:C,2,FALSE),"/")</f>
        <v>0</v>
      </c>
      <c r="G923" s="307" t="s">
        <v>3553</v>
      </c>
      <c r="H923" s="142" t="s">
        <v>123</v>
      </c>
      <c r="I923" s="159" t="s">
        <v>3445</v>
      </c>
      <c r="J923" s="108">
        <v>44678</v>
      </c>
      <c r="K923" s="100">
        <v>44737</v>
      </c>
      <c r="L923" s="100"/>
      <c r="M923" s="333" t="s">
        <v>3554</v>
      </c>
      <c r="N923" s="329" t="s">
        <v>3555</v>
      </c>
      <c r="O923" s="104" t="s">
        <v>970</v>
      </c>
      <c r="P923" s="230">
        <v>53734.91</v>
      </c>
      <c r="Q923" s="318"/>
      <c r="R923" s="131"/>
      <c r="S923" s="132"/>
      <c r="T923" s="102"/>
      <c r="U923" s="100"/>
      <c r="V923" s="102"/>
      <c r="W923" s="210"/>
    </row>
    <row r="924" s="43" customFormat="1" ht="22" hidden="1" customHeight="1" spans="1:23">
      <c r="A924" s="293" t="s">
        <v>3556</v>
      </c>
      <c r="B924" s="174" t="s">
        <v>2855</v>
      </c>
      <c r="C924" s="175"/>
      <c r="D924" s="229" t="s">
        <v>3</v>
      </c>
      <c r="E924" s="82" t="s">
        <v>3557</v>
      </c>
      <c r="F924" s="81">
        <f>IFERROR(VLOOKUP(E924,客户!B:C,2,FALSE),"/")</f>
        <v>0</v>
      </c>
      <c r="G924" s="307" t="s">
        <v>3558</v>
      </c>
      <c r="H924" s="142" t="s">
        <v>123</v>
      </c>
      <c r="I924" s="159" t="s">
        <v>3559</v>
      </c>
      <c r="J924" s="108">
        <v>44693</v>
      </c>
      <c r="K924" s="100"/>
      <c r="L924" s="100"/>
      <c r="M924" s="315" t="s">
        <v>3560</v>
      </c>
      <c r="N924" s="329"/>
      <c r="O924" s="104" t="s">
        <v>523</v>
      </c>
      <c r="P924" s="332">
        <v>74530</v>
      </c>
      <c r="Q924" s="240">
        <v>22359</v>
      </c>
      <c r="R924" s="131"/>
      <c r="S924" s="132"/>
      <c r="T924" s="102"/>
      <c r="U924" s="100"/>
      <c r="V924" s="102"/>
      <c r="W924" s="210"/>
    </row>
    <row r="925" s="43" customFormat="1" ht="22" hidden="1" customHeight="1" spans="1:23">
      <c r="A925" s="293" t="s">
        <v>3561</v>
      </c>
      <c r="B925" s="174" t="s">
        <v>2855</v>
      </c>
      <c r="C925" s="175"/>
      <c r="D925" s="229" t="s">
        <v>3</v>
      </c>
      <c r="E925" s="82" t="s">
        <v>3205</v>
      </c>
      <c r="F925" s="81">
        <f>IFERROR(VLOOKUP(E925,客户!B:C,2,FALSE),"/")</f>
        <v>0</v>
      </c>
      <c r="G925" s="307" t="s">
        <v>3562</v>
      </c>
      <c r="H925" s="142" t="s">
        <v>123</v>
      </c>
      <c r="I925" s="159" t="s">
        <v>1546</v>
      </c>
      <c r="J925" s="108">
        <v>44694</v>
      </c>
      <c r="K925" s="100"/>
      <c r="L925" s="100"/>
      <c r="M925" s="315" t="s">
        <v>3563</v>
      </c>
      <c r="N925" s="329"/>
      <c r="O925" s="104" t="s">
        <v>523</v>
      </c>
      <c r="P925" s="331">
        <v>331061.45</v>
      </c>
      <c r="Q925" s="102">
        <f>25000*4</f>
        <v>100000</v>
      </c>
      <c r="R925" s="131"/>
      <c r="S925" s="132"/>
      <c r="T925" s="102"/>
      <c r="U925" s="100"/>
      <c r="V925" s="102"/>
      <c r="W925" s="210"/>
    </row>
    <row r="926" s="43" customFormat="1" ht="22" customHeight="1" spans="1:23">
      <c r="A926" s="293" t="s">
        <v>3564</v>
      </c>
      <c r="B926" s="174" t="s">
        <v>2855</v>
      </c>
      <c r="C926" s="175"/>
      <c r="D926" s="229" t="s">
        <v>1</v>
      </c>
      <c r="E926" s="82" t="s">
        <v>3205</v>
      </c>
      <c r="F926" s="81">
        <f>IFERROR(VLOOKUP(E926,客户!B:C,2,FALSE),"/")</f>
        <v>0</v>
      </c>
      <c r="G926" s="307" t="s">
        <v>3565</v>
      </c>
      <c r="H926" s="142" t="s">
        <v>123</v>
      </c>
      <c r="I926" s="159" t="s">
        <v>1546</v>
      </c>
      <c r="J926" s="108">
        <v>44694</v>
      </c>
      <c r="K926" s="100">
        <v>44736</v>
      </c>
      <c r="L926" s="100"/>
      <c r="M926" s="315" t="s">
        <v>3566</v>
      </c>
      <c r="N926" s="329" t="s">
        <v>3567</v>
      </c>
      <c r="O926" s="104" t="s">
        <v>523</v>
      </c>
      <c r="P926" s="230">
        <v>99010.6</v>
      </c>
      <c r="Q926" s="102"/>
      <c r="R926" s="131"/>
      <c r="S926" s="132"/>
      <c r="T926" s="102"/>
      <c r="U926" s="100"/>
      <c r="V926" s="102"/>
      <c r="W926" s="210"/>
    </row>
    <row r="927" s="43" customFormat="1" ht="22" hidden="1" customHeight="1" spans="1:23">
      <c r="A927" s="293" t="s">
        <v>3568</v>
      </c>
      <c r="B927" s="174" t="s">
        <v>2855</v>
      </c>
      <c r="C927" s="175"/>
      <c r="D927" s="229" t="s">
        <v>3</v>
      </c>
      <c r="E927" s="82" t="s">
        <v>3291</v>
      </c>
      <c r="F927" s="81">
        <f>IFERROR(VLOOKUP(E927,客户!B:C,2,FALSE),"/")</f>
        <v>0</v>
      </c>
      <c r="G927" s="307" t="s">
        <v>3569</v>
      </c>
      <c r="H927" s="142" t="s">
        <v>147</v>
      </c>
      <c r="I927" s="159" t="s">
        <v>2939</v>
      </c>
      <c r="J927" s="108">
        <v>44709</v>
      </c>
      <c r="K927" s="100"/>
      <c r="L927" s="100"/>
      <c r="M927" s="315" t="s">
        <v>3570</v>
      </c>
      <c r="N927" s="329"/>
      <c r="O927" s="104" t="s">
        <v>523</v>
      </c>
      <c r="P927" s="331">
        <v>33576</v>
      </c>
      <c r="Q927" s="318">
        <v>10073</v>
      </c>
      <c r="R927" s="131"/>
      <c r="S927" s="132"/>
      <c r="T927" s="102"/>
      <c r="U927" s="100"/>
      <c r="V927" s="102"/>
      <c r="W927" s="210"/>
    </row>
    <row r="928" s="43" customFormat="1" ht="22" hidden="1" customHeight="1" spans="1:23">
      <c r="A928" s="293" t="s">
        <v>3571</v>
      </c>
      <c r="B928" s="174" t="s">
        <v>2855</v>
      </c>
      <c r="C928" s="175"/>
      <c r="D928" s="229" t="s">
        <v>3</v>
      </c>
      <c r="E928" s="82" t="s">
        <v>3572</v>
      </c>
      <c r="F928" s="81">
        <f>IFERROR(VLOOKUP(E928,客户!B:C,2,FALSE),"/")</f>
        <v>0</v>
      </c>
      <c r="G928" s="307" t="s">
        <v>3573</v>
      </c>
      <c r="H928" s="142" t="s">
        <v>186</v>
      </c>
      <c r="I928" s="159"/>
      <c r="J928" s="108">
        <v>44721</v>
      </c>
      <c r="K928" s="100"/>
      <c r="L928" s="100"/>
      <c r="M928" s="315"/>
      <c r="N928" s="329"/>
      <c r="O928" s="104" t="s">
        <v>970</v>
      </c>
      <c r="P928" s="332">
        <v>106205</v>
      </c>
      <c r="Q928" s="240">
        <v>30000</v>
      </c>
      <c r="R928" s="131"/>
      <c r="S928" s="132"/>
      <c r="T928" s="102"/>
      <c r="U928" s="100"/>
      <c r="V928" s="102"/>
      <c r="W928" s="210"/>
    </row>
    <row r="929" s="43" customFormat="1" ht="22" hidden="1" customHeight="1" spans="1:23">
      <c r="A929" s="255"/>
      <c r="B929" s="174"/>
      <c r="C929" s="175"/>
      <c r="D929" s="45"/>
      <c r="E929" s="80"/>
      <c r="F929" s="81" t="str">
        <f>IFERROR(VLOOKUP(E929,客户!B:C,2,FALSE),"/")</f>
        <v>/</v>
      </c>
      <c r="G929" s="80"/>
      <c r="H929" s="142"/>
      <c r="I929" s="108"/>
      <c r="J929" s="108"/>
      <c r="K929" s="100"/>
      <c r="L929" s="100"/>
      <c r="M929" s="181"/>
      <c r="N929" s="102"/>
      <c r="O929" s="104"/>
      <c r="P929" s="230"/>
      <c r="Q929" s="230"/>
      <c r="R929" s="131"/>
      <c r="S929" s="132"/>
      <c r="T929" s="102"/>
      <c r="U929" s="100"/>
      <c r="V929" s="102"/>
      <c r="W929" s="210"/>
    </row>
    <row r="930" s="43" customFormat="1" ht="22" hidden="1" customHeight="1" spans="1:23">
      <c r="A930" s="144" t="s">
        <v>3574</v>
      </c>
      <c r="B930" s="174"/>
      <c r="C930" s="175"/>
      <c r="D930" s="45" t="s">
        <v>31</v>
      </c>
      <c r="E930" s="45" t="s">
        <v>3575</v>
      </c>
      <c r="F930" s="81" t="str">
        <f>IFERROR(VLOOKUP(E930,客户!B:C,2,FALSE),"/")</f>
        <v>/</v>
      </c>
      <c r="G930" s="45" t="s">
        <v>3576</v>
      </c>
      <c r="H930" s="143" t="s">
        <v>123</v>
      </c>
      <c r="I930" s="108" t="s">
        <v>3577</v>
      </c>
      <c r="J930" s="108">
        <v>43552</v>
      </c>
      <c r="K930" s="100">
        <v>43571</v>
      </c>
      <c r="L930" s="100">
        <v>43613</v>
      </c>
      <c r="M930" s="181" t="s">
        <v>3578</v>
      </c>
      <c r="N930" s="102" t="s">
        <v>3579</v>
      </c>
      <c r="O930" s="104"/>
      <c r="P930" s="230">
        <v>15894.12</v>
      </c>
      <c r="Q930" s="317">
        <v>40584</v>
      </c>
      <c r="R930" s="131">
        <v>0</v>
      </c>
      <c r="S930" s="132"/>
      <c r="T930" s="317">
        <v>83267</v>
      </c>
      <c r="U930" s="100">
        <v>43566</v>
      </c>
      <c r="V930" s="102"/>
      <c r="W930" s="210"/>
    </row>
    <row r="931" s="43" customFormat="1" ht="22" hidden="1" customHeight="1" spans="1:23">
      <c r="A931" s="144" t="s">
        <v>3580</v>
      </c>
      <c r="B931" s="174" t="s">
        <v>2855</v>
      </c>
      <c r="C931" s="175"/>
      <c r="D931" s="45" t="s">
        <v>31</v>
      </c>
      <c r="E931" s="229" t="s">
        <v>2994</v>
      </c>
      <c r="F931" s="81" t="str">
        <f>IFERROR(VLOOKUP(E931,客户!B:C,2,FALSE),"/")</f>
        <v>安哥拉门及配件给清单  灯的清单和照片 如果HScode是九十五章  提前和报关货代说
2021.3.4收¥55000(汇率6.46，折合美金$8512.93)
冻结中</v>
      </c>
      <c r="G931" s="45" t="s">
        <v>3581</v>
      </c>
      <c r="H931" s="143" t="s">
        <v>123</v>
      </c>
      <c r="I931" s="108" t="s">
        <v>3582</v>
      </c>
      <c r="J931" s="108">
        <v>43594</v>
      </c>
      <c r="K931" s="100">
        <v>43618</v>
      </c>
      <c r="L931" s="100">
        <v>43660</v>
      </c>
      <c r="M931" s="181"/>
      <c r="N931" s="102" t="s">
        <v>3583</v>
      </c>
      <c r="O931" s="104"/>
      <c r="P931" s="230">
        <v>16395.93</v>
      </c>
      <c r="Q931" s="317"/>
      <c r="R931" s="131">
        <v>0</v>
      </c>
      <c r="S931" s="132"/>
      <c r="T931" s="317">
        <v>75338</v>
      </c>
      <c r="U931" s="100">
        <v>43650</v>
      </c>
      <c r="V931" s="102"/>
      <c r="W931" s="210"/>
    </row>
    <row r="932" s="43" customFormat="1" ht="22" hidden="1" customHeight="1" spans="1:23">
      <c r="A932" s="144" t="s">
        <v>3584</v>
      </c>
      <c r="B932" s="174" t="s">
        <v>2855</v>
      </c>
      <c r="C932" s="175"/>
      <c r="D932" s="45" t="s">
        <v>31</v>
      </c>
      <c r="E932" s="80" t="s">
        <v>2872</v>
      </c>
      <c r="F932" s="81">
        <f>IFERROR(VLOOKUP(E932,客户!B:C,2,FALSE),"/")</f>
        <v>0</v>
      </c>
      <c r="G932" s="45" t="s">
        <v>3576</v>
      </c>
      <c r="H932" s="143" t="s">
        <v>123</v>
      </c>
      <c r="I932" s="108" t="s">
        <v>3585</v>
      </c>
      <c r="J932" s="108">
        <v>43594</v>
      </c>
      <c r="K932" s="100">
        <v>43634</v>
      </c>
      <c r="L932" s="100">
        <v>43659</v>
      </c>
      <c r="M932" s="163" t="s">
        <v>3586</v>
      </c>
      <c r="N932" s="102" t="s">
        <v>3587</v>
      </c>
      <c r="O932" s="104"/>
      <c r="P932" s="230">
        <v>14740.74</v>
      </c>
      <c r="Q932" s="230">
        <v>3364</v>
      </c>
      <c r="R932" s="131">
        <v>0</v>
      </c>
      <c r="S932" s="132"/>
      <c r="T932" s="102">
        <v>11366</v>
      </c>
      <c r="U932" s="100">
        <v>43656</v>
      </c>
      <c r="V932" s="102"/>
      <c r="W932" s="210"/>
    </row>
    <row r="933" s="43" customFormat="1" ht="22" hidden="1" customHeight="1" spans="1:23">
      <c r="A933" s="144" t="s">
        <v>3588</v>
      </c>
      <c r="B933" s="174" t="s">
        <v>2855</v>
      </c>
      <c r="C933" s="175"/>
      <c r="D933" s="45" t="s">
        <v>31</v>
      </c>
      <c r="E933" s="80" t="s">
        <v>2872</v>
      </c>
      <c r="F933" s="81">
        <f>IFERROR(VLOOKUP(E933,客户!B:C,2,FALSE),"/")</f>
        <v>0</v>
      </c>
      <c r="G933" s="45" t="s">
        <v>3576</v>
      </c>
      <c r="H933" s="143" t="s">
        <v>123</v>
      </c>
      <c r="I933" s="108" t="s">
        <v>3585</v>
      </c>
      <c r="J933" s="108">
        <v>43811</v>
      </c>
      <c r="K933" s="100">
        <v>43899</v>
      </c>
      <c r="L933" s="100">
        <v>43931</v>
      </c>
      <c r="M933" s="334" t="s">
        <v>3589</v>
      </c>
      <c r="N933" s="246" t="s">
        <v>3590</v>
      </c>
      <c r="O933" s="104" t="s">
        <v>523</v>
      </c>
      <c r="P933" s="230">
        <v>14230.94</v>
      </c>
      <c r="Q933" s="230">
        <v>3039</v>
      </c>
      <c r="R933" s="131"/>
      <c r="S933" s="132"/>
      <c r="T933" s="102">
        <v>11191</v>
      </c>
      <c r="U933" s="100"/>
      <c r="V933" s="246" t="s">
        <v>3591</v>
      </c>
      <c r="W933" s="210"/>
    </row>
    <row r="934" s="43" customFormat="1" ht="22" hidden="1" customHeight="1" spans="1:23">
      <c r="A934" s="144" t="s">
        <v>3592</v>
      </c>
      <c r="B934" s="174" t="s">
        <v>2855</v>
      </c>
      <c r="C934" s="175"/>
      <c r="D934" s="229" t="s">
        <v>31</v>
      </c>
      <c r="E934" s="82" t="s">
        <v>3593</v>
      </c>
      <c r="F934" s="81">
        <f>IFERROR(VLOOKUP(E934,客户!B:C,2,FALSE),"/")</f>
        <v>0</v>
      </c>
      <c r="G934" s="45" t="s">
        <v>3594</v>
      </c>
      <c r="H934" s="143" t="s">
        <v>123</v>
      </c>
      <c r="I934" s="108" t="s">
        <v>3595</v>
      </c>
      <c r="J934" s="108">
        <v>44088</v>
      </c>
      <c r="K934" s="100">
        <v>44281</v>
      </c>
      <c r="L934" s="100">
        <v>44341</v>
      </c>
      <c r="M934" s="335" t="s">
        <v>3596</v>
      </c>
      <c r="N934" s="246" t="s">
        <v>3597</v>
      </c>
      <c r="O934" s="104" t="s">
        <v>970</v>
      </c>
      <c r="P934" s="230">
        <v>18607.55</v>
      </c>
      <c r="Q934" s="230">
        <v>6800</v>
      </c>
      <c r="R934" s="131"/>
      <c r="S934" s="132"/>
      <c r="T934" s="102">
        <v>11807.55</v>
      </c>
      <c r="U934" s="100"/>
      <c r="V934" s="102"/>
      <c r="W934" s="210"/>
    </row>
    <row r="935" s="43" customFormat="1" ht="22" hidden="1" customHeight="1" spans="1:23">
      <c r="A935" s="144" t="s">
        <v>3598</v>
      </c>
      <c r="B935" s="174" t="s">
        <v>2855</v>
      </c>
      <c r="C935" s="175"/>
      <c r="D935" s="45" t="s">
        <v>31</v>
      </c>
      <c r="E935" s="82" t="s">
        <v>3239</v>
      </c>
      <c r="F935" s="81">
        <f>IFERROR(VLOOKUP(E935,客户!B:C,2,FALSE),"/")</f>
        <v>0</v>
      </c>
      <c r="G935" s="45" t="s">
        <v>3599</v>
      </c>
      <c r="H935" s="143" t="s">
        <v>123</v>
      </c>
      <c r="I935" s="108" t="s">
        <v>3585</v>
      </c>
      <c r="J935" s="108">
        <v>44098</v>
      </c>
      <c r="K935" s="100">
        <v>44129</v>
      </c>
      <c r="L935" s="100">
        <v>44151</v>
      </c>
      <c r="M935" s="334" t="s">
        <v>3600</v>
      </c>
      <c r="N935" s="246" t="s">
        <v>3601</v>
      </c>
      <c r="O935" s="104" t="s">
        <v>523</v>
      </c>
      <c r="P935" s="230">
        <v>9001.98</v>
      </c>
      <c r="Q935" s="230">
        <v>2320</v>
      </c>
      <c r="R935" s="131"/>
      <c r="S935" s="132"/>
      <c r="T935" s="102">
        <v>6681</v>
      </c>
      <c r="U935" s="100"/>
      <c r="V935" s="102"/>
      <c r="W935" s="210"/>
    </row>
    <row r="936" s="43" customFormat="1" ht="22" hidden="1" customHeight="1" spans="1:23">
      <c r="A936" s="255"/>
      <c r="B936" s="174"/>
      <c r="C936" s="175"/>
      <c r="D936" s="45"/>
      <c r="E936" s="80"/>
      <c r="F936" s="81" t="str">
        <f>IFERROR(VLOOKUP(E936,客户!B:C,2,FALSE),"/")</f>
        <v>/</v>
      </c>
      <c r="G936" s="45"/>
      <c r="H936" s="143"/>
      <c r="I936" s="108" t="s">
        <v>3602</v>
      </c>
      <c r="J936" s="108"/>
      <c r="K936" s="100"/>
      <c r="L936" s="197"/>
      <c r="M936" s="181"/>
      <c r="N936" s="102"/>
      <c r="O936" s="104"/>
      <c r="P936" s="230"/>
      <c r="Q936" s="317"/>
      <c r="R936" s="131"/>
      <c r="S936" s="132"/>
      <c r="T936" s="317"/>
      <c r="U936" s="100"/>
      <c r="V936" s="102"/>
      <c r="W936" s="210"/>
    </row>
    <row r="937" s="43" customFormat="1" ht="22" hidden="1" customHeight="1" spans="1:23">
      <c r="A937" s="144" t="s">
        <v>3603</v>
      </c>
      <c r="B937" s="174"/>
      <c r="C937" s="175"/>
      <c r="D937" s="45"/>
      <c r="E937" s="80"/>
      <c r="F937" s="81" t="str">
        <f>IFERROR(VLOOKUP(E937,客户!B:C,2,FALSE),"/")</f>
        <v>/</v>
      </c>
      <c r="G937" s="45"/>
      <c r="H937" s="45"/>
      <c r="I937" s="45"/>
      <c r="J937" s="108"/>
      <c r="K937" s="100"/>
      <c r="L937" s="100"/>
      <c r="M937" s="108"/>
      <c r="N937" s="108"/>
      <c r="O937" s="104"/>
      <c r="P937" s="102"/>
      <c r="Q937" s="102"/>
      <c r="R937" s="131"/>
      <c r="S937" s="132"/>
      <c r="T937" s="102"/>
      <c r="U937" s="100"/>
      <c r="V937" s="130"/>
      <c r="W937" s="285"/>
    </row>
    <row r="938" s="43" customFormat="1" ht="22" hidden="1" customHeight="1" spans="1:23">
      <c r="A938" s="144" t="s">
        <v>3604</v>
      </c>
      <c r="B938" s="174" t="s">
        <v>3605</v>
      </c>
      <c r="C938" s="175"/>
      <c r="D938" s="45" t="s">
        <v>31</v>
      </c>
      <c r="E938" s="80" t="s">
        <v>3606</v>
      </c>
      <c r="F938" s="81">
        <f>IFERROR(VLOOKUP(E938,客户!B:C,2,FALSE),"/")</f>
        <v>0</v>
      </c>
      <c r="G938" s="80" t="s">
        <v>3607</v>
      </c>
      <c r="H938" s="45" t="s">
        <v>123</v>
      </c>
      <c r="I938" s="45"/>
      <c r="J938" s="108">
        <v>43297</v>
      </c>
      <c r="K938" s="100"/>
      <c r="L938" s="100"/>
      <c r="M938" s="108"/>
      <c r="N938" s="162" t="s">
        <v>3608</v>
      </c>
      <c r="O938" s="104"/>
      <c r="P938" s="128">
        <v>22473.1</v>
      </c>
      <c r="Q938" s="102">
        <v>17300</v>
      </c>
      <c r="R938" s="131"/>
      <c r="S938" s="132"/>
      <c r="T938" s="102">
        <v>5173.1</v>
      </c>
      <c r="U938" s="100"/>
      <c r="V938" s="128"/>
      <c r="W938" s="285"/>
    </row>
    <row r="939" s="43" customFormat="1" ht="22" hidden="1" customHeight="1" spans="1:23">
      <c r="A939" s="144" t="s">
        <v>3609</v>
      </c>
      <c r="B939" s="174" t="s">
        <v>3605</v>
      </c>
      <c r="C939" s="175"/>
      <c r="D939" s="45" t="s">
        <v>31</v>
      </c>
      <c r="E939" s="80" t="s">
        <v>3610</v>
      </c>
      <c r="F939" s="81">
        <f>IFERROR(VLOOKUP(E939,客户!B:C,2,FALSE),"/")</f>
        <v>0</v>
      </c>
      <c r="G939" s="80" t="s">
        <v>3611</v>
      </c>
      <c r="H939" s="45" t="s">
        <v>154</v>
      </c>
      <c r="I939" s="45"/>
      <c r="J939" s="108">
        <v>43305</v>
      </c>
      <c r="K939" s="100"/>
      <c r="L939" s="100"/>
      <c r="M939" s="108"/>
      <c r="N939" s="177" t="s">
        <v>3612</v>
      </c>
      <c r="O939" s="104"/>
      <c r="P939" s="102">
        <v>24110</v>
      </c>
      <c r="Q939" s="102">
        <v>7380</v>
      </c>
      <c r="R939" s="131"/>
      <c r="S939" s="132"/>
      <c r="T939" s="102">
        <v>17023</v>
      </c>
      <c r="U939" s="100"/>
      <c r="V939" s="102"/>
      <c r="W939" s="285"/>
    </row>
    <row r="940" s="43" customFormat="1" ht="22" hidden="1" customHeight="1" spans="1:23">
      <c r="A940" s="145" t="s">
        <v>3613</v>
      </c>
      <c r="B940" s="174" t="s">
        <v>3605</v>
      </c>
      <c r="C940" s="175"/>
      <c r="D940" s="45" t="s">
        <v>31</v>
      </c>
      <c r="E940" s="80" t="s">
        <v>3614</v>
      </c>
      <c r="F940" s="81">
        <f>IFERROR(VLOOKUP(E940,客户!B:C,2,FALSE),"/")</f>
        <v>0</v>
      </c>
      <c r="G940" s="80" t="s">
        <v>3615</v>
      </c>
      <c r="H940" s="45" t="s">
        <v>123</v>
      </c>
      <c r="I940" s="45"/>
      <c r="J940" s="108">
        <v>43277</v>
      </c>
      <c r="K940" s="100"/>
      <c r="L940" s="100"/>
      <c r="M940" s="108"/>
      <c r="N940" s="162" t="s">
        <v>3616</v>
      </c>
      <c r="O940" s="104"/>
      <c r="P940" s="102">
        <v>25347</v>
      </c>
      <c r="Q940" s="294" t="s">
        <v>3617</v>
      </c>
      <c r="R940" s="131"/>
      <c r="S940" s="132"/>
      <c r="T940" s="102">
        <f>(100000+40925)/6.8</f>
        <v>20724.2647058824</v>
      </c>
      <c r="U940" s="100"/>
      <c r="V940" s="102"/>
      <c r="W940" s="210"/>
    </row>
    <row r="941" s="43" customFormat="1" ht="22" hidden="1" customHeight="1" spans="1:23">
      <c r="A941" s="144" t="s">
        <v>3618</v>
      </c>
      <c r="B941" s="174" t="s">
        <v>3605</v>
      </c>
      <c r="C941" s="175"/>
      <c r="D941" s="45" t="s">
        <v>31</v>
      </c>
      <c r="E941" s="330" t="s">
        <v>3619</v>
      </c>
      <c r="F941" s="81">
        <f>IFERROR(VLOOKUP(E941,客户!B:C,2,FALSE),"/")</f>
        <v>0</v>
      </c>
      <c r="G941" s="294" t="s">
        <v>3620</v>
      </c>
      <c r="H941" s="294" t="s">
        <v>154</v>
      </c>
      <c r="I941" s="294"/>
      <c r="J941" s="108">
        <v>43321</v>
      </c>
      <c r="K941" s="100"/>
      <c r="L941" s="100"/>
      <c r="M941" s="108"/>
      <c r="N941" s="162" t="s">
        <v>3621</v>
      </c>
      <c r="O941" s="104"/>
      <c r="P941" s="102">
        <v>21534.8</v>
      </c>
      <c r="Q941" s="294" t="s">
        <v>3622</v>
      </c>
      <c r="R941" s="131"/>
      <c r="S941" s="132"/>
      <c r="T941" s="102">
        <v>21534.8</v>
      </c>
      <c r="U941" s="100"/>
      <c r="V941" s="102"/>
      <c r="W941" s="210"/>
    </row>
    <row r="942" s="43" customFormat="1" ht="22" hidden="1" customHeight="1" spans="1:23">
      <c r="A942" s="144" t="s">
        <v>3623</v>
      </c>
      <c r="B942" s="174" t="s">
        <v>3605</v>
      </c>
      <c r="C942" s="175"/>
      <c r="D942" s="45" t="s">
        <v>31</v>
      </c>
      <c r="E942" s="330" t="s">
        <v>3619</v>
      </c>
      <c r="F942" s="81">
        <f>IFERROR(VLOOKUP(E942,客户!B:C,2,FALSE),"/")</f>
        <v>0</v>
      </c>
      <c r="G942" s="294" t="s">
        <v>3620</v>
      </c>
      <c r="H942" s="294" t="s">
        <v>154</v>
      </c>
      <c r="I942" s="294"/>
      <c r="J942" s="108">
        <v>43332</v>
      </c>
      <c r="K942" s="100"/>
      <c r="L942" s="100"/>
      <c r="M942" s="108"/>
      <c r="N942" s="159" t="s">
        <v>3624</v>
      </c>
      <c r="O942" s="104"/>
      <c r="P942" s="102">
        <v>21762.3</v>
      </c>
      <c r="Q942" s="294" t="s">
        <v>3622</v>
      </c>
      <c r="R942" s="131"/>
      <c r="S942" s="132"/>
      <c r="T942" s="102">
        <v>21762.3</v>
      </c>
      <c r="U942" s="100"/>
      <c r="V942" s="102"/>
      <c r="W942" s="210"/>
    </row>
    <row r="943" s="43" customFormat="1" ht="22" hidden="1" customHeight="1" spans="1:23">
      <c r="A943" s="145" t="s">
        <v>3625</v>
      </c>
      <c r="B943" s="174" t="s">
        <v>3605</v>
      </c>
      <c r="C943" s="175"/>
      <c r="D943" s="45" t="s">
        <v>31</v>
      </c>
      <c r="E943" s="330" t="s">
        <v>3626</v>
      </c>
      <c r="F943" s="81" t="str">
        <f>IFERROR(VLOOKUP(E943,客户!B:C,2,FALSE),"/")</f>
        <v>/</v>
      </c>
      <c r="G943" s="143" t="s">
        <v>3627</v>
      </c>
      <c r="H943" s="143" t="s">
        <v>123</v>
      </c>
      <c r="I943" s="143"/>
      <c r="J943" s="108">
        <v>43356</v>
      </c>
      <c r="K943" s="100"/>
      <c r="L943" s="100"/>
      <c r="M943" s="108"/>
      <c r="N943" s="162" t="s">
        <v>3628</v>
      </c>
      <c r="O943" s="104"/>
      <c r="P943" s="102">
        <v>19737.4</v>
      </c>
      <c r="Q943" s="143"/>
      <c r="R943" s="131"/>
      <c r="S943" s="132"/>
      <c r="T943" s="102"/>
      <c r="U943" s="100"/>
      <c r="V943" s="130"/>
      <c r="W943" s="210"/>
    </row>
    <row r="944" s="43" customFormat="1" ht="22" hidden="1" customHeight="1" spans="1:23">
      <c r="A944" s="144" t="s">
        <v>3629</v>
      </c>
      <c r="B944" s="174" t="s">
        <v>3605</v>
      </c>
      <c r="C944" s="175"/>
      <c r="D944" s="45" t="s">
        <v>31</v>
      </c>
      <c r="E944" s="330" t="s">
        <v>3630</v>
      </c>
      <c r="F944" s="81">
        <f>IFERROR(VLOOKUP(E944,客户!B:C,2,FALSE),"/")</f>
        <v>0</v>
      </c>
      <c r="G944" s="143" t="s">
        <v>3631</v>
      </c>
      <c r="H944" s="143" t="s">
        <v>154</v>
      </c>
      <c r="I944" s="143"/>
      <c r="J944" s="108">
        <v>43350</v>
      </c>
      <c r="K944" s="100"/>
      <c r="L944" s="100"/>
      <c r="M944" s="108"/>
      <c r="N944" s="159" t="s">
        <v>3632</v>
      </c>
      <c r="O944" s="104"/>
      <c r="P944" s="102">
        <v>20250</v>
      </c>
      <c r="Q944" s="143"/>
      <c r="R944" s="131"/>
      <c r="S944" s="132"/>
      <c r="T944" s="102">
        <v>20190</v>
      </c>
      <c r="U944" s="100"/>
      <c r="V944" s="128"/>
      <c r="W944" s="210"/>
    </row>
    <row r="945" s="43" customFormat="1" ht="22" hidden="1" customHeight="1" spans="1:23">
      <c r="A945" s="145" t="s">
        <v>3633</v>
      </c>
      <c r="B945" s="174" t="s">
        <v>3605</v>
      </c>
      <c r="C945" s="175"/>
      <c r="D945" s="45" t="s">
        <v>31</v>
      </c>
      <c r="E945" s="330" t="s">
        <v>3634</v>
      </c>
      <c r="F945" s="81">
        <f>IFERROR(VLOOKUP(E945,客户!B:C,2,FALSE),"/")</f>
        <v>0</v>
      </c>
      <c r="G945" s="143" t="s">
        <v>3635</v>
      </c>
      <c r="H945" s="143" t="s">
        <v>123</v>
      </c>
      <c r="I945" s="143"/>
      <c r="J945" s="108">
        <v>43364</v>
      </c>
      <c r="K945" s="100"/>
      <c r="L945" s="100"/>
      <c r="M945" s="108"/>
      <c r="N945" s="162" t="s">
        <v>3636</v>
      </c>
      <c r="O945" s="104"/>
      <c r="P945" s="102">
        <v>17224.05</v>
      </c>
      <c r="Q945" s="102">
        <v>11988.71</v>
      </c>
      <c r="R945" s="131"/>
      <c r="S945" s="132"/>
      <c r="T945" s="102"/>
      <c r="U945" s="100"/>
      <c r="V945" s="189"/>
      <c r="W945" s="210"/>
    </row>
    <row r="946" s="45" customFormat="1" ht="22" hidden="1" customHeight="1" spans="1:23">
      <c r="A946" s="45" t="s">
        <v>3637</v>
      </c>
      <c r="B946" s="174" t="s">
        <v>3605</v>
      </c>
      <c r="C946" s="175"/>
      <c r="D946" s="45" t="s">
        <v>31</v>
      </c>
      <c r="E946" s="80" t="s">
        <v>3638</v>
      </c>
      <c r="F946" s="81">
        <f>IFERROR(VLOOKUP(E946,客户!B:C,2,FALSE),"/")</f>
        <v>0</v>
      </c>
      <c r="G946" s="45" t="s">
        <v>2244</v>
      </c>
      <c r="J946" s="159">
        <v>43372</v>
      </c>
      <c r="K946" s="100"/>
      <c r="L946" s="100"/>
      <c r="M946" s="108"/>
      <c r="N946" s="159" t="s">
        <v>3639</v>
      </c>
      <c r="O946" s="104"/>
      <c r="P946" s="102">
        <v>20167.2</v>
      </c>
      <c r="R946" s="131"/>
      <c r="S946" s="132"/>
      <c r="T946" s="102"/>
      <c r="U946" s="100"/>
      <c r="V946" s="128"/>
      <c r="W946" s="210"/>
    </row>
    <row r="947" s="43" customFormat="1" ht="22" hidden="1" customHeight="1" spans="1:23">
      <c r="A947" s="144" t="s">
        <v>3640</v>
      </c>
      <c r="B947" s="174" t="s">
        <v>3605</v>
      </c>
      <c r="C947" s="175"/>
      <c r="D947" s="45" t="s">
        <v>31</v>
      </c>
      <c r="E947" s="330" t="s">
        <v>3619</v>
      </c>
      <c r="F947" s="81">
        <f>IFERROR(VLOOKUP(E947,客户!B:C,2,FALSE),"/")</f>
        <v>0</v>
      </c>
      <c r="G947" s="143" t="s">
        <v>3641</v>
      </c>
      <c r="H947" s="143"/>
      <c r="I947" s="143"/>
      <c r="J947" s="108">
        <v>43381</v>
      </c>
      <c r="K947" s="100"/>
      <c r="L947" s="100"/>
      <c r="M947" s="108"/>
      <c r="N947" s="159" t="s">
        <v>3642</v>
      </c>
      <c r="O947" s="104"/>
      <c r="P947" s="102">
        <v>20940</v>
      </c>
      <c r="Q947" s="143"/>
      <c r="R947" s="131"/>
      <c r="S947" s="132"/>
      <c r="T947" s="102">
        <v>20940</v>
      </c>
      <c r="U947" s="100"/>
      <c r="V947" s="128"/>
      <c r="W947" s="210"/>
    </row>
    <row r="948" s="43" customFormat="1" ht="22" hidden="1" customHeight="1" spans="1:23">
      <c r="A948" s="144" t="s">
        <v>3643</v>
      </c>
      <c r="B948" s="174" t="s">
        <v>3605</v>
      </c>
      <c r="C948" s="175"/>
      <c r="D948" s="45" t="s">
        <v>31</v>
      </c>
      <c r="E948" s="330" t="s">
        <v>3619</v>
      </c>
      <c r="F948" s="81">
        <f>IFERROR(VLOOKUP(E948,客户!B:C,2,FALSE),"/")</f>
        <v>0</v>
      </c>
      <c r="G948" s="143" t="s">
        <v>3641</v>
      </c>
      <c r="H948" s="143"/>
      <c r="I948" s="143"/>
      <c r="J948" s="108">
        <v>43399</v>
      </c>
      <c r="K948" s="100"/>
      <c r="L948" s="100"/>
      <c r="M948" s="108"/>
      <c r="N948" s="159" t="s">
        <v>3644</v>
      </c>
      <c r="O948" s="104"/>
      <c r="P948" s="102">
        <v>21840.4</v>
      </c>
      <c r="Q948" s="143" t="s">
        <v>3622</v>
      </c>
      <c r="R948" s="131"/>
      <c r="S948" s="132"/>
      <c r="T948" s="102">
        <v>21840</v>
      </c>
      <c r="U948" s="100"/>
      <c r="V948" s="128"/>
      <c r="W948" s="337"/>
    </row>
    <row r="949" s="43" customFormat="1" ht="22" hidden="1" customHeight="1" spans="1:23">
      <c r="A949" s="144" t="s">
        <v>3645</v>
      </c>
      <c r="B949" s="174" t="s">
        <v>3605</v>
      </c>
      <c r="C949" s="175"/>
      <c r="D949" s="45" t="s">
        <v>31</v>
      </c>
      <c r="E949" s="330" t="s">
        <v>3619</v>
      </c>
      <c r="F949" s="81">
        <f>IFERROR(VLOOKUP(E949,客户!B:C,2,FALSE),"/")</f>
        <v>0</v>
      </c>
      <c r="G949" s="143" t="s">
        <v>3646</v>
      </c>
      <c r="H949" s="143"/>
      <c r="I949" s="143"/>
      <c r="J949" s="108">
        <v>43409</v>
      </c>
      <c r="K949" s="100"/>
      <c r="L949" s="100"/>
      <c r="M949" s="108"/>
      <c r="N949" s="159" t="s">
        <v>3644</v>
      </c>
      <c r="O949" s="104"/>
      <c r="P949" s="102">
        <v>21414.2</v>
      </c>
      <c r="Q949" s="143" t="s">
        <v>3622</v>
      </c>
      <c r="R949" s="131"/>
      <c r="S949" s="132"/>
      <c r="T949" s="102">
        <v>21414.2</v>
      </c>
      <c r="U949" s="100"/>
      <c r="V949" s="102"/>
      <c r="W949" s="210"/>
    </row>
    <row r="950" s="43" customFormat="1" ht="22" hidden="1" customHeight="1" spans="1:23">
      <c r="A950" s="144" t="s">
        <v>3647</v>
      </c>
      <c r="B950" s="174" t="s">
        <v>3605</v>
      </c>
      <c r="C950" s="175"/>
      <c r="D950" s="45" t="s">
        <v>31</v>
      </c>
      <c r="E950" s="330" t="s">
        <v>3648</v>
      </c>
      <c r="F950" s="81" t="str">
        <f>IFERROR(VLOOKUP(E950,客户!B:C,2,FALSE),"/")</f>
        <v>/</v>
      </c>
      <c r="G950" s="143" t="s">
        <v>3649</v>
      </c>
      <c r="H950" s="143"/>
      <c r="I950" s="143"/>
      <c r="J950" s="108">
        <v>43400</v>
      </c>
      <c r="K950" s="100">
        <v>43448</v>
      </c>
      <c r="L950" s="100">
        <v>43488</v>
      </c>
      <c r="M950" s="108"/>
      <c r="N950" s="159" t="s">
        <v>3650</v>
      </c>
      <c r="O950" s="104"/>
      <c r="P950" s="102">
        <v>34864.38</v>
      </c>
      <c r="Q950" s="102">
        <v>7246</v>
      </c>
      <c r="R950" s="131"/>
      <c r="S950" s="132"/>
      <c r="T950" s="102" t="s">
        <v>3651</v>
      </c>
      <c r="U950" s="100">
        <v>43483</v>
      </c>
      <c r="V950" s="139"/>
      <c r="W950" s="210"/>
    </row>
    <row r="951" s="43" customFormat="1" ht="22" hidden="1" customHeight="1" spans="1:23">
      <c r="A951" s="144" t="s">
        <v>3652</v>
      </c>
      <c r="B951" s="174" t="s">
        <v>3605</v>
      </c>
      <c r="C951" s="175"/>
      <c r="D951" s="45" t="s">
        <v>31</v>
      </c>
      <c r="E951" s="330" t="s">
        <v>3653</v>
      </c>
      <c r="F951" s="81" t="str">
        <f>IFERROR(VLOOKUP(E951,客户!B:C,2,FALSE),"/")</f>
        <v>/</v>
      </c>
      <c r="G951" s="143" t="s">
        <v>3654</v>
      </c>
      <c r="H951" s="143"/>
      <c r="I951" s="336" t="s">
        <v>3655</v>
      </c>
      <c r="J951" s="108">
        <v>43416</v>
      </c>
      <c r="K951" s="100">
        <v>43448</v>
      </c>
      <c r="L951" s="100">
        <v>43506</v>
      </c>
      <c r="M951" s="108"/>
      <c r="N951" s="159" t="s">
        <v>3656</v>
      </c>
      <c r="O951" s="104"/>
      <c r="P951" s="102">
        <v>37532.98</v>
      </c>
      <c r="Q951" s="102">
        <v>9749</v>
      </c>
      <c r="R951" s="131"/>
      <c r="S951" s="132"/>
      <c r="T951" s="102" t="s">
        <v>3657</v>
      </c>
      <c r="U951" s="100"/>
      <c r="V951" s="139"/>
      <c r="W951" s="210"/>
    </row>
    <row r="952" s="43" customFormat="1" ht="22" hidden="1" customHeight="1" spans="1:23">
      <c r="A952" s="144" t="s">
        <v>3658</v>
      </c>
      <c r="B952" s="174" t="s">
        <v>3605</v>
      </c>
      <c r="C952" s="175"/>
      <c r="D952" s="45" t="s">
        <v>31</v>
      </c>
      <c r="E952" s="330" t="s">
        <v>3653</v>
      </c>
      <c r="F952" s="81" t="str">
        <f>IFERROR(VLOOKUP(E952,客户!B:C,2,FALSE),"/")</f>
        <v>/</v>
      </c>
      <c r="G952" s="143" t="s">
        <v>3659</v>
      </c>
      <c r="H952" s="143"/>
      <c r="I952" s="143" t="s">
        <v>3660</v>
      </c>
      <c r="J952" s="108"/>
      <c r="K952" s="100">
        <v>43435</v>
      </c>
      <c r="L952" s="100">
        <v>43478</v>
      </c>
      <c r="M952" s="108"/>
      <c r="N952" s="159" t="s">
        <v>3661</v>
      </c>
      <c r="O952" s="104"/>
      <c r="P952" s="102">
        <v>36835.64</v>
      </c>
      <c r="Q952" s="102">
        <v>6672.32</v>
      </c>
      <c r="R952" s="131"/>
      <c r="S952" s="132"/>
      <c r="T952" s="102">
        <v>34908</v>
      </c>
      <c r="U952" s="100">
        <v>43469</v>
      </c>
      <c r="V952" s="139"/>
      <c r="W952" s="210"/>
    </row>
    <row r="953" s="45" customFormat="1" ht="22" hidden="1" customHeight="1" spans="1:23">
      <c r="A953" s="144" t="s">
        <v>3662</v>
      </c>
      <c r="B953" s="174" t="s">
        <v>3605</v>
      </c>
      <c r="C953" s="175"/>
      <c r="D953" s="45" t="s">
        <v>31</v>
      </c>
      <c r="E953" s="80" t="s">
        <v>3663</v>
      </c>
      <c r="F953" s="81" t="str">
        <f>IFERROR(VLOOKUP(E953,客户!B:C,2,FALSE),"/")</f>
        <v>/</v>
      </c>
      <c r="G953" s="45" t="s">
        <v>3664</v>
      </c>
      <c r="I953" s="45" t="s">
        <v>3665</v>
      </c>
      <c r="J953" s="159">
        <v>43416</v>
      </c>
      <c r="K953" s="100">
        <v>43464</v>
      </c>
      <c r="L953" s="100">
        <v>43492</v>
      </c>
      <c r="M953" s="159" t="s">
        <v>3666</v>
      </c>
      <c r="N953" s="159" t="s">
        <v>3667</v>
      </c>
      <c r="O953" s="104"/>
      <c r="P953" s="102">
        <v>27555.95</v>
      </c>
      <c r="Q953" s="230" t="s">
        <v>3668</v>
      </c>
      <c r="R953" s="131">
        <v>0</v>
      </c>
      <c r="S953" s="132"/>
      <c r="T953" s="102" t="s">
        <v>3669</v>
      </c>
      <c r="U953" s="100">
        <v>43524</v>
      </c>
      <c r="V953" s="102"/>
      <c r="W953" s="210"/>
    </row>
    <row r="954" s="43" customFormat="1" ht="22" hidden="1" customHeight="1" spans="1:23">
      <c r="A954" s="144" t="s">
        <v>3670</v>
      </c>
      <c r="B954" s="174" t="s">
        <v>3605</v>
      </c>
      <c r="C954" s="175"/>
      <c r="D954" s="45" t="s">
        <v>31</v>
      </c>
      <c r="E954" s="330" t="s">
        <v>3619</v>
      </c>
      <c r="F954" s="81">
        <f>IFERROR(VLOOKUP(E954,客户!B:C,2,FALSE),"/")</f>
        <v>0</v>
      </c>
      <c r="G954" s="143" t="s">
        <v>3646</v>
      </c>
      <c r="H954" s="143"/>
      <c r="I954" s="143" t="s">
        <v>3671</v>
      </c>
      <c r="J954" s="108">
        <v>43431</v>
      </c>
      <c r="K954" s="100">
        <v>43457</v>
      </c>
      <c r="L954" s="100">
        <v>43485</v>
      </c>
      <c r="M954" s="159"/>
      <c r="N954" s="159" t="s">
        <v>3644</v>
      </c>
      <c r="O954" s="104"/>
      <c r="P954" s="102">
        <v>19082</v>
      </c>
      <c r="Q954" s="143"/>
      <c r="R954" s="131">
        <v>0</v>
      </c>
      <c r="S954" s="132"/>
      <c r="T954" s="102"/>
      <c r="U954" s="100"/>
      <c r="V954" s="102"/>
      <c r="W954" s="210"/>
    </row>
    <row r="955" s="43" customFormat="1" ht="22" hidden="1" customHeight="1" spans="1:23">
      <c r="A955" s="144" t="s">
        <v>3672</v>
      </c>
      <c r="B955" s="174" t="s">
        <v>3605</v>
      </c>
      <c r="C955" s="175"/>
      <c r="D955" s="45" t="s">
        <v>31</v>
      </c>
      <c r="E955" s="330" t="s">
        <v>3673</v>
      </c>
      <c r="F955" s="81" t="str">
        <f>IFERROR(VLOOKUP(E955,客户!B:C,2,FALSE),"/")</f>
        <v>/</v>
      </c>
      <c r="G955" s="143" t="s">
        <v>3674</v>
      </c>
      <c r="H955" s="143" t="s">
        <v>123</v>
      </c>
      <c r="I955" s="143" t="s">
        <v>3675</v>
      </c>
      <c r="J955" s="108">
        <v>43445</v>
      </c>
      <c r="K955" s="100">
        <v>43529</v>
      </c>
      <c r="L955" s="100">
        <v>43565</v>
      </c>
      <c r="M955" s="159" t="s">
        <v>3676</v>
      </c>
      <c r="N955" s="159" t="s">
        <v>3677</v>
      </c>
      <c r="O955" s="104"/>
      <c r="P955" s="102">
        <v>16324.4</v>
      </c>
      <c r="Q955" s="102">
        <v>2997.6</v>
      </c>
      <c r="R955" s="131"/>
      <c r="S955" s="132"/>
      <c r="T955" s="102">
        <v>16901.74</v>
      </c>
      <c r="U955" s="100"/>
      <c r="V955" s="102"/>
      <c r="W955" s="210"/>
    </row>
    <row r="956" s="43" customFormat="1" ht="22" hidden="1" customHeight="1" spans="1:23">
      <c r="A956" s="144" t="s">
        <v>3678</v>
      </c>
      <c r="B956" s="174" t="s">
        <v>3605</v>
      </c>
      <c r="C956" s="175"/>
      <c r="D956" s="45" t="s">
        <v>31</v>
      </c>
      <c r="E956" s="330" t="s">
        <v>3619</v>
      </c>
      <c r="F956" s="81">
        <f>IFERROR(VLOOKUP(E956,客户!B:C,2,FALSE),"/")</f>
        <v>0</v>
      </c>
      <c r="G956" s="143" t="s">
        <v>3679</v>
      </c>
      <c r="H956" s="143" t="s">
        <v>123</v>
      </c>
      <c r="I956" s="143" t="s">
        <v>3680</v>
      </c>
      <c r="J956" s="108">
        <v>43449</v>
      </c>
      <c r="K956" s="100"/>
      <c r="L956" s="100"/>
      <c r="M956" s="199"/>
      <c r="N956" s="159" t="s">
        <v>3681</v>
      </c>
      <c r="O956" s="104"/>
      <c r="P956" s="102">
        <v>18645</v>
      </c>
      <c r="Q956" s="143"/>
      <c r="R956" s="131">
        <v>0</v>
      </c>
      <c r="S956" s="132"/>
      <c r="T956" s="102">
        <v>18645</v>
      </c>
      <c r="U956" s="100"/>
      <c r="V956" s="139"/>
      <c r="W956" s="210"/>
    </row>
    <row r="957" s="43" customFormat="1" ht="22" hidden="1" customHeight="1" spans="1:23">
      <c r="A957" s="144" t="s">
        <v>3682</v>
      </c>
      <c r="B957" s="174" t="s">
        <v>3605</v>
      </c>
      <c r="C957" s="175"/>
      <c r="D957" s="45" t="s">
        <v>31</v>
      </c>
      <c r="E957" s="330" t="s">
        <v>3619</v>
      </c>
      <c r="F957" s="81">
        <f>IFERROR(VLOOKUP(E957,客户!B:C,2,FALSE),"/")</f>
        <v>0</v>
      </c>
      <c r="G957" s="143" t="s">
        <v>3679</v>
      </c>
      <c r="H957" s="143" t="s">
        <v>123</v>
      </c>
      <c r="I957" s="143" t="s">
        <v>3680</v>
      </c>
      <c r="J957" s="108">
        <v>43461</v>
      </c>
      <c r="K957" s="100"/>
      <c r="L957" s="100"/>
      <c r="M957" s="199"/>
      <c r="N957" s="159" t="s">
        <v>3683</v>
      </c>
      <c r="O957" s="104"/>
      <c r="P957" s="102">
        <v>19818.4</v>
      </c>
      <c r="Q957" s="143"/>
      <c r="R957" s="131">
        <v>0</v>
      </c>
      <c r="S957" s="132"/>
      <c r="T957" s="102">
        <v>19818</v>
      </c>
      <c r="U957" s="100"/>
      <c r="V957" s="130"/>
      <c r="W957" s="210"/>
    </row>
    <row r="958" s="43" customFormat="1" ht="22" hidden="1" customHeight="1" spans="1:23">
      <c r="A958" s="144" t="s">
        <v>3684</v>
      </c>
      <c r="B958" s="174" t="s">
        <v>3605</v>
      </c>
      <c r="C958" s="175"/>
      <c r="D958" s="45" t="s">
        <v>31</v>
      </c>
      <c r="E958" s="142" t="s">
        <v>3685</v>
      </c>
      <c r="F958" s="81">
        <f>IFERROR(VLOOKUP(E958,客户!B:C,2,FALSE),"/")</f>
        <v>0</v>
      </c>
      <c r="G958" s="143" t="s">
        <v>3686</v>
      </c>
      <c r="H958" s="143" t="s">
        <v>970</v>
      </c>
      <c r="I958" s="143"/>
      <c r="J958" s="108"/>
      <c r="K958" s="100"/>
      <c r="L958" s="100"/>
      <c r="M958" s="159"/>
      <c r="N958" s="159"/>
      <c r="O958" s="104"/>
      <c r="P958" s="102" t="s">
        <v>3687</v>
      </c>
      <c r="Q958" s="143" t="s">
        <v>3688</v>
      </c>
      <c r="R958" s="131">
        <v>0</v>
      </c>
      <c r="S958" s="132"/>
      <c r="T958" s="102" t="s">
        <v>3689</v>
      </c>
      <c r="U958" s="100">
        <v>43483</v>
      </c>
      <c r="V958" s="130"/>
      <c r="W958" s="210"/>
    </row>
    <row r="959" s="43" customFormat="1" ht="22" hidden="1" customHeight="1" spans="1:23">
      <c r="A959" s="144" t="s">
        <v>3690</v>
      </c>
      <c r="B959" s="174" t="s">
        <v>3605</v>
      </c>
      <c r="C959" s="175"/>
      <c r="D959" s="45" t="s">
        <v>31</v>
      </c>
      <c r="E959" s="330" t="s">
        <v>3691</v>
      </c>
      <c r="F959" s="81">
        <f>IFERROR(VLOOKUP(E959,客户!B:C,2,FALSE),"/")</f>
        <v>0</v>
      </c>
      <c r="G959" s="143" t="s">
        <v>3692</v>
      </c>
      <c r="H959" s="143" t="s">
        <v>123</v>
      </c>
      <c r="I959" s="143" t="s">
        <v>3693</v>
      </c>
      <c r="J959" s="108">
        <v>43473</v>
      </c>
      <c r="K959" s="100">
        <v>43549</v>
      </c>
      <c r="L959" s="100">
        <v>43576</v>
      </c>
      <c r="M959" s="159" t="s">
        <v>3694</v>
      </c>
      <c r="N959" s="159" t="s">
        <v>3695</v>
      </c>
      <c r="O959" s="104"/>
      <c r="P959" s="102">
        <v>22455</v>
      </c>
      <c r="Q959" s="143">
        <v>6736.5</v>
      </c>
      <c r="R959" s="131">
        <v>0</v>
      </c>
      <c r="S959" s="132"/>
      <c r="T959" s="102">
        <v>15667</v>
      </c>
      <c r="U959" s="100">
        <v>43574</v>
      </c>
      <c r="V959" s="130"/>
      <c r="W959" s="210"/>
    </row>
    <row r="960" s="43" customFormat="1" ht="22" hidden="1" customHeight="1" spans="1:23">
      <c r="A960" s="144" t="s">
        <v>3696</v>
      </c>
      <c r="B960" s="174" t="s">
        <v>3605</v>
      </c>
      <c r="C960" s="175"/>
      <c r="D960" s="45" t="s">
        <v>31</v>
      </c>
      <c r="E960" s="142" t="s">
        <v>3697</v>
      </c>
      <c r="F960" s="81">
        <f>IFERROR(VLOOKUP(E960,客户!B:C,2,FALSE),"/")</f>
        <v>0</v>
      </c>
      <c r="G960" s="143" t="s">
        <v>3698</v>
      </c>
      <c r="H960" s="143" t="s">
        <v>123</v>
      </c>
      <c r="I960" s="143" t="s">
        <v>3680</v>
      </c>
      <c r="J960" s="108">
        <v>43511</v>
      </c>
      <c r="K960" s="100">
        <v>43542</v>
      </c>
      <c r="L960" s="100"/>
      <c r="M960" s="181"/>
      <c r="N960" s="159" t="s">
        <v>3699</v>
      </c>
      <c r="O960" s="104"/>
      <c r="P960" s="102">
        <v>20292.6</v>
      </c>
      <c r="Q960" s="143" t="s">
        <v>3622</v>
      </c>
      <c r="R960" s="131">
        <v>0</v>
      </c>
      <c r="S960" s="132"/>
      <c r="T960" s="102">
        <v>20255</v>
      </c>
      <c r="U960" s="100">
        <v>43544</v>
      </c>
      <c r="V960" s="130"/>
      <c r="W960" s="210"/>
    </row>
    <row r="961" s="43" customFormat="1" ht="22" hidden="1" customHeight="1" spans="1:23">
      <c r="A961" s="144" t="s">
        <v>3700</v>
      </c>
      <c r="B961" s="174" t="s">
        <v>3605</v>
      </c>
      <c r="C961" s="175"/>
      <c r="D961" s="45" t="s">
        <v>31</v>
      </c>
      <c r="E961" s="142" t="s">
        <v>3701</v>
      </c>
      <c r="F961" s="81" t="str">
        <f>IFERROR(VLOOKUP(E961,客户!B:C,2,FALSE),"/")</f>
        <v>/</v>
      </c>
      <c r="G961" s="143" t="s">
        <v>3702</v>
      </c>
      <c r="H961" s="143" t="s">
        <v>123</v>
      </c>
      <c r="I961" s="143" t="s">
        <v>2453</v>
      </c>
      <c r="J961" s="108">
        <v>43528</v>
      </c>
      <c r="K961" s="103">
        <v>43575</v>
      </c>
      <c r="L961" s="100" t="s">
        <v>3703</v>
      </c>
      <c r="M961" s="182"/>
      <c r="N961" s="159" t="s">
        <v>600</v>
      </c>
      <c r="O961" s="104"/>
      <c r="P961" s="102">
        <v>17156.33</v>
      </c>
      <c r="Q961" s="102">
        <v>6532.2</v>
      </c>
      <c r="R961" s="131">
        <v>0</v>
      </c>
      <c r="S961" s="132"/>
      <c r="T961" s="102">
        <v>10624</v>
      </c>
      <c r="U961" s="100">
        <v>43606</v>
      </c>
      <c r="V961" s="130"/>
      <c r="W961" s="210"/>
    </row>
    <row r="962" s="43" customFormat="1" ht="22" hidden="1" customHeight="1" spans="1:23">
      <c r="A962" s="144" t="s">
        <v>3704</v>
      </c>
      <c r="B962" s="174" t="s">
        <v>3605</v>
      </c>
      <c r="C962" s="175"/>
      <c r="D962" s="45" t="s">
        <v>31</v>
      </c>
      <c r="E962" s="142" t="s">
        <v>3705</v>
      </c>
      <c r="F962" s="81">
        <f>IFERROR(VLOOKUP(E962,客户!B:C,2,FALSE),"/")</f>
        <v>0</v>
      </c>
      <c r="G962" s="143" t="s">
        <v>3706</v>
      </c>
      <c r="H962" s="143" t="s">
        <v>123</v>
      </c>
      <c r="I962" s="143" t="s">
        <v>3707</v>
      </c>
      <c r="J962" s="108">
        <v>43528</v>
      </c>
      <c r="K962" s="100">
        <v>43579</v>
      </c>
      <c r="L962" s="103"/>
      <c r="M962" s="159" t="s">
        <v>3708</v>
      </c>
      <c r="N962" s="159" t="s">
        <v>3709</v>
      </c>
      <c r="O962" s="104"/>
      <c r="P962" s="102">
        <v>39508.5</v>
      </c>
      <c r="Q962" s="102" t="s">
        <v>3710</v>
      </c>
      <c r="R962" s="131">
        <v>0</v>
      </c>
      <c r="S962" s="132"/>
      <c r="T962" s="102">
        <v>27647</v>
      </c>
      <c r="U962" s="100">
        <v>43598</v>
      </c>
      <c r="V962" s="130" t="s">
        <v>3711</v>
      </c>
      <c r="W962" s="210"/>
    </row>
    <row r="963" s="43" customFormat="1" ht="22" hidden="1" customHeight="1" spans="1:23">
      <c r="A963" s="144" t="s">
        <v>3712</v>
      </c>
      <c r="B963" s="174" t="s">
        <v>3605</v>
      </c>
      <c r="C963" s="175"/>
      <c r="D963" s="45" t="s">
        <v>31</v>
      </c>
      <c r="E963" s="142" t="s">
        <v>3713</v>
      </c>
      <c r="F963" s="81">
        <f>IFERROR(VLOOKUP(E963,客户!B:C,2,FALSE),"/")</f>
        <v>0</v>
      </c>
      <c r="G963" s="143" t="s">
        <v>3714</v>
      </c>
      <c r="H963" s="143" t="s">
        <v>123</v>
      </c>
      <c r="I963" s="336" t="s">
        <v>3715</v>
      </c>
      <c r="J963" s="108">
        <v>43535</v>
      </c>
      <c r="K963" s="100">
        <v>43578</v>
      </c>
      <c r="L963" s="100">
        <v>43653</v>
      </c>
      <c r="M963" s="181" t="s">
        <v>3716</v>
      </c>
      <c r="N963" s="159" t="s">
        <v>3717</v>
      </c>
      <c r="O963" s="104"/>
      <c r="P963" s="102">
        <v>27700</v>
      </c>
      <c r="Q963" s="102">
        <v>7590.9</v>
      </c>
      <c r="R963" s="131">
        <v>0</v>
      </c>
      <c r="S963" s="132"/>
      <c r="T963" s="102">
        <v>20109</v>
      </c>
      <c r="U963" s="100">
        <v>43612</v>
      </c>
      <c r="V963" s="130"/>
      <c r="W963" s="210"/>
    </row>
    <row r="964" s="43" customFormat="1" ht="22" hidden="1" customHeight="1" spans="1:23">
      <c r="A964" s="144" t="s">
        <v>3718</v>
      </c>
      <c r="B964" s="174" t="s">
        <v>3605</v>
      </c>
      <c r="C964" s="175"/>
      <c r="D964" s="45" t="s">
        <v>31</v>
      </c>
      <c r="E964" s="142" t="s">
        <v>3719</v>
      </c>
      <c r="F964" s="81">
        <f>IFERROR(VLOOKUP(E964,客户!B:C,2,FALSE),"/")</f>
        <v>0</v>
      </c>
      <c r="G964" s="143" t="s">
        <v>3720</v>
      </c>
      <c r="H964" s="190" t="s">
        <v>147</v>
      </c>
      <c r="I964" s="336" t="s">
        <v>215</v>
      </c>
      <c r="J964" s="108">
        <v>43540</v>
      </c>
      <c r="K964" s="100">
        <v>43573</v>
      </c>
      <c r="L964" s="100"/>
      <c r="M964" s="159" t="s">
        <v>3721</v>
      </c>
      <c r="N964" s="159" t="s">
        <v>3722</v>
      </c>
      <c r="O964" s="104"/>
      <c r="P964" s="240">
        <v>116480</v>
      </c>
      <c r="Q964" s="240">
        <v>35000</v>
      </c>
      <c r="R964" s="344">
        <v>0</v>
      </c>
      <c r="S964" s="345"/>
      <c r="T964" s="102">
        <v>81480</v>
      </c>
      <c r="U964" s="100">
        <v>43584</v>
      </c>
      <c r="V964" s="130"/>
      <c r="W964" s="210"/>
    </row>
    <row r="965" s="43" customFormat="1" ht="22" hidden="1" customHeight="1" spans="1:23">
      <c r="A965" s="144" t="s">
        <v>3723</v>
      </c>
      <c r="B965" s="174" t="s">
        <v>3605</v>
      </c>
      <c r="C965" s="175"/>
      <c r="D965" s="45" t="s">
        <v>31</v>
      </c>
      <c r="E965" s="142" t="s">
        <v>3724</v>
      </c>
      <c r="F965" s="81">
        <f>IFERROR(VLOOKUP(E965,客户!B:C,2,FALSE),"/")</f>
        <v>0</v>
      </c>
      <c r="G965" s="143" t="s">
        <v>3720</v>
      </c>
      <c r="H965" s="143" t="s">
        <v>123</v>
      </c>
      <c r="I965" s="143" t="s">
        <v>3680</v>
      </c>
      <c r="J965" s="108">
        <v>43553</v>
      </c>
      <c r="K965" s="100">
        <v>43576</v>
      </c>
      <c r="L965" s="100"/>
      <c r="M965" s="159" t="s">
        <v>3725</v>
      </c>
      <c r="N965" s="159" t="s">
        <v>3726</v>
      </c>
      <c r="O965" s="104"/>
      <c r="P965" s="102">
        <v>20976.6</v>
      </c>
      <c r="Q965" s="102"/>
      <c r="R965" s="131">
        <v>0</v>
      </c>
      <c r="S965" s="132"/>
      <c r="T965" s="102">
        <v>20940</v>
      </c>
      <c r="U965" s="100">
        <v>43572</v>
      </c>
      <c r="V965" s="130"/>
      <c r="W965" s="210"/>
    </row>
    <row r="966" s="43" customFormat="1" ht="22" hidden="1" customHeight="1" spans="1:23">
      <c r="A966" s="144" t="s">
        <v>3727</v>
      </c>
      <c r="B966" s="174" t="s">
        <v>3605</v>
      </c>
      <c r="C966" s="175"/>
      <c r="D966" s="45" t="s">
        <v>31</v>
      </c>
      <c r="E966" s="142" t="s">
        <v>3728</v>
      </c>
      <c r="F966" s="81">
        <f>IFERROR(VLOOKUP(E966,客户!B:C,2,FALSE),"/")</f>
        <v>0</v>
      </c>
      <c r="G966" s="143" t="s">
        <v>3729</v>
      </c>
      <c r="H966" s="143" t="s">
        <v>123</v>
      </c>
      <c r="I966" s="143" t="s">
        <v>711</v>
      </c>
      <c r="J966" s="108">
        <v>43600</v>
      </c>
      <c r="K966" s="100"/>
      <c r="L966" s="197"/>
      <c r="M966" s="159"/>
      <c r="N966" s="159"/>
      <c r="O966" s="104"/>
      <c r="P966" s="102">
        <v>6658</v>
      </c>
      <c r="Q966" s="102"/>
      <c r="R966" s="131"/>
      <c r="S966" s="132"/>
      <c r="T966" s="102"/>
      <c r="U966" s="100"/>
      <c r="V966" s="130"/>
      <c r="W966" s="210"/>
    </row>
    <row r="967" s="43" customFormat="1" ht="22" hidden="1" customHeight="1" spans="1:23">
      <c r="A967" s="144" t="s">
        <v>3730</v>
      </c>
      <c r="B967" s="174" t="s">
        <v>3605</v>
      </c>
      <c r="C967" s="175"/>
      <c r="D967" s="45" t="s">
        <v>31</v>
      </c>
      <c r="E967" s="142" t="s">
        <v>3724</v>
      </c>
      <c r="F967" s="81">
        <f>IFERROR(VLOOKUP(E967,客户!B:C,2,FALSE),"/")</f>
        <v>0</v>
      </c>
      <c r="G967" s="143" t="s">
        <v>3731</v>
      </c>
      <c r="H967" s="143" t="s">
        <v>123</v>
      </c>
      <c r="I967" s="143" t="s">
        <v>3680</v>
      </c>
      <c r="J967" s="108">
        <v>43601</v>
      </c>
      <c r="K967" s="100">
        <v>43623</v>
      </c>
      <c r="L967" s="197"/>
      <c r="M967" s="159"/>
      <c r="N967" s="159"/>
      <c r="O967" s="104"/>
      <c r="P967" s="102" t="s">
        <v>3622</v>
      </c>
      <c r="Q967" s="102"/>
      <c r="R967" s="131"/>
      <c r="S967" s="132"/>
      <c r="T967" s="102"/>
      <c r="U967" s="100"/>
      <c r="V967" s="130"/>
      <c r="W967" s="210"/>
    </row>
    <row r="968" s="43" customFormat="1" ht="22" hidden="1" customHeight="1" spans="1:23">
      <c r="A968" s="144" t="s">
        <v>3732</v>
      </c>
      <c r="B968" s="174" t="s">
        <v>3605</v>
      </c>
      <c r="C968" s="175"/>
      <c r="D968" s="45" t="s">
        <v>31</v>
      </c>
      <c r="E968" s="142" t="s">
        <v>3733</v>
      </c>
      <c r="F968" s="81">
        <f>IFERROR(VLOOKUP(E968,客户!B:C,2,FALSE),"/")</f>
        <v>0</v>
      </c>
      <c r="G968" s="143" t="s">
        <v>3734</v>
      </c>
      <c r="H968" s="143" t="s">
        <v>123</v>
      </c>
      <c r="I968" s="314" t="s">
        <v>3735</v>
      </c>
      <c r="J968" s="108">
        <v>43536</v>
      </c>
      <c r="K968" s="100">
        <v>43575</v>
      </c>
      <c r="L968" s="100">
        <v>43621</v>
      </c>
      <c r="M968" s="159" t="s">
        <v>3716</v>
      </c>
      <c r="N968" s="159" t="s">
        <v>3736</v>
      </c>
      <c r="O968" s="104"/>
      <c r="P968" s="102">
        <v>36306.7</v>
      </c>
      <c r="Q968" s="102">
        <v>6668.68</v>
      </c>
      <c r="R968" s="131"/>
      <c r="S968" s="132"/>
      <c r="T968" s="102">
        <v>29638</v>
      </c>
      <c r="U968" s="100"/>
      <c r="V968" s="130"/>
      <c r="W968" s="210"/>
    </row>
    <row r="969" s="43" customFormat="1" ht="22" hidden="1" customHeight="1" spans="1:23">
      <c r="A969" s="144" t="s">
        <v>3737</v>
      </c>
      <c r="B969" s="174" t="s">
        <v>3605</v>
      </c>
      <c r="C969" s="175"/>
      <c r="D969" s="45" t="s">
        <v>31</v>
      </c>
      <c r="E969" s="142" t="s">
        <v>3738</v>
      </c>
      <c r="F969" s="81" t="str">
        <f>IFERROR(VLOOKUP(E969,客户!B:C,2,FALSE),"/")</f>
        <v>/</v>
      </c>
      <c r="G969" s="143" t="s">
        <v>3739</v>
      </c>
      <c r="H969" s="190" t="s">
        <v>147</v>
      </c>
      <c r="I969" s="314" t="s">
        <v>3740</v>
      </c>
      <c r="J969" s="108">
        <v>43584</v>
      </c>
      <c r="K969" s="100"/>
      <c r="L969" s="103"/>
      <c r="M969" s="159"/>
      <c r="N969" s="159"/>
      <c r="O969" s="104"/>
      <c r="P969" s="102"/>
      <c r="Q969" s="102">
        <v>13300</v>
      </c>
      <c r="R969" s="131"/>
      <c r="S969" s="132"/>
      <c r="T969" s="102"/>
      <c r="U969" s="100"/>
      <c r="V969" s="130"/>
      <c r="W969" s="210"/>
    </row>
    <row r="970" s="43" customFormat="1" ht="22" hidden="1" customHeight="1" spans="1:23">
      <c r="A970" s="144" t="s">
        <v>3741</v>
      </c>
      <c r="B970" s="174" t="s">
        <v>3605</v>
      </c>
      <c r="C970" s="175"/>
      <c r="D970" s="45" t="s">
        <v>31</v>
      </c>
      <c r="E970" s="324" t="s">
        <v>3742</v>
      </c>
      <c r="F970" s="81">
        <f>IFERROR(VLOOKUP(E970,客户!B:C,2,FALSE),"/")</f>
        <v>0</v>
      </c>
      <c r="G970" s="143" t="s">
        <v>3743</v>
      </c>
      <c r="H970" s="143" t="s">
        <v>123</v>
      </c>
      <c r="I970" s="314" t="s">
        <v>3744</v>
      </c>
      <c r="J970" s="108">
        <v>43724</v>
      </c>
      <c r="K970" s="100">
        <v>43787</v>
      </c>
      <c r="L970" s="100">
        <v>43813</v>
      </c>
      <c r="M970" s="159" t="s">
        <v>3745</v>
      </c>
      <c r="N970" s="159" t="s">
        <v>3746</v>
      </c>
      <c r="O970" s="104" t="s">
        <v>523</v>
      </c>
      <c r="P970" s="102">
        <v>21983</v>
      </c>
      <c r="Q970" s="102">
        <v>6594.9</v>
      </c>
      <c r="R970" s="131"/>
      <c r="S970" s="132"/>
      <c r="T970" s="102" t="s">
        <v>3747</v>
      </c>
      <c r="U970" s="100">
        <v>43811</v>
      </c>
      <c r="V970" s="130"/>
      <c r="W970" s="210"/>
    </row>
    <row r="971" s="43" customFormat="1" ht="22" hidden="1" customHeight="1" spans="1:23">
      <c r="A971" s="144" t="s">
        <v>3748</v>
      </c>
      <c r="B971" s="174" t="s">
        <v>3605</v>
      </c>
      <c r="C971" s="175"/>
      <c r="D971" s="45" t="s">
        <v>3</v>
      </c>
      <c r="E971" s="82" t="s">
        <v>3749</v>
      </c>
      <c r="F971" s="81">
        <f>IFERROR(VLOOKUP(E971,客户!B:C,2,FALSE),"/")</f>
        <v>0</v>
      </c>
      <c r="G971" s="143" t="s">
        <v>3750</v>
      </c>
      <c r="H971" s="143" t="s">
        <v>3751</v>
      </c>
      <c r="I971" s="314"/>
      <c r="J971" s="108">
        <v>43789</v>
      </c>
      <c r="K971" s="100"/>
      <c r="L971" s="103"/>
      <c r="M971" s="165" t="s">
        <v>3752</v>
      </c>
      <c r="N971" s="159"/>
      <c r="O971" s="104"/>
      <c r="P971" s="102">
        <v>121409.75</v>
      </c>
      <c r="Q971" s="102" t="s">
        <v>3753</v>
      </c>
      <c r="R971" s="131"/>
      <c r="S971" s="132"/>
      <c r="T971" s="102"/>
      <c r="U971" s="100"/>
      <c r="V971" s="130"/>
      <c r="W971" s="210"/>
    </row>
    <row r="972" s="43" customFormat="1" ht="22" hidden="1" customHeight="1" spans="1:23">
      <c r="A972" s="144" t="s">
        <v>3754</v>
      </c>
      <c r="B972" s="174" t="s">
        <v>3605</v>
      </c>
      <c r="C972" s="175"/>
      <c r="D972" s="45" t="s">
        <v>31</v>
      </c>
      <c r="E972" s="142" t="s">
        <v>3755</v>
      </c>
      <c r="F972" s="81">
        <f>IFERROR(VLOOKUP(E972,客户!B:C,2,FALSE),"/")</f>
        <v>0</v>
      </c>
      <c r="G972" s="143" t="s">
        <v>3756</v>
      </c>
      <c r="H972" s="143" t="s">
        <v>123</v>
      </c>
      <c r="I972" s="314" t="s">
        <v>3757</v>
      </c>
      <c r="J972" s="108">
        <v>43776</v>
      </c>
      <c r="K972" s="100">
        <v>43852</v>
      </c>
      <c r="L972" s="100">
        <v>43898</v>
      </c>
      <c r="M972" s="159" t="s">
        <v>3758</v>
      </c>
      <c r="N972" s="159" t="s">
        <v>3759</v>
      </c>
      <c r="O972" s="104" t="s">
        <v>523</v>
      </c>
      <c r="P972" s="102">
        <v>39207.87</v>
      </c>
      <c r="Q972" s="102">
        <v>10895.25</v>
      </c>
      <c r="R972" s="131"/>
      <c r="S972" s="132"/>
      <c r="T972" s="102">
        <v>28261.12</v>
      </c>
      <c r="U972" s="100">
        <v>43867</v>
      </c>
      <c r="V972" s="130"/>
      <c r="W972" s="210"/>
    </row>
    <row r="973" s="40" customFormat="1" ht="22" hidden="1" customHeight="1" spans="1:23">
      <c r="A973" s="144" t="s">
        <v>3760</v>
      </c>
      <c r="B973" s="174" t="s">
        <v>3605</v>
      </c>
      <c r="C973" s="175"/>
      <c r="D973" s="45" t="s">
        <v>31</v>
      </c>
      <c r="E973" s="80" t="s">
        <v>3638</v>
      </c>
      <c r="F973" s="81">
        <f>IFERROR(VLOOKUP(E973,客户!B:C,2,FALSE),"/")</f>
        <v>0</v>
      </c>
      <c r="G973" s="45" t="s">
        <v>1599</v>
      </c>
      <c r="H973" s="45" t="s">
        <v>123</v>
      </c>
      <c r="I973" s="45" t="s">
        <v>3761</v>
      </c>
      <c r="J973" s="156">
        <v>43781</v>
      </c>
      <c r="K973" s="100">
        <v>43809</v>
      </c>
      <c r="L973" s="197"/>
      <c r="M973" s="153" t="s">
        <v>3762</v>
      </c>
      <c r="N973" s="143" t="s">
        <v>3763</v>
      </c>
      <c r="O973" s="104" t="s">
        <v>970</v>
      </c>
      <c r="P973" s="102">
        <v>18693.2</v>
      </c>
      <c r="Q973" s="102"/>
      <c r="R973" s="131"/>
      <c r="S973" s="132"/>
      <c r="T973" s="102">
        <v>18676.2</v>
      </c>
      <c r="U973" s="100" t="s">
        <v>3764</v>
      </c>
      <c r="V973" s="102"/>
      <c r="W973" s="45"/>
    </row>
    <row r="974" s="40" customFormat="1" ht="22" hidden="1" customHeight="1" spans="1:23">
      <c r="A974" s="144" t="s">
        <v>3765</v>
      </c>
      <c r="B974" s="174" t="s">
        <v>3605</v>
      </c>
      <c r="C974" s="175"/>
      <c r="D974" s="45" t="s">
        <v>31</v>
      </c>
      <c r="E974" s="82" t="s">
        <v>3766</v>
      </c>
      <c r="F974" s="81">
        <f>IFERROR(VLOOKUP(E974,客户!B:C,2,FALSE),"/")</f>
        <v>0</v>
      </c>
      <c r="G974" s="45" t="s">
        <v>3767</v>
      </c>
      <c r="H974" s="45" t="s">
        <v>123</v>
      </c>
      <c r="I974" s="45" t="s">
        <v>3768</v>
      </c>
      <c r="J974" s="156">
        <v>43785</v>
      </c>
      <c r="K974" s="100">
        <v>43827</v>
      </c>
      <c r="L974" s="100">
        <v>43876</v>
      </c>
      <c r="M974" s="143" t="s">
        <v>3769</v>
      </c>
      <c r="N974" s="143" t="s">
        <v>3770</v>
      </c>
      <c r="O974" s="104" t="s">
        <v>523</v>
      </c>
      <c r="P974" s="102">
        <v>20678.06</v>
      </c>
      <c r="Q974" s="102">
        <v>7352.43</v>
      </c>
      <c r="R974" s="131"/>
      <c r="S974" s="132"/>
      <c r="T974" s="102">
        <v>13325.63</v>
      </c>
      <c r="U974" s="100">
        <v>43847</v>
      </c>
      <c r="V974" s="102"/>
      <c r="W974" s="45"/>
    </row>
    <row r="975" s="43" customFormat="1" ht="22" hidden="1" customHeight="1" spans="1:23">
      <c r="A975" s="144" t="s">
        <v>3771</v>
      </c>
      <c r="B975" s="174" t="s">
        <v>3605</v>
      </c>
      <c r="C975" s="175"/>
      <c r="D975" s="45" t="s">
        <v>31</v>
      </c>
      <c r="E975" s="82" t="s">
        <v>3772</v>
      </c>
      <c r="F975" s="81">
        <f>IFERROR(VLOOKUP(E975,客户!B:C,2,FALSE),"/")</f>
        <v>0</v>
      </c>
      <c r="G975" s="143" t="s">
        <v>3773</v>
      </c>
      <c r="H975" s="143" t="s">
        <v>123</v>
      </c>
      <c r="I975" s="314" t="s">
        <v>3774</v>
      </c>
      <c r="J975" s="108">
        <v>43789</v>
      </c>
      <c r="K975" s="100">
        <v>43849</v>
      </c>
      <c r="L975" s="100">
        <v>43887</v>
      </c>
      <c r="M975" s="165" t="s">
        <v>3775</v>
      </c>
      <c r="N975" s="159"/>
      <c r="O975" s="104" t="s">
        <v>970</v>
      </c>
      <c r="P975" s="102">
        <v>10358</v>
      </c>
      <c r="Q975" s="102" t="s">
        <v>3776</v>
      </c>
      <c r="R975" s="131"/>
      <c r="S975" s="132"/>
      <c r="T975" s="102" t="s">
        <v>3777</v>
      </c>
      <c r="U975" s="100">
        <v>43830</v>
      </c>
      <c r="V975" s="217" t="s">
        <v>3778</v>
      </c>
      <c r="W975" s="210"/>
    </row>
    <row r="976" s="43" customFormat="1" ht="22" hidden="1" customHeight="1" spans="1:23">
      <c r="A976" s="144" t="s">
        <v>3779</v>
      </c>
      <c r="B976" s="174" t="s">
        <v>3605</v>
      </c>
      <c r="C976" s="175"/>
      <c r="D976" s="45" t="s">
        <v>31</v>
      </c>
      <c r="E976" s="82" t="s">
        <v>3780</v>
      </c>
      <c r="F976" s="81">
        <f>IFERROR(VLOOKUP(E976,客户!B:C,2,FALSE),"/")</f>
        <v>0</v>
      </c>
      <c r="G976" s="143" t="s">
        <v>3781</v>
      </c>
      <c r="H976" s="143" t="s">
        <v>123</v>
      </c>
      <c r="I976" s="314"/>
      <c r="J976" s="108">
        <v>43790</v>
      </c>
      <c r="K976" s="100">
        <v>43840</v>
      </c>
      <c r="L976" s="103"/>
      <c r="M976" s="165" t="s">
        <v>3782</v>
      </c>
      <c r="N976" s="159" t="s">
        <v>3783</v>
      </c>
      <c r="O976" s="104" t="s">
        <v>970</v>
      </c>
      <c r="P976" s="102">
        <v>18624.23</v>
      </c>
      <c r="Q976" s="102">
        <v>5838.08</v>
      </c>
      <c r="R976" s="131"/>
      <c r="S976" s="132"/>
      <c r="T976" s="102">
        <v>13572.37</v>
      </c>
      <c r="U976" s="100">
        <v>43826</v>
      </c>
      <c r="V976" s="130"/>
      <c r="W976" s="210"/>
    </row>
    <row r="977" s="40" customFormat="1" ht="22" hidden="1" customHeight="1" spans="1:23">
      <c r="A977" s="144" t="s">
        <v>3784</v>
      </c>
      <c r="B977" s="174" t="s">
        <v>3605</v>
      </c>
      <c r="C977" s="175"/>
      <c r="D977" s="45" t="s">
        <v>31</v>
      </c>
      <c r="E977" s="45" t="s">
        <v>3785</v>
      </c>
      <c r="F977" s="81">
        <f>IFERROR(VLOOKUP(E977,客户!B:C,2,FALSE),"/")</f>
        <v>0</v>
      </c>
      <c r="G977" s="45" t="s">
        <v>3786</v>
      </c>
      <c r="H977" s="45" t="s">
        <v>123</v>
      </c>
      <c r="I977" s="45" t="s">
        <v>3787</v>
      </c>
      <c r="J977" s="156">
        <v>43809</v>
      </c>
      <c r="K977" s="100">
        <v>43841</v>
      </c>
      <c r="L977" s="197"/>
      <c r="M977" s="155" t="s">
        <v>3788</v>
      </c>
      <c r="N977" s="143" t="s">
        <v>3789</v>
      </c>
      <c r="O977" s="143" t="s">
        <v>523</v>
      </c>
      <c r="P977" s="102">
        <v>21839.9</v>
      </c>
      <c r="Q977" s="102">
        <v>6202</v>
      </c>
      <c r="R977" s="131"/>
      <c r="S977" s="132"/>
      <c r="T977" s="102">
        <v>15595.4</v>
      </c>
      <c r="U977" s="100">
        <v>43843</v>
      </c>
      <c r="V977" s="102"/>
      <c r="W977" s="45"/>
    </row>
    <row r="978" s="40" customFormat="1" ht="22" hidden="1" customHeight="1" spans="1:23">
      <c r="A978" s="144" t="s">
        <v>3790</v>
      </c>
      <c r="B978" s="174" t="s">
        <v>3605</v>
      </c>
      <c r="C978" s="175"/>
      <c r="D978" s="45" t="s">
        <v>31</v>
      </c>
      <c r="E978" s="82" t="s">
        <v>3791</v>
      </c>
      <c r="F978" s="81">
        <f>IFERROR(VLOOKUP(E978,客户!B:C,2,FALSE),"/")</f>
        <v>0</v>
      </c>
      <c r="G978" s="45" t="s">
        <v>3792</v>
      </c>
      <c r="H978" s="45" t="s">
        <v>123</v>
      </c>
      <c r="I978" s="45" t="s">
        <v>3793</v>
      </c>
      <c r="J978" s="156">
        <v>43815</v>
      </c>
      <c r="K978" s="100">
        <v>43911</v>
      </c>
      <c r="L978" s="200">
        <v>43959</v>
      </c>
      <c r="M978" s="229" t="s">
        <v>3794</v>
      </c>
      <c r="N978" s="338" t="s">
        <v>3795</v>
      </c>
      <c r="O978" s="104" t="s">
        <v>523</v>
      </c>
      <c r="P978" s="102">
        <f>12708+37</f>
        <v>12745</v>
      </c>
      <c r="Q978" s="102">
        <v>2558.7</v>
      </c>
      <c r="R978" s="131"/>
      <c r="S978" s="132"/>
      <c r="T978" s="102">
        <v>10186</v>
      </c>
      <c r="U978" s="100"/>
      <c r="V978" s="246" t="s">
        <v>3796</v>
      </c>
      <c r="W978" s="45"/>
    </row>
    <row r="979" s="40" customFormat="1" ht="22" hidden="1" customHeight="1" spans="1:23">
      <c r="A979" s="144" t="s">
        <v>3797</v>
      </c>
      <c r="B979" s="174" t="s">
        <v>3605</v>
      </c>
      <c r="C979" s="175"/>
      <c r="D979" s="45" t="s">
        <v>31</v>
      </c>
      <c r="E979" s="82" t="s">
        <v>3766</v>
      </c>
      <c r="F979" s="81">
        <f>IFERROR(VLOOKUP(E979,客户!B:C,2,FALSE),"/")</f>
        <v>0</v>
      </c>
      <c r="G979" s="45" t="s">
        <v>3767</v>
      </c>
      <c r="H979" s="45" t="s">
        <v>123</v>
      </c>
      <c r="I979" s="45" t="s">
        <v>3707</v>
      </c>
      <c r="J979" s="156">
        <v>43816</v>
      </c>
      <c r="K979" s="100">
        <v>43846</v>
      </c>
      <c r="L979" s="100">
        <v>43897</v>
      </c>
      <c r="M979" s="229" t="s">
        <v>3798</v>
      </c>
      <c r="N979" s="143" t="s">
        <v>3799</v>
      </c>
      <c r="O979" s="143" t="s">
        <v>523</v>
      </c>
      <c r="P979" s="102">
        <v>18030.03</v>
      </c>
      <c r="Q979" s="102">
        <v>5209.64</v>
      </c>
      <c r="R979" s="131"/>
      <c r="S979" s="132"/>
      <c r="T979" s="102">
        <v>12820.39</v>
      </c>
      <c r="U979" s="100">
        <v>43871</v>
      </c>
      <c r="V979" s="102"/>
      <c r="W979" s="45"/>
    </row>
    <row r="980" s="40" customFormat="1" ht="22" hidden="1" customHeight="1" spans="1:23">
      <c r="A980" s="144" t="s">
        <v>3800</v>
      </c>
      <c r="B980" s="174" t="s">
        <v>3605</v>
      </c>
      <c r="C980" s="175"/>
      <c r="D980" s="45" t="s">
        <v>31</v>
      </c>
      <c r="E980" s="80" t="s">
        <v>3801</v>
      </c>
      <c r="F980" s="81">
        <f>IFERROR(VLOOKUP(E980,客户!B:C,2,FALSE),"/")</f>
        <v>0</v>
      </c>
      <c r="G980" s="45" t="s">
        <v>3802</v>
      </c>
      <c r="H980" s="45" t="s">
        <v>123</v>
      </c>
      <c r="I980" s="45"/>
      <c r="J980" s="156">
        <v>43818</v>
      </c>
      <c r="K980" s="100">
        <v>43840</v>
      </c>
      <c r="L980" s="197"/>
      <c r="M980" s="338" t="s">
        <v>3803</v>
      </c>
      <c r="N980" s="143"/>
      <c r="O980" s="104" t="s">
        <v>970</v>
      </c>
      <c r="P980" s="102" t="s">
        <v>3804</v>
      </c>
      <c r="Q980" s="102" t="s">
        <v>3805</v>
      </c>
      <c r="R980" s="131"/>
      <c r="S980" s="132"/>
      <c r="T980" s="102" t="s">
        <v>3806</v>
      </c>
      <c r="U980" s="100">
        <v>43840</v>
      </c>
      <c r="V980" s="102"/>
      <c r="W980" s="45"/>
    </row>
    <row r="981" s="40" customFormat="1" ht="22" hidden="1" customHeight="1" spans="1:23">
      <c r="A981" s="144" t="s">
        <v>3807</v>
      </c>
      <c r="B981" s="174" t="s">
        <v>3605</v>
      </c>
      <c r="C981" s="175"/>
      <c r="D981" s="45" t="s">
        <v>31</v>
      </c>
      <c r="E981" s="229" t="s">
        <v>3808</v>
      </c>
      <c r="F981" s="81">
        <f>IFERROR(VLOOKUP(E981,客户!B:C,2,FALSE),"/")</f>
        <v>0</v>
      </c>
      <c r="G981" s="45" t="s">
        <v>3809</v>
      </c>
      <c r="H981" s="45" t="s">
        <v>123</v>
      </c>
      <c r="I981" s="45"/>
      <c r="J981" s="156">
        <v>43811</v>
      </c>
      <c r="K981" s="100">
        <v>43903</v>
      </c>
      <c r="L981" s="197"/>
      <c r="M981" s="339" t="s">
        <v>3810</v>
      </c>
      <c r="N981" s="143"/>
      <c r="O981" s="104" t="s">
        <v>970</v>
      </c>
      <c r="P981" s="102" t="s">
        <v>3811</v>
      </c>
      <c r="Q981" s="102" t="s">
        <v>3812</v>
      </c>
      <c r="R981" s="131"/>
      <c r="S981" s="132"/>
      <c r="T981" s="102" t="s">
        <v>3813</v>
      </c>
      <c r="U981" s="100">
        <v>43898</v>
      </c>
      <c r="V981" s="102" t="s">
        <v>3814</v>
      </c>
      <c r="W981" s="45"/>
    </row>
    <row r="982" s="40" customFormat="1" ht="22" hidden="1" customHeight="1" spans="1:23">
      <c r="A982" s="144" t="s">
        <v>3815</v>
      </c>
      <c r="B982" s="174" t="s">
        <v>3605</v>
      </c>
      <c r="C982" s="175"/>
      <c r="D982" s="45" t="s">
        <v>31</v>
      </c>
      <c r="E982" s="82" t="s">
        <v>3780</v>
      </c>
      <c r="F982" s="81">
        <f>IFERROR(VLOOKUP(E982,客户!B:C,2,FALSE),"/")</f>
        <v>0</v>
      </c>
      <c r="G982" s="45" t="s">
        <v>3816</v>
      </c>
      <c r="H982" s="45" t="s">
        <v>123</v>
      </c>
      <c r="I982" s="45" t="s">
        <v>3817</v>
      </c>
      <c r="J982" s="156">
        <v>43845</v>
      </c>
      <c r="K982" s="100">
        <v>44000</v>
      </c>
      <c r="L982" s="197"/>
      <c r="M982" s="340" t="s">
        <v>3818</v>
      </c>
      <c r="N982" s="338" t="s">
        <v>3819</v>
      </c>
      <c r="O982" s="104" t="s">
        <v>970</v>
      </c>
      <c r="P982" s="102">
        <f>24392.97+836.03</f>
        <v>25229</v>
      </c>
      <c r="Q982" s="102">
        <v>5708.66</v>
      </c>
      <c r="R982" s="131"/>
      <c r="S982" s="132"/>
      <c r="T982" s="102">
        <v>19548</v>
      </c>
      <c r="U982" s="100"/>
      <c r="V982" s="246" t="s">
        <v>3820</v>
      </c>
      <c r="W982" s="45"/>
    </row>
    <row r="983" s="40" customFormat="1" ht="22" hidden="1" customHeight="1" spans="1:23">
      <c r="A983" s="144" t="s">
        <v>3821</v>
      </c>
      <c r="B983" s="174" t="s">
        <v>3605</v>
      </c>
      <c r="C983" s="175"/>
      <c r="D983" s="45" t="s">
        <v>31</v>
      </c>
      <c r="E983" s="82" t="s">
        <v>3822</v>
      </c>
      <c r="F983" s="81">
        <f>IFERROR(VLOOKUP(E983,客户!B:C,2,FALSE),"/")</f>
        <v>0</v>
      </c>
      <c r="G983" s="45" t="s">
        <v>941</v>
      </c>
      <c r="H983" s="45" t="s">
        <v>123</v>
      </c>
      <c r="I983" s="45" t="s">
        <v>770</v>
      </c>
      <c r="J983" s="156">
        <v>43851</v>
      </c>
      <c r="K983" s="100">
        <v>43982</v>
      </c>
      <c r="L983" s="100">
        <v>44006</v>
      </c>
      <c r="M983" s="338" t="s">
        <v>3823</v>
      </c>
      <c r="N983" s="338" t="s">
        <v>3824</v>
      </c>
      <c r="O983" s="104" t="s">
        <v>523</v>
      </c>
      <c r="P983" s="102">
        <v>21962.5</v>
      </c>
      <c r="Q983" s="102">
        <f>30750/6.84</f>
        <v>4495.61403508772</v>
      </c>
      <c r="R983" s="131"/>
      <c r="S983" s="132"/>
      <c r="T983" s="102">
        <v>17422</v>
      </c>
      <c r="U983" s="100"/>
      <c r="V983" s="246" t="s">
        <v>3825</v>
      </c>
      <c r="W983" s="45"/>
    </row>
    <row r="984" s="40" customFormat="1" ht="22" hidden="1" customHeight="1" spans="1:23">
      <c r="A984" s="145" t="s">
        <v>3826</v>
      </c>
      <c r="B984" s="174" t="s">
        <v>3605</v>
      </c>
      <c r="C984" s="175"/>
      <c r="D984" s="45" t="s">
        <v>31</v>
      </c>
      <c r="E984" s="80" t="s">
        <v>3638</v>
      </c>
      <c r="F984" s="81">
        <f>IFERROR(VLOOKUP(E984,客户!B:C,2,FALSE),"/")</f>
        <v>0</v>
      </c>
      <c r="G984" s="45" t="s">
        <v>3827</v>
      </c>
      <c r="H984" s="45" t="s">
        <v>123</v>
      </c>
      <c r="I984" s="45" t="s">
        <v>3828</v>
      </c>
      <c r="J984" s="156">
        <v>43879</v>
      </c>
      <c r="K984" s="100">
        <v>44002</v>
      </c>
      <c r="L984" s="197"/>
      <c r="M984" s="338" t="s">
        <v>3829</v>
      </c>
      <c r="N984" s="143"/>
      <c r="O984" s="104" t="s">
        <v>970</v>
      </c>
      <c r="P984" s="102">
        <v>18648</v>
      </c>
      <c r="Q984" s="102"/>
      <c r="R984" s="131"/>
      <c r="S984" s="132"/>
      <c r="T984" s="102">
        <v>18622</v>
      </c>
      <c r="U984" s="100"/>
      <c r="V984" s="346"/>
      <c r="W984" s="45"/>
    </row>
    <row r="985" s="40" customFormat="1" ht="22" hidden="1" customHeight="1" spans="1:23">
      <c r="A985" s="144" t="s">
        <v>3830</v>
      </c>
      <c r="B985" s="174" t="s">
        <v>3605</v>
      </c>
      <c r="C985" s="175"/>
      <c r="D985" s="45" t="s">
        <v>31</v>
      </c>
      <c r="E985" s="80" t="s">
        <v>3638</v>
      </c>
      <c r="F985" s="81">
        <f>IFERROR(VLOOKUP(E985,客户!B:C,2,FALSE),"/")</f>
        <v>0</v>
      </c>
      <c r="G985" s="45" t="s">
        <v>3827</v>
      </c>
      <c r="H985" s="45" t="s">
        <v>123</v>
      </c>
      <c r="I985" s="45" t="s">
        <v>3828</v>
      </c>
      <c r="J985" s="156">
        <v>43879</v>
      </c>
      <c r="K985" s="100">
        <v>43992</v>
      </c>
      <c r="L985" s="197"/>
      <c r="M985" s="338" t="s">
        <v>3831</v>
      </c>
      <c r="N985" s="338" t="s">
        <v>3832</v>
      </c>
      <c r="O985" s="104" t="s">
        <v>970</v>
      </c>
      <c r="P985" s="102">
        <v>18834.4</v>
      </c>
      <c r="Q985" s="102"/>
      <c r="R985" s="131"/>
      <c r="S985" s="132"/>
      <c r="T985" s="102">
        <v>18808.4</v>
      </c>
      <c r="U985" s="100"/>
      <c r="V985" s="102"/>
      <c r="W985" s="45"/>
    </row>
    <row r="986" s="40" customFormat="1" ht="22" hidden="1" customHeight="1" spans="1:23">
      <c r="A986" s="144" t="s">
        <v>3833</v>
      </c>
      <c r="B986" s="174" t="s">
        <v>3605</v>
      </c>
      <c r="C986" s="175"/>
      <c r="D986" s="45" t="s">
        <v>31</v>
      </c>
      <c r="E986" s="82" t="s">
        <v>3834</v>
      </c>
      <c r="F986" s="81">
        <f>IFERROR(VLOOKUP(E986,客户!B:C,2,FALSE),"/")</f>
        <v>0</v>
      </c>
      <c r="G986" s="45" t="s">
        <v>3827</v>
      </c>
      <c r="H986" s="45" t="s">
        <v>123</v>
      </c>
      <c r="I986" s="45" t="s">
        <v>3828</v>
      </c>
      <c r="J986" s="156">
        <v>43879</v>
      </c>
      <c r="K986" s="100">
        <v>43972</v>
      </c>
      <c r="L986" s="197"/>
      <c r="M986" s="338"/>
      <c r="N986" s="338" t="s">
        <v>3763</v>
      </c>
      <c r="O986" s="104" t="s">
        <v>970</v>
      </c>
      <c r="P986" s="102">
        <v>19349</v>
      </c>
      <c r="Q986" s="102">
        <f>10000/7.088</f>
        <v>1410.83521444695</v>
      </c>
      <c r="R986" s="131"/>
      <c r="S986" s="132"/>
      <c r="T986" s="102">
        <v>17921</v>
      </c>
      <c r="U986" s="100"/>
      <c r="V986" s="246"/>
      <c r="W986" s="45"/>
    </row>
    <row r="987" s="43" customFormat="1" ht="19" hidden="1" customHeight="1" spans="1:23">
      <c r="A987" s="144" t="s">
        <v>3835</v>
      </c>
      <c r="B987" s="174" t="s">
        <v>3605</v>
      </c>
      <c r="C987" s="175"/>
      <c r="D987" s="45" t="s">
        <v>31</v>
      </c>
      <c r="E987" s="82" t="s">
        <v>3836</v>
      </c>
      <c r="F987" s="81">
        <f>IFERROR(VLOOKUP(E987,客户!B:C,2,FALSE),"/")</f>
        <v>0</v>
      </c>
      <c r="G987" s="45" t="s">
        <v>941</v>
      </c>
      <c r="H987" s="143" t="s">
        <v>123</v>
      </c>
      <c r="I987" s="108" t="s">
        <v>3837</v>
      </c>
      <c r="J987" s="108">
        <v>43894</v>
      </c>
      <c r="K987" s="100">
        <v>43998</v>
      </c>
      <c r="L987" s="100">
        <v>44039</v>
      </c>
      <c r="M987" s="341" t="s">
        <v>3838</v>
      </c>
      <c r="N987" s="246" t="s">
        <v>3839</v>
      </c>
      <c r="O987" s="104" t="s">
        <v>523</v>
      </c>
      <c r="P987" s="230">
        <v>19400.63</v>
      </c>
      <c r="Q987" s="102">
        <v>6312.74</v>
      </c>
      <c r="R987" s="131">
        <f>P987-Q987</f>
        <v>13087.89</v>
      </c>
      <c r="S987" s="132"/>
      <c r="T987" s="102">
        <v>13065.89</v>
      </c>
      <c r="U987" s="100"/>
      <c r="V987" s="102"/>
      <c r="W987" s="210"/>
    </row>
    <row r="988" s="40" customFormat="1" ht="22" hidden="1" customHeight="1" spans="1:23">
      <c r="A988" s="144" t="s">
        <v>3840</v>
      </c>
      <c r="B988" s="174" t="s">
        <v>3605</v>
      </c>
      <c r="C988" s="175"/>
      <c r="D988" s="45" t="s">
        <v>31</v>
      </c>
      <c r="E988" s="82" t="s">
        <v>3841</v>
      </c>
      <c r="F988" s="81">
        <f>IFERROR(VLOOKUP(E988,客户!B:C,2,FALSE),"/")</f>
        <v>0</v>
      </c>
      <c r="G988" s="45" t="s">
        <v>3842</v>
      </c>
      <c r="H988" s="45" t="s">
        <v>123</v>
      </c>
      <c r="I988" s="45" t="s">
        <v>3843</v>
      </c>
      <c r="J988" s="156">
        <v>43895</v>
      </c>
      <c r="K988" s="100">
        <v>43995</v>
      </c>
      <c r="L988" s="100">
        <v>44043</v>
      </c>
      <c r="M988" s="155" t="s">
        <v>3844</v>
      </c>
      <c r="N988" s="342" t="s">
        <v>3845</v>
      </c>
      <c r="O988" s="104" t="s">
        <v>523</v>
      </c>
      <c r="P988" s="102">
        <v>21723.32</v>
      </c>
      <c r="Q988" s="102">
        <v>4000</v>
      </c>
      <c r="R988" s="131"/>
      <c r="S988" s="132"/>
      <c r="T988" s="102">
        <v>17698.32</v>
      </c>
      <c r="U988" s="100"/>
      <c r="V988" s="246" t="s">
        <v>3846</v>
      </c>
      <c r="W988" s="45"/>
    </row>
    <row r="989" s="40" customFormat="1" ht="22" hidden="1" customHeight="1" spans="1:23">
      <c r="A989" s="220" t="s">
        <v>3847</v>
      </c>
      <c r="B989" s="174" t="s">
        <v>3605</v>
      </c>
      <c r="C989" s="175"/>
      <c r="D989" s="45" t="s">
        <v>31</v>
      </c>
      <c r="E989" s="82" t="s">
        <v>3848</v>
      </c>
      <c r="F989" s="81">
        <f>IFERROR(VLOOKUP(E989,客户!B:C,2,FALSE),"/")</f>
        <v>0</v>
      </c>
      <c r="G989" s="45" t="s">
        <v>2329</v>
      </c>
      <c r="H989" s="45" t="s">
        <v>123</v>
      </c>
      <c r="I989" s="45" t="s">
        <v>3849</v>
      </c>
      <c r="J989" s="156">
        <v>43895</v>
      </c>
      <c r="K989" s="100">
        <v>44066</v>
      </c>
      <c r="L989" s="100">
        <v>44093</v>
      </c>
      <c r="M989" s="45" t="s">
        <v>3850</v>
      </c>
      <c r="N989" s="338" t="s">
        <v>3851</v>
      </c>
      <c r="O989" s="104" t="s">
        <v>523</v>
      </c>
      <c r="P989" s="102">
        <v>16333</v>
      </c>
      <c r="Q989" s="102">
        <f>22700/6.92</f>
        <v>3280.34682080925</v>
      </c>
      <c r="R989" s="131"/>
      <c r="S989" s="132"/>
      <c r="T989" s="102">
        <v>13066.4</v>
      </c>
      <c r="U989" s="100"/>
      <c r="V989" s="246" t="s">
        <v>3852</v>
      </c>
      <c r="W989" s="45"/>
    </row>
    <row r="990" s="40" customFormat="1" ht="22" hidden="1" customHeight="1" spans="1:23">
      <c r="A990" s="144" t="s">
        <v>3853</v>
      </c>
      <c r="B990" s="174" t="s">
        <v>3605</v>
      </c>
      <c r="C990" s="175"/>
      <c r="D990" s="45" t="s">
        <v>31</v>
      </c>
      <c r="E990" s="82" t="s">
        <v>3822</v>
      </c>
      <c r="F990" s="81">
        <f>IFERROR(VLOOKUP(E990,客户!B:C,2,FALSE),"/")</f>
        <v>0</v>
      </c>
      <c r="G990" s="45" t="s">
        <v>2329</v>
      </c>
      <c r="H990" s="45" t="s">
        <v>123</v>
      </c>
      <c r="I990" s="45" t="s">
        <v>770</v>
      </c>
      <c r="J990" s="156">
        <v>43899</v>
      </c>
      <c r="K990" s="100">
        <v>44059</v>
      </c>
      <c r="L990" s="100">
        <v>44079</v>
      </c>
      <c r="M990" s="229" t="s">
        <v>3854</v>
      </c>
      <c r="N990" s="338" t="s">
        <v>3824</v>
      </c>
      <c r="O990" s="104" t="s">
        <v>523</v>
      </c>
      <c r="P990" s="102">
        <v>16370.78</v>
      </c>
      <c r="Q990" s="102">
        <v>5282.25</v>
      </c>
      <c r="R990" s="131"/>
      <c r="S990" s="132"/>
      <c r="T990" s="102">
        <v>11088.53</v>
      </c>
      <c r="U990" s="100"/>
      <c r="V990" s="102"/>
      <c r="W990" s="45"/>
    </row>
    <row r="991" s="40" customFormat="1" ht="22" hidden="1" customHeight="1" spans="1:23">
      <c r="A991" s="144" t="s">
        <v>3855</v>
      </c>
      <c r="B991" s="174" t="s">
        <v>3605</v>
      </c>
      <c r="C991" s="175"/>
      <c r="D991" s="45" t="s">
        <v>31</v>
      </c>
      <c r="E991" s="82" t="s">
        <v>3856</v>
      </c>
      <c r="F991" s="81">
        <f>IFERROR(VLOOKUP(E991,客户!B:C,2,FALSE),"/")</f>
        <v>0</v>
      </c>
      <c r="G991" s="45" t="s">
        <v>3857</v>
      </c>
      <c r="H991" s="45" t="s">
        <v>123</v>
      </c>
      <c r="I991" s="45" t="s">
        <v>3858</v>
      </c>
      <c r="J991" s="156">
        <v>43908</v>
      </c>
      <c r="K991" s="100">
        <v>44005</v>
      </c>
      <c r="L991" s="100">
        <v>44030</v>
      </c>
      <c r="M991" s="155" t="s">
        <v>3859</v>
      </c>
      <c r="N991" s="338" t="s">
        <v>3860</v>
      </c>
      <c r="O991" s="104" t="s">
        <v>523</v>
      </c>
      <c r="P991" s="102">
        <v>36690.42</v>
      </c>
      <c r="Q991" s="102">
        <v>11357</v>
      </c>
      <c r="R991" s="131"/>
      <c r="S991" s="132"/>
      <c r="T991" s="102">
        <v>25263</v>
      </c>
      <c r="U991" s="100"/>
      <c r="V991" s="246" t="s">
        <v>3861</v>
      </c>
      <c r="W991" s="45"/>
    </row>
    <row r="992" s="40" customFormat="1" ht="22" hidden="1" customHeight="1" spans="1:23">
      <c r="A992" s="144" t="s">
        <v>3862</v>
      </c>
      <c r="B992" s="174" t="s">
        <v>3605</v>
      </c>
      <c r="C992" s="175"/>
      <c r="D992" s="45" t="s">
        <v>31</v>
      </c>
      <c r="E992" s="82" t="s">
        <v>3856</v>
      </c>
      <c r="F992" s="81">
        <f>IFERROR(VLOOKUP(E992,客户!B:C,2,FALSE),"/")</f>
        <v>0</v>
      </c>
      <c r="G992" s="45" t="s">
        <v>3863</v>
      </c>
      <c r="H992" s="45" t="s">
        <v>123</v>
      </c>
      <c r="I992" s="45" t="s">
        <v>3858</v>
      </c>
      <c r="J992" s="156">
        <v>43908</v>
      </c>
      <c r="K992" s="100">
        <v>43943</v>
      </c>
      <c r="L992" s="100">
        <v>43964</v>
      </c>
      <c r="M992" s="229" t="s">
        <v>3864</v>
      </c>
      <c r="N992" s="338" t="s">
        <v>3865</v>
      </c>
      <c r="O992" s="104" t="s">
        <v>523</v>
      </c>
      <c r="P992" s="102">
        <v>45158.4</v>
      </c>
      <c r="Q992" s="102">
        <v>12800</v>
      </c>
      <c r="R992" s="131"/>
      <c r="S992" s="132"/>
      <c r="T992" s="102">
        <v>32315.7</v>
      </c>
      <c r="U992" s="100"/>
      <c r="V992" s="246" t="s">
        <v>3866</v>
      </c>
      <c r="W992" s="45"/>
    </row>
    <row r="993" s="40" customFormat="1" ht="22" hidden="1" customHeight="1" spans="1:23">
      <c r="A993" s="144" t="s">
        <v>3867</v>
      </c>
      <c r="B993" s="174" t="s">
        <v>3605</v>
      </c>
      <c r="C993" s="175"/>
      <c r="D993" s="45" t="s">
        <v>31</v>
      </c>
      <c r="E993" s="82" t="s">
        <v>3868</v>
      </c>
      <c r="F993" s="81"/>
      <c r="G993" s="45" t="s">
        <v>3869</v>
      </c>
      <c r="H993" s="45" t="s">
        <v>123</v>
      </c>
      <c r="I993" s="45" t="s">
        <v>3858</v>
      </c>
      <c r="J993" s="156">
        <v>43908</v>
      </c>
      <c r="K993" s="100">
        <v>43973</v>
      </c>
      <c r="L993" s="100">
        <v>43994</v>
      </c>
      <c r="M993" s="229" t="s">
        <v>3870</v>
      </c>
      <c r="N993" s="338" t="s">
        <v>3871</v>
      </c>
      <c r="O993" s="104" t="s">
        <v>523</v>
      </c>
      <c r="P993" s="102">
        <v>84997.75</v>
      </c>
      <c r="Q993" s="102">
        <v>24378</v>
      </c>
      <c r="R993" s="131"/>
      <c r="S993" s="132"/>
      <c r="T993" s="102">
        <v>53917</v>
      </c>
      <c r="U993" s="100"/>
      <c r="V993" s="246" t="s">
        <v>3872</v>
      </c>
      <c r="W993" s="45"/>
    </row>
    <row r="994" s="40" customFormat="1" ht="22" hidden="1" customHeight="1" spans="1:23">
      <c r="A994" s="144" t="s">
        <v>3873</v>
      </c>
      <c r="B994" s="174" t="s">
        <v>3605</v>
      </c>
      <c r="C994" s="175"/>
      <c r="D994" s="45" t="s">
        <v>31</v>
      </c>
      <c r="E994" s="82" t="s">
        <v>3868</v>
      </c>
      <c r="F994" s="81"/>
      <c r="G994" s="45" t="s">
        <v>3863</v>
      </c>
      <c r="H994" s="45" t="s">
        <v>123</v>
      </c>
      <c r="I994" s="45" t="s">
        <v>3858</v>
      </c>
      <c r="J994" s="156">
        <v>43908</v>
      </c>
      <c r="K994" s="100">
        <v>43973</v>
      </c>
      <c r="L994" s="100">
        <v>43994</v>
      </c>
      <c r="M994" s="229" t="s">
        <v>3874</v>
      </c>
      <c r="N994" s="338" t="s">
        <v>3875</v>
      </c>
      <c r="O994" s="104" t="s">
        <v>523</v>
      </c>
      <c r="P994" s="102">
        <v>43220</v>
      </c>
      <c r="Q994" s="102">
        <v>12295</v>
      </c>
      <c r="R994" s="131"/>
      <c r="S994" s="132"/>
      <c r="T994" s="102">
        <v>37522.25</v>
      </c>
      <c r="U994" s="100"/>
      <c r="V994" s="246" t="s">
        <v>3876</v>
      </c>
      <c r="W994" s="45"/>
    </row>
    <row r="995" s="40" customFormat="1" ht="22" hidden="1" customHeight="1" spans="1:23">
      <c r="A995" s="220" t="s">
        <v>3877</v>
      </c>
      <c r="B995" s="174" t="s">
        <v>3605</v>
      </c>
      <c r="C995" s="175"/>
      <c r="D995" s="45" t="s">
        <v>31</v>
      </c>
      <c r="E995" s="82" t="s">
        <v>3780</v>
      </c>
      <c r="F995" s="81">
        <f>IFERROR(VLOOKUP(E995,客户!B:C,2,FALSE),"/")</f>
        <v>0</v>
      </c>
      <c r="G995" s="45" t="s">
        <v>3878</v>
      </c>
      <c r="H995" s="45" t="s">
        <v>123</v>
      </c>
      <c r="I995" s="45" t="s">
        <v>3817</v>
      </c>
      <c r="J995" s="156">
        <v>43910</v>
      </c>
      <c r="K995" s="100">
        <v>44036</v>
      </c>
      <c r="L995" s="197"/>
      <c r="M995" s="342" t="s">
        <v>3879</v>
      </c>
      <c r="N995" s="338" t="s">
        <v>3880</v>
      </c>
      <c r="O995" s="265" t="s">
        <v>970</v>
      </c>
      <c r="P995" s="102">
        <f>23045.4+899.45</f>
        <v>23944.85</v>
      </c>
      <c r="Q995" s="102">
        <f>5677.16+3115.53+898.68</f>
        <v>9691.37</v>
      </c>
      <c r="R995" s="131"/>
      <c r="S995" s="132"/>
      <c r="T995" s="102">
        <f>5393.5/6.88</f>
        <v>783.938953488372</v>
      </c>
      <c r="U995" s="102">
        <v>13445</v>
      </c>
      <c r="V995" s="246"/>
      <c r="W995" s="45"/>
    </row>
    <row r="996" s="40" customFormat="1" ht="22" hidden="1" customHeight="1" spans="1:23">
      <c r="A996" s="144" t="s">
        <v>3881</v>
      </c>
      <c r="B996" s="174" t="s">
        <v>3605</v>
      </c>
      <c r="C996" s="175"/>
      <c r="D996" s="45" t="s">
        <v>31</v>
      </c>
      <c r="E996" s="82" t="s">
        <v>3882</v>
      </c>
      <c r="F996" s="81">
        <f>IFERROR(VLOOKUP(E996,客户!B:C,2,FALSE),"/")</f>
        <v>0</v>
      </c>
      <c r="G996" s="45" t="s">
        <v>3883</v>
      </c>
      <c r="H996" s="45" t="s">
        <v>123</v>
      </c>
      <c r="I996" s="45" t="s">
        <v>3757</v>
      </c>
      <c r="J996" s="156">
        <v>43922</v>
      </c>
      <c r="K996" s="100">
        <v>44004</v>
      </c>
      <c r="L996" s="100">
        <v>44033</v>
      </c>
      <c r="M996" s="229" t="s">
        <v>3884</v>
      </c>
      <c r="N996" s="338" t="s">
        <v>3885</v>
      </c>
      <c r="O996" s="104" t="s">
        <v>523</v>
      </c>
      <c r="P996" s="102">
        <v>35637.62</v>
      </c>
      <c r="Q996" s="102">
        <v>10813.53</v>
      </c>
      <c r="R996" s="131"/>
      <c r="S996" s="132"/>
      <c r="T996" s="102">
        <v>24577.78</v>
      </c>
      <c r="U996" s="100"/>
      <c r="V996" s="246" t="s">
        <v>3886</v>
      </c>
      <c r="W996" s="45"/>
    </row>
    <row r="997" s="40" customFormat="1" ht="22" hidden="1" customHeight="1" spans="1:23">
      <c r="A997" s="144" t="s">
        <v>3887</v>
      </c>
      <c r="B997" s="174" t="s">
        <v>3605</v>
      </c>
      <c r="C997" s="175"/>
      <c r="D997" s="45" t="s">
        <v>31</v>
      </c>
      <c r="E997" s="82" t="s">
        <v>3888</v>
      </c>
      <c r="F997" s="81">
        <f>IFERROR(VLOOKUP(E997,客户!B:C,2,FALSE),"/")</f>
        <v>0</v>
      </c>
      <c r="G997" s="45" t="s">
        <v>3889</v>
      </c>
      <c r="H997" s="45" t="s">
        <v>186</v>
      </c>
      <c r="I997" s="45"/>
      <c r="J997" s="156">
        <v>43937</v>
      </c>
      <c r="K997" s="100">
        <v>44155</v>
      </c>
      <c r="L997" s="197"/>
      <c r="M997" s="342" t="s">
        <v>3890</v>
      </c>
      <c r="N997" s="143"/>
      <c r="O997" s="104" t="s">
        <v>970</v>
      </c>
      <c r="P997" s="240">
        <v>93303</v>
      </c>
      <c r="Q997" s="240">
        <v>18660</v>
      </c>
      <c r="R997" s="131"/>
      <c r="S997" s="132"/>
      <c r="T997" s="240">
        <v>74643</v>
      </c>
      <c r="U997" s="100"/>
      <c r="V997" s="102"/>
      <c r="W997" s="45"/>
    </row>
    <row r="998" s="40" customFormat="1" ht="22" hidden="1" customHeight="1" spans="1:23">
      <c r="A998" s="144" t="s">
        <v>3891</v>
      </c>
      <c r="B998" s="174" t="s">
        <v>3605</v>
      </c>
      <c r="C998" s="175"/>
      <c r="D998" s="45" t="s">
        <v>31</v>
      </c>
      <c r="E998" s="82" t="s">
        <v>3892</v>
      </c>
      <c r="F998" s="81">
        <f>IFERROR(VLOOKUP(E998,客户!B:C,2,FALSE),"/")</f>
        <v>0</v>
      </c>
      <c r="G998" s="45" t="s">
        <v>2579</v>
      </c>
      <c r="H998" s="45" t="s">
        <v>147</v>
      </c>
      <c r="I998" s="45" t="s">
        <v>1123</v>
      </c>
      <c r="J998" s="156">
        <v>43950</v>
      </c>
      <c r="K998" s="100">
        <v>43995</v>
      </c>
      <c r="L998" s="100">
        <v>44011</v>
      </c>
      <c r="M998" s="155" t="s">
        <v>3893</v>
      </c>
      <c r="N998" s="338" t="s">
        <v>3894</v>
      </c>
      <c r="O998" s="104" t="s">
        <v>970</v>
      </c>
      <c r="P998" s="102">
        <v>20868</v>
      </c>
      <c r="Q998" s="102">
        <f>40000/7.06</f>
        <v>5665.7223796034</v>
      </c>
      <c r="R998" s="131"/>
      <c r="S998" s="102"/>
      <c r="T998" s="102">
        <f>107480/7.07</f>
        <v>15202.2630834512</v>
      </c>
      <c r="U998" s="100"/>
      <c r="V998" s="102"/>
      <c r="W998" s="45"/>
    </row>
    <row r="999" s="40" customFormat="1" ht="22" hidden="1" customHeight="1" spans="1:23">
      <c r="A999" s="144" t="s">
        <v>3895</v>
      </c>
      <c r="B999" s="174" t="s">
        <v>3605</v>
      </c>
      <c r="C999" s="175"/>
      <c r="D999" s="45" t="s">
        <v>31</v>
      </c>
      <c r="E999" s="82" t="s">
        <v>3896</v>
      </c>
      <c r="F999" s="81" t="str">
        <f>IFERROR(VLOOKUP(E999,客户!B:C,2,FALSE),"/")</f>
        <v>J3805客户尾款打的多</v>
      </c>
      <c r="G999" s="45" t="s">
        <v>3897</v>
      </c>
      <c r="H999" s="45" t="s">
        <v>123</v>
      </c>
      <c r="I999" s="45" t="s">
        <v>3898</v>
      </c>
      <c r="J999" s="156">
        <v>43962</v>
      </c>
      <c r="K999" s="100">
        <v>44006</v>
      </c>
      <c r="L999" s="200">
        <v>44057</v>
      </c>
      <c r="M999" s="155" t="s">
        <v>3899</v>
      </c>
      <c r="N999" s="338" t="s">
        <v>3900</v>
      </c>
      <c r="O999" s="104" t="s">
        <v>523</v>
      </c>
      <c r="P999" s="102">
        <v>13986.21</v>
      </c>
      <c r="Q999" s="230">
        <v>8352.4</v>
      </c>
      <c r="R999" s="131"/>
      <c r="S999" s="132"/>
      <c r="T999" s="102">
        <v>20027.66</v>
      </c>
      <c r="U999" s="100"/>
      <c r="V999" s="246" t="s">
        <v>3901</v>
      </c>
      <c r="W999" s="45"/>
    </row>
    <row r="1000" s="40" customFormat="1" ht="22" hidden="1" customHeight="1" spans="1:23">
      <c r="A1000" s="144" t="s">
        <v>3902</v>
      </c>
      <c r="B1000" s="174" t="s">
        <v>3605</v>
      </c>
      <c r="C1000" s="175"/>
      <c r="D1000" s="45" t="s">
        <v>31</v>
      </c>
      <c r="E1000" s="82" t="s">
        <v>3868</v>
      </c>
      <c r="F1000" s="81">
        <f>IFERROR(VLOOKUP(E1000,客户!B:C,2,FALSE),"/")</f>
        <v>0</v>
      </c>
      <c r="G1000" s="45" t="s">
        <v>3903</v>
      </c>
      <c r="H1000" s="45" t="s">
        <v>123</v>
      </c>
      <c r="I1000" s="45" t="s">
        <v>3904</v>
      </c>
      <c r="J1000" s="156">
        <v>43978</v>
      </c>
      <c r="K1000" s="100">
        <v>44024</v>
      </c>
      <c r="L1000" s="200">
        <v>44049</v>
      </c>
      <c r="M1000" s="155" t="s">
        <v>3905</v>
      </c>
      <c r="N1000" s="338" t="s">
        <v>3906</v>
      </c>
      <c r="O1000" s="265" t="s">
        <v>523</v>
      </c>
      <c r="P1000" s="102">
        <v>39780</v>
      </c>
      <c r="Q1000" s="102">
        <v>11934</v>
      </c>
      <c r="R1000" s="131"/>
      <c r="S1000" s="132"/>
      <c r="T1000" s="102">
        <v>27776</v>
      </c>
      <c r="U1000" s="100"/>
      <c r="V1000" s="246" t="s">
        <v>3907</v>
      </c>
      <c r="W1000" s="45"/>
    </row>
    <row r="1001" s="40" customFormat="1" ht="22" hidden="1" customHeight="1" spans="1:23">
      <c r="A1001" s="144" t="s">
        <v>3908</v>
      </c>
      <c r="B1001" s="174" t="s">
        <v>3605</v>
      </c>
      <c r="C1001" s="175"/>
      <c r="D1001" s="45" t="s">
        <v>31</v>
      </c>
      <c r="E1001" s="82" t="s">
        <v>3909</v>
      </c>
      <c r="F1001" s="81">
        <f>IFERROR(VLOOKUP(E1001,客户!B:C,2,FALSE),"/")</f>
        <v>0</v>
      </c>
      <c r="G1001" s="45" t="s">
        <v>3910</v>
      </c>
      <c r="H1001" s="45" t="s">
        <v>123</v>
      </c>
      <c r="I1001" s="45" t="s">
        <v>3911</v>
      </c>
      <c r="J1001" s="156">
        <v>43980</v>
      </c>
      <c r="K1001" s="100">
        <v>44027</v>
      </c>
      <c r="L1001" s="200">
        <v>44058</v>
      </c>
      <c r="M1001" s="155" t="s">
        <v>3912</v>
      </c>
      <c r="N1001" s="338" t="s">
        <v>3913</v>
      </c>
      <c r="O1001" s="265" t="s">
        <v>523</v>
      </c>
      <c r="P1001" s="102">
        <v>18215.6</v>
      </c>
      <c r="Q1001" s="102">
        <f>7741.14-1076.41</f>
        <v>6664.73</v>
      </c>
      <c r="R1001" s="131"/>
      <c r="S1001" s="132"/>
      <c r="T1001" s="102">
        <v>11550.86</v>
      </c>
      <c r="U1001" s="100"/>
      <c r="V1001" s="102"/>
      <c r="W1001" s="45"/>
    </row>
    <row r="1002" s="40" customFormat="1" ht="22" hidden="1" customHeight="1" spans="1:23">
      <c r="A1002" s="144" t="s">
        <v>3914</v>
      </c>
      <c r="B1002" s="174" t="s">
        <v>3605</v>
      </c>
      <c r="C1002" s="175"/>
      <c r="D1002" s="45" t="s">
        <v>31</v>
      </c>
      <c r="E1002" s="82" t="s">
        <v>3915</v>
      </c>
      <c r="F1002" s="81">
        <f>IFERROR(VLOOKUP(E1002,客户!B:C,2,FALSE),"/")</f>
        <v>0</v>
      </c>
      <c r="G1002" s="229" t="s">
        <v>3916</v>
      </c>
      <c r="H1002" s="45" t="s">
        <v>186</v>
      </c>
      <c r="I1002" s="45"/>
      <c r="J1002" s="156">
        <v>44001</v>
      </c>
      <c r="K1002" s="100">
        <v>44045</v>
      </c>
      <c r="L1002" s="197"/>
      <c r="M1002" s="342" t="s">
        <v>3917</v>
      </c>
      <c r="N1002" s="143"/>
      <c r="O1002" s="265" t="s">
        <v>970</v>
      </c>
      <c r="P1002" s="240">
        <v>14762.75</v>
      </c>
      <c r="Q1002" s="240">
        <v>4000</v>
      </c>
      <c r="R1002" s="347"/>
      <c r="S1002" s="348"/>
      <c r="T1002" s="240">
        <v>10762</v>
      </c>
      <c r="U1002" s="100"/>
      <c r="V1002" s="102"/>
      <c r="W1002" s="45"/>
    </row>
    <row r="1003" s="40" customFormat="1" ht="22" hidden="1" customHeight="1" spans="1:23">
      <c r="A1003" s="144" t="s">
        <v>3918</v>
      </c>
      <c r="B1003" s="174" t="s">
        <v>3605</v>
      </c>
      <c r="C1003" s="175"/>
      <c r="D1003" s="45" t="s">
        <v>31</v>
      </c>
      <c r="E1003" s="82" t="s">
        <v>3919</v>
      </c>
      <c r="F1003" s="81">
        <f>IFERROR(VLOOKUP(E1003,客户!B:C,2,FALSE),"/")</f>
        <v>0</v>
      </c>
      <c r="G1003" s="229" t="s">
        <v>3920</v>
      </c>
      <c r="H1003" s="45" t="s">
        <v>123</v>
      </c>
      <c r="I1003" s="45" t="s">
        <v>3513</v>
      </c>
      <c r="J1003" s="156">
        <v>44015</v>
      </c>
      <c r="K1003" s="100">
        <v>44039</v>
      </c>
      <c r="L1003" s="197"/>
      <c r="M1003" s="342" t="s">
        <v>3921</v>
      </c>
      <c r="N1003" s="338" t="s">
        <v>3832</v>
      </c>
      <c r="O1003" s="265" t="s">
        <v>970</v>
      </c>
      <c r="P1003" s="102">
        <v>19737.4</v>
      </c>
      <c r="Q1003" s="332"/>
      <c r="R1003" s="131"/>
      <c r="S1003" s="132"/>
      <c r="T1003" s="102">
        <v>19737.4</v>
      </c>
      <c r="U1003" s="100"/>
      <c r="V1003" s="246" t="s">
        <v>3922</v>
      </c>
      <c r="W1003" s="45"/>
    </row>
    <row r="1004" s="40" customFormat="1" ht="22" hidden="1" customHeight="1" spans="1:23">
      <c r="A1004" s="144" t="s">
        <v>3923</v>
      </c>
      <c r="B1004" s="174" t="s">
        <v>3605</v>
      </c>
      <c r="C1004" s="175"/>
      <c r="D1004" s="45" t="s">
        <v>31</v>
      </c>
      <c r="E1004" s="82" t="s">
        <v>3919</v>
      </c>
      <c r="F1004" s="81">
        <f>IFERROR(VLOOKUP(E1004,客户!B:C,2,FALSE),"/")</f>
        <v>0</v>
      </c>
      <c r="G1004" s="229" t="s">
        <v>3920</v>
      </c>
      <c r="H1004" s="45" t="s">
        <v>123</v>
      </c>
      <c r="I1004" s="45" t="s">
        <v>3513</v>
      </c>
      <c r="J1004" s="156">
        <v>44015</v>
      </c>
      <c r="K1004" s="100">
        <v>44053</v>
      </c>
      <c r="L1004" s="197"/>
      <c r="M1004" s="155" t="s">
        <v>3924</v>
      </c>
      <c r="N1004" s="338" t="s">
        <v>3925</v>
      </c>
      <c r="O1004" s="265" t="s">
        <v>970</v>
      </c>
      <c r="P1004" s="102">
        <v>19729</v>
      </c>
      <c r="Q1004" s="240"/>
      <c r="R1004" s="131"/>
      <c r="S1004" s="132"/>
      <c r="T1004" s="102">
        <v>19729</v>
      </c>
      <c r="U1004" s="100"/>
      <c r="V1004" s="102"/>
      <c r="W1004" s="45"/>
    </row>
    <row r="1005" s="40" customFormat="1" ht="22" hidden="1" customHeight="1" spans="1:23">
      <c r="A1005" s="144" t="s">
        <v>3926</v>
      </c>
      <c r="B1005" s="174" t="s">
        <v>3605</v>
      </c>
      <c r="C1005" s="175"/>
      <c r="D1005" s="45" t="s">
        <v>31</v>
      </c>
      <c r="E1005" s="82" t="s">
        <v>3868</v>
      </c>
      <c r="F1005" s="81">
        <f>IFERROR(VLOOKUP(E1005,客户!B:C,2,FALSE),"/")</f>
        <v>0</v>
      </c>
      <c r="G1005" s="229" t="s">
        <v>3927</v>
      </c>
      <c r="H1005" s="45" t="s">
        <v>123</v>
      </c>
      <c r="I1005" s="45" t="s">
        <v>3904</v>
      </c>
      <c r="J1005" s="156">
        <v>44018</v>
      </c>
      <c r="K1005" s="100">
        <v>44051</v>
      </c>
      <c r="L1005" s="100">
        <v>44076</v>
      </c>
      <c r="M1005" s="342" t="s">
        <v>3928</v>
      </c>
      <c r="N1005" s="338" t="s">
        <v>3929</v>
      </c>
      <c r="O1005" s="265" t="s">
        <v>523</v>
      </c>
      <c r="P1005" s="102">
        <v>43192.8</v>
      </c>
      <c r="Q1005" s="102">
        <v>13378</v>
      </c>
      <c r="R1005" s="131"/>
      <c r="S1005" s="132"/>
      <c r="T1005" s="102">
        <v>29813</v>
      </c>
      <c r="U1005" s="100"/>
      <c r="V1005" s="102"/>
      <c r="W1005" s="45"/>
    </row>
    <row r="1006" s="40" customFormat="1" ht="22" hidden="1" customHeight="1" spans="1:23">
      <c r="A1006" s="144" t="s">
        <v>3930</v>
      </c>
      <c r="B1006" s="174" t="s">
        <v>3605</v>
      </c>
      <c r="C1006" s="175"/>
      <c r="D1006" s="45" t="s">
        <v>31</v>
      </c>
      <c r="E1006" s="82" t="s">
        <v>3931</v>
      </c>
      <c r="F1006" s="81">
        <f>IFERROR(VLOOKUP(E1006,客户!B:C,2,FALSE),"/")</f>
        <v>0</v>
      </c>
      <c r="G1006" s="45" t="s">
        <v>3932</v>
      </c>
      <c r="H1006" s="45" t="s">
        <v>123</v>
      </c>
      <c r="I1006" s="45" t="s">
        <v>3817</v>
      </c>
      <c r="J1006" s="156">
        <v>44020</v>
      </c>
      <c r="K1006" s="100">
        <v>44073</v>
      </c>
      <c r="L1006" s="197"/>
      <c r="M1006" s="342" t="s">
        <v>3933</v>
      </c>
      <c r="N1006" s="143" t="s">
        <v>3819</v>
      </c>
      <c r="O1006" s="265" t="s">
        <v>970</v>
      </c>
      <c r="P1006" s="102">
        <v>25268.5</v>
      </c>
      <c r="Q1006" s="102">
        <v>9214</v>
      </c>
      <c r="R1006" s="131"/>
      <c r="S1006" s="132"/>
      <c r="T1006" s="102">
        <v>18777.25</v>
      </c>
      <c r="U1006" s="100"/>
      <c r="V1006" s="246" t="s">
        <v>3934</v>
      </c>
      <c r="W1006" s="45"/>
    </row>
    <row r="1007" s="40" customFormat="1" ht="22" hidden="1" customHeight="1" spans="1:23">
      <c r="A1007" s="144" t="s">
        <v>3935</v>
      </c>
      <c r="B1007" s="174" t="s">
        <v>3605</v>
      </c>
      <c r="C1007" s="175"/>
      <c r="D1007" s="45" t="s">
        <v>31</v>
      </c>
      <c r="E1007" s="82" t="s">
        <v>3892</v>
      </c>
      <c r="F1007" s="81">
        <f>IFERROR(VLOOKUP(E1007,客户!B:C,2,FALSE),"/")</f>
        <v>0</v>
      </c>
      <c r="G1007" s="45" t="s">
        <v>3936</v>
      </c>
      <c r="H1007" s="45" t="s">
        <v>127</v>
      </c>
      <c r="I1007" s="45" t="s">
        <v>1123</v>
      </c>
      <c r="J1007" s="156">
        <v>44027</v>
      </c>
      <c r="K1007" s="100">
        <v>44065</v>
      </c>
      <c r="L1007" s="100">
        <v>44081</v>
      </c>
      <c r="M1007" s="155" t="s">
        <v>3937</v>
      </c>
      <c r="N1007" s="338" t="s">
        <v>3938</v>
      </c>
      <c r="O1007" s="265" t="s">
        <v>970</v>
      </c>
      <c r="P1007" s="102">
        <v>22586</v>
      </c>
      <c r="Q1007" s="102">
        <f>47000/6.98</f>
        <v>6733.52435530086</v>
      </c>
      <c r="R1007" s="131"/>
      <c r="S1007" s="132"/>
      <c r="T1007" s="102">
        <f>109699.13/6.92</f>
        <v>15852.475433526</v>
      </c>
      <c r="U1007" s="100"/>
      <c r="V1007" s="102"/>
      <c r="W1007" s="45"/>
    </row>
    <row r="1008" s="40" customFormat="1" ht="22" hidden="1" customHeight="1" spans="1:23">
      <c r="A1008" s="144" t="s">
        <v>3939</v>
      </c>
      <c r="B1008" s="174" t="s">
        <v>3605</v>
      </c>
      <c r="C1008" s="175"/>
      <c r="D1008" s="45" t="s">
        <v>31</v>
      </c>
      <c r="E1008" s="82" t="s">
        <v>3892</v>
      </c>
      <c r="F1008" s="81">
        <f>IFERROR(VLOOKUP(E1008,客户!B:C,2,FALSE),"/")</f>
        <v>0</v>
      </c>
      <c r="G1008" s="45" t="s">
        <v>3936</v>
      </c>
      <c r="H1008" s="45" t="s">
        <v>127</v>
      </c>
      <c r="I1008" s="45" t="s">
        <v>1123</v>
      </c>
      <c r="J1008" s="156">
        <v>44031</v>
      </c>
      <c r="K1008" s="100">
        <v>44086</v>
      </c>
      <c r="L1008" s="100">
        <v>44102</v>
      </c>
      <c r="M1008" s="342" t="s">
        <v>3940</v>
      </c>
      <c r="N1008" s="338" t="s">
        <v>3941</v>
      </c>
      <c r="O1008" s="265" t="s">
        <v>970</v>
      </c>
      <c r="P1008" s="102">
        <v>22407</v>
      </c>
      <c r="Q1008" s="102">
        <f>48000/6.98</f>
        <v>6876.79083094556</v>
      </c>
      <c r="R1008" s="131"/>
      <c r="S1008" s="132"/>
      <c r="T1008" s="102">
        <f>109100/6.82</f>
        <v>15997.0674486804</v>
      </c>
      <c r="U1008" s="100"/>
      <c r="V1008" s="246" t="s">
        <v>3942</v>
      </c>
      <c r="W1008" s="45"/>
    </row>
    <row r="1009" s="40" customFormat="1" ht="22" hidden="1" customHeight="1" spans="1:23">
      <c r="A1009" s="144" t="s">
        <v>3943</v>
      </c>
      <c r="B1009" s="174" t="s">
        <v>3605</v>
      </c>
      <c r="C1009" s="175"/>
      <c r="D1009" s="45" t="s">
        <v>31</v>
      </c>
      <c r="E1009" s="82" t="s">
        <v>3919</v>
      </c>
      <c r="F1009" s="81">
        <f>IFERROR(VLOOKUP(E1009,客户!B:C,2,FALSE),"/")</f>
        <v>0</v>
      </c>
      <c r="G1009" s="45" t="s">
        <v>1234</v>
      </c>
      <c r="H1009" s="45" t="s">
        <v>123</v>
      </c>
      <c r="I1009" s="45" t="s">
        <v>3513</v>
      </c>
      <c r="J1009" s="156">
        <v>44035</v>
      </c>
      <c r="K1009" s="100">
        <v>44067</v>
      </c>
      <c r="L1009" s="197"/>
      <c r="M1009" s="342" t="s">
        <v>3944</v>
      </c>
      <c r="N1009" s="338" t="s">
        <v>3763</v>
      </c>
      <c r="O1009" s="338" t="s">
        <v>970</v>
      </c>
      <c r="P1009" s="102">
        <v>19772</v>
      </c>
      <c r="Q1009" s="332"/>
      <c r="R1009" s="131"/>
      <c r="S1009" s="132"/>
      <c r="T1009" s="102">
        <v>19772</v>
      </c>
      <c r="U1009" s="100"/>
      <c r="V1009" s="102"/>
      <c r="W1009" s="45"/>
    </row>
    <row r="1010" s="40" customFormat="1" ht="22" hidden="1" customHeight="1" spans="1:23">
      <c r="A1010" s="144" t="s">
        <v>3945</v>
      </c>
      <c r="B1010" s="174" t="s">
        <v>3605</v>
      </c>
      <c r="C1010" s="175"/>
      <c r="D1010" s="45" t="s">
        <v>31</v>
      </c>
      <c r="E1010" s="82" t="s">
        <v>3946</v>
      </c>
      <c r="F1010" s="81">
        <f>IFERROR(VLOOKUP(E1010,客户!B:C,2,FALSE),"/")</f>
        <v>0</v>
      </c>
      <c r="G1010" s="229" t="s">
        <v>3947</v>
      </c>
      <c r="H1010" s="45" t="s">
        <v>186</v>
      </c>
      <c r="I1010" s="45"/>
      <c r="J1010" s="156">
        <v>44044</v>
      </c>
      <c r="K1010" s="100">
        <v>44079</v>
      </c>
      <c r="L1010" s="197"/>
      <c r="M1010" s="340" t="s">
        <v>3948</v>
      </c>
      <c r="N1010" s="338"/>
      <c r="O1010" s="338" t="s">
        <v>970</v>
      </c>
      <c r="P1010" s="240">
        <v>84386</v>
      </c>
      <c r="Q1010" s="240">
        <v>21272.5</v>
      </c>
      <c r="R1010" s="131"/>
      <c r="S1010" s="132"/>
      <c r="T1010" s="349">
        <v>63113.5</v>
      </c>
      <c r="U1010" s="100"/>
      <c r="V1010" s="102"/>
      <c r="W1010" s="45"/>
    </row>
    <row r="1011" s="40" customFormat="1" ht="22" hidden="1" customHeight="1" spans="1:23">
      <c r="A1011" s="144" t="s">
        <v>3949</v>
      </c>
      <c r="B1011" s="174" t="s">
        <v>3605</v>
      </c>
      <c r="C1011" s="175"/>
      <c r="D1011" s="45" t="s">
        <v>31</v>
      </c>
      <c r="E1011" s="82" t="s">
        <v>3919</v>
      </c>
      <c r="F1011" s="81">
        <f>IFERROR(VLOOKUP(E1011,客户!B:C,2,FALSE),"/")</f>
        <v>0</v>
      </c>
      <c r="G1011" s="45" t="s">
        <v>3950</v>
      </c>
      <c r="H1011" s="45" t="s">
        <v>123</v>
      </c>
      <c r="I1011" s="45" t="s">
        <v>3513</v>
      </c>
      <c r="J1011" s="156">
        <v>44056</v>
      </c>
      <c r="K1011" s="100">
        <v>44100</v>
      </c>
      <c r="L1011" s="197"/>
      <c r="M1011" s="342" t="s">
        <v>3951</v>
      </c>
      <c r="N1011" s="338" t="s">
        <v>3925</v>
      </c>
      <c r="O1011" s="338" t="s">
        <v>970</v>
      </c>
      <c r="P1011" s="102">
        <v>40639.6</v>
      </c>
      <c r="Q1011" s="332"/>
      <c r="R1011" s="131"/>
      <c r="S1011" s="132"/>
      <c r="T1011" s="102">
        <v>40639.6</v>
      </c>
      <c r="U1011" s="100"/>
      <c r="V1011" s="102"/>
      <c r="W1011" s="45"/>
    </row>
    <row r="1012" s="40" customFormat="1" ht="22" hidden="1" customHeight="1" spans="1:23">
      <c r="A1012" s="144" t="s">
        <v>3952</v>
      </c>
      <c r="B1012" s="174" t="s">
        <v>3605</v>
      </c>
      <c r="C1012" s="175"/>
      <c r="D1012" s="45" t="s">
        <v>31</v>
      </c>
      <c r="E1012" s="82" t="s">
        <v>3919</v>
      </c>
      <c r="F1012" s="81">
        <f>IFERROR(VLOOKUP(E1012,客户!B:C,2,FALSE),"/")</f>
        <v>0</v>
      </c>
      <c r="G1012" s="45" t="s">
        <v>3950</v>
      </c>
      <c r="H1012" s="45" t="s">
        <v>123</v>
      </c>
      <c r="I1012" s="45" t="s">
        <v>3513</v>
      </c>
      <c r="J1012" s="156">
        <v>44056</v>
      </c>
      <c r="K1012" s="100">
        <v>44119</v>
      </c>
      <c r="L1012" s="197"/>
      <c r="M1012" s="342" t="s">
        <v>3953</v>
      </c>
      <c r="N1012" s="338" t="s">
        <v>3954</v>
      </c>
      <c r="O1012" s="265" t="s">
        <v>970</v>
      </c>
      <c r="P1012" s="102">
        <v>39659.9</v>
      </c>
      <c r="Q1012" s="332"/>
      <c r="R1012" s="131"/>
      <c r="S1012" s="132"/>
      <c r="T1012" s="102">
        <v>39659.9</v>
      </c>
      <c r="U1012" s="100"/>
      <c r="V1012" s="102" t="s">
        <v>3955</v>
      </c>
      <c r="W1012" s="45"/>
    </row>
    <row r="1013" s="40" customFormat="1" ht="22" hidden="1" customHeight="1" spans="1:23">
      <c r="A1013" s="144" t="s">
        <v>3956</v>
      </c>
      <c r="B1013" s="174" t="s">
        <v>3605</v>
      </c>
      <c r="C1013" s="175"/>
      <c r="D1013" s="45" t="s">
        <v>31</v>
      </c>
      <c r="E1013" s="82" t="s">
        <v>3909</v>
      </c>
      <c r="F1013" s="81">
        <f>IFERROR(VLOOKUP(E1013,客户!B:C,2,FALSE),"/")</f>
        <v>0</v>
      </c>
      <c r="G1013" s="45" t="s">
        <v>3957</v>
      </c>
      <c r="H1013" s="45" t="s">
        <v>123</v>
      </c>
      <c r="I1013" s="45" t="s">
        <v>3911</v>
      </c>
      <c r="J1013" s="156">
        <v>44060</v>
      </c>
      <c r="K1013" s="100">
        <v>44109</v>
      </c>
      <c r="L1013" s="100">
        <v>44147</v>
      </c>
      <c r="M1013" s="342" t="s">
        <v>3958</v>
      </c>
      <c r="N1013" s="338" t="s">
        <v>3959</v>
      </c>
      <c r="O1013" s="265" t="s">
        <v>523</v>
      </c>
      <c r="P1013" s="102">
        <v>43765.8</v>
      </c>
      <c r="Q1013" s="102">
        <f>8209.92+4596.9</f>
        <v>12806.82</v>
      </c>
      <c r="R1013" s="131"/>
      <c r="S1013" s="132"/>
      <c r="T1013" s="102">
        <v>19156.48</v>
      </c>
      <c r="U1013" s="102">
        <v>10726.1</v>
      </c>
      <c r="V1013" s="102"/>
      <c r="W1013" s="45"/>
    </row>
    <row r="1014" s="40" customFormat="1" ht="22" hidden="1" customHeight="1" spans="1:23">
      <c r="A1014" s="144" t="s">
        <v>3960</v>
      </c>
      <c r="B1014" s="174" t="s">
        <v>3605</v>
      </c>
      <c r="C1014" s="175"/>
      <c r="D1014" s="45" t="s">
        <v>31</v>
      </c>
      <c r="E1014" s="82" t="s">
        <v>3868</v>
      </c>
      <c r="F1014" s="81">
        <f>IFERROR(VLOOKUP(E1014,客户!B:C,2,FALSE),"/")</f>
        <v>0</v>
      </c>
      <c r="G1014" s="45" t="s">
        <v>3961</v>
      </c>
      <c r="H1014" s="45" t="s">
        <v>123</v>
      </c>
      <c r="I1014" s="45" t="s">
        <v>3858</v>
      </c>
      <c r="J1014" s="156">
        <v>44064</v>
      </c>
      <c r="K1014" s="100">
        <v>44094</v>
      </c>
      <c r="L1014" s="100">
        <v>44118</v>
      </c>
      <c r="M1014" s="342" t="s">
        <v>3962</v>
      </c>
      <c r="N1014" s="338" t="s">
        <v>3963</v>
      </c>
      <c r="O1014" s="265" t="s">
        <v>523</v>
      </c>
      <c r="P1014" s="102">
        <v>20094</v>
      </c>
      <c r="Q1014" s="102">
        <v>6120</v>
      </c>
      <c r="R1014" s="131"/>
      <c r="S1014" s="132"/>
      <c r="T1014" s="102">
        <v>13974</v>
      </c>
      <c r="U1014" s="100"/>
      <c r="V1014" s="102"/>
      <c r="W1014" s="45"/>
    </row>
    <row r="1015" s="40" customFormat="1" ht="22" hidden="1" customHeight="1" spans="1:23">
      <c r="A1015" s="144" t="s">
        <v>3964</v>
      </c>
      <c r="B1015" s="174" t="s">
        <v>3605</v>
      </c>
      <c r="C1015" s="175"/>
      <c r="D1015" s="45" t="s">
        <v>31</v>
      </c>
      <c r="E1015" s="82" t="s">
        <v>3946</v>
      </c>
      <c r="F1015" s="81">
        <f>IFERROR(VLOOKUP(E1015,客户!B:C,2,FALSE),"/")</f>
        <v>0</v>
      </c>
      <c r="G1015" s="229" t="s">
        <v>3947</v>
      </c>
      <c r="H1015" s="45" t="s">
        <v>186</v>
      </c>
      <c r="I1015" s="45"/>
      <c r="J1015" s="156">
        <v>44078</v>
      </c>
      <c r="K1015" s="100">
        <v>44098</v>
      </c>
      <c r="L1015" s="197"/>
      <c r="M1015" s="343" t="s">
        <v>3965</v>
      </c>
      <c r="N1015" s="338"/>
      <c r="O1015" s="265" t="s">
        <v>970</v>
      </c>
      <c r="P1015" s="240">
        <f>116295+4200+1000-650</f>
        <v>120845</v>
      </c>
      <c r="Q1015" s="240">
        <v>20000</v>
      </c>
      <c r="R1015" s="131"/>
      <c r="S1015" s="132"/>
      <c r="T1015" s="240">
        <v>97045</v>
      </c>
      <c r="U1015" s="240">
        <v>3800</v>
      </c>
      <c r="V1015" s="102"/>
      <c r="W1015" s="45"/>
    </row>
    <row r="1016" s="40" customFormat="1" ht="22" hidden="1" customHeight="1" spans="1:23">
      <c r="A1016" s="144" t="s">
        <v>3966</v>
      </c>
      <c r="B1016" s="174" t="s">
        <v>3605</v>
      </c>
      <c r="C1016" s="175" t="s">
        <v>3605</v>
      </c>
      <c r="D1016" s="45" t="s">
        <v>31</v>
      </c>
      <c r="E1016" s="82" t="s">
        <v>3868</v>
      </c>
      <c r="F1016" s="81">
        <f>IFERROR(VLOOKUP(E1016,客户!B:C,2,FALSE),"/")</f>
        <v>0</v>
      </c>
      <c r="G1016" s="229" t="s">
        <v>3967</v>
      </c>
      <c r="H1016" s="45" t="s">
        <v>123</v>
      </c>
      <c r="I1016" s="45" t="s">
        <v>3858</v>
      </c>
      <c r="J1016" s="156">
        <v>44085</v>
      </c>
      <c r="K1016" s="100">
        <v>44133</v>
      </c>
      <c r="L1016" s="100">
        <v>44175</v>
      </c>
      <c r="M1016" s="342" t="s">
        <v>3968</v>
      </c>
      <c r="N1016" s="338" t="s">
        <v>3969</v>
      </c>
      <c r="O1016" s="265" t="s">
        <v>523</v>
      </c>
      <c r="P1016" s="102">
        <v>44226</v>
      </c>
      <c r="Q1016" s="230">
        <v>13267</v>
      </c>
      <c r="R1016" s="131"/>
      <c r="S1016" s="132"/>
      <c r="T1016" s="102">
        <v>30959</v>
      </c>
      <c r="U1016" s="100"/>
      <c r="V1016" s="102"/>
      <c r="W1016" s="45"/>
    </row>
    <row r="1017" s="40" customFormat="1" ht="22" hidden="1" customHeight="1" spans="1:23">
      <c r="A1017" s="144" t="s">
        <v>3970</v>
      </c>
      <c r="B1017" s="174" t="s">
        <v>3605</v>
      </c>
      <c r="C1017" s="175"/>
      <c r="D1017" s="45" t="s">
        <v>31</v>
      </c>
      <c r="E1017" s="82" t="s">
        <v>3971</v>
      </c>
      <c r="F1017" s="81"/>
      <c r="G1017" s="229" t="s">
        <v>3972</v>
      </c>
      <c r="H1017" s="45" t="s">
        <v>186</v>
      </c>
      <c r="I1017" s="45"/>
      <c r="J1017" s="156">
        <v>44094</v>
      </c>
      <c r="K1017" s="100">
        <v>44094</v>
      </c>
      <c r="L1017" s="197"/>
      <c r="M1017" s="342"/>
      <c r="N1017" s="338"/>
      <c r="O1017" s="265" t="s">
        <v>970</v>
      </c>
      <c r="P1017" s="240">
        <v>18631.1</v>
      </c>
      <c r="Q1017" s="230"/>
      <c r="R1017" s="131"/>
      <c r="S1017" s="132"/>
      <c r="T1017" s="240">
        <v>18631.1</v>
      </c>
      <c r="U1017" s="100"/>
      <c r="V1017" s="102"/>
      <c r="W1017" s="45"/>
    </row>
    <row r="1018" s="40" customFormat="1" ht="22" hidden="1" customHeight="1" spans="1:23">
      <c r="A1018" s="144" t="s">
        <v>3973</v>
      </c>
      <c r="B1018" s="174" t="s">
        <v>3605</v>
      </c>
      <c r="C1018" s="175"/>
      <c r="D1018" s="45" t="s">
        <v>31</v>
      </c>
      <c r="E1018" s="82" t="s">
        <v>3931</v>
      </c>
      <c r="F1018" s="81">
        <f>IFERROR(VLOOKUP(E1018,客户!B:C,2,FALSE),"/")</f>
        <v>0</v>
      </c>
      <c r="G1018" s="229" t="s">
        <v>3974</v>
      </c>
      <c r="H1018" s="45" t="s">
        <v>123</v>
      </c>
      <c r="I1018" s="45" t="s">
        <v>3817</v>
      </c>
      <c r="J1018" s="156">
        <v>44097</v>
      </c>
      <c r="K1018" s="100">
        <v>44143</v>
      </c>
      <c r="L1018" s="197"/>
      <c r="M1018" s="342" t="s">
        <v>3975</v>
      </c>
      <c r="N1018" s="342" t="s">
        <v>3976</v>
      </c>
      <c r="O1018" s="265" t="s">
        <v>970</v>
      </c>
      <c r="P1018" s="102">
        <v>27806.45</v>
      </c>
      <c r="Q1018" s="230">
        <v>7525</v>
      </c>
      <c r="R1018" s="131"/>
      <c r="S1018" s="132"/>
      <c r="T1018" s="230">
        <v>17558.7</v>
      </c>
      <c r="U1018" s="100"/>
      <c r="V1018" s="102"/>
      <c r="W1018" s="45"/>
    </row>
    <row r="1019" s="40" customFormat="1" ht="22" hidden="1" customHeight="1" spans="1:23">
      <c r="A1019" s="144" t="s">
        <v>3977</v>
      </c>
      <c r="B1019" s="174" t="s">
        <v>3605</v>
      </c>
      <c r="C1019" s="175"/>
      <c r="D1019" s="45" t="s">
        <v>31</v>
      </c>
      <c r="E1019" s="82" t="s">
        <v>3946</v>
      </c>
      <c r="F1019" s="81">
        <f>IFERROR(VLOOKUP(E1019,客户!B:C,2,FALSE),"/")</f>
        <v>0</v>
      </c>
      <c r="G1019" s="229" t="s">
        <v>3978</v>
      </c>
      <c r="H1019" s="45" t="s">
        <v>186</v>
      </c>
      <c r="I1019" s="45"/>
      <c r="J1019" s="156">
        <v>44099</v>
      </c>
      <c r="K1019" s="100">
        <v>44140</v>
      </c>
      <c r="L1019" s="197"/>
      <c r="M1019" s="342" t="s">
        <v>3979</v>
      </c>
      <c r="N1019" s="338"/>
      <c r="O1019" s="265" t="s">
        <v>970</v>
      </c>
      <c r="P1019" s="240">
        <f>72654+3066</f>
        <v>75720</v>
      </c>
      <c r="Q1019" s="240">
        <f>15000+3066</f>
        <v>18066</v>
      </c>
      <c r="R1019" s="131"/>
      <c r="S1019" s="132"/>
      <c r="T1019" s="240">
        <v>57654</v>
      </c>
      <c r="U1019" s="100"/>
      <c r="V1019" s="102"/>
      <c r="W1019" s="45"/>
    </row>
    <row r="1020" s="40" customFormat="1" ht="22" hidden="1" customHeight="1" spans="1:23">
      <c r="A1020" s="144" t="s">
        <v>3980</v>
      </c>
      <c r="B1020" s="174" t="s">
        <v>3605</v>
      </c>
      <c r="C1020" s="175"/>
      <c r="D1020" s="45" t="s">
        <v>31</v>
      </c>
      <c r="E1020" s="82" t="s">
        <v>3981</v>
      </c>
      <c r="F1020" s="81">
        <f>IFERROR(VLOOKUP(E1020,客户!B:C,2,FALSE),"/")</f>
        <v>0</v>
      </c>
      <c r="G1020" s="229" t="s">
        <v>1742</v>
      </c>
      <c r="H1020" s="45" t="s">
        <v>123</v>
      </c>
      <c r="I1020" s="45" t="s">
        <v>770</v>
      </c>
      <c r="J1020" s="156">
        <v>44113</v>
      </c>
      <c r="K1020" s="100">
        <v>44191</v>
      </c>
      <c r="L1020" s="100">
        <v>44214</v>
      </c>
      <c r="M1020" s="155" t="s">
        <v>3982</v>
      </c>
      <c r="N1020" s="338" t="s">
        <v>3983</v>
      </c>
      <c r="O1020" s="265" t="s">
        <v>523</v>
      </c>
      <c r="P1020" s="102">
        <v>22743.5</v>
      </c>
      <c r="Q1020" s="102">
        <v>7505</v>
      </c>
      <c r="R1020" s="131"/>
      <c r="S1020" s="132"/>
      <c r="T1020" s="102">
        <v>15238.5</v>
      </c>
      <c r="U1020" s="100"/>
      <c r="V1020" s="102"/>
      <c r="W1020" s="45"/>
    </row>
    <row r="1021" s="40" customFormat="1" ht="22" hidden="1" customHeight="1" spans="1:23">
      <c r="A1021" s="144" t="s">
        <v>3984</v>
      </c>
      <c r="B1021" s="174" t="s">
        <v>3605</v>
      </c>
      <c r="C1021" s="175"/>
      <c r="D1021" s="45" t="s">
        <v>31</v>
      </c>
      <c r="E1021" s="82" t="s">
        <v>3909</v>
      </c>
      <c r="F1021" s="81">
        <f>IFERROR(VLOOKUP(E1021,客户!B:C,2,FALSE),"/")</f>
        <v>0</v>
      </c>
      <c r="G1021" s="229" t="s">
        <v>3985</v>
      </c>
      <c r="H1021" s="45" t="s">
        <v>123</v>
      </c>
      <c r="I1021" s="45" t="s">
        <v>3911</v>
      </c>
      <c r="J1021" s="156">
        <v>44113</v>
      </c>
      <c r="K1021" s="100">
        <v>44180</v>
      </c>
      <c r="L1021" s="100">
        <v>44225</v>
      </c>
      <c r="M1021" s="342" t="s">
        <v>3986</v>
      </c>
      <c r="N1021" s="338" t="s">
        <v>3987</v>
      </c>
      <c r="O1021" s="265" t="s">
        <v>523</v>
      </c>
      <c r="P1021" s="102">
        <v>54090.32</v>
      </c>
      <c r="Q1021" s="230">
        <v>12443.67</v>
      </c>
      <c r="R1021" s="131"/>
      <c r="S1021" s="132"/>
      <c r="T1021" s="230">
        <v>41646.65</v>
      </c>
      <c r="U1021" s="100"/>
      <c r="V1021" s="102"/>
      <c r="W1021" s="45"/>
    </row>
    <row r="1022" s="40" customFormat="1" ht="20" hidden="1" customHeight="1" spans="1:23">
      <c r="A1022" s="144" t="s">
        <v>3988</v>
      </c>
      <c r="B1022" s="174" t="s">
        <v>3605</v>
      </c>
      <c r="C1022" s="175"/>
      <c r="D1022" s="45" t="s">
        <v>31</v>
      </c>
      <c r="E1022" s="82" t="s">
        <v>3989</v>
      </c>
      <c r="F1022" s="81">
        <f>IFERROR(VLOOKUP(E1022,客户!B:C,2,FALSE),"/")</f>
        <v>0</v>
      </c>
      <c r="G1022" s="229" t="s">
        <v>3990</v>
      </c>
      <c r="H1022" s="45" t="s">
        <v>123</v>
      </c>
      <c r="I1022" s="45" t="s">
        <v>3991</v>
      </c>
      <c r="J1022" s="156">
        <v>44120</v>
      </c>
      <c r="K1022" s="100">
        <v>44185</v>
      </c>
      <c r="L1022" s="100">
        <v>44205</v>
      </c>
      <c r="M1022" s="155" t="s">
        <v>3992</v>
      </c>
      <c r="N1022" s="338" t="s">
        <v>3993</v>
      </c>
      <c r="O1022" s="265" t="s">
        <v>523</v>
      </c>
      <c r="P1022" s="102">
        <v>22783.2</v>
      </c>
      <c r="Q1022" s="230">
        <v>6182.16</v>
      </c>
      <c r="R1022" s="131"/>
      <c r="S1022" s="132"/>
      <c r="T1022" s="102">
        <v>16601.04</v>
      </c>
      <c r="U1022" s="100"/>
      <c r="V1022" s="102"/>
      <c r="W1022" s="45"/>
    </row>
    <row r="1023" s="40" customFormat="1" ht="22" hidden="1" customHeight="1" spans="1:23">
      <c r="A1023" s="144" t="s">
        <v>3994</v>
      </c>
      <c r="B1023" s="174" t="s">
        <v>3605</v>
      </c>
      <c r="C1023" s="175"/>
      <c r="D1023" s="45" t="s">
        <v>31</v>
      </c>
      <c r="E1023" s="82" t="s">
        <v>3995</v>
      </c>
      <c r="F1023" s="81">
        <f>IFERROR(VLOOKUP(E1023,客户!B:C,2,FALSE),"/")</f>
        <v>0</v>
      </c>
      <c r="G1023" s="229" t="s">
        <v>3996</v>
      </c>
      <c r="H1023" s="45" t="s">
        <v>186</v>
      </c>
      <c r="I1023" s="45"/>
      <c r="J1023" s="156">
        <v>44119</v>
      </c>
      <c r="K1023" s="100">
        <v>44249</v>
      </c>
      <c r="L1023" s="197"/>
      <c r="M1023" s="342" t="s">
        <v>3997</v>
      </c>
      <c r="N1023" s="338" t="s">
        <v>3998</v>
      </c>
      <c r="O1023" s="265" t="s">
        <v>970</v>
      </c>
      <c r="P1023" s="240">
        <v>21537.5</v>
      </c>
      <c r="Q1023" s="240">
        <v>6000</v>
      </c>
      <c r="R1023" s="131"/>
      <c r="S1023" s="132"/>
      <c r="T1023" s="240">
        <v>15537.5</v>
      </c>
      <c r="U1023" s="100"/>
      <c r="V1023" s="102"/>
      <c r="W1023" s="45"/>
    </row>
    <row r="1024" s="40" customFormat="1" ht="22" hidden="1" customHeight="1" spans="1:23">
      <c r="A1024" s="144" t="s">
        <v>3999</v>
      </c>
      <c r="B1024" s="174" t="s">
        <v>3605</v>
      </c>
      <c r="C1024" s="175"/>
      <c r="D1024" s="45" t="s">
        <v>31</v>
      </c>
      <c r="E1024" s="82" t="s">
        <v>3919</v>
      </c>
      <c r="F1024" s="81">
        <f>IFERROR(VLOOKUP(E1024,客户!B:C,2,FALSE),"/")</f>
        <v>0</v>
      </c>
      <c r="G1024" s="229" t="s">
        <v>3920</v>
      </c>
      <c r="H1024" s="45" t="s">
        <v>123</v>
      </c>
      <c r="I1024" s="45" t="s">
        <v>3513</v>
      </c>
      <c r="J1024" s="156">
        <v>44124</v>
      </c>
      <c r="K1024" s="100">
        <v>44182</v>
      </c>
      <c r="L1024" s="197"/>
      <c r="M1024" s="342" t="s">
        <v>4000</v>
      </c>
      <c r="N1024" s="338" t="s">
        <v>3925</v>
      </c>
      <c r="O1024" s="265" t="s">
        <v>970</v>
      </c>
      <c r="P1024" s="102">
        <v>21405.26</v>
      </c>
      <c r="Q1024" s="240"/>
      <c r="R1024" s="131"/>
      <c r="S1024" s="132"/>
      <c r="T1024" s="102">
        <v>21405.26</v>
      </c>
      <c r="U1024" s="100"/>
      <c r="V1024" s="102"/>
      <c r="W1024" s="45"/>
    </row>
    <row r="1025" s="40" customFormat="1" ht="22" hidden="1" customHeight="1" spans="1:23">
      <c r="A1025" s="144" t="s">
        <v>4001</v>
      </c>
      <c r="B1025" s="174" t="s">
        <v>3605</v>
      </c>
      <c r="C1025" s="175"/>
      <c r="D1025" s="45" t="s">
        <v>31</v>
      </c>
      <c r="E1025" s="82" t="s">
        <v>3919</v>
      </c>
      <c r="F1025" s="81">
        <f>IFERROR(VLOOKUP(E1025,客户!B:C,2,FALSE),"/")</f>
        <v>0</v>
      </c>
      <c r="G1025" s="229" t="s">
        <v>4002</v>
      </c>
      <c r="H1025" s="45" t="s">
        <v>123</v>
      </c>
      <c r="I1025" s="45" t="s">
        <v>3513</v>
      </c>
      <c r="J1025" s="156">
        <v>44124</v>
      </c>
      <c r="K1025" s="100">
        <v>44203</v>
      </c>
      <c r="L1025" s="197"/>
      <c r="M1025" s="342" t="s">
        <v>4003</v>
      </c>
      <c r="N1025" s="338" t="s">
        <v>4004</v>
      </c>
      <c r="O1025" s="265" t="s">
        <v>970</v>
      </c>
      <c r="P1025" s="102">
        <v>14890.72</v>
      </c>
      <c r="Q1025" s="240"/>
      <c r="R1025" s="131"/>
      <c r="S1025" s="132"/>
      <c r="T1025" s="102">
        <v>14890.72</v>
      </c>
      <c r="U1025" s="100"/>
      <c r="V1025" s="246" t="s">
        <v>4005</v>
      </c>
      <c r="W1025" s="45"/>
    </row>
    <row r="1026" s="40" customFormat="1" ht="22" hidden="1" customHeight="1" spans="1:23">
      <c r="A1026" s="144" t="s">
        <v>4006</v>
      </c>
      <c r="B1026" s="174" t="s">
        <v>3605</v>
      </c>
      <c r="C1026" s="175"/>
      <c r="D1026" s="45" t="s">
        <v>31</v>
      </c>
      <c r="E1026" s="82" t="s">
        <v>3946</v>
      </c>
      <c r="F1026" s="81">
        <f>IFERROR(VLOOKUP(E1026,客户!B:C,2,FALSE),"/")</f>
        <v>0</v>
      </c>
      <c r="G1026" s="229" t="s">
        <v>4007</v>
      </c>
      <c r="H1026" s="45" t="s">
        <v>186</v>
      </c>
      <c r="I1026" s="45"/>
      <c r="J1026" s="156">
        <v>44139</v>
      </c>
      <c r="K1026" s="100">
        <v>44275</v>
      </c>
      <c r="L1026" s="197"/>
      <c r="M1026" s="342" t="s">
        <v>4008</v>
      </c>
      <c r="N1026" s="338" t="s">
        <v>4009</v>
      </c>
      <c r="O1026" s="265" t="s">
        <v>970</v>
      </c>
      <c r="P1026" s="240">
        <v>96839</v>
      </c>
      <c r="Q1026" s="240">
        <f>10000+7500</f>
        <v>17500</v>
      </c>
      <c r="R1026" s="131"/>
      <c r="S1026" s="132"/>
      <c r="T1026" s="240">
        <f>8000+7598</f>
        <v>15598</v>
      </c>
      <c r="U1026" s="240">
        <v>63391</v>
      </c>
      <c r="V1026" s="102"/>
      <c r="W1026" s="45"/>
    </row>
    <row r="1027" s="40" customFormat="1" ht="22" hidden="1" customHeight="1" spans="1:23">
      <c r="A1027" s="144" t="s">
        <v>4010</v>
      </c>
      <c r="B1027" s="174" t="s">
        <v>3605</v>
      </c>
      <c r="C1027" s="175"/>
      <c r="D1027" s="45" t="s">
        <v>31</v>
      </c>
      <c r="E1027" s="82" t="s">
        <v>3868</v>
      </c>
      <c r="F1027" s="81">
        <f>IFERROR(VLOOKUP(E1027,客户!B:C,2,FALSE),"/")</f>
        <v>0</v>
      </c>
      <c r="G1027" s="229" t="s">
        <v>4011</v>
      </c>
      <c r="H1027" s="45" t="s">
        <v>123</v>
      </c>
      <c r="I1027" s="45" t="s">
        <v>3858</v>
      </c>
      <c r="J1027" s="156">
        <v>44140</v>
      </c>
      <c r="K1027" s="100">
        <v>44200</v>
      </c>
      <c r="L1027" s="100">
        <v>44224</v>
      </c>
      <c r="M1027" s="155" t="s">
        <v>4012</v>
      </c>
      <c r="N1027" s="338" t="s">
        <v>4013</v>
      </c>
      <c r="O1027" s="265" t="s">
        <v>523</v>
      </c>
      <c r="P1027" s="102">
        <v>51291</v>
      </c>
      <c r="Q1027" s="102">
        <v>13373</v>
      </c>
      <c r="R1027" s="131"/>
      <c r="S1027" s="132"/>
      <c r="T1027" s="102">
        <v>37918</v>
      </c>
      <c r="U1027" s="100"/>
      <c r="V1027" s="102"/>
      <c r="W1027" s="45"/>
    </row>
    <row r="1028" s="40" customFormat="1" ht="22" hidden="1" customHeight="1" spans="1:23">
      <c r="A1028" s="144" t="s">
        <v>4014</v>
      </c>
      <c r="B1028" s="174" t="s">
        <v>3605</v>
      </c>
      <c r="C1028" s="175"/>
      <c r="D1028" s="45" t="s">
        <v>31</v>
      </c>
      <c r="E1028" s="82" t="s">
        <v>3931</v>
      </c>
      <c r="F1028" s="81">
        <f>IFERROR(VLOOKUP(E1028,客户!B:C,2,FALSE),"/")</f>
        <v>0</v>
      </c>
      <c r="G1028" s="229" t="s">
        <v>4015</v>
      </c>
      <c r="H1028" s="45" t="s">
        <v>123</v>
      </c>
      <c r="I1028" s="45" t="s">
        <v>3817</v>
      </c>
      <c r="J1028" s="156">
        <v>44148</v>
      </c>
      <c r="K1028" s="100">
        <v>44227</v>
      </c>
      <c r="L1028" s="197"/>
      <c r="M1028" s="342" t="s">
        <v>4016</v>
      </c>
      <c r="N1028" s="338" t="s">
        <v>4017</v>
      </c>
      <c r="O1028" s="265" t="s">
        <v>970</v>
      </c>
      <c r="P1028" s="102">
        <f>30367.8+1009</f>
        <v>31376.8</v>
      </c>
      <c r="Q1028" s="102">
        <v>9110.34</v>
      </c>
      <c r="R1028" s="131"/>
      <c r="S1028" s="132"/>
      <c r="T1028" s="102">
        <v>22266.46</v>
      </c>
      <c r="U1028" s="100"/>
      <c r="V1028" s="102"/>
      <c r="W1028" s="45"/>
    </row>
    <row r="1029" s="40" customFormat="1" ht="22" hidden="1" customHeight="1" spans="1:23">
      <c r="A1029" s="261" t="s">
        <v>4018</v>
      </c>
      <c r="B1029" s="174" t="s">
        <v>3605</v>
      </c>
      <c r="C1029" s="175"/>
      <c r="D1029" s="45" t="s">
        <v>31</v>
      </c>
      <c r="E1029" s="82" t="s">
        <v>4019</v>
      </c>
      <c r="F1029" s="81">
        <f>IFERROR(VLOOKUP(E1029,客户!B:C,2,FALSE),"/")</f>
        <v>0</v>
      </c>
      <c r="G1029" s="306" t="s">
        <v>4020</v>
      </c>
      <c r="H1029" s="142" t="s">
        <v>123</v>
      </c>
      <c r="I1029" s="108" t="s">
        <v>3849</v>
      </c>
      <c r="J1029" s="108">
        <v>44153</v>
      </c>
      <c r="K1029" s="100">
        <v>44206</v>
      </c>
      <c r="L1029" s="100">
        <v>44230</v>
      </c>
      <c r="M1029" s="315" t="s">
        <v>4021</v>
      </c>
      <c r="N1029" s="338" t="s">
        <v>4022</v>
      </c>
      <c r="O1029" s="265" t="s">
        <v>523</v>
      </c>
      <c r="P1029" s="102">
        <v>18000</v>
      </c>
      <c r="Q1029" s="102">
        <v>3600</v>
      </c>
      <c r="R1029" s="131"/>
      <c r="S1029" s="132"/>
      <c r="T1029" s="102">
        <v>14400</v>
      </c>
      <c r="U1029" s="100"/>
      <c r="V1029" s="102"/>
      <c r="W1029" s="45"/>
    </row>
    <row r="1030" s="40" customFormat="1" ht="22" hidden="1" customHeight="1" spans="1:23">
      <c r="A1030" s="261" t="s">
        <v>4023</v>
      </c>
      <c r="B1030" s="174" t="s">
        <v>3605</v>
      </c>
      <c r="C1030" s="175"/>
      <c r="D1030" s="45" t="s">
        <v>31</v>
      </c>
      <c r="E1030" s="82" t="s">
        <v>3868</v>
      </c>
      <c r="F1030" s="81">
        <f>IFERROR(VLOOKUP(E1030,客户!B:C,2,FALSE),"/")</f>
        <v>0</v>
      </c>
      <c r="G1030" s="306" t="s">
        <v>4024</v>
      </c>
      <c r="H1030" s="142" t="s">
        <v>123</v>
      </c>
      <c r="I1030" s="45" t="s">
        <v>3858</v>
      </c>
      <c r="J1030" s="108">
        <v>44154</v>
      </c>
      <c r="K1030" s="100">
        <v>44212</v>
      </c>
      <c r="L1030" s="100">
        <v>44242</v>
      </c>
      <c r="M1030" s="315" t="s">
        <v>4025</v>
      </c>
      <c r="N1030" s="338" t="s">
        <v>4026</v>
      </c>
      <c r="O1030" s="265" t="s">
        <v>523</v>
      </c>
      <c r="P1030" s="102">
        <v>69650</v>
      </c>
      <c r="Q1030" s="102">
        <v>23595</v>
      </c>
      <c r="R1030" s="131"/>
      <c r="S1030" s="132"/>
      <c r="T1030" s="102">
        <v>40000</v>
      </c>
      <c r="U1030" s="102">
        <v>6085</v>
      </c>
      <c r="V1030" s="246" t="s">
        <v>4027</v>
      </c>
      <c r="W1030" s="45"/>
    </row>
    <row r="1031" s="40" customFormat="1" ht="22" hidden="1" customHeight="1" spans="1:23">
      <c r="A1031" s="261" t="s">
        <v>4028</v>
      </c>
      <c r="B1031" s="174" t="s">
        <v>3605</v>
      </c>
      <c r="C1031" s="175"/>
      <c r="D1031" s="45" t="s">
        <v>31</v>
      </c>
      <c r="E1031" s="82" t="s">
        <v>4019</v>
      </c>
      <c r="F1031" s="81">
        <f>IFERROR(VLOOKUP(E1031,客户!B:C,2,FALSE),"/")</f>
        <v>0</v>
      </c>
      <c r="G1031" s="306" t="s">
        <v>4020</v>
      </c>
      <c r="H1031" s="142" t="s">
        <v>123</v>
      </c>
      <c r="I1031" s="108" t="s">
        <v>3849</v>
      </c>
      <c r="J1031" s="108">
        <v>44165</v>
      </c>
      <c r="K1031" s="100">
        <v>44232</v>
      </c>
      <c r="L1031" s="100">
        <v>44263</v>
      </c>
      <c r="M1031" s="315" t="s">
        <v>4029</v>
      </c>
      <c r="N1031" s="338" t="s">
        <v>4030</v>
      </c>
      <c r="O1031" s="265" t="s">
        <v>523</v>
      </c>
      <c r="P1031" s="102">
        <v>18657.5</v>
      </c>
      <c r="Q1031" s="102">
        <v>3700</v>
      </c>
      <c r="R1031" s="131"/>
      <c r="S1031" s="132"/>
      <c r="T1031" s="102">
        <v>14957.5</v>
      </c>
      <c r="U1031" s="100"/>
      <c r="V1031" s="102"/>
      <c r="W1031" s="45"/>
    </row>
    <row r="1032" s="40" customFormat="1" ht="22" hidden="1" customHeight="1" spans="1:23">
      <c r="A1032" s="261" t="s">
        <v>4031</v>
      </c>
      <c r="B1032" s="174" t="s">
        <v>3605</v>
      </c>
      <c r="C1032" s="175"/>
      <c r="D1032" s="45" t="s">
        <v>31</v>
      </c>
      <c r="E1032" s="82" t="s">
        <v>3892</v>
      </c>
      <c r="F1032" s="81">
        <f>IFERROR(VLOOKUP(E1032,客户!B:C,2,FALSE),"/")</f>
        <v>0</v>
      </c>
      <c r="G1032" s="306" t="s">
        <v>4032</v>
      </c>
      <c r="H1032" s="142" t="s">
        <v>127</v>
      </c>
      <c r="I1032" s="108" t="s">
        <v>4033</v>
      </c>
      <c r="J1032" s="108">
        <v>44169</v>
      </c>
      <c r="K1032" s="100">
        <v>44235</v>
      </c>
      <c r="L1032" s="100">
        <v>44267</v>
      </c>
      <c r="M1032" s="315" t="s">
        <v>4034</v>
      </c>
      <c r="N1032" s="338" t="s">
        <v>4035</v>
      </c>
      <c r="O1032" s="265" t="s">
        <v>970</v>
      </c>
      <c r="P1032" s="102">
        <v>26447.7</v>
      </c>
      <c r="Q1032" s="102">
        <f>52000/6.53</f>
        <v>7963.24655436447</v>
      </c>
      <c r="R1032" s="131"/>
      <c r="S1032" s="132"/>
      <c r="T1032" s="102">
        <f>117424.95/6.46</f>
        <v>18177.2368421053</v>
      </c>
      <c r="U1032" s="100"/>
      <c r="V1032" s="102" t="s">
        <v>4036</v>
      </c>
      <c r="W1032" s="45"/>
    </row>
    <row r="1033" s="40" customFormat="1" ht="22" hidden="1" customHeight="1" spans="1:23">
      <c r="A1033" s="261" t="s">
        <v>4037</v>
      </c>
      <c r="B1033" s="174" t="s">
        <v>3605</v>
      </c>
      <c r="C1033" s="175"/>
      <c r="D1033" s="45" t="s">
        <v>31</v>
      </c>
      <c r="E1033" s="82" t="s">
        <v>4038</v>
      </c>
      <c r="F1033" s="81">
        <f>IFERROR(VLOOKUP(E1033,客户!B:C,2,FALSE),"/")</f>
        <v>0</v>
      </c>
      <c r="G1033" s="306" t="s">
        <v>4039</v>
      </c>
      <c r="H1033" s="142" t="s">
        <v>123</v>
      </c>
      <c r="I1033" s="108" t="s">
        <v>4040</v>
      </c>
      <c r="J1033" s="108">
        <v>44170</v>
      </c>
      <c r="K1033" s="100">
        <v>44198</v>
      </c>
      <c r="L1033" s="100">
        <v>44226</v>
      </c>
      <c r="M1033" s="315" t="s">
        <v>4041</v>
      </c>
      <c r="N1033" s="338" t="s">
        <v>4042</v>
      </c>
      <c r="O1033" s="265" t="s">
        <v>1283</v>
      </c>
      <c r="P1033" s="102">
        <v>44179.9</v>
      </c>
      <c r="Q1033" s="102"/>
      <c r="R1033" s="131"/>
      <c r="S1033" s="132"/>
      <c r="T1033" s="102">
        <v>44179.9</v>
      </c>
      <c r="U1033" s="100"/>
      <c r="V1033" s="102"/>
      <c r="W1033" s="45"/>
    </row>
    <row r="1034" s="40" customFormat="1" ht="22" hidden="1" customHeight="1" spans="1:23">
      <c r="A1034" s="261" t="s">
        <v>4043</v>
      </c>
      <c r="B1034" s="174" t="s">
        <v>3605</v>
      </c>
      <c r="C1034" s="175"/>
      <c r="D1034" s="45" t="s">
        <v>31</v>
      </c>
      <c r="E1034" s="82" t="s">
        <v>3909</v>
      </c>
      <c r="F1034" s="81">
        <f>IFERROR(VLOOKUP(E1034,客户!B:C,2,FALSE),"/")</f>
        <v>0</v>
      </c>
      <c r="G1034" s="306" t="s">
        <v>4044</v>
      </c>
      <c r="H1034" s="142" t="s">
        <v>123</v>
      </c>
      <c r="I1034" s="108" t="s">
        <v>3911</v>
      </c>
      <c r="J1034" s="108">
        <v>44175</v>
      </c>
      <c r="K1034" s="100">
        <v>44320</v>
      </c>
      <c r="L1034" s="100">
        <v>44369</v>
      </c>
      <c r="M1034" s="326" t="s">
        <v>4045</v>
      </c>
      <c r="N1034" s="338" t="s">
        <v>4046</v>
      </c>
      <c r="O1034" s="265" t="s">
        <v>523</v>
      </c>
      <c r="P1034" s="102">
        <v>67204.07</v>
      </c>
      <c r="Q1034" s="102">
        <v>13192.68</v>
      </c>
      <c r="R1034" s="131"/>
      <c r="S1034" s="132"/>
      <c r="T1034" s="322">
        <v>54011.39</v>
      </c>
      <c r="U1034" s="100"/>
      <c r="V1034" s="102"/>
      <c r="W1034" s="45"/>
    </row>
    <row r="1035" s="40" customFormat="1" ht="22" hidden="1" customHeight="1" spans="1:23">
      <c r="A1035" s="261" t="s">
        <v>4047</v>
      </c>
      <c r="B1035" s="174" t="s">
        <v>3605</v>
      </c>
      <c r="C1035" s="175"/>
      <c r="D1035" s="45" t="s">
        <v>31</v>
      </c>
      <c r="E1035" s="82" t="s">
        <v>4048</v>
      </c>
      <c r="F1035" s="81">
        <f>IFERROR(VLOOKUP(E1035,客户!B:C,2,FALSE),"/")</f>
        <v>0</v>
      </c>
      <c r="G1035" s="306" t="s">
        <v>4049</v>
      </c>
      <c r="H1035" s="142" t="s">
        <v>123</v>
      </c>
      <c r="I1035" s="108" t="s">
        <v>4050</v>
      </c>
      <c r="J1035" s="108">
        <v>44182</v>
      </c>
      <c r="K1035" s="100">
        <v>44224</v>
      </c>
      <c r="L1035" s="100">
        <v>44264</v>
      </c>
      <c r="M1035" s="315" t="s">
        <v>4051</v>
      </c>
      <c r="N1035" s="338" t="s">
        <v>4052</v>
      </c>
      <c r="O1035" s="265" t="s">
        <v>970</v>
      </c>
      <c r="P1035" s="102">
        <v>27888.3</v>
      </c>
      <c r="Q1035" s="102">
        <v>7488.3</v>
      </c>
      <c r="R1035" s="131"/>
      <c r="S1035" s="132"/>
      <c r="T1035" s="102">
        <v>20400</v>
      </c>
      <c r="U1035" s="100"/>
      <c r="V1035" s="102"/>
      <c r="W1035" s="45"/>
    </row>
    <row r="1036" s="40" customFormat="1" ht="22" hidden="1" customHeight="1" spans="1:23">
      <c r="A1036" s="261" t="s">
        <v>4053</v>
      </c>
      <c r="B1036" s="174" t="s">
        <v>3605</v>
      </c>
      <c r="C1036" s="175"/>
      <c r="D1036" s="45" t="s">
        <v>31</v>
      </c>
      <c r="E1036" s="82" t="s">
        <v>3892</v>
      </c>
      <c r="F1036" s="81">
        <f>IFERROR(VLOOKUP(E1036,客户!B:C,2,FALSE),"/")</f>
        <v>0</v>
      </c>
      <c r="G1036" s="306" t="s">
        <v>4054</v>
      </c>
      <c r="H1036" s="142" t="s">
        <v>127</v>
      </c>
      <c r="I1036" s="108" t="s">
        <v>4033</v>
      </c>
      <c r="J1036" s="108">
        <v>44211</v>
      </c>
      <c r="K1036" s="100">
        <v>44317</v>
      </c>
      <c r="L1036" s="100">
        <v>44333</v>
      </c>
      <c r="M1036" s="315" t="s">
        <v>4055</v>
      </c>
      <c r="N1036" s="338" t="s">
        <v>4056</v>
      </c>
      <c r="O1036" s="265" t="s">
        <v>970</v>
      </c>
      <c r="P1036" s="102">
        <v>28158.9</v>
      </c>
      <c r="Q1036" s="102">
        <f>50000/6.46</f>
        <v>7739.93808049536</v>
      </c>
      <c r="R1036" s="131"/>
      <c r="S1036" s="132"/>
      <c r="T1036" s="102">
        <f>130709.14/6.48</f>
        <v>20171.1635802469</v>
      </c>
      <c r="U1036" s="100"/>
      <c r="V1036" s="102"/>
      <c r="W1036" s="45"/>
    </row>
    <row r="1037" s="40" customFormat="1" ht="22" hidden="1" customHeight="1" spans="1:23">
      <c r="A1037" s="261" t="s">
        <v>4057</v>
      </c>
      <c r="B1037" s="174" t="s">
        <v>3605</v>
      </c>
      <c r="C1037" s="175"/>
      <c r="D1037" s="45" t="s">
        <v>31</v>
      </c>
      <c r="E1037" s="82" t="s">
        <v>3946</v>
      </c>
      <c r="F1037" s="81">
        <f>IFERROR(VLOOKUP(E1037,客户!B:C,2,FALSE),"/")</f>
        <v>0</v>
      </c>
      <c r="G1037" s="307" t="s">
        <v>4058</v>
      </c>
      <c r="H1037" s="324" t="s">
        <v>186</v>
      </c>
      <c r="I1037" s="108"/>
      <c r="J1037" s="108">
        <v>44255</v>
      </c>
      <c r="K1037" s="100">
        <v>44316</v>
      </c>
      <c r="L1037" s="100"/>
      <c r="M1037" s="315" t="s">
        <v>4059</v>
      </c>
      <c r="N1037" s="338" t="s">
        <v>4060</v>
      </c>
      <c r="O1037" s="265" t="s">
        <v>970</v>
      </c>
      <c r="P1037" s="240">
        <v>163685.6</v>
      </c>
      <c r="Q1037" s="240">
        <v>20000</v>
      </c>
      <c r="R1037" s="131"/>
      <c r="S1037" s="132"/>
      <c r="T1037" s="349">
        <v>143535</v>
      </c>
      <c r="U1037" s="240">
        <v>150</v>
      </c>
      <c r="V1037" s="102"/>
      <c r="W1037" s="45"/>
    </row>
    <row r="1038" s="40" customFormat="1" ht="22" hidden="1" customHeight="1" spans="1:23">
      <c r="A1038" s="261" t="s">
        <v>4061</v>
      </c>
      <c r="B1038" s="174" t="s">
        <v>3605</v>
      </c>
      <c r="C1038" s="175"/>
      <c r="D1038" s="45" t="s">
        <v>31</v>
      </c>
      <c r="E1038" s="82" t="s">
        <v>3946</v>
      </c>
      <c r="F1038" s="81">
        <f>IFERROR(VLOOKUP(E1038,客户!B:C,2,FALSE),"/")</f>
        <v>0</v>
      </c>
      <c r="G1038" s="307" t="s">
        <v>4058</v>
      </c>
      <c r="H1038" s="324" t="s">
        <v>186</v>
      </c>
      <c r="I1038" s="108"/>
      <c r="J1038" s="108">
        <v>44255</v>
      </c>
      <c r="K1038" s="100">
        <v>44372</v>
      </c>
      <c r="L1038" s="100"/>
      <c r="M1038" s="315" t="s">
        <v>4062</v>
      </c>
      <c r="N1038" s="338" t="s">
        <v>4009</v>
      </c>
      <c r="O1038" s="265" t="s">
        <v>970</v>
      </c>
      <c r="P1038" s="240">
        <v>75174</v>
      </c>
      <c r="Q1038" s="240"/>
      <c r="R1038" s="131"/>
      <c r="S1038" s="132"/>
      <c r="T1038" s="349"/>
      <c r="U1038" s="240">
        <f>19850+890</f>
        <v>20740</v>
      </c>
      <c r="V1038" s="102"/>
      <c r="W1038" s="45"/>
    </row>
    <row r="1039" s="40" customFormat="1" ht="22" hidden="1" customHeight="1" spans="1:23">
      <c r="A1039" s="261" t="s">
        <v>4063</v>
      </c>
      <c r="B1039" s="174" t="s">
        <v>3605</v>
      </c>
      <c r="C1039" s="175"/>
      <c r="D1039" s="45" t="s">
        <v>31</v>
      </c>
      <c r="E1039" s="82" t="s">
        <v>3946</v>
      </c>
      <c r="F1039" s="81">
        <f>IFERROR(VLOOKUP(E1039,客户!B:C,2,FALSE),"/")</f>
        <v>0</v>
      </c>
      <c r="G1039" s="307" t="s">
        <v>4058</v>
      </c>
      <c r="H1039" s="324" t="s">
        <v>186</v>
      </c>
      <c r="I1039" s="108"/>
      <c r="J1039" s="108">
        <v>44255</v>
      </c>
      <c r="K1039" s="100">
        <v>44347</v>
      </c>
      <c r="L1039" s="100"/>
      <c r="M1039" s="315" t="s">
        <v>4062</v>
      </c>
      <c r="N1039" s="338" t="s">
        <v>4009</v>
      </c>
      <c r="O1039" s="265" t="s">
        <v>970</v>
      </c>
      <c r="P1039" s="240">
        <v>15566</v>
      </c>
      <c r="Q1039" s="240">
        <v>20000</v>
      </c>
      <c r="R1039" s="131"/>
      <c r="S1039" s="132"/>
      <c r="T1039" s="240">
        <v>50000</v>
      </c>
      <c r="U1039" s="100"/>
      <c r="V1039" s="102" t="s">
        <v>4064</v>
      </c>
      <c r="W1039" s="45"/>
    </row>
    <row r="1040" s="40" customFormat="1" ht="22" hidden="1" customHeight="1" spans="1:23">
      <c r="A1040" s="261" t="s">
        <v>4065</v>
      </c>
      <c r="B1040" s="174" t="s">
        <v>3605</v>
      </c>
      <c r="C1040" s="175"/>
      <c r="D1040" s="45" t="s">
        <v>31</v>
      </c>
      <c r="E1040" s="82" t="s">
        <v>3931</v>
      </c>
      <c r="F1040" s="81">
        <f>IFERROR(VLOOKUP(E1040,客户!B:C,2,FALSE),"/")</f>
        <v>0</v>
      </c>
      <c r="G1040" s="307" t="s">
        <v>4066</v>
      </c>
      <c r="H1040" s="324" t="s">
        <v>123</v>
      </c>
      <c r="I1040" s="108" t="s">
        <v>3817</v>
      </c>
      <c r="J1040" s="108">
        <v>44257</v>
      </c>
      <c r="K1040" s="100">
        <v>44295</v>
      </c>
      <c r="L1040" s="100"/>
      <c r="M1040" s="315" t="s">
        <v>4067</v>
      </c>
      <c r="N1040" s="338" t="s">
        <v>4068</v>
      </c>
      <c r="O1040" s="265" t="s">
        <v>970</v>
      </c>
      <c r="P1040" s="102">
        <v>21805.88</v>
      </c>
      <c r="Q1040" s="102">
        <v>6541.76</v>
      </c>
      <c r="R1040" s="131"/>
      <c r="S1040" s="132"/>
      <c r="T1040" s="102">
        <v>15264.12</v>
      </c>
      <c r="U1040" s="100"/>
      <c r="V1040" s="102"/>
      <c r="W1040" s="45"/>
    </row>
    <row r="1041" s="40" customFormat="1" ht="22" hidden="1" customHeight="1" spans="1:23">
      <c r="A1041" s="261" t="s">
        <v>4069</v>
      </c>
      <c r="B1041" s="174" t="s">
        <v>3605</v>
      </c>
      <c r="C1041" s="175"/>
      <c r="D1041" s="45" t="s">
        <v>31</v>
      </c>
      <c r="E1041" s="82" t="s">
        <v>4070</v>
      </c>
      <c r="F1041" s="81">
        <f>IFERROR(VLOOKUP(E1041,客户!B:C,2,FALSE),"/")</f>
        <v>0</v>
      </c>
      <c r="G1041" s="307" t="s">
        <v>4071</v>
      </c>
      <c r="H1041" s="324" t="s">
        <v>186</v>
      </c>
      <c r="I1041" s="108"/>
      <c r="J1041" s="108">
        <v>44260</v>
      </c>
      <c r="K1041" s="100">
        <v>44261</v>
      </c>
      <c r="L1041" s="100"/>
      <c r="M1041" s="315" t="s">
        <v>4072</v>
      </c>
      <c r="N1041" s="338"/>
      <c r="O1041" s="265" t="s">
        <v>970</v>
      </c>
      <c r="P1041" s="240">
        <v>9250</v>
      </c>
      <c r="Q1041" s="240">
        <v>9250</v>
      </c>
      <c r="R1041" s="131"/>
      <c r="S1041" s="132"/>
      <c r="T1041" s="240"/>
      <c r="U1041" s="100"/>
      <c r="V1041" s="102"/>
      <c r="W1041" s="45"/>
    </row>
    <row r="1042" s="40" customFormat="1" ht="22" hidden="1" customHeight="1" spans="1:23">
      <c r="A1042" s="261" t="s">
        <v>4073</v>
      </c>
      <c r="B1042" s="174" t="s">
        <v>3605</v>
      </c>
      <c r="C1042" s="175"/>
      <c r="D1042" s="45" t="s">
        <v>31</v>
      </c>
      <c r="E1042" s="82" t="s">
        <v>4074</v>
      </c>
      <c r="F1042" s="81">
        <f>IFERROR(VLOOKUP(E1042,客户!B:C,2,FALSE),"/")</f>
        <v>0</v>
      </c>
      <c r="G1042" s="307" t="s">
        <v>4075</v>
      </c>
      <c r="H1042" s="324" t="s">
        <v>123</v>
      </c>
      <c r="I1042" s="108" t="s">
        <v>3858</v>
      </c>
      <c r="J1042" s="108">
        <v>44263</v>
      </c>
      <c r="K1042" s="100">
        <v>44327</v>
      </c>
      <c r="L1042" s="100">
        <v>44354</v>
      </c>
      <c r="M1042" s="315" t="s">
        <v>4076</v>
      </c>
      <c r="N1042" s="338" t="s">
        <v>4077</v>
      </c>
      <c r="O1042" s="265" t="s">
        <v>970</v>
      </c>
      <c r="P1042" s="102">
        <v>24671.6</v>
      </c>
      <c r="Q1042" s="230">
        <v>7202</v>
      </c>
      <c r="R1042" s="131"/>
      <c r="S1042" s="132"/>
      <c r="T1042" s="102">
        <v>17469.6</v>
      </c>
      <c r="U1042" s="100"/>
      <c r="V1042" s="102"/>
      <c r="W1042" s="45"/>
    </row>
    <row r="1043" s="40" customFormat="1" ht="22" hidden="1" customHeight="1" spans="1:23">
      <c r="A1043" s="261" t="s">
        <v>4078</v>
      </c>
      <c r="B1043" s="174" t="s">
        <v>3605</v>
      </c>
      <c r="C1043" s="175"/>
      <c r="D1043" s="229" t="s">
        <v>31</v>
      </c>
      <c r="E1043" s="82" t="s">
        <v>3981</v>
      </c>
      <c r="F1043" s="81">
        <f>IFERROR(VLOOKUP(E1043,客户!B:C,2,FALSE),"/")</f>
        <v>0</v>
      </c>
      <c r="G1043" s="307" t="s">
        <v>4079</v>
      </c>
      <c r="H1043" s="324" t="s">
        <v>123</v>
      </c>
      <c r="I1043" s="108" t="s">
        <v>770</v>
      </c>
      <c r="J1043" s="108">
        <v>44270</v>
      </c>
      <c r="K1043" s="100">
        <v>44337</v>
      </c>
      <c r="L1043" s="100">
        <v>44367</v>
      </c>
      <c r="M1043" s="315" t="s">
        <v>4080</v>
      </c>
      <c r="N1043" s="342" t="s">
        <v>4081</v>
      </c>
      <c r="O1043" s="265" t="s">
        <v>523</v>
      </c>
      <c r="P1043" s="102">
        <v>25959.23</v>
      </c>
      <c r="Q1043" s="230">
        <v>8000</v>
      </c>
      <c r="R1043" s="131"/>
      <c r="S1043" s="132"/>
      <c r="T1043" s="230">
        <v>17959.23</v>
      </c>
      <c r="U1043" s="100"/>
      <c r="V1043" s="102"/>
      <c r="W1043" s="45"/>
    </row>
    <row r="1044" s="40" customFormat="1" ht="22" hidden="1" customHeight="1" spans="1:23">
      <c r="A1044" s="261" t="s">
        <v>4082</v>
      </c>
      <c r="B1044" s="174" t="s">
        <v>3605</v>
      </c>
      <c r="C1044" s="175"/>
      <c r="D1044" s="45" t="s">
        <v>31</v>
      </c>
      <c r="E1044" s="82" t="s">
        <v>3919</v>
      </c>
      <c r="F1044" s="81">
        <f>IFERROR(VLOOKUP(E1044,客户!B:C,2,FALSE),"/")</f>
        <v>0</v>
      </c>
      <c r="G1044" s="307" t="s">
        <v>4083</v>
      </c>
      <c r="H1044" s="324" t="s">
        <v>123</v>
      </c>
      <c r="I1044" s="108" t="s">
        <v>3513</v>
      </c>
      <c r="J1044" s="108">
        <v>44272</v>
      </c>
      <c r="K1044" s="100">
        <v>44312</v>
      </c>
      <c r="L1044" s="100"/>
      <c r="M1044" s="315" t="s">
        <v>4084</v>
      </c>
      <c r="N1044" s="338" t="s">
        <v>4085</v>
      </c>
      <c r="O1044" s="265" t="s">
        <v>970</v>
      </c>
      <c r="P1044" s="102">
        <v>27068.8</v>
      </c>
      <c r="Q1044" s="317"/>
      <c r="R1044" s="131"/>
      <c r="S1044" s="132"/>
      <c r="T1044" s="102">
        <v>27068.8</v>
      </c>
      <c r="U1044" s="100"/>
      <c r="V1044" s="102"/>
      <c r="W1044" s="45"/>
    </row>
    <row r="1045" s="40" customFormat="1" ht="22" hidden="1" customHeight="1" spans="1:23">
      <c r="A1045" s="261" t="s">
        <v>4086</v>
      </c>
      <c r="B1045" s="174" t="s">
        <v>3605</v>
      </c>
      <c r="C1045" s="175"/>
      <c r="D1045" s="229" t="s">
        <v>31</v>
      </c>
      <c r="E1045" s="82" t="s">
        <v>3909</v>
      </c>
      <c r="F1045" s="81">
        <f>IFERROR(VLOOKUP(E1045,客户!B:C,2,FALSE),"/")</f>
        <v>0</v>
      </c>
      <c r="G1045" s="307" t="s">
        <v>4087</v>
      </c>
      <c r="H1045" s="324" t="s">
        <v>123</v>
      </c>
      <c r="I1045" s="108" t="s">
        <v>3911</v>
      </c>
      <c r="J1045" s="108">
        <v>44281</v>
      </c>
      <c r="K1045" s="100">
        <v>44402</v>
      </c>
      <c r="L1045" s="100">
        <v>44446</v>
      </c>
      <c r="M1045" s="315" t="s">
        <v>4088</v>
      </c>
      <c r="N1045" s="338" t="s">
        <v>4089</v>
      </c>
      <c r="O1045" s="265" t="s">
        <v>523</v>
      </c>
      <c r="P1045" s="102">
        <v>81186.21</v>
      </c>
      <c r="Q1045" s="230">
        <v>15596.34</v>
      </c>
      <c r="R1045" s="131"/>
      <c r="S1045" s="132"/>
      <c r="T1045" s="102">
        <v>33774.29</v>
      </c>
      <c r="U1045" s="230">
        <v>31815.58</v>
      </c>
      <c r="V1045" s="102"/>
      <c r="W1045" s="45"/>
    </row>
    <row r="1046" s="40" customFormat="1" ht="22" hidden="1" customHeight="1" spans="1:23">
      <c r="A1046" s="261" t="s">
        <v>4090</v>
      </c>
      <c r="B1046" s="174" t="s">
        <v>3605</v>
      </c>
      <c r="C1046" s="175"/>
      <c r="D1046" s="229" t="s">
        <v>31</v>
      </c>
      <c r="E1046" s="82" t="s">
        <v>4048</v>
      </c>
      <c r="F1046" s="81">
        <f>IFERROR(VLOOKUP(E1046,客户!B:C,2,FALSE),"/")</f>
        <v>0</v>
      </c>
      <c r="G1046" s="307" t="s">
        <v>4091</v>
      </c>
      <c r="H1046" s="324" t="s">
        <v>123</v>
      </c>
      <c r="I1046" s="108" t="s">
        <v>4050</v>
      </c>
      <c r="J1046" s="108">
        <v>44284</v>
      </c>
      <c r="K1046" s="100">
        <v>44406</v>
      </c>
      <c r="L1046" s="100">
        <v>44441</v>
      </c>
      <c r="M1046" s="315" t="s">
        <v>4092</v>
      </c>
      <c r="N1046" s="338" t="s">
        <v>4093</v>
      </c>
      <c r="O1046" s="265" t="s">
        <v>523</v>
      </c>
      <c r="P1046" s="102">
        <v>31725.6</v>
      </c>
      <c r="Q1046" s="230">
        <v>8613</v>
      </c>
      <c r="R1046" s="131"/>
      <c r="S1046" s="132"/>
      <c r="T1046" s="102">
        <v>23112.6</v>
      </c>
      <c r="U1046" s="100"/>
      <c r="V1046" s="102"/>
      <c r="W1046" s="45"/>
    </row>
    <row r="1047" s="40" customFormat="1" ht="22" hidden="1" customHeight="1" spans="1:23">
      <c r="A1047" s="292" t="s">
        <v>4094</v>
      </c>
      <c r="B1047" s="174" t="s">
        <v>3605</v>
      </c>
      <c r="C1047" s="175"/>
      <c r="D1047" s="229" t="s">
        <v>31</v>
      </c>
      <c r="E1047" s="82" t="s">
        <v>3892</v>
      </c>
      <c r="F1047" s="81">
        <f>IFERROR(VLOOKUP(E1047,客户!B:C,2,FALSE),"/")</f>
        <v>0</v>
      </c>
      <c r="G1047" s="307" t="s">
        <v>4083</v>
      </c>
      <c r="H1047" s="324" t="s">
        <v>147</v>
      </c>
      <c r="I1047" s="108" t="s">
        <v>4033</v>
      </c>
      <c r="J1047" s="108">
        <v>44288</v>
      </c>
      <c r="K1047" s="100">
        <v>44351</v>
      </c>
      <c r="L1047" s="200">
        <v>44376</v>
      </c>
      <c r="M1047" s="315" t="s">
        <v>4095</v>
      </c>
      <c r="N1047" s="338" t="s">
        <v>1570</v>
      </c>
      <c r="O1047" s="265" t="s">
        <v>970</v>
      </c>
      <c r="P1047" s="102">
        <v>33170.6</v>
      </c>
      <c r="Q1047" s="230"/>
      <c r="R1047" s="131"/>
      <c r="S1047" s="132"/>
      <c r="T1047" s="240">
        <v>150000</v>
      </c>
      <c r="U1047" s="100"/>
      <c r="V1047" s="102"/>
      <c r="W1047" s="45"/>
    </row>
    <row r="1048" s="40" customFormat="1" ht="22" hidden="1" customHeight="1" spans="1:23">
      <c r="A1048" s="261" t="s">
        <v>4096</v>
      </c>
      <c r="B1048" s="174" t="s">
        <v>3605</v>
      </c>
      <c r="C1048" s="175"/>
      <c r="D1048" s="229" t="s">
        <v>31</v>
      </c>
      <c r="E1048" s="82" t="s">
        <v>3892</v>
      </c>
      <c r="F1048" s="81">
        <f>IFERROR(VLOOKUP(E1048,客户!B:C,2,FALSE),"/")</f>
        <v>0</v>
      </c>
      <c r="G1048" s="307" t="s">
        <v>4083</v>
      </c>
      <c r="H1048" s="324" t="s">
        <v>147</v>
      </c>
      <c r="I1048" s="108" t="s">
        <v>4033</v>
      </c>
      <c r="J1048" s="108">
        <v>44288</v>
      </c>
      <c r="K1048" s="100">
        <v>44359</v>
      </c>
      <c r="L1048" s="100">
        <v>44375</v>
      </c>
      <c r="M1048" s="315" t="s">
        <v>4097</v>
      </c>
      <c r="N1048" s="338" t="s">
        <v>4098</v>
      </c>
      <c r="O1048" s="265" t="s">
        <v>970</v>
      </c>
      <c r="P1048" s="102">
        <v>33084.6</v>
      </c>
      <c r="Q1048" s="230">
        <f>100000/6.55</f>
        <v>15267.1755725191</v>
      </c>
      <c r="R1048" s="131"/>
      <c r="S1048" s="132"/>
      <c r="T1048" s="240">
        <v>150000</v>
      </c>
      <c r="U1048" s="102">
        <v>25000</v>
      </c>
      <c r="V1048" s="246" t="s">
        <v>4099</v>
      </c>
      <c r="W1048" s="45"/>
    </row>
    <row r="1049" s="40" customFormat="1" ht="22" hidden="1" customHeight="1" spans="1:23">
      <c r="A1049" s="292" t="s">
        <v>4100</v>
      </c>
      <c r="B1049" s="174" t="s">
        <v>3605</v>
      </c>
      <c r="C1049" s="175"/>
      <c r="D1049" s="229" t="s">
        <v>31</v>
      </c>
      <c r="E1049" s="82" t="s">
        <v>3931</v>
      </c>
      <c r="F1049" s="81">
        <f>IFERROR(VLOOKUP(E1049,客户!B:C,2,FALSE),"/")</f>
        <v>0</v>
      </c>
      <c r="G1049" s="307" t="s">
        <v>4079</v>
      </c>
      <c r="H1049" s="324" t="s">
        <v>123</v>
      </c>
      <c r="I1049" s="108" t="s">
        <v>3817</v>
      </c>
      <c r="J1049" s="108">
        <v>44296</v>
      </c>
      <c r="K1049" s="200">
        <v>44394</v>
      </c>
      <c r="L1049" s="100"/>
      <c r="M1049" s="315" t="s">
        <v>4101</v>
      </c>
      <c r="N1049" s="338" t="s">
        <v>4102</v>
      </c>
      <c r="O1049" s="265" t="s">
        <v>970</v>
      </c>
      <c r="P1049" s="102">
        <v>24651.13</v>
      </c>
      <c r="Q1049" s="230">
        <v>7398.8</v>
      </c>
      <c r="R1049" s="131"/>
      <c r="S1049" s="132"/>
      <c r="T1049" s="102">
        <v>17252.33</v>
      </c>
      <c r="U1049" s="100"/>
      <c r="V1049" s="102"/>
      <c r="W1049" s="45"/>
    </row>
    <row r="1050" s="40" customFormat="1" ht="22" hidden="1" customHeight="1" spans="1:23">
      <c r="A1050" s="261" t="s">
        <v>4103</v>
      </c>
      <c r="B1050" s="174" t="s">
        <v>3605</v>
      </c>
      <c r="C1050" s="175"/>
      <c r="D1050" s="45" t="s">
        <v>31</v>
      </c>
      <c r="E1050" s="82" t="s">
        <v>3919</v>
      </c>
      <c r="F1050" s="81"/>
      <c r="G1050" s="307" t="s">
        <v>4083</v>
      </c>
      <c r="H1050" s="324" t="s">
        <v>123</v>
      </c>
      <c r="I1050" s="108" t="s">
        <v>3513</v>
      </c>
      <c r="J1050" s="108">
        <v>44303</v>
      </c>
      <c r="K1050" s="100">
        <v>44340</v>
      </c>
      <c r="L1050" s="100"/>
      <c r="M1050" s="315" t="s">
        <v>4104</v>
      </c>
      <c r="N1050" s="338" t="s">
        <v>4105</v>
      </c>
      <c r="O1050" s="265" t="s">
        <v>970</v>
      </c>
      <c r="P1050" s="102">
        <v>29033</v>
      </c>
      <c r="Q1050" s="317"/>
      <c r="R1050" s="131"/>
      <c r="S1050" s="132"/>
      <c r="T1050" s="102">
        <v>29033</v>
      </c>
      <c r="U1050" s="100"/>
      <c r="V1050" s="102"/>
      <c r="W1050" s="45"/>
    </row>
    <row r="1051" s="40" customFormat="1" ht="22" hidden="1" customHeight="1" spans="1:23">
      <c r="A1051" s="261" t="s">
        <v>4106</v>
      </c>
      <c r="B1051" s="174" t="s">
        <v>3605</v>
      </c>
      <c r="C1051" s="175"/>
      <c r="D1051" s="45" t="s">
        <v>31</v>
      </c>
      <c r="E1051" s="82" t="s">
        <v>3919</v>
      </c>
      <c r="F1051" s="81">
        <f>IFERROR(VLOOKUP(E1051,客户!B:C,2,FALSE),"/")</f>
        <v>0</v>
      </c>
      <c r="G1051" s="307" t="s">
        <v>4083</v>
      </c>
      <c r="H1051" s="324" t="s">
        <v>123</v>
      </c>
      <c r="I1051" s="108" t="s">
        <v>3513</v>
      </c>
      <c r="J1051" s="108">
        <v>44303</v>
      </c>
      <c r="K1051" s="100">
        <v>44361</v>
      </c>
      <c r="L1051" s="100"/>
      <c r="M1051" s="315" t="s">
        <v>4107</v>
      </c>
      <c r="N1051" s="338" t="s">
        <v>4108</v>
      </c>
      <c r="O1051" s="265" t="s">
        <v>970</v>
      </c>
      <c r="P1051" s="169">
        <v>28793.25</v>
      </c>
      <c r="Q1051" s="230">
        <f>40000/6.39</f>
        <v>6259.78090766823</v>
      </c>
      <c r="R1051" s="131"/>
      <c r="S1051" s="132"/>
      <c r="T1051" s="169">
        <v>22533.47</v>
      </c>
      <c r="U1051" s="100"/>
      <c r="V1051" s="102"/>
      <c r="W1051" s="45"/>
    </row>
    <row r="1052" s="40" customFormat="1" ht="22" hidden="1" customHeight="1" spans="1:23">
      <c r="A1052" s="261" t="s">
        <v>4109</v>
      </c>
      <c r="B1052" s="174" t="s">
        <v>3605</v>
      </c>
      <c r="C1052" s="175"/>
      <c r="D1052" s="45" t="s">
        <v>31</v>
      </c>
      <c r="E1052" s="82" t="s">
        <v>3919</v>
      </c>
      <c r="F1052" s="81"/>
      <c r="G1052" s="307" t="s">
        <v>4083</v>
      </c>
      <c r="H1052" s="324" t="s">
        <v>123</v>
      </c>
      <c r="I1052" s="108" t="s">
        <v>3513</v>
      </c>
      <c r="J1052" s="108">
        <v>44319</v>
      </c>
      <c r="K1052" s="100">
        <v>44361</v>
      </c>
      <c r="L1052" s="100"/>
      <c r="M1052" s="315" t="s">
        <v>4110</v>
      </c>
      <c r="N1052" s="338" t="s">
        <v>4108</v>
      </c>
      <c r="O1052" s="265" t="s">
        <v>970</v>
      </c>
      <c r="P1052" s="102">
        <v>29123.75</v>
      </c>
      <c r="Q1052" s="317"/>
      <c r="R1052" s="131"/>
      <c r="S1052" s="132"/>
      <c r="T1052" s="169">
        <v>29123.75</v>
      </c>
      <c r="U1052" s="100"/>
      <c r="V1052" s="246" t="s">
        <v>4111</v>
      </c>
      <c r="W1052" s="45"/>
    </row>
    <row r="1053" s="40" customFormat="1" ht="22" hidden="1" customHeight="1" spans="1:23">
      <c r="A1053" s="261" t="s">
        <v>4112</v>
      </c>
      <c r="B1053" s="174" t="s">
        <v>3605</v>
      </c>
      <c r="C1053" s="175"/>
      <c r="D1053" s="45" t="s">
        <v>31</v>
      </c>
      <c r="E1053" s="82" t="s">
        <v>3919</v>
      </c>
      <c r="F1053" s="81">
        <f>IFERROR(VLOOKUP(E1053,客户!B:C,2,FALSE),"/")</f>
        <v>0</v>
      </c>
      <c r="G1053" s="307" t="s">
        <v>3985</v>
      </c>
      <c r="H1053" s="324" t="s">
        <v>123</v>
      </c>
      <c r="I1053" s="108" t="s">
        <v>3513</v>
      </c>
      <c r="J1053" s="108">
        <v>44319</v>
      </c>
      <c r="K1053" s="100">
        <v>44383</v>
      </c>
      <c r="L1053" s="100"/>
      <c r="M1053" s="315" t="s">
        <v>4113</v>
      </c>
      <c r="N1053" s="338" t="s">
        <v>4114</v>
      </c>
      <c r="O1053" s="265" t="s">
        <v>970</v>
      </c>
      <c r="P1053" s="102">
        <v>58830.65</v>
      </c>
      <c r="Q1053" s="102">
        <f>50000/6.46</f>
        <v>7739.93808049536</v>
      </c>
      <c r="R1053" s="131"/>
      <c r="S1053" s="132"/>
      <c r="T1053" s="102">
        <v>48062</v>
      </c>
      <c r="U1053" s="240">
        <v>19565</v>
      </c>
      <c r="V1053" s="102"/>
      <c r="W1053" s="45"/>
    </row>
    <row r="1054" s="40" customFormat="1" ht="22" hidden="1" customHeight="1" spans="1:23">
      <c r="A1054" s="261" t="s">
        <v>4115</v>
      </c>
      <c r="B1054" s="174" t="s">
        <v>3605</v>
      </c>
      <c r="C1054" s="175"/>
      <c r="D1054" s="45" t="s">
        <v>31</v>
      </c>
      <c r="E1054" s="82" t="s">
        <v>3971</v>
      </c>
      <c r="F1054" s="81">
        <f>IFERROR(VLOOKUP(E1054,客户!B:C,2,FALSE),"/")</f>
        <v>0</v>
      </c>
      <c r="G1054" s="307" t="s">
        <v>3972</v>
      </c>
      <c r="H1054" s="324" t="s">
        <v>186</v>
      </c>
      <c r="I1054" s="108"/>
      <c r="J1054" s="108">
        <v>44335</v>
      </c>
      <c r="K1054" s="100">
        <v>44335</v>
      </c>
      <c r="L1054" s="100"/>
      <c r="M1054" s="315" t="s">
        <v>4116</v>
      </c>
      <c r="N1054" s="338"/>
      <c r="O1054" s="265" t="s">
        <v>970</v>
      </c>
      <c r="P1054" s="240">
        <v>19362.75</v>
      </c>
      <c r="Q1054" s="317">
        <v>23779.91</v>
      </c>
      <c r="R1054" s="131"/>
      <c r="S1054" s="132"/>
      <c r="T1054" s="240"/>
      <c r="U1054" s="100"/>
      <c r="V1054" s="102"/>
      <c r="W1054" s="45"/>
    </row>
    <row r="1055" s="40" customFormat="1" ht="22" hidden="1" customHeight="1" spans="1:23">
      <c r="A1055" s="261" t="s">
        <v>4117</v>
      </c>
      <c r="B1055" s="174" t="s">
        <v>3605</v>
      </c>
      <c r="C1055" s="175"/>
      <c r="D1055" s="45" t="s">
        <v>31</v>
      </c>
      <c r="E1055" s="82" t="s">
        <v>4118</v>
      </c>
      <c r="F1055" s="81">
        <f>IFERROR(VLOOKUP(E1055,客户!B:C,2,FALSE),"/")</f>
        <v>0</v>
      </c>
      <c r="G1055" s="307" t="s">
        <v>4083</v>
      </c>
      <c r="H1055" s="324" t="s">
        <v>123</v>
      </c>
      <c r="I1055" s="108" t="s">
        <v>3707</v>
      </c>
      <c r="J1055" s="108">
        <v>44343</v>
      </c>
      <c r="K1055" s="100">
        <v>44411</v>
      </c>
      <c r="L1055" s="100">
        <v>44443</v>
      </c>
      <c r="M1055" s="315" t="s">
        <v>4119</v>
      </c>
      <c r="N1055" s="338" t="s">
        <v>4120</v>
      </c>
      <c r="O1055" s="265" t="s">
        <v>523</v>
      </c>
      <c r="P1055" s="102">
        <v>30350.61</v>
      </c>
      <c r="Q1055" s="102">
        <v>10130.2</v>
      </c>
      <c r="R1055" s="131"/>
      <c r="S1055" s="132"/>
      <c r="T1055" s="102">
        <v>20220.41</v>
      </c>
      <c r="U1055" s="100"/>
      <c r="V1055" s="102"/>
      <c r="W1055" s="45"/>
    </row>
    <row r="1056" s="40" customFormat="1" ht="22" hidden="1" customHeight="1" spans="1:23">
      <c r="A1056" s="292" t="s">
        <v>4121</v>
      </c>
      <c r="B1056" s="174" t="s">
        <v>3605</v>
      </c>
      <c r="C1056" s="175"/>
      <c r="D1056" s="45" t="s">
        <v>31</v>
      </c>
      <c r="E1056" s="82" t="s">
        <v>3931</v>
      </c>
      <c r="F1056" s="81">
        <f>IFERROR(VLOOKUP(E1056,客户!B:C,2,FALSE),"/")</f>
        <v>0</v>
      </c>
      <c r="G1056" s="307" t="s">
        <v>4079</v>
      </c>
      <c r="H1056" s="324" t="s">
        <v>186</v>
      </c>
      <c r="I1056" s="108" t="s">
        <v>3817</v>
      </c>
      <c r="J1056" s="108">
        <v>44343</v>
      </c>
      <c r="K1056" s="100">
        <v>44423</v>
      </c>
      <c r="L1056" s="100"/>
      <c r="M1056" s="315" t="s">
        <v>4122</v>
      </c>
      <c r="N1056" s="338" t="s">
        <v>1581</v>
      </c>
      <c r="O1056" s="265" t="s">
        <v>970</v>
      </c>
      <c r="P1056" s="240">
        <v>187511.25</v>
      </c>
      <c r="Q1056" s="317">
        <v>57280</v>
      </c>
      <c r="R1056" s="131"/>
      <c r="S1056" s="132"/>
      <c r="T1056" s="240">
        <v>133651.25</v>
      </c>
      <c r="U1056" s="100"/>
      <c r="V1056" s="102"/>
      <c r="W1056" s="45"/>
    </row>
    <row r="1057" s="40" customFormat="1" ht="22" hidden="1" customHeight="1" spans="1:23">
      <c r="A1057" s="261" t="s">
        <v>4123</v>
      </c>
      <c r="B1057" s="174" t="s">
        <v>3605</v>
      </c>
      <c r="C1057" s="175"/>
      <c r="D1057" s="45" t="s">
        <v>31</v>
      </c>
      <c r="E1057" s="82" t="s">
        <v>3892</v>
      </c>
      <c r="F1057" s="81">
        <f>IFERROR(VLOOKUP(E1057,客户!B:C,2,FALSE),"/")</f>
        <v>0</v>
      </c>
      <c r="G1057" s="307" t="s">
        <v>4083</v>
      </c>
      <c r="H1057" s="324" t="s">
        <v>147</v>
      </c>
      <c r="I1057" s="108" t="s">
        <v>4033</v>
      </c>
      <c r="J1057" s="108">
        <v>44356</v>
      </c>
      <c r="K1057" s="100">
        <v>44408</v>
      </c>
      <c r="L1057" s="100">
        <v>44425</v>
      </c>
      <c r="M1057" s="315" t="s">
        <v>4124</v>
      </c>
      <c r="N1057" s="338" t="s">
        <v>1570</v>
      </c>
      <c r="O1057" s="265" t="s">
        <v>970</v>
      </c>
      <c r="P1057" s="102">
        <v>33127.6</v>
      </c>
      <c r="Q1057" s="230">
        <f>60000/6.38</f>
        <v>9404.38871473354</v>
      </c>
      <c r="R1057" s="131"/>
      <c r="S1057" s="132"/>
      <c r="T1057" s="102">
        <v>23723.21</v>
      </c>
      <c r="U1057" s="100"/>
      <c r="V1057" s="329" t="s">
        <v>4125</v>
      </c>
      <c r="W1057" s="45"/>
    </row>
    <row r="1058" s="40" customFormat="1" ht="22" hidden="1" customHeight="1" spans="1:23">
      <c r="A1058" s="261" t="s">
        <v>4126</v>
      </c>
      <c r="B1058" s="174" t="s">
        <v>3605</v>
      </c>
      <c r="C1058" s="175"/>
      <c r="D1058" s="45" t="s">
        <v>31</v>
      </c>
      <c r="E1058" s="82" t="s">
        <v>3892</v>
      </c>
      <c r="F1058" s="81">
        <f>IFERROR(VLOOKUP(E1058,客户!B:C,2,FALSE),"/")</f>
        <v>0</v>
      </c>
      <c r="G1058" s="307" t="s">
        <v>4083</v>
      </c>
      <c r="H1058" s="324" t="s">
        <v>147</v>
      </c>
      <c r="I1058" s="108" t="s">
        <v>4033</v>
      </c>
      <c r="J1058" s="108">
        <v>44356</v>
      </c>
      <c r="K1058" s="200">
        <v>44415</v>
      </c>
      <c r="L1058" s="100">
        <v>44432</v>
      </c>
      <c r="M1058" s="315" t="s">
        <v>4127</v>
      </c>
      <c r="N1058" s="338" t="s">
        <v>4128</v>
      </c>
      <c r="O1058" s="265" t="s">
        <v>970</v>
      </c>
      <c r="P1058" s="102">
        <v>33127.6</v>
      </c>
      <c r="Q1058" s="102">
        <f>50000/6.38</f>
        <v>7836.99059561129</v>
      </c>
      <c r="R1058" s="131"/>
      <c r="S1058" s="132"/>
      <c r="T1058" s="102">
        <v>7295.79</v>
      </c>
      <c r="U1058" s="102">
        <f>20000-1981.2-23.8</f>
        <v>17995</v>
      </c>
      <c r="V1058" s="246" t="s">
        <v>4129</v>
      </c>
      <c r="W1058" s="45"/>
    </row>
    <row r="1059" s="40" customFormat="1" ht="22" hidden="1" customHeight="1" spans="1:23">
      <c r="A1059" s="261" t="s">
        <v>4130</v>
      </c>
      <c r="B1059" s="174" t="s">
        <v>3605</v>
      </c>
      <c r="C1059" s="175"/>
      <c r="D1059" s="45" t="s">
        <v>31</v>
      </c>
      <c r="E1059" s="82" t="s">
        <v>3919</v>
      </c>
      <c r="F1059" s="81">
        <f>IFERROR(VLOOKUP(E1059,客户!B:C,2,FALSE),"/")</f>
        <v>0</v>
      </c>
      <c r="G1059" s="307" t="s">
        <v>4083</v>
      </c>
      <c r="H1059" s="324" t="s">
        <v>123</v>
      </c>
      <c r="I1059" s="108" t="s">
        <v>3513</v>
      </c>
      <c r="J1059" s="108">
        <v>44370</v>
      </c>
      <c r="K1059" s="100">
        <v>44425</v>
      </c>
      <c r="L1059" s="100"/>
      <c r="M1059" s="315" t="s">
        <v>4131</v>
      </c>
      <c r="N1059" s="338" t="s">
        <v>4132</v>
      </c>
      <c r="O1059" s="265" t="s">
        <v>970</v>
      </c>
      <c r="P1059" s="102">
        <v>27967.5</v>
      </c>
      <c r="Q1059" s="317"/>
      <c r="R1059" s="131"/>
      <c r="S1059" s="132"/>
      <c r="T1059" s="102">
        <v>27967.5</v>
      </c>
      <c r="U1059" s="100"/>
      <c r="V1059" s="246" t="s">
        <v>4133</v>
      </c>
      <c r="W1059" s="45"/>
    </row>
    <row r="1060" s="40" customFormat="1" ht="22" hidden="1" customHeight="1" spans="1:23">
      <c r="A1060" s="261" t="s">
        <v>4134</v>
      </c>
      <c r="B1060" s="174" t="s">
        <v>3605</v>
      </c>
      <c r="C1060" s="175"/>
      <c r="D1060" s="45" t="s">
        <v>31</v>
      </c>
      <c r="E1060" s="82" t="s">
        <v>4070</v>
      </c>
      <c r="F1060" s="81">
        <f>IFERROR(VLOOKUP(E1060,客户!B:C,2,FALSE),"/")</f>
        <v>0</v>
      </c>
      <c r="G1060" s="307" t="s">
        <v>4071</v>
      </c>
      <c r="H1060" s="324" t="s">
        <v>186</v>
      </c>
      <c r="I1060" s="108"/>
      <c r="J1060" s="108">
        <v>44376</v>
      </c>
      <c r="K1060" s="100">
        <v>44379</v>
      </c>
      <c r="L1060" s="100"/>
      <c r="M1060" s="315" t="s">
        <v>4135</v>
      </c>
      <c r="N1060" s="338"/>
      <c r="O1060" s="265" t="s">
        <v>970</v>
      </c>
      <c r="P1060" s="240">
        <v>9400</v>
      </c>
      <c r="Q1060" s="317"/>
      <c r="R1060" s="131"/>
      <c r="S1060" s="132"/>
      <c r="T1060" s="240">
        <v>9400</v>
      </c>
      <c r="U1060" s="100"/>
      <c r="V1060" s="102"/>
      <c r="W1060" s="45"/>
    </row>
    <row r="1061" s="40" customFormat="1" ht="22" hidden="1" customHeight="1" spans="1:23">
      <c r="A1061" s="261" t="s">
        <v>4136</v>
      </c>
      <c r="B1061" s="174" t="s">
        <v>3605</v>
      </c>
      <c r="C1061" s="175"/>
      <c r="D1061" s="45" t="s">
        <v>31</v>
      </c>
      <c r="E1061" s="82" t="s">
        <v>4038</v>
      </c>
      <c r="F1061" s="81">
        <f>IFERROR(VLOOKUP(E1061,客户!B:C,2,FALSE),"/")</f>
        <v>0</v>
      </c>
      <c r="G1061" s="307" t="s">
        <v>4137</v>
      </c>
      <c r="H1061" s="324" t="s">
        <v>123</v>
      </c>
      <c r="I1061" s="108" t="s">
        <v>4040</v>
      </c>
      <c r="J1061" s="108">
        <v>44377</v>
      </c>
      <c r="K1061" s="100">
        <v>44427</v>
      </c>
      <c r="L1061" s="100">
        <v>44462</v>
      </c>
      <c r="M1061" s="315" t="s">
        <v>4138</v>
      </c>
      <c r="N1061" s="338" t="s">
        <v>4139</v>
      </c>
      <c r="O1061" s="265" t="s">
        <v>1283</v>
      </c>
      <c r="P1061" s="102">
        <v>20287.14</v>
      </c>
      <c r="Q1061" s="317"/>
      <c r="R1061" s="131"/>
      <c r="S1061" s="132"/>
      <c r="T1061" s="102">
        <v>20287.14</v>
      </c>
      <c r="U1061" s="100"/>
      <c r="V1061" s="102"/>
      <c r="W1061" s="45"/>
    </row>
    <row r="1062" s="40" customFormat="1" ht="22" hidden="1" customHeight="1" spans="1:23">
      <c r="A1062" s="261" t="s">
        <v>4140</v>
      </c>
      <c r="B1062" s="174" t="s">
        <v>3605</v>
      </c>
      <c r="C1062" s="175"/>
      <c r="D1062" s="45" t="s">
        <v>31</v>
      </c>
      <c r="E1062" s="82" t="s">
        <v>3868</v>
      </c>
      <c r="F1062" s="81">
        <f>IFERROR(VLOOKUP(E1062,客户!B:C,2,FALSE),"/")</f>
        <v>0</v>
      </c>
      <c r="G1062" s="307" t="s">
        <v>4083</v>
      </c>
      <c r="H1062" s="324" t="s">
        <v>123</v>
      </c>
      <c r="I1062" s="108" t="s">
        <v>3858</v>
      </c>
      <c r="J1062" s="108">
        <v>44379</v>
      </c>
      <c r="K1062" s="100">
        <v>44416</v>
      </c>
      <c r="L1062" s="100">
        <v>44447</v>
      </c>
      <c r="M1062" s="315" t="s">
        <v>4141</v>
      </c>
      <c r="N1062" s="338" t="s">
        <v>4142</v>
      </c>
      <c r="O1062" s="265" t="s">
        <v>523</v>
      </c>
      <c r="P1062" s="102">
        <v>31941</v>
      </c>
      <c r="Q1062" s="102">
        <f>55573/6.45</f>
        <v>8615.96899224806</v>
      </c>
      <c r="R1062" s="131"/>
      <c r="S1062" s="132"/>
      <c r="T1062" s="240">
        <v>150912.95</v>
      </c>
      <c r="U1062" s="100"/>
      <c r="V1062" s="102"/>
      <c r="W1062" s="45"/>
    </row>
    <row r="1063" s="40" customFormat="1" ht="22" hidden="1" customHeight="1" spans="1:23">
      <c r="A1063" s="261" t="s">
        <v>4143</v>
      </c>
      <c r="B1063" s="174" t="s">
        <v>3605</v>
      </c>
      <c r="C1063" s="175"/>
      <c r="D1063" s="45" t="s">
        <v>31</v>
      </c>
      <c r="E1063" s="82" t="s">
        <v>3931</v>
      </c>
      <c r="F1063" s="81">
        <f>IFERROR(VLOOKUP(E1063,客户!B:C,2,FALSE),"/")</f>
        <v>0</v>
      </c>
      <c r="G1063" s="307" t="s">
        <v>4079</v>
      </c>
      <c r="H1063" s="324" t="s">
        <v>186</v>
      </c>
      <c r="I1063" s="108" t="s">
        <v>3817</v>
      </c>
      <c r="J1063" s="108">
        <v>44379</v>
      </c>
      <c r="K1063" s="100">
        <v>44423</v>
      </c>
      <c r="L1063" s="100"/>
      <c r="M1063" s="315" t="s">
        <v>4144</v>
      </c>
      <c r="N1063" s="338" t="s">
        <v>1581</v>
      </c>
      <c r="O1063" s="265" t="s">
        <v>970</v>
      </c>
      <c r="P1063" s="240">
        <v>190824.75</v>
      </c>
      <c r="Q1063" s="317">
        <v>40000</v>
      </c>
      <c r="R1063" s="240"/>
      <c r="S1063" s="132"/>
      <c r="T1063" s="240">
        <v>147404.75</v>
      </c>
      <c r="U1063" s="100"/>
      <c r="V1063" s="102"/>
      <c r="W1063" s="45"/>
    </row>
    <row r="1064" s="40" customFormat="1" ht="22" hidden="1" customHeight="1" spans="1:23">
      <c r="A1064" s="261" t="s">
        <v>4145</v>
      </c>
      <c r="B1064" s="174" t="s">
        <v>3605</v>
      </c>
      <c r="C1064" s="175"/>
      <c r="D1064" s="45" t="s">
        <v>31</v>
      </c>
      <c r="E1064" s="82" t="s">
        <v>3909</v>
      </c>
      <c r="F1064" s="81">
        <f>IFERROR(VLOOKUP(E1064,客户!B:C,2,FALSE),"/")</f>
        <v>0</v>
      </c>
      <c r="G1064" s="307" t="s">
        <v>4146</v>
      </c>
      <c r="H1064" s="324" t="s">
        <v>123</v>
      </c>
      <c r="I1064" s="108" t="s">
        <v>3911</v>
      </c>
      <c r="J1064" s="108">
        <v>44382</v>
      </c>
      <c r="K1064" s="100">
        <v>44461</v>
      </c>
      <c r="L1064" s="100">
        <v>44513</v>
      </c>
      <c r="M1064" s="315" t="s">
        <v>4147</v>
      </c>
      <c r="N1064" s="338" t="s">
        <v>4148</v>
      </c>
      <c r="O1064" s="265" t="s">
        <v>523</v>
      </c>
      <c r="P1064" s="102">
        <v>55943.98</v>
      </c>
      <c r="Q1064" s="102">
        <v>16854.79</v>
      </c>
      <c r="R1064" s="131"/>
      <c r="S1064" s="132"/>
      <c r="T1064" s="102">
        <v>39089.19</v>
      </c>
      <c r="U1064" s="100"/>
      <c r="V1064" s="102"/>
      <c r="W1064" s="45"/>
    </row>
    <row r="1065" s="40" customFormat="1" ht="22" hidden="1" customHeight="1" spans="1:23">
      <c r="A1065" s="261" t="s">
        <v>4149</v>
      </c>
      <c r="B1065" s="174" t="s">
        <v>3605</v>
      </c>
      <c r="C1065" s="175"/>
      <c r="D1065" s="45" t="s">
        <v>31</v>
      </c>
      <c r="E1065" s="82" t="s">
        <v>3989</v>
      </c>
      <c r="F1065" s="81">
        <f>IFERROR(VLOOKUP(E1065,客户!B:C,2,FALSE),"/")</f>
        <v>0</v>
      </c>
      <c r="G1065" s="307" t="s">
        <v>3990</v>
      </c>
      <c r="H1065" s="324" t="s">
        <v>123</v>
      </c>
      <c r="I1065" s="108" t="s">
        <v>4150</v>
      </c>
      <c r="J1065" s="108">
        <v>44399</v>
      </c>
      <c r="K1065" s="100">
        <v>44446</v>
      </c>
      <c r="L1065" s="100">
        <v>44477</v>
      </c>
      <c r="M1065" s="315" t="s">
        <v>4151</v>
      </c>
      <c r="N1065" s="198" t="s">
        <v>4152</v>
      </c>
      <c r="O1065" s="265" t="s">
        <v>523</v>
      </c>
      <c r="P1065" s="102">
        <v>28264.25</v>
      </c>
      <c r="Q1065" s="102">
        <v>8451.38</v>
      </c>
      <c r="R1065" s="131"/>
      <c r="S1065" s="132"/>
      <c r="T1065" s="102">
        <v>19812.87</v>
      </c>
      <c r="U1065" s="100"/>
      <c r="V1065" s="102"/>
      <c r="W1065" s="45"/>
    </row>
    <row r="1066" s="40" customFormat="1" ht="22" hidden="1" customHeight="1" spans="1:23">
      <c r="A1066" s="261" t="s">
        <v>4153</v>
      </c>
      <c r="B1066" s="174" t="s">
        <v>3605</v>
      </c>
      <c r="C1066" s="175"/>
      <c r="D1066" s="45" t="s">
        <v>31</v>
      </c>
      <c r="E1066" s="82" t="s">
        <v>3919</v>
      </c>
      <c r="F1066" s="81">
        <f>IFERROR(VLOOKUP(E1066,客户!B:C,2,FALSE),"/")</f>
        <v>0</v>
      </c>
      <c r="G1066" s="307" t="s">
        <v>4083</v>
      </c>
      <c r="H1066" s="324" t="s">
        <v>123</v>
      </c>
      <c r="I1066" s="108" t="s">
        <v>3513</v>
      </c>
      <c r="J1066" s="108">
        <v>44399</v>
      </c>
      <c r="K1066" s="100">
        <v>44437</v>
      </c>
      <c r="L1066" s="100"/>
      <c r="M1066" s="315" t="s">
        <v>4154</v>
      </c>
      <c r="N1066" s="338" t="s">
        <v>3954</v>
      </c>
      <c r="O1066" s="265" t="s">
        <v>523</v>
      </c>
      <c r="P1066" s="102">
        <v>29897.3</v>
      </c>
      <c r="Q1066" s="317"/>
      <c r="R1066" s="131"/>
      <c r="S1066" s="132"/>
      <c r="T1066" s="102">
        <v>29897.3</v>
      </c>
      <c r="U1066" s="100"/>
      <c r="V1066" s="102"/>
      <c r="W1066" s="45"/>
    </row>
    <row r="1067" s="40" customFormat="1" ht="22" hidden="1" customHeight="1" spans="1:23">
      <c r="A1067" s="261" t="s">
        <v>4155</v>
      </c>
      <c r="B1067" s="174" t="s">
        <v>3605</v>
      </c>
      <c r="C1067" s="175"/>
      <c r="D1067" s="45" t="s">
        <v>31</v>
      </c>
      <c r="E1067" s="82" t="s">
        <v>3892</v>
      </c>
      <c r="F1067" s="81">
        <f>IFERROR(VLOOKUP(E1067,客户!B:C,2,FALSE),"/")</f>
        <v>0</v>
      </c>
      <c r="G1067" s="307" t="s">
        <v>4083</v>
      </c>
      <c r="H1067" s="324" t="s">
        <v>147</v>
      </c>
      <c r="I1067" s="108" t="s">
        <v>4033</v>
      </c>
      <c r="J1067" s="108">
        <v>44413</v>
      </c>
      <c r="K1067" s="100">
        <v>44444</v>
      </c>
      <c r="L1067" s="100">
        <v>44459</v>
      </c>
      <c r="M1067" s="315" t="s">
        <v>4156</v>
      </c>
      <c r="N1067" s="338" t="s">
        <v>4157</v>
      </c>
      <c r="O1067" s="265" t="s">
        <v>970</v>
      </c>
      <c r="P1067" s="102">
        <v>33557.2</v>
      </c>
      <c r="Q1067" s="102">
        <f>50000/6.45</f>
        <v>7751.93798449612</v>
      </c>
      <c r="R1067" s="131"/>
      <c r="S1067" s="132"/>
      <c r="T1067" s="102">
        <v>15108</v>
      </c>
      <c r="U1067" s="102">
        <f>P1067-Q1067-T1067</f>
        <v>10697.2620155039</v>
      </c>
      <c r="V1067" s="246" t="s">
        <v>4158</v>
      </c>
      <c r="W1067" s="45"/>
    </row>
    <row r="1068" s="40" customFormat="1" ht="22" hidden="1" customHeight="1" spans="1:23">
      <c r="A1068" s="261" t="s">
        <v>4159</v>
      </c>
      <c r="B1068" s="174" t="s">
        <v>3605</v>
      </c>
      <c r="C1068" s="175"/>
      <c r="D1068" s="45" t="s">
        <v>31</v>
      </c>
      <c r="E1068" s="82" t="s">
        <v>4160</v>
      </c>
      <c r="F1068" s="81">
        <f>IFERROR(VLOOKUP(E1068,客户!B:C,2,FALSE),"/")</f>
        <v>0</v>
      </c>
      <c r="G1068" s="307" t="s">
        <v>4083</v>
      </c>
      <c r="H1068" s="324" t="s">
        <v>123</v>
      </c>
      <c r="I1068" s="108" t="s">
        <v>3843</v>
      </c>
      <c r="J1068" s="108">
        <v>44424</v>
      </c>
      <c r="K1068" s="100">
        <v>44472</v>
      </c>
      <c r="L1068" s="100">
        <v>44523</v>
      </c>
      <c r="M1068" s="315" t="s">
        <v>4161</v>
      </c>
      <c r="N1068" s="329" t="s">
        <v>4162</v>
      </c>
      <c r="O1068" s="265" t="s">
        <v>523</v>
      </c>
      <c r="P1068" s="169">
        <v>46309.9</v>
      </c>
      <c r="Q1068" s="102">
        <v>7000</v>
      </c>
      <c r="R1068" s="131"/>
      <c r="S1068" s="132"/>
      <c r="T1068" s="102">
        <v>27500</v>
      </c>
      <c r="U1068" s="102">
        <v>11809.9</v>
      </c>
      <c r="V1068" s="102"/>
      <c r="W1068" s="45"/>
    </row>
    <row r="1069" s="40" customFormat="1" ht="22" hidden="1" customHeight="1" spans="1:23">
      <c r="A1069" s="261" t="s">
        <v>4163</v>
      </c>
      <c r="B1069" s="174" t="s">
        <v>3605</v>
      </c>
      <c r="C1069" s="175"/>
      <c r="D1069" s="45" t="s">
        <v>31</v>
      </c>
      <c r="E1069" s="82"/>
      <c r="F1069" s="81" t="str">
        <f>IFERROR(VLOOKUP(E1069,客户!B:C,2,FALSE),"/")</f>
        <v>/</v>
      </c>
      <c r="G1069" s="307"/>
      <c r="H1069" s="324" t="s">
        <v>186</v>
      </c>
      <c r="I1069" s="108"/>
      <c r="J1069" s="108">
        <v>44426</v>
      </c>
      <c r="K1069" s="100">
        <v>44428</v>
      </c>
      <c r="L1069" s="100"/>
      <c r="M1069" s="315" t="s">
        <v>4164</v>
      </c>
      <c r="N1069" s="338"/>
      <c r="O1069" s="265" t="s">
        <v>970</v>
      </c>
      <c r="P1069" s="240">
        <v>9611.25</v>
      </c>
      <c r="Q1069" s="102"/>
      <c r="R1069" s="131"/>
      <c r="S1069" s="132"/>
      <c r="T1069" s="240">
        <v>9611.25</v>
      </c>
      <c r="U1069" s="100"/>
      <c r="V1069" s="102"/>
      <c r="W1069" s="45"/>
    </row>
    <row r="1070" s="40" customFormat="1" ht="22" hidden="1" customHeight="1" spans="1:23">
      <c r="A1070" s="261" t="s">
        <v>4165</v>
      </c>
      <c r="B1070" s="174" t="s">
        <v>3605</v>
      </c>
      <c r="C1070" s="175"/>
      <c r="D1070" s="45" t="s">
        <v>31</v>
      </c>
      <c r="E1070" s="82" t="s">
        <v>3919</v>
      </c>
      <c r="F1070" s="81">
        <f>IFERROR(VLOOKUP(E1070,客户!B:C,2,FALSE),"/")</f>
        <v>0</v>
      </c>
      <c r="G1070" s="307" t="s">
        <v>4083</v>
      </c>
      <c r="H1070" s="324" t="s">
        <v>123</v>
      </c>
      <c r="I1070" s="108" t="s">
        <v>3513</v>
      </c>
      <c r="J1070" s="108">
        <v>44428</v>
      </c>
      <c r="K1070" s="100">
        <v>44459</v>
      </c>
      <c r="L1070" s="100"/>
      <c r="M1070" s="315" t="s">
        <v>4166</v>
      </c>
      <c r="N1070" s="338" t="s">
        <v>4167</v>
      </c>
      <c r="O1070" s="265" t="s">
        <v>970</v>
      </c>
      <c r="P1070" s="102">
        <v>29157</v>
      </c>
      <c r="Q1070" s="317"/>
      <c r="R1070" s="131"/>
      <c r="S1070" s="132"/>
      <c r="T1070" s="102">
        <v>29157</v>
      </c>
      <c r="U1070" s="100"/>
      <c r="V1070" s="102"/>
      <c r="W1070" s="45"/>
    </row>
    <row r="1071" s="40" customFormat="1" ht="22" hidden="1" customHeight="1" spans="1:23">
      <c r="A1071" s="261" t="s">
        <v>4168</v>
      </c>
      <c r="B1071" s="174" t="s">
        <v>3605</v>
      </c>
      <c r="C1071" s="175"/>
      <c r="D1071" s="45" t="s">
        <v>31</v>
      </c>
      <c r="E1071" s="82" t="s">
        <v>3919</v>
      </c>
      <c r="F1071" s="81">
        <f>IFERROR(VLOOKUP(E1071,客户!B:C,2,FALSE),"/")</f>
        <v>0</v>
      </c>
      <c r="G1071" s="307" t="s">
        <v>4169</v>
      </c>
      <c r="H1071" s="324" t="s">
        <v>123</v>
      </c>
      <c r="I1071" s="108" t="s">
        <v>3513</v>
      </c>
      <c r="J1071" s="108">
        <v>44433</v>
      </c>
      <c r="K1071" s="100">
        <v>44480</v>
      </c>
      <c r="L1071" s="100"/>
      <c r="M1071" s="315" t="s">
        <v>4170</v>
      </c>
      <c r="N1071" s="338" t="s">
        <v>3954</v>
      </c>
      <c r="O1071" s="265" t="s">
        <v>970</v>
      </c>
      <c r="P1071" s="102">
        <f>53547-930</f>
        <v>52617</v>
      </c>
      <c r="Q1071" s="317"/>
      <c r="R1071" s="131"/>
      <c r="S1071" s="132"/>
      <c r="T1071" s="102">
        <v>57996.5</v>
      </c>
      <c r="U1071" s="100"/>
      <c r="V1071" s="246" t="s">
        <v>4171</v>
      </c>
      <c r="W1071" s="45"/>
    </row>
    <row r="1072" s="40" customFormat="1" ht="22" hidden="1" customHeight="1" spans="1:23">
      <c r="A1072" s="261" t="s">
        <v>4172</v>
      </c>
      <c r="B1072" s="174" t="s">
        <v>3605</v>
      </c>
      <c r="C1072" s="175"/>
      <c r="D1072" s="45" t="s">
        <v>31</v>
      </c>
      <c r="E1072" s="82" t="s">
        <v>3919</v>
      </c>
      <c r="F1072" s="81"/>
      <c r="G1072" s="307" t="s">
        <v>4173</v>
      </c>
      <c r="H1072" s="324" t="s">
        <v>123</v>
      </c>
      <c r="I1072" s="108" t="s">
        <v>3513</v>
      </c>
      <c r="J1072" s="108">
        <v>44446</v>
      </c>
      <c r="K1072" s="100">
        <v>44480</v>
      </c>
      <c r="L1072" s="100"/>
      <c r="M1072" s="315" t="s">
        <v>4174</v>
      </c>
      <c r="N1072" s="338"/>
      <c r="O1072" s="265" t="s">
        <v>970</v>
      </c>
      <c r="P1072" s="102">
        <v>5379.5</v>
      </c>
      <c r="Q1072" s="317"/>
      <c r="R1072" s="131"/>
      <c r="S1072" s="132"/>
      <c r="T1072" s="240"/>
      <c r="U1072" s="100"/>
      <c r="V1072" s="246" t="s">
        <v>4175</v>
      </c>
      <c r="W1072" s="45"/>
    </row>
    <row r="1073" s="40" customFormat="1" ht="22" hidden="1" customHeight="1" spans="1:23">
      <c r="A1073" s="261" t="s">
        <v>4176</v>
      </c>
      <c r="B1073" s="174" t="s">
        <v>3605</v>
      </c>
      <c r="C1073" s="175"/>
      <c r="D1073" s="45" t="s">
        <v>31</v>
      </c>
      <c r="E1073" s="82" t="s">
        <v>4177</v>
      </c>
      <c r="F1073" s="81">
        <f>IFERROR(VLOOKUP(E1073,客户!B:C,2,FALSE),"/")</f>
        <v>0</v>
      </c>
      <c r="G1073" s="307" t="s">
        <v>4178</v>
      </c>
      <c r="H1073" s="324" t="s">
        <v>186</v>
      </c>
      <c r="I1073" s="108"/>
      <c r="J1073" s="108">
        <v>44438</v>
      </c>
      <c r="K1073" s="100">
        <v>44473</v>
      </c>
      <c r="L1073" s="100"/>
      <c r="M1073" s="315" t="s">
        <v>4179</v>
      </c>
      <c r="N1073" s="338" t="s">
        <v>4180</v>
      </c>
      <c r="O1073" s="265" t="s">
        <v>970</v>
      </c>
      <c r="P1073" s="240">
        <v>396764</v>
      </c>
      <c r="Q1073" s="317">
        <v>119000</v>
      </c>
      <c r="R1073" s="131"/>
      <c r="S1073" s="132"/>
      <c r="T1073" s="240"/>
      <c r="U1073" s="240">
        <v>277764</v>
      </c>
      <c r="V1073" s="102"/>
      <c r="W1073" s="45"/>
    </row>
    <row r="1074" s="40" customFormat="1" ht="22" hidden="1" customHeight="1" spans="1:23">
      <c r="A1074" s="261" t="s">
        <v>4181</v>
      </c>
      <c r="B1074" s="174" t="s">
        <v>3605</v>
      </c>
      <c r="C1074" s="175"/>
      <c r="D1074" s="45" t="s">
        <v>31</v>
      </c>
      <c r="E1074" s="82" t="s">
        <v>3931</v>
      </c>
      <c r="F1074" s="81">
        <f>IFERROR(VLOOKUP(E1074,客户!B:C,2,FALSE),"/")</f>
        <v>0</v>
      </c>
      <c r="G1074" s="307" t="s">
        <v>3996</v>
      </c>
      <c r="H1074" s="324" t="s">
        <v>186</v>
      </c>
      <c r="I1074" s="108" t="s">
        <v>3817</v>
      </c>
      <c r="J1074" s="108">
        <v>44440</v>
      </c>
      <c r="K1074" s="100">
        <v>44462</v>
      </c>
      <c r="L1074" s="100"/>
      <c r="M1074" s="315" t="s">
        <v>4182</v>
      </c>
      <c r="N1074" s="338"/>
      <c r="O1074" s="265" t="s">
        <v>970</v>
      </c>
      <c r="P1074" s="240">
        <v>8988</v>
      </c>
      <c r="Q1074" s="317">
        <v>2700</v>
      </c>
      <c r="R1074" s="131"/>
      <c r="S1074" s="132"/>
      <c r="T1074" s="240">
        <v>6288</v>
      </c>
      <c r="U1074" s="100"/>
      <c r="V1074" s="102"/>
      <c r="W1074" s="45"/>
    </row>
    <row r="1075" s="40" customFormat="1" ht="22" hidden="1" customHeight="1" spans="1:23">
      <c r="A1075" s="261" t="s">
        <v>4183</v>
      </c>
      <c r="B1075" s="174" t="s">
        <v>3605</v>
      </c>
      <c r="C1075" s="175"/>
      <c r="D1075" s="45" t="s">
        <v>31</v>
      </c>
      <c r="E1075" s="82" t="s">
        <v>3892</v>
      </c>
      <c r="F1075" s="81">
        <f>IFERROR(VLOOKUP(E1075,客户!B:C,2,FALSE),"/")</f>
        <v>0</v>
      </c>
      <c r="G1075" s="307" t="s">
        <v>4083</v>
      </c>
      <c r="H1075" s="324" t="s">
        <v>147</v>
      </c>
      <c r="I1075" s="108" t="s">
        <v>4033</v>
      </c>
      <c r="J1075" s="108">
        <v>44441</v>
      </c>
      <c r="K1075" s="100">
        <v>44500</v>
      </c>
      <c r="L1075" s="100">
        <v>44515</v>
      </c>
      <c r="M1075" s="315" t="s">
        <v>4184</v>
      </c>
      <c r="N1075" s="338" t="s">
        <v>4185</v>
      </c>
      <c r="O1075" s="265" t="s">
        <v>970</v>
      </c>
      <c r="P1075" s="102">
        <v>33066.5</v>
      </c>
      <c r="Q1075" s="102">
        <v>10000</v>
      </c>
      <c r="R1075" s="131"/>
      <c r="S1075" s="132"/>
      <c r="T1075" s="102">
        <f>P1075-Q1075</f>
        <v>23066.5</v>
      </c>
      <c r="U1075" s="100"/>
      <c r="V1075" s="102" t="s">
        <v>4186</v>
      </c>
      <c r="W1075" s="45"/>
    </row>
    <row r="1076" s="40" customFormat="1" ht="22" hidden="1" customHeight="1" spans="1:23">
      <c r="A1076" s="261" t="s">
        <v>4187</v>
      </c>
      <c r="B1076" s="174" t="s">
        <v>3605</v>
      </c>
      <c r="C1076" s="175"/>
      <c r="D1076" s="45" t="s">
        <v>31</v>
      </c>
      <c r="E1076" s="82" t="s">
        <v>3892</v>
      </c>
      <c r="F1076" s="81">
        <f>IFERROR(VLOOKUP(E1076,客户!B:C,2,FALSE),"/")</f>
        <v>0</v>
      </c>
      <c r="G1076" s="307" t="s">
        <v>4083</v>
      </c>
      <c r="H1076" s="324" t="s">
        <v>147</v>
      </c>
      <c r="I1076" s="108" t="s">
        <v>4033</v>
      </c>
      <c r="J1076" s="108">
        <v>44445</v>
      </c>
      <c r="K1076" s="100">
        <v>44528</v>
      </c>
      <c r="L1076" s="100">
        <v>44544</v>
      </c>
      <c r="M1076" s="315" t="s">
        <v>4188</v>
      </c>
      <c r="N1076" s="338" t="s">
        <v>4189</v>
      </c>
      <c r="O1076" s="265" t="s">
        <v>970</v>
      </c>
      <c r="P1076" s="102">
        <v>34358.44</v>
      </c>
      <c r="Q1076" s="102">
        <v>10000</v>
      </c>
      <c r="R1076" s="131"/>
      <c r="S1076" s="132"/>
      <c r="T1076" s="102">
        <v>35055</v>
      </c>
      <c r="U1076" s="100"/>
      <c r="V1076" s="246" t="s">
        <v>4190</v>
      </c>
      <c r="W1076" s="45"/>
    </row>
    <row r="1077" s="40" customFormat="1" ht="22" hidden="1" customHeight="1" spans="1:23">
      <c r="A1077" s="261" t="s">
        <v>4191</v>
      </c>
      <c r="B1077" s="174" t="s">
        <v>3605</v>
      </c>
      <c r="C1077" s="175"/>
      <c r="D1077" s="45" t="s">
        <v>31</v>
      </c>
      <c r="E1077" s="82" t="s">
        <v>4192</v>
      </c>
      <c r="F1077" s="81">
        <f>IFERROR(VLOOKUP(E1077,客户!B:C,2,FALSE),"/")</f>
        <v>0</v>
      </c>
      <c r="G1077" s="307" t="s">
        <v>4193</v>
      </c>
      <c r="H1077" s="324" t="s">
        <v>186</v>
      </c>
      <c r="I1077" s="108"/>
      <c r="J1077" s="108">
        <v>44446</v>
      </c>
      <c r="K1077" s="100">
        <v>44483</v>
      </c>
      <c r="L1077" s="100"/>
      <c r="M1077" s="315" t="s">
        <v>4194</v>
      </c>
      <c r="N1077" s="338"/>
      <c r="O1077" s="265" t="s">
        <v>970</v>
      </c>
      <c r="P1077" s="240">
        <v>92173.2</v>
      </c>
      <c r="Q1077" s="317">
        <v>26000</v>
      </c>
      <c r="R1077" s="131"/>
      <c r="S1077" s="132"/>
      <c r="T1077" s="240">
        <v>66173</v>
      </c>
      <c r="U1077" s="100"/>
      <c r="V1077" s="102"/>
      <c r="W1077" s="45"/>
    </row>
    <row r="1078" s="40" customFormat="1" ht="22" hidden="1" customHeight="1" spans="1:23">
      <c r="A1078" s="261" t="s">
        <v>4195</v>
      </c>
      <c r="B1078" s="174" t="s">
        <v>3605</v>
      </c>
      <c r="C1078" s="175"/>
      <c r="D1078" s="45" t="s">
        <v>31</v>
      </c>
      <c r="E1078" s="82" t="s">
        <v>3919</v>
      </c>
      <c r="F1078" s="81">
        <f>IFERROR(VLOOKUP(E1078,客户!B:C,2,FALSE),"/")</f>
        <v>0</v>
      </c>
      <c r="G1078" s="307" t="s">
        <v>4196</v>
      </c>
      <c r="H1078" s="324" t="s">
        <v>123</v>
      </c>
      <c r="I1078" s="108" t="s">
        <v>3513</v>
      </c>
      <c r="J1078" s="108">
        <v>44448</v>
      </c>
      <c r="K1078" s="100">
        <v>44498</v>
      </c>
      <c r="L1078" s="100"/>
      <c r="M1078" s="315" t="s">
        <v>4197</v>
      </c>
      <c r="N1078" s="338" t="s">
        <v>4198</v>
      </c>
      <c r="O1078" s="265" t="s">
        <v>970</v>
      </c>
      <c r="P1078" s="102">
        <v>26865</v>
      </c>
      <c r="Q1078" s="102"/>
      <c r="R1078" s="131"/>
      <c r="S1078" s="132"/>
      <c r="T1078" s="102">
        <v>26865</v>
      </c>
      <c r="U1078" s="100"/>
      <c r="V1078" s="102"/>
      <c r="W1078" s="45"/>
    </row>
    <row r="1079" s="40" customFormat="1" ht="22" hidden="1" customHeight="1" spans="1:23">
      <c r="A1079" s="261" t="s">
        <v>4199</v>
      </c>
      <c r="B1079" s="174" t="s">
        <v>3605</v>
      </c>
      <c r="C1079" s="175"/>
      <c r="D1079" s="45" t="s">
        <v>31</v>
      </c>
      <c r="E1079" s="82" t="s">
        <v>3919</v>
      </c>
      <c r="F1079" s="81">
        <f>IFERROR(VLOOKUP(E1079,客户!B:C,2,FALSE),"/")</f>
        <v>0</v>
      </c>
      <c r="G1079" s="307" t="s">
        <v>4178</v>
      </c>
      <c r="H1079" s="324" t="s">
        <v>123</v>
      </c>
      <c r="I1079" s="108" t="s">
        <v>3513</v>
      </c>
      <c r="J1079" s="108">
        <v>44448</v>
      </c>
      <c r="K1079" s="100">
        <v>44519</v>
      </c>
      <c r="L1079" s="100"/>
      <c r="M1079" s="315" t="s">
        <v>4200</v>
      </c>
      <c r="N1079" s="338" t="s">
        <v>4201</v>
      </c>
      <c r="O1079" s="265" t="s">
        <v>970</v>
      </c>
      <c r="P1079" s="102">
        <v>55867</v>
      </c>
      <c r="Q1079" s="102"/>
      <c r="R1079" s="131"/>
      <c r="S1079" s="132"/>
      <c r="T1079" s="102">
        <v>55867</v>
      </c>
      <c r="U1079" s="100"/>
      <c r="V1079" s="246" t="s">
        <v>4202</v>
      </c>
      <c r="W1079" s="45"/>
    </row>
    <row r="1080" s="40" customFormat="1" ht="22" hidden="1" customHeight="1" spans="1:23">
      <c r="A1080" s="261" t="s">
        <v>4203</v>
      </c>
      <c r="B1080" s="174" t="s">
        <v>3605</v>
      </c>
      <c r="C1080" s="175"/>
      <c r="D1080" s="45" t="s">
        <v>31</v>
      </c>
      <c r="E1080" s="82" t="s">
        <v>3909</v>
      </c>
      <c r="F1080" s="81">
        <f>IFERROR(VLOOKUP(E1080,客户!B:C,2,FALSE),"/")</f>
        <v>0</v>
      </c>
      <c r="G1080" s="307" t="s">
        <v>4204</v>
      </c>
      <c r="H1080" s="324" t="s">
        <v>123</v>
      </c>
      <c r="I1080" s="108" t="s">
        <v>3911</v>
      </c>
      <c r="J1080" s="108">
        <v>44488</v>
      </c>
      <c r="K1080" s="100">
        <v>44570</v>
      </c>
      <c r="L1080" s="100">
        <v>44629</v>
      </c>
      <c r="M1080" s="315" t="s">
        <v>4205</v>
      </c>
      <c r="N1080" s="329" t="s">
        <v>4206</v>
      </c>
      <c r="O1080" s="265" t="s">
        <v>523</v>
      </c>
      <c r="P1080" s="102">
        <v>94086.97</v>
      </c>
      <c r="Q1080" s="102">
        <f>990.09+16475</f>
        <v>17465.09</v>
      </c>
      <c r="R1080" s="131"/>
      <c r="S1080" s="132"/>
      <c r="T1080" s="102">
        <f>25540.63+25540.63+25540.63</f>
        <v>76621.89</v>
      </c>
      <c r="U1080" s="100"/>
      <c r="V1080" s="102"/>
      <c r="W1080" s="45"/>
    </row>
    <row r="1081" s="40" customFormat="1" ht="22" hidden="1" customHeight="1" spans="1:23">
      <c r="A1081" s="261" t="s">
        <v>4207</v>
      </c>
      <c r="B1081" s="174" t="s">
        <v>3605</v>
      </c>
      <c r="C1081" s="175"/>
      <c r="D1081" s="45" t="s">
        <v>31</v>
      </c>
      <c r="E1081" s="82" t="s">
        <v>3892</v>
      </c>
      <c r="F1081" s="81">
        <f>IFERROR(VLOOKUP(E1081,客户!B:C,2,FALSE),"/")</f>
        <v>0</v>
      </c>
      <c r="G1081" s="307" t="s">
        <v>4083</v>
      </c>
      <c r="H1081" s="324" t="s">
        <v>147</v>
      </c>
      <c r="I1081" s="108" t="s">
        <v>4033</v>
      </c>
      <c r="J1081" s="108">
        <v>44488</v>
      </c>
      <c r="K1081" s="200">
        <v>44560</v>
      </c>
      <c r="L1081" s="100">
        <v>44578</v>
      </c>
      <c r="M1081" s="315" t="s">
        <v>4208</v>
      </c>
      <c r="N1081" s="329" t="s">
        <v>1746</v>
      </c>
      <c r="O1081" s="265" t="s">
        <v>970</v>
      </c>
      <c r="P1081" s="113">
        <v>36064.6</v>
      </c>
      <c r="Q1081" s="102">
        <v>10000</v>
      </c>
      <c r="R1081" s="131"/>
      <c r="S1081" s="132"/>
      <c r="T1081" s="102">
        <v>36423</v>
      </c>
      <c r="U1081" s="100"/>
      <c r="V1081" s="246" t="s">
        <v>4209</v>
      </c>
      <c r="W1081" s="45"/>
    </row>
    <row r="1082" s="40" customFormat="1" ht="22" hidden="1" customHeight="1" spans="1:23">
      <c r="A1082" s="261" t="s">
        <v>4210</v>
      </c>
      <c r="B1082" s="174" t="s">
        <v>3605</v>
      </c>
      <c r="C1082" s="175"/>
      <c r="D1082" s="45" t="s">
        <v>31</v>
      </c>
      <c r="E1082" s="82" t="s">
        <v>4211</v>
      </c>
      <c r="F1082" s="81">
        <f>IFERROR(VLOOKUP(E1082,客户!B:C,2,FALSE),"/")</f>
        <v>0</v>
      </c>
      <c r="G1082" s="307" t="s">
        <v>4212</v>
      </c>
      <c r="H1082" s="324" t="s">
        <v>123</v>
      </c>
      <c r="I1082" s="108" t="s">
        <v>4213</v>
      </c>
      <c r="J1082" s="108">
        <v>44491</v>
      </c>
      <c r="K1082" s="100">
        <v>44567</v>
      </c>
      <c r="L1082" s="100">
        <v>44624</v>
      </c>
      <c r="M1082" s="315" t="s">
        <v>4214</v>
      </c>
      <c r="N1082" s="329" t="s">
        <v>4215</v>
      </c>
      <c r="O1082" s="265" t="s">
        <v>970</v>
      </c>
      <c r="P1082" s="102">
        <v>38762.9</v>
      </c>
      <c r="Q1082" s="102">
        <v>9749.58</v>
      </c>
      <c r="R1082" s="131"/>
      <c r="S1082" s="132"/>
      <c r="T1082" s="102">
        <v>29013.32</v>
      </c>
      <c r="U1082" s="100"/>
      <c r="V1082" s="102" t="s">
        <v>4216</v>
      </c>
      <c r="W1082" s="45"/>
    </row>
    <row r="1083" s="40" customFormat="1" ht="22" hidden="1" customHeight="1" spans="1:23">
      <c r="A1083" s="261" t="s">
        <v>4217</v>
      </c>
      <c r="B1083" s="174" t="s">
        <v>3605</v>
      </c>
      <c r="C1083" s="175"/>
      <c r="D1083" s="45" t="s">
        <v>31</v>
      </c>
      <c r="E1083" s="82" t="s">
        <v>3892</v>
      </c>
      <c r="F1083" s="81">
        <f>IFERROR(VLOOKUP(E1083,客户!B:C,2,FALSE),"/")</f>
        <v>0</v>
      </c>
      <c r="G1083" s="307" t="s">
        <v>4083</v>
      </c>
      <c r="H1083" s="324" t="s">
        <v>147</v>
      </c>
      <c r="I1083" s="108" t="s">
        <v>4033</v>
      </c>
      <c r="J1083" s="108">
        <v>44491</v>
      </c>
      <c r="K1083" s="200">
        <v>44560</v>
      </c>
      <c r="L1083" s="100">
        <v>44578</v>
      </c>
      <c r="M1083" s="315" t="s">
        <v>4218</v>
      </c>
      <c r="N1083" s="329" t="s">
        <v>1746</v>
      </c>
      <c r="O1083" s="265" t="s">
        <v>970</v>
      </c>
      <c r="P1083" s="102">
        <v>35858.2</v>
      </c>
      <c r="Q1083" s="102"/>
      <c r="R1083" s="131"/>
      <c r="S1083" s="132"/>
      <c r="T1083" s="102">
        <v>35858.2</v>
      </c>
      <c r="U1083" s="100"/>
      <c r="V1083" s="102" t="s">
        <v>4219</v>
      </c>
      <c r="W1083" s="45"/>
    </row>
    <row r="1084" s="40" customFormat="1" ht="22" hidden="1" customHeight="1" spans="1:23">
      <c r="A1084" s="260" t="s">
        <v>4220</v>
      </c>
      <c r="B1084" s="174" t="s">
        <v>3605</v>
      </c>
      <c r="C1084" s="175"/>
      <c r="D1084" s="45" t="s">
        <v>31</v>
      </c>
      <c r="E1084" s="82" t="s">
        <v>4118</v>
      </c>
      <c r="F1084" s="81">
        <f>IFERROR(VLOOKUP(E1084,客户!B:C,2,FALSE),"/")</f>
        <v>0</v>
      </c>
      <c r="G1084" s="307" t="s">
        <v>4083</v>
      </c>
      <c r="H1084" s="324" t="s">
        <v>123</v>
      </c>
      <c r="I1084" s="108" t="s">
        <v>3707</v>
      </c>
      <c r="J1084" s="108">
        <v>44497</v>
      </c>
      <c r="K1084" s="100">
        <v>44597</v>
      </c>
      <c r="L1084" s="100">
        <v>44632</v>
      </c>
      <c r="M1084" s="315" t="s">
        <v>4221</v>
      </c>
      <c r="N1084" s="329" t="s">
        <v>4222</v>
      </c>
      <c r="O1084" s="265" t="s">
        <v>523</v>
      </c>
      <c r="P1084" s="102">
        <v>30059.7</v>
      </c>
      <c r="Q1084" s="102">
        <v>8646.48</v>
      </c>
      <c r="R1084" s="131"/>
      <c r="S1084" s="132"/>
      <c r="T1084" s="102">
        <v>20175.12</v>
      </c>
      <c r="U1084" s="102">
        <v>1238.1</v>
      </c>
      <c r="V1084" s="102"/>
      <c r="W1084" s="45"/>
    </row>
    <row r="1085" s="40" customFormat="1" ht="22" hidden="1" customHeight="1" spans="1:23">
      <c r="A1085" s="261" t="s">
        <v>4223</v>
      </c>
      <c r="B1085" s="174" t="s">
        <v>3605</v>
      </c>
      <c r="C1085" s="175"/>
      <c r="D1085" s="45" t="s">
        <v>31</v>
      </c>
      <c r="E1085" s="82" t="s">
        <v>3919</v>
      </c>
      <c r="F1085" s="81">
        <f>IFERROR(VLOOKUP(E1085,客户!B:C,2,FALSE),"/")</f>
        <v>0</v>
      </c>
      <c r="G1085" s="307" t="s">
        <v>3985</v>
      </c>
      <c r="H1085" s="324" t="s">
        <v>123</v>
      </c>
      <c r="I1085" s="108" t="s">
        <v>3513</v>
      </c>
      <c r="J1085" s="108">
        <v>44511</v>
      </c>
      <c r="K1085" s="100">
        <v>44551</v>
      </c>
      <c r="L1085" s="100"/>
      <c r="M1085" s="315" t="s">
        <v>4224</v>
      </c>
      <c r="N1085" s="338" t="s">
        <v>4225</v>
      </c>
      <c r="O1085" s="265" t="s">
        <v>970</v>
      </c>
      <c r="P1085" s="102">
        <v>56140</v>
      </c>
      <c r="R1085" s="131"/>
      <c r="S1085" s="132"/>
      <c r="T1085" s="102">
        <v>56140</v>
      </c>
      <c r="U1085" s="100"/>
      <c r="V1085" s="246" t="s">
        <v>4226</v>
      </c>
      <c r="W1085" s="45"/>
    </row>
    <row r="1086" s="40" customFormat="1" ht="22" hidden="1" customHeight="1" spans="1:23">
      <c r="A1086" s="261" t="s">
        <v>4227</v>
      </c>
      <c r="B1086" s="174" t="s">
        <v>3605</v>
      </c>
      <c r="C1086" s="175"/>
      <c r="D1086" s="45" t="s">
        <v>31</v>
      </c>
      <c r="E1086" s="82" t="s">
        <v>3919</v>
      </c>
      <c r="F1086" s="81"/>
      <c r="G1086" s="307" t="s">
        <v>4228</v>
      </c>
      <c r="H1086" s="324" t="s">
        <v>123</v>
      </c>
      <c r="I1086" s="108" t="s">
        <v>3513</v>
      </c>
      <c r="J1086" s="108">
        <v>44511</v>
      </c>
      <c r="K1086" s="100">
        <v>44575</v>
      </c>
      <c r="L1086" s="100">
        <v>44623</v>
      </c>
      <c r="M1086" s="315" t="s">
        <v>4229</v>
      </c>
      <c r="N1086" s="329" t="s">
        <v>4230</v>
      </c>
      <c r="O1086" s="265" t="s">
        <v>970</v>
      </c>
      <c r="P1086" s="102">
        <v>26867</v>
      </c>
      <c r="Q1086" s="102">
        <v>16678</v>
      </c>
      <c r="R1086" s="131"/>
      <c r="S1086" s="132"/>
      <c r="T1086" s="102">
        <f>7386+925+42</f>
        <v>8353</v>
      </c>
      <c r="U1086" s="102">
        <v>1836</v>
      </c>
      <c r="V1086" s="102"/>
      <c r="W1086" s="45"/>
    </row>
    <row r="1087" s="40" customFormat="1" ht="22" hidden="1" customHeight="1" spans="1:23">
      <c r="A1087" s="261" t="s">
        <v>4231</v>
      </c>
      <c r="B1087" s="174" t="s">
        <v>3605</v>
      </c>
      <c r="C1087" s="175"/>
      <c r="D1087" s="45" t="s">
        <v>31</v>
      </c>
      <c r="E1087" s="82" t="s">
        <v>4192</v>
      </c>
      <c r="F1087" s="81">
        <f>IFERROR(VLOOKUP(E1087,客户!B:C,2,FALSE),"/")</f>
        <v>0</v>
      </c>
      <c r="G1087" s="307" t="s">
        <v>4193</v>
      </c>
      <c r="H1087" s="324" t="s">
        <v>186</v>
      </c>
      <c r="I1087" s="108"/>
      <c r="J1087" s="108">
        <v>44525</v>
      </c>
      <c r="K1087" s="100">
        <v>44568</v>
      </c>
      <c r="L1087" s="100"/>
      <c r="M1087" s="315" t="s">
        <v>4232</v>
      </c>
      <c r="N1087" s="338"/>
      <c r="O1087" s="265" t="s">
        <v>970</v>
      </c>
      <c r="P1087" s="240">
        <v>64481</v>
      </c>
      <c r="Q1087" s="240">
        <v>19000</v>
      </c>
      <c r="R1087" s="131"/>
      <c r="S1087" s="132"/>
      <c r="T1087" s="240">
        <v>45481</v>
      </c>
      <c r="U1087" s="100"/>
      <c r="V1087" s="102"/>
      <c r="W1087" s="45"/>
    </row>
    <row r="1088" s="40" customFormat="1" ht="22" hidden="1" customHeight="1" spans="1:23">
      <c r="A1088" s="261" t="s">
        <v>4233</v>
      </c>
      <c r="B1088" s="174" t="s">
        <v>3605</v>
      </c>
      <c r="C1088" s="175"/>
      <c r="D1088" s="45" t="s">
        <v>31</v>
      </c>
      <c r="E1088" s="82" t="s">
        <v>3892</v>
      </c>
      <c r="F1088" s="81">
        <f>IFERROR(VLOOKUP(E1088,客户!B:C,2,FALSE),"/")</f>
        <v>0</v>
      </c>
      <c r="G1088" s="307" t="s">
        <v>4083</v>
      </c>
      <c r="H1088" s="324" t="s">
        <v>147</v>
      </c>
      <c r="I1088" s="108" t="s">
        <v>4033</v>
      </c>
      <c r="J1088" s="108">
        <v>44529</v>
      </c>
      <c r="K1088" s="100">
        <v>44567</v>
      </c>
      <c r="L1088" s="100">
        <v>44586</v>
      </c>
      <c r="M1088" s="315" t="s">
        <v>4234</v>
      </c>
      <c r="N1088" s="329" t="s">
        <v>4235</v>
      </c>
      <c r="O1088" s="265" t="s">
        <v>970</v>
      </c>
      <c r="P1088" s="102">
        <v>33442.2</v>
      </c>
      <c r="Q1088" s="240"/>
      <c r="R1088" s="131"/>
      <c r="S1088" s="132"/>
      <c r="T1088" s="102">
        <f>150000/6.32</f>
        <v>23734.1772151899</v>
      </c>
      <c r="U1088" s="102">
        <v>13164</v>
      </c>
      <c r="V1088" s="102"/>
      <c r="W1088" s="45"/>
    </row>
    <row r="1089" s="40" customFormat="1" ht="22" hidden="1" customHeight="1" spans="1:23">
      <c r="A1089" s="261" t="s">
        <v>4236</v>
      </c>
      <c r="B1089" s="174" t="s">
        <v>3605</v>
      </c>
      <c r="C1089" s="175"/>
      <c r="D1089" s="45" t="s">
        <v>31</v>
      </c>
      <c r="E1089" s="82" t="s">
        <v>3892</v>
      </c>
      <c r="F1089" s="81">
        <f>IFERROR(VLOOKUP(E1089,客户!B:C,2,FALSE),"/")</f>
        <v>0</v>
      </c>
      <c r="G1089" s="307" t="s">
        <v>4083</v>
      </c>
      <c r="H1089" s="324" t="s">
        <v>147</v>
      </c>
      <c r="I1089" s="108" t="s">
        <v>4033</v>
      </c>
      <c r="J1089" s="108">
        <v>44529</v>
      </c>
      <c r="K1089" s="100">
        <v>44596</v>
      </c>
      <c r="L1089" s="100">
        <v>44613</v>
      </c>
      <c r="M1089" s="315" t="s">
        <v>4237</v>
      </c>
      <c r="N1089" s="338" t="s">
        <v>4238</v>
      </c>
      <c r="O1089" s="265" t="s">
        <v>970</v>
      </c>
      <c r="P1089" s="102">
        <v>33270.24</v>
      </c>
      <c r="Q1089" s="240"/>
      <c r="R1089" s="131"/>
      <c r="S1089" s="132"/>
      <c r="T1089" s="102">
        <v>24240</v>
      </c>
      <c r="U1089" s="100"/>
      <c r="V1089" s="246" t="s">
        <v>4239</v>
      </c>
      <c r="W1089" s="45"/>
    </row>
    <row r="1090" s="40" customFormat="1" ht="22" hidden="1" customHeight="1" spans="1:23">
      <c r="A1090" s="261" t="s">
        <v>4240</v>
      </c>
      <c r="B1090" s="174" t="s">
        <v>3605</v>
      </c>
      <c r="C1090" s="175"/>
      <c r="D1090" s="45" t="s">
        <v>31</v>
      </c>
      <c r="E1090" s="82" t="s">
        <v>3931</v>
      </c>
      <c r="F1090" s="81">
        <f>IFERROR(VLOOKUP(E1090,客户!B:C,2,FALSE),"/")</f>
        <v>0</v>
      </c>
      <c r="G1090" s="307" t="s">
        <v>4241</v>
      </c>
      <c r="H1090" s="324" t="s">
        <v>186</v>
      </c>
      <c r="I1090" s="108" t="s">
        <v>3817</v>
      </c>
      <c r="J1090" s="108">
        <v>44531</v>
      </c>
      <c r="K1090" s="100">
        <v>44587</v>
      </c>
      <c r="L1090" s="100"/>
      <c r="M1090" s="315" t="s">
        <v>4242</v>
      </c>
      <c r="N1090" s="338" t="s">
        <v>4243</v>
      </c>
      <c r="O1090" s="265" t="s">
        <v>970</v>
      </c>
      <c r="P1090" s="240">
        <v>159225</v>
      </c>
      <c r="Q1090" s="240">
        <v>47520</v>
      </c>
      <c r="R1090" s="131"/>
      <c r="S1090" s="132"/>
      <c r="T1090" s="240">
        <v>100000</v>
      </c>
      <c r="U1090" s="240">
        <v>11705</v>
      </c>
      <c r="V1090" s="102"/>
      <c r="W1090" s="45"/>
    </row>
    <row r="1091" s="40" customFormat="1" ht="22" hidden="1" customHeight="1" spans="1:23">
      <c r="A1091" s="261" t="s">
        <v>4244</v>
      </c>
      <c r="B1091" s="174" t="s">
        <v>3605</v>
      </c>
      <c r="C1091" s="175"/>
      <c r="D1091" s="45" t="s">
        <v>31</v>
      </c>
      <c r="E1091" s="82" t="s">
        <v>3868</v>
      </c>
      <c r="F1091" s="81">
        <f>IFERROR(VLOOKUP(E1091,客户!B:C,2,FALSE),"/")</f>
        <v>0</v>
      </c>
      <c r="G1091" s="307" t="s">
        <v>4245</v>
      </c>
      <c r="H1091" s="324" t="s">
        <v>123</v>
      </c>
      <c r="I1091" s="108" t="s">
        <v>3858</v>
      </c>
      <c r="J1091" s="108">
        <v>44531</v>
      </c>
      <c r="K1091" s="100">
        <v>44585</v>
      </c>
      <c r="L1091" s="100">
        <v>44624</v>
      </c>
      <c r="M1091" s="315" t="s">
        <v>4246</v>
      </c>
      <c r="N1091" s="329" t="s">
        <v>4247</v>
      </c>
      <c r="O1091" s="265" t="s">
        <v>523</v>
      </c>
      <c r="P1091" s="102">
        <v>97559.74</v>
      </c>
      <c r="Q1091" s="102">
        <v>25219</v>
      </c>
      <c r="R1091" s="131"/>
      <c r="S1091" s="132"/>
      <c r="T1091" s="102">
        <v>72340.74</v>
      </c>
      <c r="U1091" s="100"/>
      <c r="V1091" s="102"/>
      <c r="W1091" s="45"/>
    </row>
    <row r="1092" s="40" customFormat="1" ht="22" hidden="1" customHeight="1" spans="1:23">
      <c r="A1092" s="261" t="s">
        <v>4248</v>
      </c>
      <c r="B1092" s="174" t="s">
        <v>3605</v>
      </c>
      <c r="C1092" s="175"/>
      <c r="D1092" s="45" t="s">
        <v>31</v>
      </c>
      <c r="E1092" s="82" t="s">
        <v>3989</v>
      </c>
      <c r="F1092" s="81">
        <f>IFERROR(VLOOKUP(E1092,客户!B:C,2,FALSE),"/")</f>
        <v>0</v>
      </c>
      <c r="G1092" s="229" t="s">
        <v>3990</v>
      </c>
      <c r="H1092" s="45" t="s">
        <v>123</v>
      </c>
      <c r="I1092" s="45" t="s">
        <v>3991</v>
      </c>
      <c r="J1092" s="156">
        <v>44532</v>
      </c>
      <c r="K1092" s="100">
        <v>44567</v>
      </c>
      <c r="L1092" s="100">
        <v>44607</v>
      </c>
      <c r="M1092" s="155" t="s">
        <v>4249</v>
      </c>
      <c r="N1092" s="342" t="s">
        <v>4250</v>
      </c>
      <c r="O1092" s="265" t="s">
        <v>523</v>
      </c>
      <c r="P1092" s="102">
        <v>24866.75</v>
      </c>
      <c r="Q1092" s="102">
        <v>7460.03</v>
      </c>
      <c r="R1092" s="131"/>
      <c r="S1092" s="132"/>
      <c r="T1092" s="102">
        <v>17406.72</v>
      </c>
      <c r="U1092" s="100"/>
      <c r="V1092" s="102"/>
      <c r="W1092" s="45"/>
    </row>
    <row r="1093" s="40" customFormat="1" ht="22" hidden="1" customHeight="1" spans="1:23">
      <c r="A1093" s="261" t="s">
        <v>4251</v>
      </c>
      <c r="B1093" s="174" t="s">
        <v>3605</v>
      </c>
      <c r="C1093" s="175"/>
      <c r="D1093" s="45" t="s">
        <v>31</v>
      </c>
      <c r="E1093" s="82" t="s">
        <v>4118</v>
      </c>
      <c r="F1093" s="81">
        <f>IFERROR(VLOOKUP(E1093,客户!B:C,2,FALSE),"/")</f>
        <v>0</v>
      </c>
      <c r="G1093" s="307" t="s">
        <v>4083</v>
      </c>
      <c r="H1093" s="324" t="s">
        <v>123</v>
      </c>
      <c r="I1093" s="108" t="s">
        <v>3707</v>
      </c>
      <c r="J1093" s="108">
        <v>44532</v>
      </c>
      <c r="K1093" s="100">
        <v>44570</v>
      </c>
      <c r="L1093" s="100">
        <v>44632</v>
      </c>
      <c r="M1093" s="315" t="s">
        <v>4252</v>
      </c>
      <c r="N1093" s="342" t="s">
        <v>4253</v>
      </c>
      <c r="O1093" s="265" t="s">
        <v>523</v>
      </c>
      <c r="P1093" s="102">
        <v>28585.25</v>
      </c>
      <c r="Q1093" s="102">
        <v>8575.58</v>
      </c>
      <c r="R1093" s="131"/>
      <c r="S1093" s="132"/>
      <c r="T1093" s="102">
        <v>20009.67</v>
      </c>
      <c r="U1093" s="100"/>
      <c r="V1093" s="102"/>
      <c r="W1093" s="45"/>
    </row>
    <row r="1094" s="40" customFormat="1" ht="22" hidden="1" customHeight="1" spans="1:23">
      <c r="A1094" s="261" t="s">
        <v>4254</v>
      </c>
      <c r="B1094" s="174" t="s">
        <v>3605</v>
      </c>
      <c r="C1094" s="175"/>
      <c r="D1094" s="45" t="s">
        <v>31</v>
      </c>
      <c r="E1094" s="82" t="s">
        <v>3868</v>
      </c>
      <c r="F1094" s="81">
        <f>IFERROR(VLOOKUP(E1094,客户!B:C,2,FALSE),"/")</f>
        <v>0</v>
      </c>
      <c r="G1094" s="307" t="s">
        <v>4255</v>
      </c>
      <c r="H1094" s="324" t="s">
        <v>123</v>
      </c>
      <c r="I1094" s="108" t="s">
        <v>3858</v>
      </c>
      <c r="J1094" s="108">
        <v>44533</v>
      </c>
      <c r="K1094" s="100">
        <v>44589</v>
      </c>
      <c r="L1094" s="100">
        <v>44628</v>
      </c>
      <c r="M1094" s="315" t="s">
        <v>4256</v>
      </c>
      <c r="N1094" s="342" t="s">
        <v>4257</v>
      </c>
      <c r="O1094" s="265" t="s">
        <v>523</v>
      </c>
      <c r="P1094" s="102">
        <v>109723.94</v>
      </c>
      <c r="Q1094" s="102">
        <v>25236</v>
      </c>
      <c r="R1094" s="131"/>
      <c r="S1094" s="132"/>
      <c r="T1094" s="102">
        <v>84487.94</v>
      </c>
      <c r="U1094" s="100"/>
      <c r="V1094" s="102"/>
      <c r="W1094" s="45"/>
    </row>
    <row r="1095" s="40" customFormat="1" ht="22" hidden="1" customHeight="1" spans="1:23">
      <c r="A1095" s="261" t="s">
        <v>4258</v>
      </c>
      <c r="B1095" s="174" t="s">
        <v>3605</v>
      </c>
      <c r="C1095" s="175"/>
      <c r="D1095" s="45" t="s">
        <v>31</v>
      </c>
      <c r="E1095" s="82" t="s">
        <v>4177</v>
      </c>
      <c r="F1095" s="81"/>
      <c r="G1095" s="307" t="s">
        <v>4259</v>
      </c>
      <c r="H1095" s="324" t="s">
        <v>186</v>
      </c>
      <c r="I1095" s="108"/>
      <c r="J1095" s="108">
        <v>44543</v>
      </c>
      <c r="K1095" s="100">
        <v>44561</v>
      </c>
      <c r="L1095" s="100"/>
      <c r="M1095" s="315" t="s">
        <v>4260</v>
      </c>
      <c r="N1095" s="338" t="s">
        <v>4261</v>
      </c>
      <c r="O1095" s="265" t="s">
        <v>970</v>
      </c>
      <c r="P1095" s="240">
        <v>20684.16</v>
      </c>
      <c r="Q1095" s="102"/>
      <c r="R1095" s="131"/>
      <c r="S1095" s="132"/>
      <c r="T1095" s="240">
        <v>20684.16</v>
      </c>
      <c r="U1095" s="100"/>
      <c r="V1095" s="246" t="s">
        <v>4262</v>
      </c>
      <c r="W1095" s="45"/>
    </row>
    <row r="1096" s="40" customFormat="1" ht="22" hidden="1" customHeight="1" spans="1:23">
      <c r="A1096" s="261" t="s">
        <v>4263</v>
      </c>
      <c r="B1096" s="174" t="s">
        <v>3605</v>
      </c>
      <c r="C1096" s="175"/>
      <c r="D1096" s="45" t="s">
        <v>31</v>
      </c>
      <c r="E1096" s="82" t="s">
        <v>3919</v>
      </c>
      <c r="F1096" s="81"/>
      <c r="G1096" s="307" t="s">
        <v>4264</v>
      </c>
      <c r="H1096" s="324" t="s">
        <v>123</v>
      </c>
      <c r="I1096" s="108" t="s">
        <v>3513</v>
      </c>
      <c r="J1096" s="108">
        <v>44544</v>
      </c>
      <c r="K1096" s="100">
        <v>44575</v>
      </c>
      <c r="L1096" s="100"/>
      <c r="M1096" s="315" t="s">
        <v>4265</v>
      </c>
      <c r="N1096" s="329" t="s">
        <v>4230</v>
      </c>
      <c r="O1096" s="265" t="s">
        <v>970</v>
      </c>
      <c r="P1096" s="102">
        <v>46318.8</v>
      </c>
      <c r="Q1096" s="102">
        <v>9913</v>
      </c>
      <c r="R1096" s="131"/>
      <c r="S1096" s="132"/>
      <c r="T1096" s="102">
        <v>36405.8</v>
      </c>
      <c r="U1096" s="100"/>
      <c r="V1096" s="102"/>
      <c r="W1096" s="45"/>
    </row>
    <row r="1097" s="40" customFormat="1" ht="22" hidden="1" customHeight="1" spans="1:23">
      <c r="A1097" s="261" t="s">
        <v>4266</v>
      </c>
      <c r="B1097" s="174" t="s">
        <v>3605</v>
      </c>
      <c r="C1097" s="175"/>
      <c r="D1097" s="45" t="s">
        <v>31</v>
      </c>
      <c r="E1097" s="82" t="s">
        <v>4267</v>
      </c>
      <c r="F1097" s="81">
        <f>IFERROR(VLOOKUP(E1097,客户!B:C,2,FALSE),"/")</f>
        <v>0</v>
      </c>
      <c r="G1097" s="307" t="s">
        <v>4268</v>
      </c>
      <c r="H1097" s="324" t="s">
        <v>186</v>
      </c>
      <c r="I1097" s="108"/>
      <c r="J1097" s="108">
        <v>44553</v>
      </c>
      <c r="K1097" s="100"/>
      <c r="L1097" s="100"/>
      <c r="M1097" s="315"/>
      <c r="N1097" s="338"/>
      <c r="O1097" s="265" t="s">
        <v>970</v>
      </c>
      <c r="P1097" s="240">
        <v>3320</v>
      </c>
      <c r="Q1097" s="240">
        <v>1660</v>
      </c>
      <c r="R1097" s="131"/>
      <c r="S1097" s="132"/>
      <c r="T1097" s="240">
        <v>1660</v>
      </c>
      <c r="U1097" s="100"/>
      <c r="V1097" s="102"/>
      <c r="W1097" s="45"/>
    </row>
    <row r="1098" s="40" customFormat="1" ht="22" hidden="1" customHeight="1" spans="1:23">
      <c r="A1098" s="261" t="s">
        <v>4269</v>
      </c>
      <c r="B1098" s="174" t="s">
        <v>3605</v>
      </c>
      <c r="C1098" s="175"/>
      <c r="D1098" s="45" t="s">
        <v>31</v>
      </c>
      <c r="E1098" s="82" t="s">
        <v>3892</v>
      </c>
      <c r="F1098" s="81">
        <f>IFERROR(VLOOKUP(E1098,客户!B:C,2,FALSE),"/")</f>
        <v>0</v>
      </c>
      <c r="G1098" s="307" t="s">
        <v>4083</v>
      </c>
      <c r="H1098" s="324" t="s">
        <v>147</v>
      </c>
      <c r="I1098" s="108" t="s">
        <v>4033</v>
      </c>
      <c r="J1098" s="108">
        <v>44554</v>
      </c>
      <c r="K1098" s="100">
        <v>44675</v>
      </c>
      <c r="L1098" s="100"/>
      <c r="M1098" s="315" t="s">
        <v>4270</v>
      </c>
      <c r="N1098" s="198" t="s">
        <v>4271</v>
      </c>
      <c r="O1098" s="265" t="s">
        <v>970</v>
      </c>
      <c r="P1098" s="102">
        <v>34157.76</v>
      </c>
      <c r="Q1098" s="102">
        <f>12214.34+34358-23622-2764.42-1028.16</f>
        <v>19157.76</v>
      </c>
      <c r="R1098" s="131"/>
      <c r="S1098" s="132"/>
      <c r="T1098" s="102">
        <v>15000</v>
      </c>
      <c r="U1098" s="100"/>
      <c r="V1098" s="246" t="s">
        <v>4272</v>
      </c>
      <c r="W1098" s="45"/>
    </row>
    <row r="1099" s="40" customFormat="1" ht="22" hidden="1" customHeight="1" spans="1:23">
      <c r="A1099" s="261" t="s">
        <v>4273</v>
      </c>
      <c r="B1099" s="174" t="s">
        <v>3605</v>
      </c>
      <c r="C1099" s="175"/>
      <c r="D1099" s="45" t="s">
        <v>31</v>
      </c>
      <c r="E1099" s="82" t="s">
        <v>3931</v>
      </c>
      <c r="F1099" s="81">
        <f>IFERROR(VLOOKUP(E1099,客户!B:C,2,FALSE),"/")</f>
        <v>0</v>
      </c>
      <c r="G1099" s="307" t="s">
        <v>4274</v>
      </c>
      <c r="H1099" s="324" t="s">
        <v>186</v>
      </c>
      <c r="I1099" s="108"/>
      <c r="J1099" s="108">
        <v>44559</v>
      </c>
      <c r="K1099" s="100">
        <v>44576</v>
      </c>
      <c r="L1099" s="100"/>
      <c r="M1099" s="315"/>
      <c r="N1099" s="338"/>
      <c r="O1099" s="265" t="s">
        <v>970</v>
      </c>
      <c r="P1099" s="240">
        <v>2960</v>
      </c>
      <c r="Q1099" s="240">
        <v>888</v>
      </c>
      <c r="R1099" s="131"/>
      <c r="S1099" s="132"/>
      <c r="T1099" s="240">
        <v>2722</v>
      </c>
      <c r="U1099" s="100"/>
      <c r="V1099" s="102"/>
      <c r="W1099" s="45"/>
    </row>
    <row r="1100" s="40" customFormat="1" ht="22" hidden="1" customHeight="1" spans="1:23">
      <c r="A1100" s="261" t="s">
        <v>4275</v>
      </c>
      <c r="B1100" s="174" t="s">
        <v>3605</v>
      </c>
      <c r="C1100" s="175"/>
      <c r="D1100" s="45" t="s">
        <v>31</v>
      </c>
      <c r="E1100" s="82" t="s">
        <v>3919</v>
      </c>
      <c r="F1100" s="81"/>
      <c r="G1100" s="307" t="s">
        <v>4276</v>
      </c>
      <c r="H1100" s="324" t="s">
        <v>123</v>
      </c>
      <c r="I1100" s="108" t="s">
        <v>3513</v>
      </c>
      <c r="J1100" s="108">
        <v>44587</v>
      </c>
      <c r="K1100" s="100">
        <v>44669</v>
      </c>
      <c r="L1100" s="100"/>
      <c r="M1100" s="315" t="s">
        <v>4277</v>
      </c>
      <c r="N1100" s="338" t="s">
        <v>4278</v>
      </c>
      <c r="O1100" s="265" t="s">
        <v>970</v>
      </c>
      <c r="P1100" s="102">
        <v>27129</v>
      </c>
      <c r="Q1100" s="102">
        <f>12135.2-1836</f>
        <v>10299.2</v>
      </c>
      <c r="R1100" s="131"/>
      <c r="S1100" s="132"/>
      <c r="T1100" s="102">
        <f>16695.8+134</f>
        <v>16829.8</v>
      </c>
      <c r="U1100" s="100"/>
      <c r="V1100" s="102"/>
      <c r="W1100" s="45"/>
    </row>
    <row r="1101" s="40" customFormat="1" ht="22" hidden="1" customHeight="1" spans="1:23">
      <c r="A1101" s="261" t="s">
        <v>4279</v>
      </c>
      <c r="B1101" s="174" t="s">
        <v>3605</v>
      </c>
      <c r="C1101" s="175"/>
      <c r="D1101" s="45" t="s">
        <v>31</v>
      </c>
      <c r="E1101" s="82" t="s">
        <v>3919</v>
      </c>
      <c r="F1101" s="81"/>
      <c r="G1101" s="307" t="s">
        <v>4228</v>
      </c>
      <c r="H1101" s="324" t="s">
        <v>123</v>
      </c>
      <c r="I1101" s="108" t="s">
        <v>3513</v>
      </c>
      <c r="J1101" s="108">
        <v>44587</v>
      </c>
      <c r="K1101" s="100">
        <v>44683</v>
      </c>
      <c r="L1101" s="100"/>
      <c r="M1101" s="315" t="s">
        <v>4280</v>
      </c>
      <c r="N1101" s="338" t="s">
        <v>4281</v>
      </c>
      <c r="O1101" s="265" t="s">
        <v>970</v>
      </c>
      <c r="P1101" s="102">
        <v>24233</v>
      </c>
      <c r="Q1101" s="102">
        <f>24367-134</f>
        <v>24233</v>
      </c>
      <c r="R1101" s="131"/>
      <c r="S1101" s="132"/>
      <c r="T1101" s="240"/>
      <c r="U1101" s="100"/>
      <c r="V1101" s="246" t="s">
        <v>4282</v>
      </c>
      <c r="W1101" s="45"/>
    </row>
    <row r="1102" s="40" customFormat="1" ht="22" hidden="1" customHeight="1" spans="1:23">
      <c r="A1102" s="260" t="s">
        <v>4283</v>
      </c>
      <c r="B1102" s="174" t="s">
        <v>3605</v>
      </c>
      <c r="C1102" s="175"/>
      <c r="D1102" s="45" t="s">
        <v>31</v>
      </c>
      <c r="E1102" s="82" t="s">
        <v>3931</v>
      </c>
      <c r="F1102" s="81">
        <f>IFERROR(VLOOKUP(E1102,客户!B:C,2,FALSE),"/")</f>
        <v>0</v>
      </c>
      <c r="G1102" s="307" t="s">
        <v>4241</v>
      </c>
      <c r="H1102" s="324" t="s">
        <v>186</v>
      </c>
      <c r="I1102" s="108" t="s">
        <v>3817</v>
      </c>
      <c r="J1102" s="108">
        <v>44587</v>
      </c>
      <c r="K1102" s="100">
        <v>44692</v>
      </c>
      <c r="L1102" s="100"/>
      <c r="M1102" s="315" t="s">
        <v>4284</v>
      </c>
      <c r="N1102" s="338" t="s">
        <v>4285</v>
      </c>
      <c r="O1102" s="265" t="s">
        <v>970</v>
      </c>
      <c r="P1102" s="240">
        <v>157671</v>
      </c>
      <c r="Q1102" s="240">
        <f>10000+38915.9</f>
        <v>48915.9</v>
      </c>
      <c r="R1102" s="131"/>
      <c r="S1102" s="132"/>
      <c r="T1102" s="240">
        <v>60000</v>
      </c>
      <c r="U1102" s="240">
        <v>54137.1</v>
      </c>
      <c r="V1102" s="102"/>
      <c r="W1102" s="45"/>
    </row>
    <row r="1103" s="40" customFormat="1" ht="22" hidden="1" customHeight="1" spans="1:23">
      <c r="A1103" s="261" t="s">
        <v>4286</v>
      </c>
      <c r="B1103" s="174" t="s">
        <v>3605</v>
      </c>
      <c r="C1103" s="175"/>
      <c r="D1103" s="45" t="s">
        <v>31</v>
      </c>
      <c r="E1103" s="82" t="s">
        <v>3931</v>
      </c>
      <c r="F1103" s="81">
        <f>IFERROR(VLOOKUP(E1103,客户!B:C,2,FALSE),"/")</f>
        <v>0</v>
      </c>
      <c r="G1103" s="307" t="s">
        <v>4287</v>
      </c>
      <c r="H1103" s="324" t="s">
        <v>186</v>
      </c>
      <c r="I1103" s="108"/>
      <c r="J1103" s="108">
        <v>44617</v>
      </c>
      <c r="K1103" s="100">
        <v>44653</v>
      </c>
      <c r="L1103" s="100"/>
      <c r="M1103" s="315" t="s">
        <v>4288</v>
      </c>
      <c r="N1103" s="338"/>
      <c r="O1103" s="265" t="s">
        <v>970</v>
      </c>
      <c r="P1103" s="240">
        <v>5091.5</v>
      </c>
      <c r="Q1103" s="240">
        <v>1600</v>
      </c>
      <c r="R1103" s="131"/>
      <c r="S1103" s="132"/>
      <c r="T1103" s="240">
        <v>3491.5</v>
      </c>
      <c r="U1103" s="100"/>
      <c r="V1103" s="102"/>
      <c r="W1103" s="45"/>
    </row>
    <row r="1104" s="40" customFormat="1" ht="22" hidden="1" customHeight="1" spans="1:23">
      <c r="A1104" s="261" t="s">
        <v>4289</v>
      </c>
      <c r="B1104" s="174" t="s">
        <v>3605</v>
      </c>
      <c r="C1104" s="175"/>
      <c r="D1104" s="45" t="s">
        <v>31</v>
      </c>
      <c r="E1104" s="82" t="s">
        <v>4290</v>
      </c>
      <c r="F1104" s="81"/>
      <c r="G1104" s="307" t="s">
        <v>4291</v>
      </c>
      <c r="H1104" s="324" t="s">
        <v>123</v>
      </c>
      <c r="I1104" s="108" t="s">
        <v>4040</v>
      </c>
      <c r="J1104" s="108">
        <v>44620</v>
      </c>
      <c r="K1104" s="100">
        <v>44697</v>
      </c>
      <c r="L1104" s="100">
        <v>44711</v>
      </c>
      <c r="M1104" s="315" t="s">
        <v>4292</v>
      </c>
      <c r="N1104" s="198" t="s">
        <v>4293</v>
      </c>
      <c r="O1104" s="265" t="s">
        <v>523</v>
      </c>
      <c r="P1104" s="102">
        <v>33513.8</v>
      </c>
      <c r="Q1104" s="102">
        <v>10039</v>
      </c>
      <c r="R1104" s="131"/>
      <c r="S1104" s="132"/>
      <c r="T1104" s="102">
        <v>23474.8</v>
      </c>
      <c r="U1104" s="100"/>
      <c r="V1104" s="102"/>
      <c r="W1104" s="45"/>
    </row>
    <row r="1105" s="40" customFormat="1" ht="22" hidden="1" customHeight="1" spans="1:23">
      <c r="A1105" s="293" t="s">
        <v>4294</v>
      </c>
      <c r="B1105" s="174" t="s">
        <v>3605</v>
      </c>
      <c r="C1105" s="175"/>
      <c r="D1105" s="45" t="s">
        <v>2</v>
      </c>
      <c r="E1105" s="82" t="s">
        <v>3919</v>
      </c>
      <c r="F1105" s="81">
        <f>IFERROR(VLOOKUP(E1105,客户!B:C,2,FALSE),"/")</f>
        <v>0</v>
      </c>
      <c r="G1105" s="307" t="s">
        <v>4264</v>
      </c>
      <c r="H1105" s="324" t="s">
        <v>123</v>
      </c>
      <c r="I1105" s="108" t="s">
        <v>3513</v>
      </c>
      <c r="J1105" s="108">
        <v>44620</v>
      </c>
      <c r="K1105" s="100">
        <v>44719</v>
      </c>
      <c r="L1105" s="100"/>
      <c r="M1105" s="315" t="s">
        <v>4295</v>
      </c>
      <c r="N1105" s="338" t="s">
        <v>4296</v>
      </c>
      <c r="O1105" s="265" t="s">
        <v>970</v>
      </c>
      <c r="P1105" s="102">
        <v>49987.9</v>
      </c>
      <c r="Q1105" s="102">
        <f>10000-Q1106</f>
        <v>6500</v>
      </c>
      <c r="R1105" s="131">
        <f>P1105-Q1105</f>
        <v>43487.9</v>
      </c>
      <c r="S1105" s="132"/>
      <c r="T1105" s="240"/>
      <c r="U1105" s="100"/>
      <c r="V1105" s="102"/>
      <c r="W1105" s="45"/>
    </row>
    <row r="1106" s="40" customFormat="1" ht="22" hidden="1" customHeight="1" spans="1:23">
      <c r="A1106" s="261" t="s">
        <v>4297</v>
      </c>
      <c r="B1106" s="174" t="s">
        <v>3605</v>
      </c>
      <c r="C1106" s="175"/>
      <c r="D1106" s="45" t="s">
        <v>31</v>
      </c>
      <c r="E1106" s="82" t="s">
        <v>3919</v>
      </c>
      <c r="F1106" s="81">
        <f>IFERROR(VLOOKUP(E1106,客户!B:C,2,FALSE),"/")</f>
        <v>0</v>
      </c>
      <c r="G1106" s="307" t="s">
        <v>4228</v>
      </c>
      <c r="H1106" s="324" t="s">
        <v>123</v>
      </c>
      <c r="I1106" s="108" t="s">
        <v>3513</v>
      </c>
      <c r="J1106" s="108">
        <v>44620</v>
      </c>
      <c r="K1106" s="100">
        <v>44701</v>
      </c>
      <c r="L1106" s="100"/>
      <c r="M1106" s="315" t="s">
        <v>4295</v>
      </c>
      <c r="N1106" s="338" t="s">
        <v>4298</v>
      </c>
      <c r="O1106" s="265" t="s">
        <v>970</v>
      </c>
      <c r="P1106" s="102">
        <v>23501</v>
      </c>
      <c r="Q1106" s="102">
        <v>3500</v>
      </c>
      <c r="R1106" s="131"/>
      <c r="S1106" s="132"/>
      <c r="T1106" s="102">
        <v>20001</v>
      </c>
      <c r="U1106" s="100"/>
      <c r="V1106" s="102"/>
      <c r="W1106" s="45"/>
    </row>
    <row r="1107" s="40" customFormat="1" ht="22" hidden="1" customHeight="1" spans="1:23">
      <c r="A1107" s="293" t="s">
        <v>4299</v>
      </c>
      <c r="B1107" s="174" t="s">
        <v>3605</v>
      </c>
      <c r="C1107" s="175"/>
      <c r="D1107" s="45" t="s">
        <v>3</v>
      </c>
      <c r="E1107" s="82" t="s">
        <v>3931</v>
      </c>
      <c r="F1107" s="81">
        <f>IFERROR(VLOOKUP(E1107,客户!B:C,2,FALSE),"/")</f>
        <v>0</v>
      </c>
      <c r="G1107" s="307" t="s">
        <v>4287</v>
      </c>
      <c r="H1107" s="324" t="s">
        <v>186</v>
      </c>
      <c r="I1107" s="108"/>
      <c r="J1107" s="108">
        <v>44622</v>
      </c>
      <c r="K1107" s="100"/>
      <c r="L1107" s="100"/>
      <c r="M1107" s="315" t="s">
        <v>4300</v>
      </c>
      <c r="N1107" s="338"/>
      <c r="O1107" s="265" t="s">
        <v>970</v>
      </c>
      <c r="P1107" s="240">
        <v>77590.32</v>
      </c>
      <c r="Q1107" s="240">
        <v>23277</v>
      </c>
      <c r="R1107" s="131"/>
      <c r="S1107" s="132"/>
      <c r="T1107" s="240"/>
      <c r="U1107" s="100"/>
      <c r="V1107" s="102"/>
      <c r="W1107" s="45"/>
    </row>
    <row r="1108" s="40" customFormat="1" ht="22" hidden="1" customHeight="1" spans="1:23">
      <c r="A1108" s="293" t="s">
        <v>4301</v>
      </c>
      <c r="B1108" s="174" t="s">
        <v>3605</v>
      </c>
      <c r="C1108" s="175"/>
      <c r="D1108" s="45" t="s">
        <v>1787</v>
      </c>
      <c r="E1108" s="82" t="s">
        <v>4290</v>
      </c>
      <c r="F1108" s="81">
        <f>IFERROR(VLOOKUP(E1108,客户!B:C,2,FALSE),"/")</f>
        <v>0</v>
      </c>
      <c r="G1108" s="307" t="s">
        <v>4291</v>
      </c>
      <c r="H1108" s="324" t="s">
        <v>123</v>
      </c>
      <c r="I1108" s="108" t="s">
        <v>4040</v>
      </c>
      <c r="J1108" s="108">
        <v>44622</v>
      </c>
      <c r="K1108" s="100"/>
      <c r="L1108" s="100"/>
      <c r="M1108" s="315" t="s">
        <v>4302</v>
      </c>
      <c r="N1108" s="198" t="s">
        <v>4303</v>
      </c>
      <c r="O1108" s="265" t="s">
        <v>523</v>
      </c>
      <c r="P1108" s="139">
        <v>34713</v>
      </c>
      <c r="Q1108" s="102">
        <v>10414</v>
      </c>
      <c r="R1108" s="131"/>
      <c r="S1108" s="132"/>
      <c r="T1108" s="240"/>
      <c r="U1108" s="100"/>
      <c r="V1108" s="102"/>
      <c r="W1108" s="45"/>
    </row>
    <row r="1109" s="40" customFormat="1" ht="22" customHeight="1" spans="1:23">
      <c r="A1109" s="293" t="s">
        <v>4304</v>
      </c>
      <c r="B1109" s="174" t="s">
        <v>3605</v>
      </c>
      <c r="C1109" s="175"/>
      <c r="D1109" s="45" t="s">
        <v>1</v>
      </c>
      <c r="E1109" s="82" t="s">
        <v>3909</v>
      </c>
      <c r="F1109" s="81">
        <f>IFERROR(VLOOKUP(E1109,客户!B:C,2,FALSE),"/")</f>
        <v>0</v>
      </c>
      <c r="G1109" s="307" t="s">
        <v>4087</v>
      </c>
      <c r="H1109" s="324" t="s">
        <v>123</v>
      </c>
      <c r="I1109" s="108" t="s">
        <v>3911</v>
      </c>
      <c r="J1109" s="108">
        <v>44629</v>
      </c>
      <c r="K1109" s="100">
        <v>44736</v>
      </c>
      <c r="L1109" s="100"/>
      <c r="M1109" s="315" t="s">
        <v>4305</v>
      </c>
      <c r="N1109" s="338" t="s">
        <v>4306</v>
      </c>
      <c r="O1109" s="265" t="s">
        <v>523</v>
      </c>
      <c r="P1109" s="102">
        <v>58528.19</v>
      </c>
      <c r="Q1109" s="102">
        <f>11360+6219.85</f>
        <v>17579.85</v>
      </c>
      <c r="R1109" s="131">
        <f>P1109-Q1109</f>
        <v>40948.34</v>
      </c>
      <c r="S1109" s="132"/>
      <c r="T1109" s="240"/>
      <c r="U1109" s="100"/>
      <c r="V1109" s="102"/>
      <c r="W1109" s="45"/>
    </row>
    <row r="1110" s="40" customFormat="1" ht="22" hidden="1" customHeight="1" spans="1:23">
      <c r="A1110" s="293" t="s">
        <v>4307</v>
      </c>
      <c r="B1110" s="174" t="s">
        <v>3605</v>
      </c>
      <c r="C1110" s="175"/>
      <c r="D1110" s="45" t="s">
        <v>3</v>
      </c>
      <c r="E1110" s="82" t="s">
        <v>3909</v>
      </c>
      <c r="F1110" s="81">
        <f>IFERROR(VLOOKUP(E1110,客户!B:C,2,FALSE),"/")</f>
        <v>0</v>
      </c>
      <c r="G1110" s="307" t="s">
        <v>4087</v>
      </c>
      <c r="H1110" s="324" t="s">
        <v>123</v>
      </c>
      <c r="I1110" s="108" t="s">
        <v>3911</v>
      </c>
      <c r="J1110" s="108">
        <v>44630</v>
      </c>
      <c r="K1110" s="100"/>
      <c r="L1110" s="100"/>
      <c r="M1110" s="315" t="s">
        <v>4308</v>
      </c>
      <c r="N1110" s="338"/>
      <c r="O1110" s="265" t="s">
        <v>523</v>
      </c>
      <c r="P1110" s="139">
        <v>54401.5</v>
      </c>
      <c r="Q1110" s="102">
        <v>16320.45</v>
      </c>
      <c r="R1110" s="131"/>
      <c r="S1110" s="132"/>
      <c r="T1110" s="240"/>
      <c r="U1110" s="100"/>
      <c r="V1110" s="102"/>
      <c r="W1110" s="45"/>
    </row>
    <row r="1111" s="40" customFormat="1" ht="22" customHeight="1" spans="1:23">
      <c r="A1111" s="350" t="s">
        <v>4309</v>
      </c>
      <c r="B1111" s="174" t="s">
        <v>3605</v>
      </c>
      <c r="C1111" s="175"/>
      <c r="D1111" s="45" t="s">
        <v>1</v>
      </c>
      <c r="E1111" s="82" t="s">
        <v>3892</v>
      </c>
      <c r="F1111" s="81">
        <f>IFERROR(VLOOKUP(E1111,客户!B:C,2,FALSE),"/")</f>
        <v>0</v>
      </c>
      <c r="G1111" s="307" t="s">
        <v>4310</v>
      </c>
      <c r="H1111" s="324" t="s">
        <v>147</v>
      </c>
      <c r="I1111" s="108" t="s">
        <v>4033</v>
      </c>
      <c r="J1111" s="108">
        <v>44631</v>
      </c>
      <c r="K1111" s="100">
        <v>44737</v>
      </c>
      <c r="L1111" s="100"/>
      <c r="M1111" s="333" t="s">
        <v>4311</v>
      </c>
      <c r="N1111" s="338" t="s">
        <v>4312</v>
      </c>
      <c r="O1111" s="265" t="s">
        <v>523</v>
      </c>
      <c r="P1111" s="102">
        <v>34386.72</v>
      </c>
      <c r="Q1111" s="266">
        <f>2764.42+21208</f>
        <v>23972.42</v>
      </c>
      <c r="R1111" s="131"/>
      <c r="S1111" s="132"/>
      <c r="T1111" s="102">
        <v>33125</v>
      </c>
      <c r="U1111" s="100"/>
      <c r="V1111" s="102"/>
      <c r="W1111" s="45"/>
    </row>
    <row r="1112" s="40" customFormat="1" ht="22" hidden="1" customHeight="1" spans="1:23">
      <c r="A1112" s="293" t="s">
        <v>4313</v>
      </c>
      <c r="B1112" s="174" t="s">
        <v>3605</v>
      </c>
      <c r="C1112" s="175"/>
      <c r="D1112" s="45" t="s">
        <v>3</v>
      </c>
      <c r="E1112" s="82" t="s">
        <v>3892</v>
      </c>
      <c r="F1112" s="81">
        <f>IFERROR(VLOOKUP(E1112,客户!B:C,2,FALSE),"/")</f>
        <v>0</v>
      </c>
      <c r="G1112" s="307" t="s">
        <v>4310</v>
      </c>
      <c r="H1112" s="324" t="s">
        <v>147</v>
      </c>
      <c r="I1112" s="108" t="s">
        <v>4033</v>
      </c>
      <c r="J1112" s="108">
        <v>44631</v>
      </c>
      <c r="K1112" s="100"/>
      <c r="L1112" s="100"/>
      <c r="M1112" s="315" t="s">
        <v>4314</v>
      </c>
      <c r="N1112" s="338"/>
      <c r="O1112" s="265" t="s">
        <v>523</v>
      </c>
      <c r="P1112" s="139">
        <v>33900.72</v>
      </c>
      <c r="Q1112" s="267"/>
      <c r="R1112" s="131"/>
      <c r="S1112" s="132"/>
      <c r="T1112" s="240"/>
      <c r="U1112" s="100"/>
      <c r="V1112" s="102"/>
      <c r="W1112" s="45"/>
    </row>
    <row r="1113" s="40" customFormat="1" ht="22" hidden="1" customHeight="1" spans="1:23">
      <c r="A1113" s="261" t="s">
        <v>4315</v>
      </c>
      <c r="B1113" s="174" t="s">
        <v>3605</v>
      </c>
      <c r="C1113" s="175"/>
      <c r="D1113" s="45" t="s">
        <v>31</v>
      </c>
      <c r="E1113" s="82" t="s">
        <v>4192</v>
      </c>
      <c r="F1113" s="81">
        <f>IFERROR(VLOOKUP(E1113,客户!B:C,2,FALSE),"/")</f>
        <v>0</v>
      </c>
      <c r="G1113" s="307" t="s">
        <v>4316</v>
      </c>
      <c r="H1113" s="324" t="s">
        <v>186</v>
      </c>
      <c r="I1113" s="108"/>
      <c r="J1113" s="108">
        <v>44631</v>
      </c>
      <c r="K1113" s="100">
        <v>44729</v>
      </c>
      <c r="L1113" s="100"/>
      <c r="M1113" s="315" t="s">
        <v>4317</v>
      </c>
      <c r="N1113" s="338"/>
      <c r="O1113" s="265" t="s">
        <v>970</v>
      </c>
      <c r="P1113" s="240">
        <v>126632.1</v>
      </c>
      <c r="Q1113" s="240">
        <v>38000</v>
      </c>
      <c r="R1113" s="131"/>
      <c r="S1113" s="132"/>
      <c r="T1113" s="240">
        <v>88632</v>
      </c>
      <c r="U1113" s="100"/>
      <c r="V1113" s="102"/>
      <c r="W1113" s="45"/>
    </row>
    <row r="1114" s="40" customFormat="1" ht="22" hidden="1" customHeight="1" spans="1:23">
      <c r="A1114" s="293" t="s">
        <v>4318</v>
      </c>
      <c r="B1114" s="174" t="s">
        <v>3605</v>
      </c>
      <c r="C1114" s="175"/>
      <c r="D1114" s="45" t="s">
        <v>3</v>
      </c>
      <c r="E1114" s="82" t="s">
        <v>3919</v>
      </c>
      <c r="F1114" s="81">
        <f>IFERROR(VLOOKUP(E1114,客户!B:C,2,FALSE),"/")</f>
        <v>0</v>
      </c>
      <c r="G1114" s="307" t="s">
        <v>1290</v>
      </c>
      <c r="H1114" s="324" t="s">
        <v>123</v>
      </c>
      <c r="I1114" s="108" t="s">
        <v>3513</v>
      </c>
      <c r="J1114" s="108">
        <v>44631</v>
      </c>
      <c r="K1114" s="100"/>
      <c r="L1114" s="100"/>
      <c r="M1114" s="315" t="s">
        <v>4319</v>
      </c>
      <c r="N1114" s="338"/>
      <c r="O1114" s="265" t="s">
        <v>970</v>
      </c>
      <c r="P1114" s="139">
        <v>79908.6</v>
      </c>
      <c r="Q1114" s="102">
        <f>15633-Q1115</f>
        <v>9910.03</v>
      </c>
      <c r="R1114" s="131"/>
      <c r="S1114" s="132"/>
      <c r="T1114" s="240"/>
      <c r="U1114" s="100"/>
      <c r="V1114" s="102"/>
      <c r="W1114" s="45"/>
    </row>
    <row r="1115" s="40" customFormat="1" ht="22" hidden="1" customHeight="1" spans="1:23">
      <c r="A1115" s="261" t="s">
        <v>4320</v>
      </c>
      <c r="B1115" s="174" t="s">
        <v>3605</v>
      </c>
      <c r="C1115" s="175"/>
      <c r="D1115" s="45" t="s">
        <v>31</v>
      </c>
      <c r="E1115" s="82" t="s">
        <v>3919</v>
      </c>
      <c r="F1115" s="81"/>
      <c r="G1115" s="307" t="s">
        <v>4321</v>
      </c>
      <c r="H1115" s="324" t="s">
        <v>123</v>
      </c>
      <c r="I1115" s="108" t="s">
        <v>3513</v>
      </c>
      <c r="J1115" s="108">
        <v>44620</v>
      </c>
      <c r="K1115" s="100">
        <v>44707</v>
      </c>
      <c r="L1115" s="100"/>
      <c r="M1115" s="333"/>
      <c r="N1115" s="338" t="s">
        <v>4296</v>
      </c>
      <c r="O1115" s="265" t="s">
        <v>970</v>
      </c>
      <c r="P1115" s="102">
        <v>28614.97</v>
      </c>
      <c r="Q1115" s="102">
        <v>5722.97</v>
      </c>
      <c r="R1115" s="131"/>
      <c r="S1115" s="132"/>
      <c r="T1115" s="102">
        <v>22892</v>
      </c>
      <c r="U1115" s="100"/>
      <c r="V1115" s="102"/>
      <c r="W1115" s="45"/>
    </row>
    <row r="1116" s="40" customFormat="1" ht="22" hidden="1" customHeight="1" spans="1:23">
      <c r="A1116" s="293" t="s">
        <v>4322</v>
      </c>
      <c r="B1116" s="174" t="s">
        <v>3605</v>
      </c>
      <c r="C1116" s="175"/>
      <c r="D1116" s="45" t="s">
        <v>0</v>
      </c>
      <c r="E1116" s="82" t="s">
        <v>3981</v>
      </c>
      <c r="F1116" s="81">
        <f>IFERROR(VLOOKUP(E1116,客户!B:C,2,FALSE),"/")</f>
        <v>0</v>
      </c>
      <c r="G1116" s="307"/>
      <c r="H1116" s="324" t="s">
        <v>186</v>
      </c>
      <c r="I1116" s="108"/>
      <c r="J1116" s="108">
        <v>44657</v>
      </c>
      <c r="K1116" s="100">
        <v>44745</v>
      </c>
      <c r="L1116" s="100"/>
      <c r="M1116" s="325" t="s">
        <v>4323</v>
      </c>
      <c r="N1116" s="338" t="s">
        <v>4324</v>
      </c>
      <c r="O1116" s="265" t="s">
        <v>970</v>
      </c>
      <c r="P1116" s="102">
        <v>8030</v>
      </c>
      <c r="Q1116" s="102">
        <v>8030</v>
      </c>
      <c r="R1116" s="131"/>
      <c r="S1116" s="132"/>
      <c r="T1116" s="240"/>
      <c r="U1116" s="100"/>
      <c r="V1116" s="102"/>
      <c r="W1116" s="45"/>
    </row>
    <row r="1117" s="40" customFormat="1" ht="22" hidden="1" customHeight="1" spans="1:23">
      <c r="A1117" s="261" t="s">
        <v>4325</v>
      </c>
      <c r="B1117" s="174" t="s">
        <v>3605</v>
      </c>
      <c r="C1117" s="175"/>
      <c r="D1117" s="45" t="s">
        <v>31</v>
      </c>
      <c r="E1117" s="82" t="s">
        <v>4326</v>
      </c>
      <c r="F1117" s="81">
        <f>IFERROR(VLOOKUP(E1117,客户!B:C,2,FALSE),"/")</f>
        <v>0</v>
      </c>
      <c r="G1117" s="307" t="s">
        <v>4327</v>
      </c>
      <c r="H1117" s="324" t="s">
        <v>123</v>
      </c>
      <c r="I1117" s="108"/>
      <c r="J1117" s="108">
        <v>44663</v>
      </c>
      <c r="K1117" s="100">
        <v>44717</v>
      </c>
      <c r="L1117" s="100"/>
      <c r="M1117" s="315" t="s">
        <v>4328</v>
      </c>
      <c r="N1117" s="338" t="s">
        <v>4329</v>
      </c>
      <c r="O1117" s="265" t="s">
        <v>970</v>
      </c>
      <c r="P1117" s="102">
        <v>37236.7</v>
      </c>
      <c r="Q1117" s="102">
        <v>11171.01</v>
      </c>
      <c r="R1117" s="131"/>
      <c r="S1117" s="132"/>
      <c r="T1117" s="102">
        <v>26065.69</v>
      </c>
      <c r="U1117" s="100"/>
      <c r="V1117" s="102"/>
      <c r="W1117" s="45"/>
    </row>
    <row r="1118" s="40" customFormat="1" ht="22" hidden="1" customHeight="1" spans="1:23">
      <c r="A1118" s="293" t="s">
        <v>4330</v>
      </c>
      <c r="B1118" s="174" t="s">
        <v>3605</v>
      </c>
      <c r="C1118" s="175"/>
      <c r="D1118" s="45" t="s">
        <v>2</v>
      </c>
      <c r="E1118" s="82" t="s">
        <v>4211</v>
      </c>
      <c r="F1118" s="81">
        <f>IFERROR(VLOOKUP(E1118,客户!B:C,2,FALSE),"/")</f>
        <v>0</v>
      </c>
      <c r="G1118" s="307" t="s">
        <v>4331</v>
      </c>
      <c r="H1118" s="324" t="s">
        <v>123</v>
      </c>
      <c r="I1118" s="108" t="s">
        <v>4213</v>
      </c>
      <c r="J1118" s="108">
        <v>44663</v>
      </c>
      <c r="K1118" s="100">
        <v>44729</v>
      </c>
      <c r="L1118" s="100">
        <v>44779</v>
      </c>
      <c r="M1118" s="315" t="s">
        <v>4332</v>
      </c>
      <c r="N1118" s="338" t="s">
        <v>4333</v>
      </c>
      <c r="O1118" s="265" t="s">
        <v>970</v>
      </c>
      <c r="P1118" s="102">
        <v>70793</v>
      </c>
      <c r="Q1118" s="102">
        <v>17000</v>
      </c>
      <c r="R1118" s="131">
        <f>P1118-Q1118-T1118</f>
        <v>2199.75</v>
      </c>
      <c r="S1118" s="132"/>
      <c r="T1118" s="102">
        <v>51593.25</v>
      </c>
      <c r="U1118" s="100"/>
      <c r="V1118" s="102"/>
      <c r="W1118" s="45"/>
    </row>
    <row r="1119" s="40" customFormat="1" ht="22" hidden="1" customHeight="1" spans="1:23">
      <c r="A1119" s="293" t="s">
        <v>4334</v>
      </c>
      <c r="B1119" s="174" t="s">
        <v>3605</v>
      </c>
      <c r="C1119" s="175"/>
      <c r="D1119" s="45" t="s">
        <v>3</v>
      </c>
      <c r="E1119" s="82" t="s">
        <v>3931</v>
      </c>
      <c r="F1119" s="81">
        <f>IFERROR(VLOOKUP(E1119,客户!B:C,2,FALSE),"/")</f>
        <v>0</v>
      </c>
      <c r="G1119" s="307" t="s">
        <v>4335</v>
      </c>
      <c r="H1119" s="324" t="s">
        <v>186</v>
      </c>
      <c r="I1119" s="108" t="s">
        <v>3817</v>
      </c>
      <c r="J1119" s="108">
        <v>44666</v>
      </c>
      <c r="K1119" s="100"/>
      <c r="L1119" s="100"/>
      <c r="M1119" s="315" t="s">
        <v>4336</v>
      </c>
      <c r="N1119" s="338"/>
      <c r="O1119" s="265" t="s">
        <v>970</v>
      </c>
      <c r="P1119" s="240">
        <v>179116.5</v>
      </c>
      <c r="Q1119" s="240">
        <v>53734</v>
      </c>
      <c r="R1119" s="131"/>
      <c r="S1119" s="132"/>
      <c r="T1119" s="240"/>
      <c r="U1119" s="100"/>
      <c r="V1119" s="102"/>
      <c r="W1119" s="45"/>
    </row>
    <row r="1120" s="40" customFormat="1" ht="22" hidden="1" customHeight="1" spans="1:23">
      <c r="A1120" s="293" t="s">
        <v>4337</v>
      </c>
      <c r="B1120" s="174" t="s">
        <v>3605</v>
      </c>
      <c r="C1120" s="175"/>
      <c r="D1120" s="45" t="s">
        <v>3</v>
      </c>
      <c r="E1120" s="82" t="s">
        <v>3931</v>
      </c>
      <c r="F1120" s="81"/>
      <c r="G1120" s="307" t="s">
        <v>4335</v>
      </c>
      <c r="H1120" s="324" t="s">
        <v>186</v>
      </c>
      <c r="I1120" s="108" t="s">
        <v>3817</v>
      </c>
      <c r="J1120" s="108">
        <v>44670</v>
      </c>
      <c r="K1120" s="100"/>
      <c r="L1120" s="100"/>
      <c r="M1120" s="315" t="s">
        <v>4338</v>
      </c>
      <c r="N1120" s="338"/>
      <c r="O1120" s="265" t="s">
        <v>970</v>
      </c>
      <c r="P1120" s="240">
        <v>179888</v>
      </c>
      <c r="Q1120" s="240">
        <v>10000</v>
      </c>
      <c r="R1120" s="131"/>
      <c r="S1120" s="132"/>
      <c r="T1120" s="240"/>
      <c r="U1120" s="100"/>
      <c r="V1120" s="102"/>
      <c r="W1120" s="45"/>
    </row>
    <row r="1121" s="40" customFormat="1" ht="22" hidden="1" customHeight="1" spans="1:23">
      <c r="A1121" s="293" t="s">
        <v>4339</v>
      </c>
      <c r="B1121" s="174" t="s">
        <v>3605</v>
      </c>
      <c r="C1121" s="175"/>
      <c r="D1121" s="45" t="s">
        <v>2</v>
      </c>
      <c r="E1121" s="82" t="s">
        <v>4211</v>
      </c>
      <c r="F1121" s="81">
        <f>IFERROR(VLOOKUP(E1121,客户!B:C,2,FALSE),"/")</f>
        <v>0</v>
      </c>
      <c r="G1121" s="307" t="s">
        <v>4340</v>
      </c>
      <c r="H1121" s="324" t="s">
        <v>186</v>
      </c>
      <c r="I1121" s="108" t="s">
        <v>4213</v>
      </c>
      <c r="J1121" s="108">
        <v>44671</v>
      </c>
      <c r="K1121" s="100">
        <v>44729</v>
      </c>
      <c r="L1121" s="100">
        <v>44779</v>
      </c>
      <c r="M1121" s="315" t="s">
        <v>4341</v>
      </c>
      <c r="N1121" s="198" t="s">
        <v>4342</v>
      </c>
      <c r="O1121" s="265" t="s">
        <v>970</v>
      </c>
      <c r="P1121" s="102">
        <v>54404.8</v>
      </c>
      <c r="Q1121" s="102">
        <v>17375.68</v>
      </c>
      <c r="R1121" s="131">
        <f>P1121-Q1121-T1121</f>
        <v>1500.25</v>
      </c>
      <c r="S1121" s="132"/>
      <c r="T1121" s="102">
        <v>35528.87</v>
      </c>
      <c r="U1121" s="100"/>
      <c r="V1121" s="102"/>
      <c r="W1121" s="45"/>
    </row>
    <row r="1122" s="40" customFormat="1" ht="22" hidden="1" customHeight="1" spans="1:23">
      <c r="A1122" s="261" t="s">
        <v>4343</v>
      </c>
      <c r="B1122" s="174" t="s">
        <v>3605</v>
      </c>
      <c r="C1122" s="175"/>
      <c r="D1122" s="45" t="s">
        <v>31</v>
      </c>
      <c r="E1122" s="82" t="s">
        <v>3919</v>
      </c>
      <c r="F1122" s="81">
        <f>IFERROR(VLOOKUP(E1122,客户!B:C,2,FALSE),"/")</f>
        <v>0</v>
      </c>
      <c r="G1122" s="307" t="s">
        <v>4083</v>
      </c>
      <c r="H1122" s="324" t="s">
        <v>123</v>
      </c>
      <c r="I1122" s="108" t="s">
        <v>3513</v>
      </c>
      <c r="J1122" s="108">
        <v>44679</v>
      </c>
      <c r="K1122" s="100">
        <v>44694</v>
      </c>
      <c r="L1122" s="100"/>
      <c r="M1122" s="315" t="s">
        <v>4344</v>
      </c>
      <c r="N1122" s="338" t="s">
        <v>4298</v>
      </c>
      <c r="O1122" s="265" t="s">
        <v>970</v>
      </c>
      <c r="P1122" s="102">
        <v>28379</v>
      </c>
      <c r="Q1122" s="102">
        <f>17000/2</f>
        <v>8500</v>
      </c>
      <c r="R1122" s="131"/>
      <c r="S1122" s="132"/>
      <c r="T1122" s="102">
        <v>19879</v>
      </c>
      <c r="U1122" s="100"/>
      <c r="V1122" s="102"/>
      <c r="W1122" s="45"/>
    </row>
    <row r="1123" s="40" customFormat="1" ht="22" hidden="1" customHeight="1" spans="1:23">
      <c r="A1123" s="261" t="s">
        <v>4345</v>
      </c>
      <c r="B1123" s="174" t="s">
        <v>3605</v>
      </c>
      <c r="C1123" s="175"/>
      <c r="D1123" s="45" t="s">
        <v>31</v>
      </c>
      <c r="E1123" s="82" t="s">
        <v>3919</v>
      </c>
      <c r="F1123" s="81">
        <f>IFERROR(VLOOKUP(E1123,客户!B:C,2,FALSE),"/")</f>
        <v>0</v>
      </c>
      <c r="G1123" s="307" t="s">
        <v>4083</v>
      </c>
      <c r="H1123" s="324" t="s">
        <v>123</v>
      </c>
      <c r="I1123" s="108" t="s">
        <v>3513</v>
      </c>
      <c r="J1123" s="108">
        <v>44679</v>
      </c>
      <c r="K1123" s="100">
        <v>44701</v>
      </c>
      <c r="L1123" s="100"/>
      <c r="M1123" s="315" t="s">
        <v>4346</v>
      </c>
      <c r="N1123" s="338" t="s">
        <v>4298</v>
      </c>
      <c r="O1123" s="265" t="s">
        <v>970</v>
      </c>
      <c r="P1123" s="102">
        <v>28057.5</v>
      </c>
      <c r="Q1123" s="102">
        <f>17000/2</f>
        <v>8500</v>
      </c>
      <c r="R1123" s="131"/>
      <c r="S1123" s="132"/>
      <c r="T1123" s="102">
        <v>19557.5</v>
      </c>
      <c r="U1123" s="100"/>
      <c r="V1123" s="102"/>
      <c r="W1123" s="45"/>
    </row>
    <row r="1124" s="40" customFormat="1" ht="22" hidden="1" customHeight="1" spans="1:23">
      <c r="A1124" s="293" t="s">
        <v>4347</v>
      </c>
      <c r="B1124" s="174" t="s">
        <v>3605</v>
      </c>
      <c r="C1124" s="175"/>
      <c r="D1124" s="45" t="s">
        <v>3</v>
      </c>
      <c r="E1124" s="82" t="s">
        <v>4118</v>
      </c>
      <c r="F1124" s="81">
        <f>IFERROR(VLOOKUP(E1124,客户!B:C,2,FALSE),"/")</f>
        <v>0</v>
      </c>
      <c r="G1124" s="307" t="s">
        <v>4083</v>
      </c>
      <c r="H1124" s="324" t="s">
        <v>123</v>
      </c>
      <c r="I1124" s="108" t="s">
        <v>3911</v>
      </c>
      <c r="J1124" s="108">
        <v>44692</v>
      </c>
      <c r="K1124" s="100"/>
      <c r="L1124" s="100"/>
      <c r="M1124" s="315" t="s">
        <v>4348</v>
      </c>
      <c r="N1124" s="338" t="s">
        <v>4349</v>
      </c>
      <c r="O1124" s="265" t="s">
        <v>523</v>
      </c>
      <c r="P1124" s="139">
        <v>31543</v>
      </c>
      <c r="Q1124" s="102">
        <v>9462.96</v>
      </c>
      <c r="R1124" s="131"/>
      <c r="S1124" s="132"/>
      <c r="T1124" s="240"/>
      <c r="U1124" s="100"/>
      <c r="V1124" s="102"/>
      <c r="W1124" s="45"/>
    </row>
    <row r="1125" s="40" customFormat="1" ht="22" hidden="1" customHeight="1" spans="1:23">
      <c r="A1125" s="293" t="s">
        <v>4350</v>
      </c>
      <c r="B1125" s="174" t="s">
        <v>3605</v>
      </c>
      <c r="C1125" s="175"/>
      <c r="D1125" s="45" t="s">
        <v>3</v>
      </c>
      <c r="E1125" s="82" t="s">
        <v>3915</v>
      </c>
      <c r="F1125" s="81">
        <f>IFERROR(VLOOKUP(E1125,客户!B:C,2,FALSE),"/")</f>
        <v>0</v>
      </c>
      <c r="G1125" s="307" t="s">
        <v>4351</v>
      </c>
      <c r="H1125" s="324" t="s">
        <v>186</v>
      </c>
      <c r="I1125" s="108"/>
      <c r="J1125" s="108">
        <v>44698</v>
      </c>
      <c r="K1125" s="100"/>
      <c r="L1125" s="100"/>
      <c r="M1125" s="315" t="s">
        <v>4352</v>
      </c>
      <c r="N1125" s="338"/>
      <c r="O1125" s="265" t="s">
        <v>970</v>
      </c>
      <c r="P1125" s="240">
        <v>44649.5</v>
      </c>
      <c r="Q1125" s="240">
        <v>13000</v>
      </c>
      <c r="R1125" s="131"/>
      <c r="S1125" s="132"/>
      <c r="T1125" s="240"/>
      <c r="U1125" s="100"/>
      <c r="V1125" s="102"/>
      <c r="W1125" s="45"/>
    </row>
    <row r="1126" s="40" customFormat="1" ht="22" hidden="1" customHeight="1" spans="1:23">
      <c r="A1126" s="293" t="s">
        <v>4353</v>
      </c>
      <c r="B1126" s="174" t="s">
        <v>3605</v>
      </c>
      <c r="C1126" s="175"/>
      <c r="D1126" s="45" t="s">
        <v>3</v>
      </c>
      <c r="E1126" s="82" t="s">
        <v>3892</v>
      </c>
      <c r="F1126" s="81">
        <f>IFERROR(VLOOKUP(E1126,客户!B:C,2,FALSE),"/")</f>
        <v>0</v>
      </c>
      <c r="G1126" s="307" t="s">
        <v>4310</v>
      </c>
      <c r="H1126" s="324" t="s">
        <v>147</v>
      </c>
      <c r="I1126" s="108" t="s">
        <v>4033</v>
      </c>
      <c r="J1126" s="108">
        <v>44724</v>
      </c>
      <c r="K1126" s="100"/>
      <c r="L1126" s="100"/>
      <c r="M1126" s="315" t="s">
        <v>4354</v>
      </c>
      <c r="N1126" s="338"/>
      <c r="O1126" s="265" t="s">
        <v>970</v>
      </c>
      <c r="P1126" s="139">
        <v>31716</v>
      </c>
      <c r="Q1126" s="240"/>
      <c r="R1126" s="131"/>
      <c r="S1126" s="132"/>
      <c r="T1126" s="240"/>
      <c r="U1126" s="100"/>
      <c r="V1126" s="102"/>
      <c r="W1126" s="45"/>
    </row>
    <row r="1127" s="40" customFormat="1" ht="22" hidden="1" customHeight="1" spans="1:23">
      <c r="A1127" s="293" t="s">
        <v>4355</v>
      </c>
      <c r="B1127" s="174" t="s">
        <v>3605</v>
      </c>
      <c r="C1127" s="175"/>
      <c r="D1127" s="45" t="s">
        <v>3</v>
      </c>
      <c r="E1127" s="82" t="s">
        <v>3892</v>
      </c>
      <c r="F1127" s="81">
        <f>IFERROR(VLOOKUP(E1127,客户!B:C,2,FALSE),"/")</f>
        <v>0</v>
      </c>
      <c r="G1127" s="307" t="s">
        <v>4310</v>
      </c>
      <c r="H1127" s="324" t="s">
        <v>147</v>
      </c>
      <c r="I1127" s="108" t="s">
        <v>4033</v>
      </c>
      <c r="J1127" s="108">
        <v>44725</v>
      </c>
      <c r="K1127" s="100"/>
      <c r="L1127" s="100"/>
      <c r="M1127" s="315" t="s">
        <v>4356</v>
      </c>
      <c r="N1127" s="338"/>
      <c r="O1127" s="265" t="s">
        <v>970</v>
      </c>
      <c r="P1127" s="139">
        <v>31716</v>
      </c>
      <c r="Q1127" s="240"/>
      <c r="R1127" s="131"/>
      <c r="S1127" s="132"/>
      <c r="T1127" s="240"/>
      <c r="U1127" s="100"/>
      <c r="V1127" s="102"/>
      <c r="W1127" s="45"/>
    </row>
    <row r="1128" s="40" customFormat="1" ht="22" hidden="1" customHeight="1" spans="1:23">
      <c r="A1128" s="293" t="s">
        <v>4357</v>
      </c>
      <c r="B1128" s="174" t="s">
        <v>3605</v>
      </c>
      <c r="C1128" s="175"/>
      <c r="D1128" s="45" t="s">
        <v>3</v>
      </c>
      <c r="E1128" s="82" t="s">
        <v>4358</v>
      </c>
      <c r="F1128" s="81">
        <f>IFERROR(VLOOKUP(E1128,客户!B:C,2,FALSE),"/")</f>
        <v>0</v>
      </c>
      <c r="G1128" s="307" t="s">
        <v>4359</v>
      </c>
      <c r="H1128" s="324" t="s">
        <v>186</v>
      </c>
      <c r="I1128" s="108"/>
      <c r="J1128" s="108">
        <v>44725</v>
      </c>
      <c r="K1128" s="100"/>
      <c r="L1128" s="100"/>
      <c r="M1128" s="315"/>
      <c r="N1128" s="338"/>
      <c r="O1128" s="265" t="s">
        <v>970</v>
      </c>
      <c r="P1128" s="240">
        <v>3958.5</v>
      </c>
      <c r="Q1128" s="240">
        <v>3958.5</v>
      </c>
      <c r="R1128" s="131"/>
      <c r="S1128" s="132"/>
      <c r="T1128" s="240"/>
      <c r="U1128" s="100"/>
      <c r="V1128" s="102"/>
      <c r="W1128" s="45"/>
    </row>
    <row r="1129" s="43" customFormat="1" ht="22" hidden="1" customHeight="1" spans="1:23">
      <c r="A1129" s="255"/>
      <c r="B1129" s="174"/>
      <c r="C1129" s="175"/>
      <c r="D1129" s="45"/>
      <c r="E1129" s="80"/>
      <c r="F1129" s="81" t="str">
        <f>IFERROR(VLOOKUP(E1129,客户!B:C,2,FALSE),"/")</f>
        <v>/</v>
      </c>
      <c r="G1129" s="45"/>
      <c r="H1129" s="143"/>
      <c r="I1129" s="108"/>
      <c r="J1129" s="108"/>
      <c r="K1129" s="100"/>
      <c r="L1129" s="197"/>
      <c r="M1129" s="181"/>
      <c r="N1129" s="102"/>
      <c r="O1129" s="104"/>
      <c r="P1129" s="230"/>
      <c r="Q1129" s="317"/>
      <c r="R1129" s="131"/>
      <c r="S1129" s="132"/>
      <c r="T1129" s="317"/>
      <c r="U1129" s="100"/>
      <c r="V1129" s="102"/>
      <c r="W1129" s="210"/>
    </row>
    <row r="1130" s="43" customFormat="1" ht="22" hidden="1" customHeight="1" spans="1:23">
      <c r="A1130" s="144" t="s">
        <v>4360</v>
      </c>
      <c r="B1130" s="174" t="s">
        <v>3605</v>
      </c>
      <c r="C1130" s="175"/>
      <c r="D1130" s="45" t="s">
        <v>31</v>
      </c>
      <c r="E1130" s="82" t="s">
        <v>4361</v>
      </c>
      <c r="F1130" s="81">
        <f>IFERROR(VLOOKUP(E1130,客户!B:C,2,FALSE),"/")</f>
        <v>0</v>
      </c>
      <c r="G1130" s="45" t="s">
        <v>4362</v>
      </c>
      <c r="H1130" s="143"/>
      <c r="I1130" s="108"/>
      <c r="J1130" s="108">
        <v>43816</v>
      </c>
      <c r="K1130" s="100">
        <v>43820</v>
      </c>
      <c r="L1130" s="197"/>
      <c r="M1130" s="181" t="s">
        <v>4363</v>
      </c>
      <c r="N1130" s="102"/>
      <c r="O1130" s="104" t="s">
        <v>970</v>
      </c>
      <c r="P1130" s="240">
        <v>16250</v>
      </c>
      <c r="Q1130" s="317"/>
      <c r="R1130" s="131"/>
      <c r="S1130" s="132"/>
      <c r="T1130" s="240">
        <v>16250</v>
      </c>
      <c r="U1130" s="100"/>
      <c r="V1130" s="102"/>
      <c r="W1130" s="210"/>
    </row>
    <row r="1131" s="43" customFormat="1" ht="22" hidden="1" customHeight="1" spans="1:23">
      <c r="A1131" s="144" t="s">
        <v>4364</v>
      </c>
      <c r="B1131" s="174" t="s">
        <v>3605</v>
      </c>
      <c r="C1131" s="175"/>
      <c r="D1131" s="45" t="s">
        <v>31</v>
      </c>
      <c r="E1131" s="82" t="s">
        <v>4365</v>
      </c>
      <c r="F1131" s="81">
        <f>IFERROR(VLOOKUP(E1131,客户!B:C,2,FALSE),"/")</f>
        <v>0</v>
      </c>
      <c r="G1131" s="45" t="s">
        <v>4366</v>
      </c>
      <c r="H1131" s="143" t="s">
        <v>147</v>
      </c>
      <c r="I1131" s="108" t="s">
        <v>4367</v>
      </c>
      <c r="J1131" s="108">
        <v>43882</v>
      </c>
      <c r="K1131" s="100">
        <v>44015</v>
      </c>
      <c r="L1131" s="100">
        <v>44054</v>
      </c>
      <c r="M1131" s="165" t="s">
        <v>4368</v>
      </c>
      <c r="N1131" s="246" t="s">
        <v>4369</v>
      </c>
      <c r="O1131" s="104" t="s">
        <v>523</v>
      </c>
      <c r="P1131" s="230">
        <v>25858.16</v>
      </c>
      <c r="Q1131" s="102">
        <v>5000</v>
      </c>
      <c r="R1131" s="131"/>
      <c r="S1131" s="132"/>
      <c r="T1131" s="102">
        <v>20858.16</v>
      </c>
      <c r="U1131" s="100"/>
      <c r="V1131" s="346" t="s">
        <v>4370</v>
      </c>
      <c r="W1131" s="210"/>
    </row>
    <row r="1132" s="43" customFormat="1" ht="22" hidden="1" customHeight="1" spans="1:23">
      <c r="A1132" s="144" t="s">
        <v>4371</v>
      </c>
      <c r="B1132" s="174" t="s">
        <v>3605</v>
      </c>
      <c r="C1132" s="175"/>
      <c r="D1132" s="45" t="s">
        <v>31</v>
      </c>
      <c r="E1132" s="82" t="s">
        <v>4365</v>
      </c>
      <c r="F1132" s="81">
        <f>IFERROR(VLOOKUP(E1132,客户!B:C,2,FALSE),"/")</f>
        <v>0</v>
      </c>
      <c r="G1132" s="45" t="s">
        <v>4366</v>
      </c>
      <c r="H1132" s="143" t="s">
        <v>147</v>
      </c>
      <c r="I1132" s="108" t="s">
        <v>4367</v>
      </c>
      <c r="J1132" s="108">
        <v>43882</v>
      </c>
      <c r="K1132" s="100">
        <v>43932</v>
      </c>
      <c r="L1132" s="100">
        <v>43956</v>
      </c>
      <c r="M1132" s="341" t="s">
        <v>4372</v>
      </c>
      <c r="N1132" s="246" t="s">
        <v>4373</v>
      </c>
      <c r="O1132" s="104" t="s">
        <v>523</v>
      </c>
      <c r="P1132" s="230">
        <v>25792.16</v>
      </c>
      <c r="Q1132" s="230">
        <v>5000</v>
      </c>
      <c r="R1132" s="131"/>
      <c r="S1132" s="132"/>
      <c r="T1132" s="102">
        <v>20725.69</v>
      </c>
      <c r="U1132" s="100"/>
      <c r="V1132" s="246" t="s">
        <v>4374</v>
      </c>
      <c r="W1132" s="210"/>
    </row>
    <row r="1133" s="40" customFormat="1" ht="22" hidden="1" customHeight="1" spans="1:23">
      <c r="A1133" s="144" t="s">
        <v>4375</v>
      </c>
      <c r="B1133" s="174" t="s">
        <v>3605</v>
      </c>
      <c r="C1133" s="175"/>
      <c r="D1133" s="45" t="s">
        <v>31</v>
      </c>
      <c r="E1133" s="82" t="s">
        <v>4361</v>
      </c>
      <c r="F1133" s="81">
        <f>IFERROR(VLOOKUP(E1133,客户!B:C,2,FALSE),"/")</f>
        <v>0</v>
      </c>
      <c r="G1133" s="229" t="s">
        <v>4376</v>
      </c>
      <c r="H1133" s="45" t="s">
        <v>186</v>
      </c>
      <c r="I1133" s="45"/>
      <c r="J1133" s="108">
        <v>43964</v>
      </c>
      <c r="K1133" s="100">
        <v>44019</v>
      </c>
      <c r="L1133" s="197"/>
      <c r="M1133" s="338" t="s">
        <v>4377</v>
      </c>
      <c r="N1133" s="143"/>
      <c r="O1133" s="143"/>
      <c r="P1133" s="240">
        <v>46250.78</v>
      </c>
      <c r="Q1133" s="102"/>
      <c r="R1133" s="131"/>
      <c r="S1133" s="132"/>
      <c r="T1133" s="240">
        <v>46250.78</v>
      </c>
      <c r="U1133" s="100"/>
      <c r="V1133" s="102"/>
      <c r="W1133" s="45"/>
    </row>
    <row r="1134" s="40" customFormat="1" ht="22" hidden="1" customHeight="1" spans="1:23">
      <c r="A1134" s="144" t="s">
        <v>4378</v>
      </c>
      <c r="B1134" s="174" t="s">
        <v>3605</v>
      </c>
      <c r="C1134" s="175"/>
      <c r="D1134" s="45" t="s">
        <v>31</v>
      </c>
      <c r="E1134" s="82" t="s">
        <v>4379</v>
      </c>
      <c r="F1134" s="81">
        <f>IFERROR(VLOOKUP(E1134,客户!B:C,2,FALSE),"/")</f>
        <v>0</v>
      </c>
      <c r="G1134" s="229" t="s">
        <v>4380</v>
      </c>
      <c r="H1134" s="45" t="s">
        <v>123</v>
      </c>
      <c r="I1134" s="45" t="s">
        <v>4381</v>
      </c>
      <c r="J1134" s="108">
        <v>44060</v>
      </c>
      <c r="K1134" s="100">
        <v>44095</v>
      </c>
      <c r="L1134" s="100">
        <v>44132</v>
      </c>
      <c r="M1134" s="229" t="s">
        <v>4382</v>
      </c>
      <c r="N1134" s="338" t="s">
        <v>4383</v>
      </c>
      <c r="O1134" s="104" t="s">
        <v>1283</v>
      </c>
      <c r="P1134" s="102">
        <v>12374.52</v>
      </c>
      <c r="Q1134" s="102"/>
      <c r="R1134" s="131"/>
      <c r="S1134" s="132"/>
      <c r="T1134" s="102">
        <v>12374.52</v>
      </c>
      <c r="U1134" s="100"/>
      <c r="V1134" s="102"/>
      <c r="W1134" s="45"/>
    </row>
    <row r="1135" s="43" customFormat="1" ht="22" hidden="1" customHeight="1" spans="1:23">
      <c r="A1135" s="144" t="s">
        <v>4384</v>
      </c>
      <c r="B1135" s="174" t="s">
        <v>3605</v>
      </c>
      <c r="C1135" s="175"/>
      <c r="D1135" s="45" t="s">
        <v>31</v>
      </c>
      <c r="E1135" s="82" t="s">
        <v>4385</v>
      </c>
      <c r="F1135" s="81">
        <f>IFERROR(VLOOKUP(E1135,客户!B:C,2,FALSE),"/")</f>
        <v>0</v>
      </c>
      <c r="G1135" s="45" t="s">
        <v>2098</v>
      </c>
      <c r="H1135" s="143" t="s">
        <v>147</v>
      </c>
      <c r="I1135" s="108" t="s">
        <v>4367</v>
      </c>
      <c r="J1135" s="108">
        <v>44061</v>
      </c>
      <c r="K1135" s="100">
        <v>44100</v>
      </c>
      <c r="L1135" s="100">
        <v>44145</v>
      </c>
      <c r="M1135" s="165" t="s">
        <v>4386</v>
      </c>
      <c r="N1135" s="246" t="s">
        <v>4387</v>
      </c>
      <c r="O1135" s="104" t="s">
        <v>523</v>
      </c>
      <c r="P1135" s="230">
        <v>25722.14</v>
      </c>
      <c r="Q1135" s="102">
        <v>4142</v>
      </c>
      <c r="R1135" s="131"/>
      <c r="S1135" s="132"/>
      <c r="T1135" s="322">
        <v>21580.14</v>
      </c>
      <c r="U1135" s="100"/>
      <c r="V1135" s="102"/>
      <c r="W1135" s="210"/>
    </row>
    <row r="1136" s="43" customFormat="1" ht="22" hidden="1" customHeight="1" spans="1:23">
      <c r="A1136" s="145" t="s">
        <v>4388</v>
      </c>
      <c r="B1136" s="174" t="s">
        <v>3605</v>
      </c>
      <c r="C1136" s="175"/>
      <c r="D1136" s="45" t="s">
        <v>31</v>
      </c>
      <c r="E1136" s="82" t="s">
        <v>4385</v>
      </c>
      <c r="F1136" s="81">
        <f>IFERROR(VLOOKUP(E1136,客户!B:C,2,FALSE),"/")</f>
        <v>0</v>
      </c>
      <c r="G1136" s="45" t="s">
        <v>2098</v>
      </c>
      <c r="H1136" s="143" t="s">
        <v>147</v>
      </c>
      <c r="I1136" s="108" t="s">
        <v>4367</v>
      </c>
      <c r="J1136" s="108">
        <v>44061</v>
      </c>
      <c r="K1136" s="100">
        <v>44440</v>
      </c>
      <c r="L1136" s="100">
        <v>44475</v>
      </c>
      <c r="M1136" s="165" t="s">
        <v>4389</v>
      </c>
      <c r="N1136" s="246" t="s">
        <v>4390</v>
      </c>
      <c r="O1136" s="104" t="s">
        <v>523</v>
      </c>
      <c r="P1136" s="230">
        <v>35514.44</v>
      </c>
      <c r="Q1136" s="230">
        <v>7716.64</v>
      </c>
      <c r="R1136" s="131"/>
      <c r="S1136" s="132"/>
      <c r="T1136" s="230">
        <v>27798</v>
      </c>
      <c r="U1136" s="100"/>
      <c r="V1136" s="102"/>
      <c r="W1136" s="210"/>
    </row>
    <row r="1137" s="43" customFormat="1" ht="22" hidden="1" customHeight="1" spans="1:23">
      <c r="A1137" s="144" t="s">
        <v>4391</v>
      </c>
      <c r="B1137" s="174" t="s">
        <v>3605</v>
      </c>
      <c r="C1137" s="175"/>
      <c r="D1137" s="45" t="s">
        <v>31</v>
      </c>
      <c r="E1137" s="82" t="s">
        <v>4379</v>
      </c>
      <c r="F1137" s="81">
        <f>IFERROR(VLOOKUP(E1137,客户!B:C,2,FALSE),"/")</f>
        <v>0</v>
      </c>
      <c r="G1137" s="351" t="s">
        <v>4392</v>
      </c>
      <c r="H1137" s="143" t="s">
        <v>123</v>
      </c>
      <c r="I1137" s="108" t="s">
        <v>4381</v>
      </c>
      <c r="J1137" s="108">
        <v>44229</v>
      </c>
      <c r="K1137" s="100">
        <v>44240</v>
      </c>
      <c r="L1137" s="100">
        <v>44310</v>
      </c>
      <c r="M1137" s="165" t="s">
        <v>4393</v>
      </c>
      <c r="N1137" s="246" t="s">
        <v>4394</v>
      </c>
      <c r="O1137" s="104" t="s">
        <v>523</v>
      </c>
      <c r="P1137" s="230">
        <v>18161.64</v>
      </c>
      <c r="Q1137" s="230">
        <v>6216.88</v>
      </c>
      <c r="R1137" s="131"/>
      <c r="S1137" s="132"/>
      <c r="T1137" s="230">
        <v>11944.76</v>
      </c>
      <c r="U1137" s="100"/>
      <c r="V1137" s="102"/>
      <c r="W1137" s="210"/>
    </row>
    <row r="1138" s="43" customFormat="1" ht="22" hidden="1" customHeight="1" spans="1:23">
      <c r="A1138" s="144" t="s">
        <v>4395</v>
      </c>
      <c r="B1138" s="174" t="s">
        <v>3605</v>
      </c>
      <c r="C1138" s="175"/>
      <c r="D1138" s="45" t="s">
        <v>31</v>
      </c>
      <c r="E1138" s="82" t="s">
        <v>4211</v>
      </c>
      <c r="F1138" s="81"/>
      <c r="G1138" s="351" t="s">
        <v>4396</v>
      </c>
      <c r="H1138" s="143" t="s">
        <v>123</v>
      </c>
      <c r="I1138" s="108" t="s">
        <v>4213</v>
      </c>
      <c r="J1138" s="108">
        <v>44536</v>
      </c>
      <c r="K1138" s="100">
        <v>44565</v>
      </c>
      <c r="L1138" s="100"/>
      <c r="M1138" s="165" t="s">
        <v>4397</v>
      </c>
      <c r="N1138" s="246"/>
      <c r="O1138" s="104" t="s">
        <v>970</v>
      </c>
      <c r="P1138" s="230">
        <v>28262.98</v>
      </c>
      <c r="Q1138" s="230">
        <v>6471.9</v>
      </c>
      <c r="R1138" s="131"/>
      <c r="S1138" s="132"/>
      <c r="T1138" s="230">
        <v>21791.08</v>
      </c>
      <c r="U1138" s="100"/>
      <c r="V1138" s="102"/>
      <c r="W1138" s="210"/>
    </row>
    <row r="1139" s="43" customFormat="1" ht="22" hidden="1" customHeight="1" spans="1:23">
      <c r="A1139" s="255"/>
      <c r="B1139" s="174"/>
      <c r="C1139" s="175"/>
      <c r="D1139" s="45"/>
      <c r="E1139" s="80"/>
      <c r="F1139" s="81" t="str">
        <f>IFERROR(VLOOKUP(E1139,客户!B:C,2,FALSE),"/")</f>
        <v>/</v>
      </c>
      <c r="G1139" s="45"/>
      <c r="H1139" s="143"/>
      <c r="I1139" s="108"/>
      <c r="J1139" s="108"/>
      <c r="K1139" s="100"/>
      <c r="L1139" s="197"/>
      <c r="M1139" s="181"/>
      <c r="N1139" s="102"/>
      <c r="O1139" s="104"/>
      <c r="P1139" s="230"/>
      <c r="Q1139" s="317"/>
      <c r="R1139" s="131"/>
      <c r="S1139" s="132"/>
      <c r="T1139" s="317"/>
      <c r="U1139" s="100"/>
      <c r="V1139" s="102"/>
      <c r="W1139" s="210"/>
    </row>
    <row r="1140" s="39" customFormat="1" ht="22" hidden="1" customHeight="1" spans="1:21">
      <c r="A1140" s="352" t="s">
        <v>4398</v>
      </c>
      <c r="B1140" s="272"/>
      <c r="C1140" s="273"/>
      <c r="D1140" s="45"/>
      <c r="E1140" s="80"/>
      <c r="F1140" s="81" t="str">
        <f>IFERROR(VLOOKUP(E1140,客户!B:C,2,FALSE),"/")</f>
        <v>/</v>
      </c>
      <c r="I1140" s="45"/>
      <c r="K1140" s="355"/>
      <c r="L1140" s="100"/>
      <c r="O1140" s="104"/>
      <c r="P1140" s="39" t="s">
        <v>192</v>
      </c>
      <c r="R1140" s="131"/>
      <c r="S1140" s="132"/>
      <c r="T1140" s="42"/>
      <c r="U1140" s="100"/>
    </row>
    <row r="1141" s="39" customFormat="1" ht="22" hidden="1" customHeight="1" spans="1:21">
      <c r="A1141" s="144" t="s">
        <v>4399</v>
      </c>
      <c r="B1141" s="272" t="s">
        <v>4400</v>
      </c>
      <c r="C1141" s="273"/>
      <c r="D1141" s="45" t="s">
        <v>31</v>
      </c>
      <c r="E1141" s="80" t="s">
        <v>4401</v>
      </c>
      <c r="F1141" s="81">
        <f>IFERROR(VLOOKUP(E1141,客户!B:C,2,FALSE),"/")</f>
        <v>0</v>
      </c>
      <c r="G1141" s="45" t="s">
        <v>4402</v>
      </c>
      <c r="H1141" s="45" t="s">
        <v>123</v>
      </c>
      <c r="I1141" s="45" t="s">
        <v>223</v>
      </c>
      <c r="J1141" s="108">
        <v>43788</v>
      </c>
      <c r="K1141" s="100">
        <v>43471</v>
      </c>
      <c r="L1141" s="100">
        <v>43867</v>
      </c>
      <c r="M1141" s="356" t="s">
        <v>4403</v>
      </c>
      <c r="N1141" s="357" t="s">
        <v>4404</v>
      </c>
      <c r="O1141" s="104" t="s">
        <v>523</v>
      </c>
      <c r="P1141" s="102">
        <v>21034.25</v>
      </c>
      <c r="Q1141" s="102">
        <v>6025</v>
      </c>
      <c r="R1141" s="131"/>
      <c r="S1141" s="132"/>
      <c r="T1141" s="102">
        <v>14999.25</v>
      </c>
      <c r="U1141" s="100">
        <v>43864</v>
      </c>
    </row>
    <row r="1142" s="39" customFormat="1" ht="22" hidden="1" customHeight="1" spans="1:22">
      <c r="A1142" s="144" t="s">
        <v>4405</v>
      </c>
      <c r="B1142" s="272" t="s">
        <v>4400</v>
      </c>
      <c r="C1142" s="273"/>
      <c r="D1142" s="45" t="s">
        <v>31</v>
      </c>
      <c r="E1142" s="80" t="s">
        <v>4406</v>
      </c>
      <c r="F1142" s="81">
        <f>IFERROR(VLOOKUP(E1142,客户!B:C,2,FALSE),"/")</f>
        <v>0</v>
      </c>
      <c r="G1142" s="45" t="s">
        <v>4407</v>
      </c>
      <c r="H1142" s="45" t="s">
        <v>123</v>
      </c>
      <c r="I1142" s="45" t="s">
        <v>4408</v>
      </c>
      <c r="J1142" s="108">
        <v>43809</v>
      </c>
      <c r="K1142" s="100">
        <v>43898</v>
      </c>
      <c r="L1142" s="100">
        <v>43947</v>
      </c>
      <c r="M1142" s="42" t="s">
        <v>4409</v>
      </c>
      <c r="N1142" s="45" t="s">
        <v>4410</v>
      </c>
      <c r="O1142" s="104" t="s">
        <v>523</v>
      </c>
      <c r="P1142" s="102">
        <v>19398.29</v>
      </c>
      <c r="Q1142" s="102">
        <v>6597</v>
      </c>
      <c r="R1142" s="284">
        <v>0</v>
      </c>
      <c r="S1142" s="132"/>
      <c r="T1142" s="102">
        <f>5000+5284+2517</f>
        <v>12801</v>
      </c>
      <c r="U1142" s="100">
        <v>43886</v>
      </c>
      <c r="V1142" s="274" t="s">
        <v>4411</v>
      </c>
    </row>
    <row r="1143" s="39" customFormat="1" ht="22" hidden="1" customHeight="1" spans="1:21">
      <c r="A1143" s="144" t="s">
        <v>4412</v>
      </c>
      <c r="B1143" s="272" t="s">
        <v>4400</v>
      </c>
      <c r="C1143" s="273"/>
      <c r="D1143" s="45" t="s">
        <v>31</v>
      </c>
      <c r="E1143" s="80" t="s">
        <v>4413</v>
      </c>
      <c r="F1143" s="81">
        <f>IFERROR(VLOOKUP(E1143,客户!B:C,2,FALSE),"/")</f>
        <v>0</v>
      </c>
      <c r="G1143" s="45" t="s">
        <v>4414</v>
      </c>
      <c r="H1143" s="45" t="s">
        <v>147</v>
      </c>
      <c r="I1143" s="45" t="s">
        <v>4415</v>
      </c>
      <c r="J1143" s="108">
        <v>43824</v>
      </c>
      <c r="K1143" s="100">
        <v>43902</v>
      </c>
      <c r="L1143" s="100">
        <v>43922</v>
      </c>
      <c r="M1143" s="42" t="s">
        <v>4416</v>
      </c>
      <c r="N1143" s="229" t="s">
        <v>4417</v>
      </c>
      <c r="O1143" s="104" t="s">
        <v>523</v>
      </c>
      <c r="P1143" s="102">
        <v>8934.34</v>
      </c>
      <c r="Q1143" s="102">
        <v>2750</v>
      </c>
      <c r="R1143" s="284"/>
      <c r="S1143" s="132"/>
      <c r="T1143" s="102">
        <v>6140.61</v>
      </c>
      <c r="U1143" s="100"/>
    </row>
    <row r="1144" s="39" customFormat="1" ht="22" hidden="1" customHeight="1" spans="1:22">
      <c r="A1144" s="144" t="s">
        <v>4418</v>
      </c>
      <c r="B1144" s="272" t="s">
        <v>4400</v>
      </c>
      <c r="C1144" s="273"/>
      <c r="D1144" s="45" t="s">
        <v>31</v>
      </c>
      <c r="E1144" s="80" t="s">
        <v>4419</v>
      </c>
      <c r="F1144" s="81">
        <f>IFERROR(VLOOKUP(E1144,客户!B:C,2,FALSE),"/")</f>
        <v>0</v>
      </c>
      <c r="G1144" s="45" t="s">
        <v>4414</v>
      </c>
      <c r="H1144" s="45" t="s">
        <v>123</v>
      </c>
      <c r="I1144" s="45" t="s">
        <v>4415</v>
      </c>
      <c r="J1144" s="108">
        <v>43823</v>
      </c>
      <c r="K1144" s="100">
        <v>43919</v>
      </c>
      <c r="L1144" s="100">
        <v>43941</v>
      </c>
      <c r="M1144" s="42" t="s">
        <v>4420</v>
      </c>
      <c r="N1144" s="274" t="s">
        <v>4421</v>
      </c>
      <c r="O1144" s="104" t="s">
        <v>523</v>
      </c>
      <c r="P1144" s="230">
        <f>10014.3+308</f>
        <v>10322.3</v>
      </c>
      <c r="Q1144" s="102">
        <v>2011</v>
      </c>
      <c r="R1144" s="284"/>
      <c r="S1144" s="132"/>
      <c r="T1144" s="102">
        <v>8266.81</v>
      </c>
      <c r="U1144" s="100"/>
      <c r="V1144" s="274" t="s">
        <v>4422</v>
      </c>
    </row>
    <row r="1145" s="39" customFormat="1" ht="22" hidden="1" customHeight="1" spans="1:22">
      <c r="A1145" s="144" t="s">
        <v>4423</v>
      </c>
      <c r="B1145" s="272" t="s">
        <v>4400</v>
      </c>
      <c r="C1145" s="273"/>
      <c r="D1145" s="45" t="s">
        <v>31</v>
      </c>
      <c r="E1145" s="80" t="s">
        <v>4424</v>
      </c>
      <c r="F1145" s="81">
        <f>IFERROR(VLOOKUP(E1145,客户!B:C,2,FALSE),"/")</f>
        <v>0</v>
      </c>
      <c r="G1145" s="45" t="s">
        <v>4425</v>
      </c>
      <c r="H1145" s="45" t="s">
        <v>147</v>
      </c>
      <c r="I1145" s="45" t="s">
        <v>4426</v>
      </c>
      <c r="J1145" s="357">
        <v>43843</v>
      </c>
      <c r="K1145" s="100">
        <v>43933</v>
      </c>
      <c r="L1145" s="100">
        <v>43981</v>
      </c>
      <c r="M1145" s="42" t="s">
        <v>4427</v>
      </c>
      <c r="N1145" s="42" t="s">
        <v>620</v>
      </c>
      <c r="O1145" s="104" t="s">
        <v>523</v>
      </c>
      <c r="P1145" s="102">
        <v>22780.9</v>
      </c>
      <c r="Q1145" s="102">
        <v>3501.89</v>
      </c>
      <c r="R1145" s="284"/>
      <c r="S1145" s="132"/>
      <c r="T1145" s="360">
        <v>18720.6</v>
      </c>
      <c r="U1145" s="100"/>
      <c r="V1145" s="229" t="s">
        <v>4428</v>
      </c>
    </row>
    <row r="1146" s="43" customFormat="1" ht="22" hidden="1" customHeight="1" spans="1:23">
      <c r="A1146" s="144" t="s">
        <v>4429</v>
      </c>
      <c r="B1146" s="272" t="s">
        <v>4400</v>
      </c>
      <c r="C1146" s="273"/>
      <c r="D1146" s="45" t="s">
        <v>31</v>
      </c>
      <c r="E1146" s="82" t="s">
        <v>4430</v>
      </c>
      <c r="F1146" s="81">
        <f>IFERROR(VLOOKUP(E1146,客户!B:C,2,FALSE),"/")</f>
        <v>0</v>
      </c>
      <c r="G1146" s="45" t="s">
        <v>4431</v>
      </c>
      <c r="H1146" s="143" t="s">
        <v>147</v>
      </c>
      <c r="I1146" s="108" t="s">
        <v>4432</v>
      </c>
      <c r="J1146" s="357">
        <v>43892</v>
      </c>
      <c r="K1146" s="100">
        <v>44008</v>
      </c>
      <c r="L1146" s="200">
        <v>44033</v>
      </c>
      <c r="M1146" s="341" t="s">
        <v>4433</v>
      </c>
      <c r="N1146" s="246" t="s">
        <v>4434</v>
      </c>
      <c r="O1146" s="104" t="s">
        <v>680</v>
      </c>
      <c r="P1146" s="230">
        <v>19001.4</v>
      </c>
      <c r="Q1146" s="102">
        <v>5700</v>
      </c>
      <c r="R1146" s="284"/>
      <c r="S1146" s="132"/>
      <c r="T1146" s="240">
        <v>55455</v>
      </c>
      <c r="U1146" s="102">
        <v>5469.4</v>
      </c>
      <c r="V1146" s="102"/>
      <c r="W1146" s="102"/>
    </row>
    <row r="1147" s="43" customFormat="1" ht="22" hidden="1" customHeight="1" spans="1:23">
      <c r="A1147" s="255"/>
      <c r="B1147" s="174"/>
      <c r="C1147" s="175"/>
      <c r="D1147" s="45"/>
      <c r="E1147" s="80"/>
      <c r="F1147" s="81"/>
      <c r="G1147" s="45"/>
      <c r="H1147" s="143"/>
      <c r="I1147" s="108"/>
      <c r="J1147" s="108"/>
      <c r="K1147" s="100"/>
      <c r="L1147" s="197"/>
      <c r="M1147" s="181"/>
      <c r="N1147" s="102"/>
      <c r="O1147" s="104"/>
      <c r="P1147" s="230"/>
      <c r="Q1147" s="317"/>
      <c r="R1147" s="284"/>
      <c r="S1147" s="132"/>
      <c r="T1147" s="317"/>
      <c r="U1147" s="100"/>
      <c r="V1147" s="102"/>
      <c r="W1147" s="210"/>
    </row>
    <row r="1148" s="43" customFormat="1" ht="22" hidden="1" customHeight="1" spans="1:23">
      <c r="A1148" s="255"/>
      <c r="B1148" s="174"/>
      <c r="C1148" s="175"/>
      <c r="D1148" s="45"/>
      <c r="E1148" s="80"/>
      <c r="F1148" s="81"/>
      <c r="G1148" s="45"/>
      <c r="H1148" s="143"/>
      <c r="I1148" s="108"/>
      <c r="J1148" s="108"/>
      <c r="K1148" s="100"/>
      <c r="L1148" s="197"/>
      <c r="M1148" s="181"/>
      <c r="N1148" s="102"/>
      <c r="O1148" s="104"/>
      <c r="P1148" s="230"/>
      <c r="Q1148" s="317"/>
      <c r="R1148" s="284"/>
      <c r="S1148" s="132"/>
      <c r="T1148" s="317"/>
      <c r="U1148" s="100"/>
      <c r="V1148" s="102"/>
      <c r="W1148" s="210"/>
    </row>
    <row r="1149" s="43" customFormat="1" ht="22" hidden="1" customHeight="1" spans="1:23">
      <c r="A1149" s="144" t="s">
        <v>4435</v>
      </c>
      <c r="B1149" s="174"/>
      <c r="C1149" s="175"/>
      <c r="D1149" s="45"/>
      <c r="E1149" s="80"/>
      <c r="F1149" s="81" t="str">
        <f>IFERROR(VLOOKUP(E1149,客户!B:C,2,FALSE),"/")</f>
        <v>/</v>
      </c>
      <c r="G1149" s="45"/>
      <c r="H1149" s="294"/>
      <c r="I1149" s="294"/>
      <c r="J1149" s="108"/>
      <c r="K1149" s="105"/>
      <c r="L1149" s="103"/>
      <c r="M1149" s="102"/>
      <c r="N1149" s="108"/>
      <c r="O1149" s="104"/>
      <c r="P1149" s="102"/>
      <c r="Q1149" s="230"/>
      <c r="R1149" s="284"/>
      <c r="S1149" s="132"/>
      <c r="T1149" s="102"/>
      <c r="U1149" s="100"/>
      <c r="V1149" s="130"/>
      <c r="W1149" s="285"/>
    </row>
    <row r="1150" s="43" customFormat="1" ht="22" hidden="1" customHeight="1" spans="1:23">
      <c r="A1150" s="144" t="s">
        <v>4436</v>
      </c>
      <c r="B1150" s="174"/>
      <c r="C1150" s="175"/>
      <c r="D1150" s="45" t="s">
        <v>31</v>
      </c>
      <c r="E1150" s="45" t="s">
        <v>4437</v>
      </c>
      <c r="F1150" s="81" t="str">
        <f>IFERROR(VLOOKUP(E1150,客户!B:C,2,FALSE),"/")</f>
        <v>/</v>
      </c>
      <c r="G1150" s="45" t="s">
        <v>4438</v>
      </c>
      <c r="H1150" s="45" t="s">
        <v>154</v>
      </c>
      <c r="I1150" s="45"/>
      <c r="J1150" s="108">
        <v>43256</v>
      </c>
      <c r="K1150" s="100"/>
      <c r="L1150" s="100"/>
      <c r="M1150" s="358" t="s">
        <v>4439</v>
      </c>
      <c r="N1150" s="162" t="s">
        <v>4440</v>
      </c>
      <c r="O1150" s="104"/>
      <c r="P1150" s="102">
        <v>23587.5</v>
      </c>
      <c r="Q1150" s="102">
        <v>5000</v>
      </c>
      <c r="R1150" s="284"/>
      <c r="S1150" s="132"/>
      <c r="T1150" s="102"/>
      <c r="U1150" s="100"/>
      <c r="V1150" s="102"/>
      <c r="W1150" s="210"/>
    </row>
    <row r="1151" s="43" customFormat="1" ht="22" hidden="1" customHeight="1" spans="1:23">
      <c r="A1151" s="45" t="s">
        <v>4441</v>
      </c>
      <c r="B1151" s="353"/>
      <c r="C1151" s="354"/>
      <c r="D1151" s="45" t="s">
        <v>31</v>
      </c>
      <c r="E1151" s="45" t="s">
        <v>4437</v>
      </c>
      <c r="F1151" s="81" t="str">
        <f>IFERROR(VLOOKUP(E1151,客户!B:C,2,FALSE),"/")</f>
        <v>/</v>
      </c>
      <c r="G1151" s="45" t="s">
        <v>4438</v>
      </c>
      <c r="H1151" s="45"/>
      <c r="I1151" s="45"/>
      <c r="J1151" s="108">
        <v>43256</v>
      </c>
      <c r="K1151" s="100"/>
      <c r="L1151" s="100"/>
      <c r="M1151" s="359" t="s">
        <v>4442</v>
      </c>
      <c r="N1151" s="108"/>
      <c r="O1151" s="104"/>
      <c r="P1151" s="102">
        <v>11917.5</v>
      </c>
      <c r="Q1151" s="102">
        <v>5000</v>
      </c>
      <c r="R1151" s="131"/>
      <c r="S1151" s="132"/>
      <c r="T1151" s="102">
        <v>18835</v>
      </c>
      <c r="U1151" s="100"/>
      <c r="V1151" s="102"/>
      <c r="W1151" s="285"/>
    </row>
    <row r="1152" s="43" customFormat="1" ht="22" hidden="1" customHeight="1" spans="1:23">
      <c r="A1152" s="145" t="s">
        <v>4443</v>
      </c>
      <c r="B1152" s="174"/>
      <c r="C1152" s="175"/>
      <c r="D1152" s="45" t="s">
        <v>31</v>
      </c>
      <c r="E1152" s="45" t="s">
        <v>4437</v>
      </c>
      <c r="F1152" s="81" t="str">
        <f>IFERROR(VLOOKUP(E1152,客户!B:C,2,FALSE),"/")</f>
        <v>/</v>
      </c>
      <c r="G1152" s="45" t="s">
        <v>4438</v>
      </c>
      <c r="H1152" s="45"/>
      <c r="I1152" s="45"/>
      <c r="J1152" s="108">
        <v>43256</v>
      </c>
      <c r="K1152" s="100"/>
      <c r="L1152" s="100"/>
      <c r="M1152" s="359" t="s">
        <v>4444</v>
      </c>
      <c r="N1152" s="359"/>
      <c r="O1152" s="104"/>
      <c r="P1152" s="102"/>
      <c r="Q1152" s="102"/>
      <c r="R1152" s="131"/>
      <c r="S1152" s="132"/>
      <c r="T1152" s="102"/>
      <c r="U1152" s="100"/>
      <c r="V1152" s="102"/>
      <c r="W1152" s="285"/>
    </row>
    <row r="1153" s="43" customFormat="1" ht="22" hidden="1" customHeight="1" spans="1:23">
      <c r="A1153" s="45" t="s">
        <v>4445</v>
      </c>
      <c r="B1153" s="353"/>
      <c r="C1153" s="354"/>
      <c r="D1153" s="45" t="s">
        <v>31</v>
      </c>
      <c r="E1153" s="229" t="s">
        <v>4446</v>
      </c>
      <c r="F1153" s="81" t="str">
        <f>IFERROR(VLOOKUP(E1153,客户!B:C,2,FALSE),"/")</f>
        <v>/</v>
      </c>
      <c r="G1153" s="45" t="s">
        <v>4447</v>
      </c>
      <c r="H1153" s="45" t="s">
        <v>154</v>
      </c>
      <c r="I1153" s="45"/>
      <c r="J1153" s="108">
        <v>43285</v>
      </c>
      <c r="K1153" s="100"/>
      <c r="L1153" s="100"/>
      <c r="M1153" s="382" t="s">
        <v>4448</v>
      </c>
      <c r="N1153" s="359" t="s">
        <v>4449</v>
      </c>
      <c r="O1153" s="104"/>
      <c r="P1153" s="102">
        <v>23050</v>
      </c>
      <c r="Q1153" s="102">
        <v>7347</v>
      </c>
      <c r="R1153" s="131"/>
      <c r="S1153" s="132"/>
      <c r="T1153" s="102">
        <v>15703</v>
      </c>
      <c r="U1153" s="100"/>
      <c r="V1153" s="102"/>
      <c r="W1153" s="285"/>
    </row>
    <row r="1154" s="43" customFormat="1" ht="22" hidden="1" customHeight="1" spans="1:23">
      <c r="A1154" s="45" t="s">
        <v>4450</v>
      </c>
      <c r="B1154" s="353"/>
      <c r="C1154" s="354"/>
      <c r="D1154" s="45" t="s">
        <v>31</v>
      </c>
      <c r="E1154" s="45" t="s">
        <v>4451</v>
      </c>
      <c r="F1154" s="81" t="str">
        <f>IFERROR(VLOOKUP(E1154,客户!B:C,2,FALSE),"/")</f>
        <v>/</v>
      </c>
      <c r="G1154" s="45" t="s">
        <v>4452</v>
      </c>
      <c r="H1154" s="45" t="s">
        <v>147</v>
      </c>
      <c r="I1154" s="45"/>
      <c r="J1154" s="108">
        <v>43291</v>
      </c>
      <c r="K1154" s="100"/>
      <c r="L1154" s="100"/>
      <c r="M1154" s="383" t="s">
        <v>4453</v>
      </c>
      <c r="N1154" s="384" t="s">
        <v>4454</v>
      </c>
      <c r="O1154" s="104"/>
      <c r="P1154" s="102">
        <v>23508</v>
      </c>
      <c r="Q1154" s="102">
        <v>7190</v>
      </c>
      <c r="R1154" s="284"/>
      <c r="S1154" s="132"/>
      <c r="T1154" s="102"/>
      <c r="U1154" s="100"/>
      <c r="V1154" s="102"/>
      <c r="W1154" s="285"/>
    </row>
    <row r="1155" s="43" customFormat="1" ht="22" hidden="1" customHeight="1" spans="1:23">
      <c r="A1155" s="361" t="s">
        <v>4455</v>
      </c>
      <c r="B1155" s="362"/>
      <c r="C1155" s="363"/>
      <c r="D1155" s="45" t="s">
        <v>31</v>
      </c>
      <c r="E1155" s="45" t="s">
        <v>4456</v>
      </c>
      <c r="F1155" s="81">
        <f>IFERROR(VLOOKUP(E1155,客户!B:C,2,FALSE),"/")</f>
        <v>0</v>
      </c>
      <c r="G1155" s="45" t="s">
        <v>4457</v>
      </c>
      <c r="H1155" s="45" t="s">
        <v>123</v>
      </c>
      <c r="I1155" s="45"/>
      <c r="J1155" s="108">
        <v>43363</v>
      </c>
      <c r="K1155" s="100"/>
      <c r="L1155" s="100"/>
      <c r="M1155" s="359" t="s">
        <v>4458</v>
      </c>
      <c r="N1155" s="359" t="s">
        <v>4459</v>
      </c>
      <c r="O1155" s="104"/>
      <c r="P1155" s="102">
        <v>43481.13</v>
      </c>
      <c r="Q1155" s="102">
        <f>P1155</f>
        <v>43481.13</v>
      </c>
      <c r="R1155" s="131">
        <v>0</v>
      </c>
      <c r="S1155" s="132"/>
      <c r="T1155" s="102"/>
      <c r="U1155" s="100"/>
      <c r="V1155" s="102"/>
      <c r="W1155" s="285"/>
    </row>
    <row r="1156" s="43" customFormat="1" ht="22" hidden="1" customHeight="1" spans="1:23">
      <c r="A1156" s="144" t="s">
        <v>4460</v>
      </c>
      <c r="B1156" s="174"/>
      <c r="C1156" s="175"/>
      <c r="D1156" s="45" t="s">
        <v>31</v>
      </c>
      <c r="E1156" s="45" t="s">
        <v>4461</v>
      </c>
      <c r="F1156" s="81" t="str">
        <f>IFERROR(VLOOKUP(E1156,客户!B:C,2,FALSE),"/")</f>
        <v>/</v>
      </c>
      <c r="G1156" s="45" t="s">
        <v>4462</v>
      </c>
      <c r="H1156" s="45" t="s">
        <v>123</v>
      </c>
      <c r="I1156" s="45"/>
      <c r="J1156" s="108">
        <v>43368</v>
      </c>
      <c r="K1156" s="100"/>
      <c r="L1156" s="100"/>
      <c r="M1156" s="384" t="s">
        <v>4463</v>
      </c>
      <c r="N1156" s="359" t="s">
        <v>4464</v>
      </c>
      <c r="O1156" s="104"/>
      <c r="P1156" s="102">
        <v>45658.55</v>
      </c>
      <c r="Q1156" s="102">
        <v>13500</v>
      </c>
      <c r="R1156" s="131"/>
      <c r="S1156" s="132"/>
      <c r="T1156" s="102">
        <v>32120</v>
      </c>
      <c r="U1156" s="100"/>
      <c r="V1156" s="102"/>
      <c r="W1156" s="210"/>
    </row>
    <row r="1157" s="43" customFormat="1" ht="22" hidden="1" customHeight="1" spans="1:23">
      <c r="A1157" s="144" t="s">
        <v>4465</v>
      </c>
      <c r="B1157" s="174"/>
      <c r="C1157" s="175"/>
      <c r="D1157" s="45" t="s">
        <v>31</v>
      </c>
      <c r="E1157" s="45" t="s">
        <v>4466</v>
      </c>
      <c r="F1157" s="81" t="str">
        <f>IFERROR(VLOOKUP(E1157,客户!B:C,2,FALSE),"/")</f>
        <v>/</v>
      </c>
      <c r="G1157" s="45" t="s">
        <v>4467</v>
      </c>
      <c r="H1157" s="45"/>
      <c r="I1157" s="45"/>
      <c r="J1157" s="108">
        <v>43392</v>
      </c>
      <c r="K1157" s="100"/>
      <c r="L1157" s="100"/>
      <c r="M1157" s="384" t="s">
        <v>4468</v>
      </c>
      <c r="N1157" s="359"/>
      <c r="O1157" s="104"/>
      <c r="P1157" s="102" t="s">
        <v>4469</v>
      </c>
      <c r="Q1157" s="102" t="s">
        <v>4470</v>
      </c>
      <c r="R1157" s="131"/>
      <c r="S1157" s="132"/>
      <c r="T1157" s="240">
        <v>113200</v>
      </c>
      <c r="U1157" s="100"/>
      <c r="V1157" s="102"/>
      <c r="W1157" s="210"/>
    </row>
    <row r="1158" s="39" customFormat="1" ht="22" hidden="1" customHeight="1" spans="1:23">
      <c r="A1158" s="145" t="s">
        <v>4471</v>
      </c>
      <c r="B1158" s="174"/>
      <c r="C1158" s="175"/>
      <c r="D1158" s="45" t="s">
        <v>31</v>
      </c>
      <c r="E1158" s="45" t="s">
        <v>4472</v>
      </c>
      <c r="F1158" s="81" t="str">
        <f>IFERROR(VLOOKUP(E1158,客户!B:C,2,FALSE),"/")</f>
        <v>/</v>
      </c>
      <c r="G1158" s="45"/>
      <c r="H1158" s="45" t="s">
        <v>186</v>
      </c>
      <c r="I1158" s="45"/>
      <c r="J1158" s="108"/>
      <c r="K1158" s="100"/>
      <c r="L1158" s="100"/>
      <c r="M1158" s="45"/>
      <c r="N1158" s="45"/>
      <c r="O1158" s="104"/>
      <c r="P1158" s="45"/>
      <c r="Q1158" s="45"/>
      <c r="R1158" s="131"/>
      <c r="S1158" s="132"/>
      <c r="T1158" s="45"/>
      <c r="U1158" s="100"/>
      <c r="V1158" s="45"/>
      <c r="W1158" s="45"/>
    </row>
    <row r="1159" s="39" customFormat="1" ht="22" hidden="1" customHeight="1" spans="1:23">
      <c r="A1159" s="144" t="s">
        <v>4473</v>
      </c>
      <c r="B1159" s="174"/>
      <c r="C1159" s="175"/>
      <c r="D1159" s="45" t="s">
        <v>31</v>
      </c>
      <c r="E1159" s="45" t="s">
        <v>4474</v>
      </c>
      <c r="F1159" s="81" t="str">
        <f>IFERROR(VLOOKUP(E1159,客户!B:C,2,FALSE),"/")</f>
        <v>/</v>
      </c>
      <c r="G1159" s="45" t="s">
        <v>4475</v>
      </c>
      <c r="H1159" s="45"/>
      <c r="I1159" s="45" t="s">
        <v>4476</v>
      </c>
      <c r="J1159" s="108">
        <v>43411</v>
      </c>
      <c r="K1159" s="100">
        <v>43107</v>
      </c>
      <c r="L1159" s="100">
        <v>43496</v>
      </c>
      <c r="M1159" s="45"/>
      <c r="N1159" s="45" t="s">
        <v>4477</v>
      </c>
      <c r="O1159" s="104"/>
      <c r="P1159" s="102">
        <v>43295.33</v>
      </c>
      <c r="Q1159" s="102">
        <v>13821.5</v>
      </c>
      <c r="R1159" s="131">
        <v>0</v>
      </c>
      <c r="S1159" s="132"/>
      <c r="T1159" s="45" t="s">
        <v>4478</v>
      </c>
      <c r="U1159" s="100">
        <v>43495</v>
      </c>
      <c r="V1159" s="45"/>
      <c r="W1159" s="186"/>
    </row>
    <row r="1160" s="42" customFormat="1" ht="22" hidden="1" customHeight="1" spans="1:23">
      <c r="A1160" s="144" t="s">
        <v>4479</v>
      </c>
      <c r="B1160" s="174"/>
      <c r="C1160" s="175"/>
      <c r="D1160" s="45" t="s">
        <v>31</v>
      </c>
      <c r="E1160" s="45" t="s">
        <v>4480</v>
      </c>
      <c r="F1160" s="81" t="str">
        <f>IFERROR(VLOOKUP(E1160,客户!B:C,2,FALSE),"/")</f>
        <v>/</v>
      </c>
      <c r="G1160" s="45" t="s">
        <v>4481</v>
      </c>
      <c r="H1160" s="45" t="s">
        <v>123</v>
      </c>
      <c r="I1160" s="45" t="s">
        <v>4482</v>
      </c>
      <c r="J1160" s="159">
        <v>43416</v>
      </c>
      <c r="K1160" s="100"/>
      <c r="L1160" s="100"/>
      <c r="M1160" s="45"/>
      <c r="N1160" s="153" t="s">
        <v>4483</v>
      </c>
      <c r="O1160" s="104"/>
      <c r="P1160" s="102">
        <v>21372</v>
      </c>
      <c r="Q1160" s="102">
        <v>6000</v>
      </c>
      <c r="R1160" s="131">
        <v>0</v>
      </c>
      <c r="S1160" s="132"/>
      <c r="T1160" s="102">
        <v>15331</v>
      </c>
      <c r="U1160" s="100"/>
      <c r="V1160" s="102"/>
      <c r="W1160" s="186"/>
    </row>
    <row r="1161" s="39" customFormat="1" ht="22" hidden="1" customHeight="1" spans="1:23">
      <c r="A1161" s="144" t="s">
        <v>4484</v>
      </c>
      <c r="B1161" s="174"/>
      <c r="C1161" s="175"/>
      <c r="D1161" s="45" t="s">
        <v>31</v>
      </c>
      <c r="E1161" s="45" t="s">
        <v>4485</v>
      </c>
      <c r="F1161" s="81" t="str">
        <f>IFERROR(VLOOKUP(E1161,客户!B:C,2,FALSE),"/")</f>
        <v>/</v>
      </c>
      <c r="G1161" s="45" t="s">
        <v>4486</v>
      </c>
      <c r="H1161" s="45" t="s">
        <v>123</v>
      </c>
      <c r="I1161" s="45" t="s">
        <v>4487</v>
      </c>
      <c r="J1161" s="108">
        <v>43425</v>
      </c>
      <c r="K1161" s="100">
        <v>43458</v>
      </c>
      <c r="L1161" s="103"/>
      <c r="M1161" s="45"/>
      <c r="N1161" s="153" t="s">
        <v>4488</v>
      </c>
      <c r="O1161" s="104"/>
      <c r="P1161" s="102">
        <v>25544</v>
      </c>
      <c r="Q1161" s="102">
        <v>8557</v>
      </c>
      <c r="R1161" s="131">
        <v>0</v>
      </c>
      <c r="S1161" s="132"/>
      <c r="T1161" s="102">
        <v>16944</v>
      </c>
      <c r="U1161" s="100">
        <v>43475</v>
      </c>
      <c r="V1161" s="102"/>
      <c r="W1161" s="186"/>
    </row>
    <row r="1162" s="39" customFormat="1" ht="22" hidden="1" customHeight="1" spans="1:23">
      <c r="A1162" s="144" t="s">
        <v>4489</v>
      </c>
      <c r="B1162" s="174"/>
      <c r="C1162" s="175"/>
      <c r="D1162" s="45" t="s">
        <v>31</v>
      </c>
      <c r="E1162" s="45" t="s">
        <v>4490</v>
      </c>
      <c r="F1162" s="81" t="str">
        <f>IFERROR(VLOOKUP(E1162,客户!B:C,2,FALSE),"/")</f>
        <v>/</v>
      </c>
      <c r="G1162" s="45" t="s">
        <v>4491</v>
      </c>
      <c r="H1162" s="45" t="s">
        <v>147</v>
      </c>
      <c r="I1162" s="45" t="s">
        <v>2051</v>
      </c>
      <c r="J1162" s="108">
        <v>43427</v>
      </c>
      <c r="K1162" s="100">
        <v>43449</v>
      </c>
      <c r="L1162" s="100">
        <v>43484</v>
      </c>
      <c r="M1162" s="153"/>
      <c r="N1162" s="153" t="s">
        <v>4492</v>
      </c>
      <c r="O1162" s="104"/>
      <c r="P1162" s="102">
        <v>22428</v>
      </c>
      <c r="Q1162" s="45"/>
      <c r="R1162" s="131">
        <v>0</v>
      </c>
      <c r="S1162" s="132"/>
      <c r="T1162" s="102">
        <v>22400</v>
      </c>
      <c r="U1162" s="100"/>
      <c r="V1162" s="102"/>
      <c r="W1162" s="186"/>
    </row>
    <row r="1163" s="39" customFormat="1" ht="22" hidden="1" customHeight="1" spans="1:23">
      <c r="A1163" s="144" t="s">
        <v>4493</v>
      </c>
      <c r="B1163" s="174"/>
      <c r="C1163" s="175"/>
      <c r="D1163" s="45" t="s">
        <v>31</v>
      </c>
      <c r="E1163" s="45" t="s">
        <v>4494</v>
      </c>
      <c r="F1163" s="81" t="str">
        <f>IFERROR(VLOOKUP(E1163,客户!B:C,2,FALSE),"/")</f>
        <v>/</v>
      </c>
      <c r="G1163" s="45" t="s">
        <v>4495</v>
      </c>
      <c r="H1163" s="45"/>
      <c r="I1163" s="45" t="s">
        <v>4476</v>
      </c>
      <c r="J1163" s="108">
        <v>43439</v>
      </c>
      <c r="K1163" s="100">
        <v>43467</v>
      </c>
      <c r="L1163" s="100"/>
      <c r="M1163" s="153"/>
      <c r="N1163" s="45" t="s">
        <v>4496</v>
      </c>
      <c r="O1163" s="104"/>
      <c r="P1163" s="102">
        <v>6161.27</v>
      </c>
      <c r="Q1163" s="102">
        <v>1849</v>
      </c>
      <c r="R1163" s="131">
        <v>0</v>
      </c>
      <c r="S1163" s="132"/>
      <c r="T1163" s="102">
        <v>4310</v>
      </c>
      <c r="U1163" s="100">
        <v>43483</v>
      </c>
      <c r="V1163" s="102"/>
      <c r="W1163" s="186"/>
    </row>
    <row r="1164" s="39" customFormat="1" ht="22" hidden="1" customHeight="1" spans="1:23">
      <c r="A1164" s="144" t="s">
        <v>4497</v>
      </c>
      <c r="B1164" s="174"/>
      <c r="C1164" s="175"/>
      <c r="D1164" s="45" t="s">
        <v>31</v>
      </c>
      <c r="E1164" s="45" t="s">
        <v>4498</v>
      </c>
      <c r="F1164" s="81">
        <f>IFERROR(VLOOKUP(E1164,客户!B:C,2,FALSE),"/")</f>
        <v>0</v>
      </c>
      <c r="G1164" s="45" t="s">
        <v>4499</v>
      </c>
      <c r="H1164" s="45" t="s">
        <v>123</v>
      </c>
      <c r="I1164" s="45" t="s">
        <v>4500</v>
      </c>
      <c r="J1164" s="108">
        <v>43452</v>
      </c>
      <c r="K1164" s="100">
        <v>43489</v>
      </c>
      <c r="L1164" s="100"/>
      <c r="M1164" s="339"/>
      <c r="N1164" s="45" t="s">
        <v>4501</v>
      </c>
      <c r="O1164" s="104"/>
      <c r="P1164" s="102">
        <v>20748</v>
      </c>
      <c r="Q1164" s="102">
        <v>5895</v>
      </c>
      <c r="R1164" s="131">
        <v>0</v>
      </c>
      <c r="S1164" s="132"/>
      <c r="T1164" s="102">
        <v>14829</v>
      </c>
      <c r="U1164" s="100">
        <v>43496</v>
      </c>
      <c r="V1164" s="102"/>
      <c r="W1164" s="186"/>
    </row>
    <row r="1165" s="39" customFormat="1" ht="22" hidden="1" customHeight="1" spans="1:23">
      <c r="A1165" s="144" t="s">
        <v>4502</v>
      </c>
      <c r="B1165" s="174"/>
      <c r="C1165" s="175"/>
      <c r="D1165" s="45" t="s">
        <v>31</v>
      </c>
      <c r="E1165" s="45" t="s">
        <v>4503</v>
      </c>
      <c r="F1165" s="81" t="str">
        <f>IFERROR(VLOOKUP(E1165,客户!B:C,2,FALSE),"/")</f>
        <v>/</v>
      </c>
      <c r="G1165" s="45" t="s">
        <v>4504</v>
      </c>
      <c r="H1165" s="144" t="s">
        <v>147</v>
      </c>
      <c r="I1165" s="45" t="s">
        <v>4505</v>
      </c>
      <c r="J1165" s="108">
        <v>43107</v>
      </c>
      <c r="K1165" s="100">
        <v>43473</v>
      </c>
      <c r="L1165" s="100">
        <v>43509</v>
      </c>
      <c r="M1165" s="101"/>
      <c r="N1165" s="151" t="s">
        <v>4506</v>
      </c>
      <c r="O1165" s="104"/>
      <c r="P1165" s="102">
        <v>17794.32</v>
      </c>
      <c r="Q1165" s="102">
        <v>5298.31</v>
      </c>
      <c r="R1165" s="131">
        <v>0</v>
      </c>
      <c r="S1165" s="132"/>
      <c r="T1165" s="102">
        <v>12468.5</v>
      </c>
      <c r="U1165" s="100">
        <v>43474</v>
      </c>
      <c r="V1165" s="189"/>
      <c r="W1165" s="186"/>
    </row>
    <row r="1166" s="39" customFormat="1" ht="22" hidden="1" customHeight="1" spans="1:23">
      <c r="A1166" s="144" t="s">
        <v>4507</v>
      </c>
      <c r="B1166" s="174"/>
      <c r="C1166" s="175"/>
      <c r="D1166" s="45" t="s">
        <v>31</v>
      </c>
      <c r="E1166" s="45" t="s">
        <v>4508</v>
      </c>
      <c r="F1166" s="81" t="str">
        <f>IFERROR(VLOOKUP(E1166,客户!B:C,2,FALSE),"/")</f>
        <v>/</v>
      </c>
      <c r="G1166" s="45" t="s">
        <v>4509</v>
      </c>
      <c r="H1166" s="45" t="s">
        <v>970</v>
      </c>
      <c r="I1166" s="45"/>
      <c r="J1166" s="108"/>
      <c r="K1166" s="100"/>
      <c r="L1166" s="100"/>
      <c r="M1166" s="101"/>
      <c r="N1166" s="357"/>
      <c r="O1166" s="104"/>
      <c r="P1166" s="102" t="s">
        <v>4510</v>
      </c>
      <c r="Q1166" s="102" t="s">
        <v>4511</v>
      </c>
      <c r="R1166" s="131">
        <v>0</v>
      </c>
      <c r="S1166" s="132"/>
      <c r="T1166" s="290" t="s">
        <v>4512</v>
      </c>
      <c r="U1166" s="100">
        <v>43469</v>
      </c>
      <c r="V1166" s="189"/>
      <c r="W1166" s="186"/>
    </row>
    <row r="1167" s="39" customFormat="1" ht="22" hidden="1" customHeight="1" spans="1:23">
      <c r="A1167" s="144" t="s">
        <v>4513</v>
      </c>
      <c r="B1167" s="174"/>
      <c r="C1167" s="175"/>
      <c r="D1167" s="45" t="s">
        <v>31</v>
      </c>
      <c r="E1167" s="229" t="s">
        <v>4514</v>
      </c>
      <c r="F1167" s="81" t="str">
        <f>IFERROR(VLOOKUP(E1167,客户!B:C,2,FALSE),"/")</f>
        <v>/</v>
      </c>
      <c r="G1167" s="45" t="s">
        <v>228</v>
      </c>
      <c r="H1167" s="144" t="s">
        <v>147</v>
      </c>
      <c r="I1167" s="45" t="s">
        <v>3680</v>
      </c>
      <c r="J1167" s="108">
        <v>43467</v>
      </c>
      <c r="K1167" s="100">
        <v>43495</v>
      </c>
      <c r="L1167" s="100">
        <v>43552</v>
      </c>
      <c r="M1167" s="156" t="s">
        <v>4515</v>
      </c>
      <c r="N1167" s="357" t="s">
        <v>3763</v>
      </c>
      <c r="O1167" s="104"/>
      <c r="P1167" s="102">
        <v>23734.18</v>
      </c>
      <c r="Q1167" s="102">
        <v>7900</v>
      </c>
      <c r="R1167" s="131">
        <v>98</v>
      </c>
      <c r="S1167" s="132"/>
      <c r="T1167" s="102">
        <v>15708</v>
      </c>
      <c r="U1167" s="100">
        <v>43511</v>
      </c>
      <c r="V1167" s="189"/>
      <c r="W1167" s="186"/>
    </row>
    <row r="1168" s="39" customFormat="1" ht="22" hidden="1" customHeight="1" spans="1:23">
      <c r="A1168" s="144" t="s">
        <v>4516</v>
      </c>
      <c r="B1168" s="174"/>
      <c r="C1168" s="175"/>
      <c r="D1168" s="45" t="s">
        <v>31</v>
      </c>
      <c r="E1168" s="45" t="s">
        <v>4517</v>
      </c>
      <c r="F1168" s="81">
        <f>IFERROR(VLOOKUP(E1168,客户!B:C,2,FALSE),"/")</f>
        <v>0</v>
      </c>
      <c r="G1168" s="45" t="s">
        <v>228</v>
      </c>
      <c r="H1168" s="45" t="s">
        <v>123</v>
      </c>
      <c r="I1168" s="45" t="s">
        <v>3693</v>
      </c>
      <c r="J1168" s="108">
        <v>43472</v>
      </c>
      <c r="K1168" s="100">
        <v>43549</v>
      </c>
      <c r="L1168" s="103"/>
      <c r="M1168" s="385" t="s">
        <v>4518</v>
      </c>
      <c r="N1168" s="386" t="s">
        <v>4519</v>
      </c>
      <c r="O1168" s="104"/>
      <c r="P1168" s="102">
        <v>20757.88</v>
      </c>
      <c r="Q1168" s="102">
        <v>6600</v>
      </c>
      <c r="R1168" s="131">
        <v>0</v>
      </c>
      <c r="S1168" s="132"/>
      <c r="T1168" s="102" t="s">
        <v>4520</v>
      </c>
      <c r="U1168" s="100"/>
      <c r="V1168" s="189"/>
      <c r="W1168" s="186"/>
    </row>
    <row r="1169" s="39" customFormat="1" ht="22" hidden="1" customHeight="1" spans="1:23">
      <c r="A1169" s="144" t="s">
        <v>4521</v>
      </c>
      <c r="B1169" s="174"/>
      <c r="C1169" s="175"/>
      <c r="D1169" s="45" t="s">
        <v>31</v>
      </c>
      <c r="E1169" s="45" t="s">
        <v>4522</v>
      </c>
      <c r="F1169" s="81">
        <f>IFERROR(VLOOKUP(E1169,客户!B:C,2,FALSE),"/")</f>
        <v>0</v>
      </c>
      <c r="G1169" s="45" t="s">
        <v>4523</v>
      </c>
      <c r="H1169" s="45" t="s">
        <v>123</v>
      </c>
      <c r="I1169" s="45"/>
      <c r="J1169" s="108">
        <v>43479</v>
      </c>
      <c r="K1169" s="100"/>
      <c r="L1169" s="100"/>
      <c r="M1169" s="101"/>
      <c r="N1169" s="357"/>
      <c r="O1169" s="104"/>
      <c r="P1169" s="102"/>
      <c r="Q1169" s="102"/>
      <c r="R1169" s="131"/>
      <c r="S1169" s="132"/>
      <c r="T1169" s="102" t="s">
        <v>4524</v>
      </c>
      <c r="U1169" s="100">
        <v>43483</v>
      </c>
      <c r="V1169" s="189"/>
      <c r="W1169" s="186"/>
    </row>
    <row r="1170" s="39" customFormat="1" ht="22" hidden="1" customHeight="1" spans="1:23">
      <c r="A1170" s="144" t="s">
        <v>4525</v>
      </c>
      <c r="B1170" s="174"/>
      <c r="C1170" s="175"/>
      <c r="D1170" s="45" t="s">
        <v>31</v>
      </c>
      <c r="E1170" s="45" t="s">
        <v>735</v>
      </c>
      <c r="F1170" s="81">
        <f>IFERROR(VLOOKUP(E1170,客户!B:C,2,FALSE),"/")</f>
        <v>0</v>
      </c>
      <c r="G1170" s="45"/>
      <c r="H1170" s="45"/>
      <c r="I1170" s="45"/>
      <c r="J1170" s="108">
        <v>43634</v>
      </c>
      <c r="K1170" s="100"/>
      <c r="L1170" s="100"/>
      <c r="M1170" s="101" t="s">
        <v>4526</v>
      </c>
      <c r="N1170" s="357"/>
      <c r="O1170" s="104"/>
      <c r="P1170" s="102">
        <v>6556</v>
      </c>
      <c r="Q1170" s="102"/>
      <c r="R1170" s="131"/>
      <c r="S1170" s="132"/>
      <c r="T1170" s="102">
        <v>6123</v>
      </c>
      <c r="U1170" s="100" t="s">
        <v>4527</v>
      </c>
      <c r="V1170" s="189"/>
      <c r="W1170" s="186"/>
    </row>
    <row r="1171" s="39" customFormat="1" ht="22" hidden="1" customHeight="1" spans="1:23">
      <c r="A1171" s="144" t="s">
        <v>4528</v>
      </c>
      <c r="B1171" s="174"/>
      <c r="C1171" s="175"/>
      <c r="D1171" s="45" t="s">
        <v>31</v>
      </c>
      <c r="E1171" s="45" t="s">
        <v>735</v>
      </c>
      <c r="F1171" s="81">
        <f>IFERROR(VLOOKUP(E1171,客户!B:C,2,FALSE),"/")</f>
        <v>0</v>
      </c>
      <c r="G1171" s="45" t="s">
        <v>43</v>
      </c>
      <c r="H1171" s="45" t="s">
        <v>123</v>
      </c>
      <c r="I1171" s="45"/>
      <c r="J1171" s="108">
        <v>43510</v>
      </c>
      <c r="K1171" s="105"/>
      <c r="L1171" s="103"/>
      <c r="M1171" s="112" t="s">
        <v>4529</v>
      </c>
      <c r="N1171" s="357" t="s">
        <v>4530</v>
      </c>
      <c r="O1171" s="104"/>
      <c r="P1171" s="230">
        <v>23629.65</v>
      </c>
      <c r="Q1171" s="102">
        <v>4000</v>
      </c>
      <c r="R1171" s="131"/>
      <c r="S1171" s="132"/>
      <c r="T1171" s="102">
        <v>19600.6</v>
      </c>
      <c r="U1171" s="100"/>
      <c r="V1171" s="399" t="s">
        <v>4531</v>
      </c>
      <c r="W1171" s="186"/>
    </row>
    <row r="1172" s="39" customFormat="1" ht="22" hidden="1" customHeight="1" spans="1:23">
      <c r="A1172" s="144" t="s">
        <v>4532</v>
      </c>
      <c r="B1172" s="174" t="s">
        <v>4533</v>
      </c>
      <c r="C1172" s="175"/>
      <c r="D1172" s="45" t="s">
        <v>31</v>
      </c>
      <c r="E1172" s="80" t="s">
        <v>735</v>
      </c>
      <c r="F1172" s="81">
        <f>IFERROR(VLOOKUP(E1172,客户!B:C,2,FALSE),"/")</f>
        <v>0</v>
      </c>
      <c r="G1172" s="45"/>
      <c r="H1172" s="45" t="s">
        <v>123</v>
      </c>
      <c r="I1172" s="45"/>
      <c r="J1172" s="108"/>
      <c r="K1172" s="100">
        <v>43616</v>
      </c>
      <c r="L1172" s="100"/>
      <c r="M1172" s="387" t="s">
        <v>4534</v>
      </c>
      <c r="N1172" s="357"/>
      <c r="O1172" s="104"/>
      <c r="P1172" s="230">
        <v>5347.5</v>
      </c>
      <c r="Q1172" s="102"/>
      <c r="R1172" s="131"/>
      <c r="S1172" s="132"/>
      <c r="T1172" s="102">
        <v>5319</v>
      </c>
      <c r="U1172" s="100"/>
      <c r="V1172" s="189"/>
      <c r="W1172" s="186"/>
    </row>
    <row r="1173" s="39" customFormat="1" ht="22" hidden="1" customHeight="1" spans="1:23">
      <c r="A1173" s="144" t="s">
        <v>4535</v>
      </c>
      <c r="B1173" s="174"/>
      <c r="C1173" s="175"/>
      <c r="D1173" s="45" t="s">
        <v>31</v>
      </c>
      <c r="E1173" s="45" t="s">
        <v>4536</v>
      </c>
      <c r="F1173" s="81">
        <f>IFERROR(VLOOKUP(E1173,客户!B:C,2,FALSE),"/")</f>
        <v>0</v>
      </c>
      <c r="G1173" s="45" t="s">
        <v>57</v>
      </c>
      <c r="H1173" s="45" t="s">
        <v>123</v>
      </c>
      <c r="I1173" s="45" t="s">
        <v>770</v>
      </c>
      <c r="J1173" s="108">
        <v>43514</v>
      </c>
      <c r="K1173" s="100">
        <v>43562</v>
      </c>
      <c r="L1173" s="100">
        <v>43589</v>
      </c>
      <c r="M1173" s="385" t="s">
        <v>4537</v>
      </c>
      <c r="N1173" s="357" t="s">
        <v>4538</v>
      </c>
      <c r="O1173" s="104"/>
      <c r="P1173" s="102">
        <v>25381.25</v>
      </c>
      <c r="Q1173" s="102">
        <v>7615</v>
      </c>
      <c r="R1173" s="131">
        <v>0</v>
      </c>
      <c r="S1173" s="132"/>
      <c r="T1173" s="102">
        <v>17744</v>
      </c>
      <c r="U1173" s="100">
        <v>43580</v>
      </c>
      <c r="V1173" s="189"/>
      <c r="W1173" s="186"/>
    </row>
    <row r="1174" s="39" customFormat="1" ht="22" hidden="1" customHeight="1" spans="1:23">
      <c r="A1174" s="145" t="s">
        <v>4539</v>
      </c>
      <c r="B1174" s="174"/>
      <c r="C1174" s="175"/>
      <c r="D1174" s="45" t="s">
        <v>31</v>
      </c>
      <c r="E1174" s="45" t="s">
        <v>823</v>
      </c>
      <c r="F1174" s="81">
        <f>IFERROR(VLOOKUP(E1174,客户!B:C,2,FALSE),"/")</f>
        <v>0</v>
      </c>
      <c r="G1174" s="45" t="s">
        <v>36</v>
      </c>
      <c r="H1174" s="45" t="s">
        <v>123</v>
      </c>
      <c r="I1174" s="45" t="s">
        <v>1626</v>
      </c>
      <c r="J1174" s="108">
        <v>43528</v>
      </c>
      <c r="K1174" s="100">
        <v>43576</v>
      </c>
      <c r="L1174" s="100">
        <v>43610</v>
      </c>
      <c r="M1174" s="101" t="s">
        <v>4540</v>
      </c>
      <c r="N1174" s="357" t="s">
        <v>4541</v>
      </c>
      <c r="O1174" s="104"/>
      <c r="P1174" s="102">
        <v>22133.4</v>
      </c>
      <c r="Q1174" s="102">
        <v>6500</v>
      </c>
      <c r="R1174" s="131">
        <v>0</v>
      </c>
      <c r="S1174" s="132"/>
      <c r="T1174" s="102">
        <v>15583</v>
      </c>
      <c r="U1174" s="100">
        <v>43600</v>
      </c>
      <c r="V1174" s="189"/>
      <c r="W1174" s="186"/>
    </row>
    <row r="1175" s="39" customFormat="1" ht="22" hidden="1" customHeight="1" spans="1:23">
      <c r="A1175" s="144" t="s">
        <v>4542</v>
      </c>
      <c r="B1175" s="174"/>
      <c r="C1175" s="175"/>
      <c r="D1175" s="45" t="s">
        <v>31</v>
      </c>
      <c r="E1175" s="45" t="s">
        <v>4517</v>
      </c>
      <c r="F1175" s="81">
        <f>IFERROR(VLOOKUP(E1175,客户!B:C,2,FALSE),"/")</f>
        <v>0</v>
      </c>
      <c r="G1175" s="45" t="s">
        <v>228</v>
      </c>
      <c r="H1175" s="45" t="s">
        <v>123</v>
      </c>
      <c r="I1175" s="45" t="s">
        <v>3693</v>
      </c>
      <c r="J1175" s="108">
        <v>43553</v>
      </c>
      <c r="K1175" s="100">
        <v>43569</v>
      </c>
      <c r="L1175" s="100">
        <v>43597</v>
      </c>
      <c r="M1175" s="156" t="s">
        <v>4543</v>
      </c>
      <c r="N1175" s="357"/>
      <c r="O1175" s="104"/>
      <c r="P1175" s="102">
        <v>2587.5</v>
      </c>
      <c r="Q1175" s="102"/>
      <c r="R1175" s="131">
        <v>0</v>
      </c>
      <c r="S1175" s="132"/>
      <c r="T1175" s="102">
        <v>1268</v>
      </c>
      <c r="U1175" s="100">
        <v>43581</v>
      </c>
      <c r="V1175" s="189"/>
      <c r="W1175" s="186"/>
    </row>
    <row r="1176" s="39" customFormat="1" ht="22" hidden="1" customHeight="1" spans="1:23">
      <c r="A1176" s="144" t="s">
        <v>4544</v>
      </c>
      <c r="B1176" s="174"/>
      <c r="C1176" s="175"/>
      <c r="D1176" s="45" t="s">
        <v>31</v>
      </c>
      <c r="E1176" s="45" t="s">
        <v>4545</v>
      </c>
      <c r="F1176" s="81" t="str">
        <f>IFERROR(VLOOKUP(E1176,客户!B:C,2,FALSE),"/")</f>
        <v>/</v>
      </c>
      <c r="G1176" s="45" t="s">
        <v>43</v>
      </c>
      <c r="H1176" s="45" t="s">
        <v>123</v>
      </c>
      <c r="I1176" s="45" t="s">
        <v>3693</v>
      </c>
      <c r="J1176" s="108">
        <v>43592</v>
      </c>
      <c r="K1176" s="100">
        <v>43626</v>
      </c>
      <c r="L1176" s="197"/>
      <c r="M1176" s="385" t="s">
        <v>4546</v>
      </c>
      <c r="N1176" s="357" t="s">
        <v>4547</v>
      </c>
      <c r="O1176" s="104"/>
      <c r="P1176" s="102">
        <v>19502.38</v>
      </c>
      <c r="Q1176" s="102">
        <v>6448</v>
      </c>
      <c r="R1176" s="131"/>
      <c r="S1176" s="132"/>
      <c r="T1176" s="102">
        <f>6814+6154</f>
        <v>12968</v>
      </c>
      <c r="U1176" s="100"/>
      <c r="V1176" s="189"/>
      <c r="W1176" s="186"/>
    </row>
    <row r="1177" s="39" customFormat="1" ht="22" hidden="1" customHeight="1" spans="1:23">
      <c r="A1177" s="144" t="s">
        <v>4548</v>
      </c>
      <c r="B1177" s="174" t="s">
        <v>4533</v>
      </c>
      <c r="C1177" s="175"/>
      <c r="D1177" s="45" t="s">
        <v>31</v>
      </c>
      <c r="E1177" s="45" t="s">
        <v>4549</v>
      </c>
      <c r="F1177" s="81">
        <f>IFERROR(VLOOKUP(E1177,客户!B:C,2,FALSE),"/")</f>
        <v>0</v>
      </c>
      <c r="G1177" s="45" t="s">
        <v>4550</v>
      </c>
      <c r="H1177" s="144" t="s">
        <v>147</v>
      </c>
      <c r="I1177" s="45" t="s">
        <v>4551</v>
      </c>
      <c r="J1177" s="108">
        <v>43599</v>
      </c>
      <c r="K1177" s="100">
        <v>43665</v>
      </c>
      <c r="L1177" s="100">
        <v>43689</v>
      </c>
      <c r="M1177" s="385" t="s">
        <v>4552</v>
      </c>
      <c r="N1177" s="357" t="s">
        <v>4553</v>
      </c>
      <c r="O1177" s="104"/>
      <c r="P1177" s="102">
        <v>26998.92</v>
      </c>
      <c r="Q1177" s="102">
        <v>8000</v>
      </c>
      <c r="R1177" s="131">
        <v>0</v>
      </c>
      <c r="S1177" s="132"/>
      <c r="T1177" s="102">
        <v>18965</v>
      </c>
      <c r="U1177" s="100"/>
      <c r="V1177" s="189"/>
      <c r="W1177" s="186"/>
    </row>
    <row r="1178" s="39" customFormat="1" ht="22" hidden="1" customHeight="1" spans="1:23">
      <c r="A1178" s="144" t="s">
        <v>4554</v>
      </c>
      <c r="B1178" s="174"/>
      <c r="C1178" s="175"/>
      <c r="D1178" s="45" t="s">
        <v>31</v>
      </c>
      <c r="E1178" s="229" t="s">
        <v>4555</v>
      </c>
      <c r="F1178" s="81" t="str">
        <f>IFERROR(VLOOKUP(E1178,客户!B:C,2,FALSE),"/")</f>
        <v>/</v>
      </c>
      <c r="G1178" s="45" t="s">
        <v>4556</v>
      </c>
      <c r="H1178" s="45" t="s">
        <v>123</v>
      </c>
      <c r="I1178" s="45" t="s">
        <v>2016</v>
      </c>
      <c r="J1178" s="108">
        <v>43613</v>
      </c>
      <c r="K1178" s="103">
        <v>43660</v>
      </c>
      <c r="L1178" s="100"/>
      <c r="M1178" s="156" t="s">
        <v>4557</v>
      </c>
      <c r="N1178" s="357" t="s">
        <v>4558</v>
      </c>
      <c r="O1178" s="104"/>
      <c r="P1178" s="102">
        <v>22190</v>
      </c>
      <c r="Q1178" s="102">
        <v>6660</v>
      </c>
      <c r="R1178" s="131">
        <v>0</v>
      </c>
      <c r="S1178" s="132"/>
      <c r="T1178" s="102" t="s">
        <v>4559</v>
      </c>
      <c r="U1178" s="100">
        <v>43668</v>
      </c>
      <c r="V1178" s="189"/>
      <c r="W1178" s="186"/>
    </row>
    <row r="1179" s="39" customFormat="1" ht="22" hidden="1" customHeight="1" spans="1:23">
      <c r="A1179" s="144" t="s">
        <v>4560</v>
      </c>
      <c r="B1179" s="174"/>
      <c r="C1179" s="175"/>
      <c r="D1179" s="45" t="s">
        <v>31</v>
      </c>
      <c r="E1179" s="80" t="s">
        <v>735</v>
      </c>
      <c r="F1179" s="81">
        <f>IFERROR(VLOOKUP(E1179,客户!B:C,2,FALSE),"/")</f>
        <v>0</v>
      </c>
      <c r="G1179" s="45" t="s">
        <v>43</v>
      </c>
      <c r="H1179" s="45" t="s">
        <v>123</v>
      </c>
      <c r="I1179" s="45"/>
      <c r="J1179" s="108"/>
      <c r="K1179" s="100">
        <v>43808</v>
      </c>
      <c r="L1179" s="100"/>
      <c r="M1179" s="388" t="s">
        <v>4561</v>
      </c>
      <c r="N1179" s="357" t="s">
        <v>737</v>
      </c>
      <c r="O1179" s="104"/>
      <c r="P1179" s="102">
        <v>27150.9</v>
      </c>
      <c r="Q1179" s="102">
        <v>5000</v>
      </c>
      <c r="R1179" s="131"/>
      <c r="S1179" s="132"/>
      <c r="T1179" s="102">
        <v>22900.25</v>
      </c>
      <c r="U1179" s="100">
        <v>43794</v>
      </c>
      <c r="V1179" s="45"/>
      <c r="W1179" s="186"/>
    </row>
    <row r="1180" s="39" customFormat="1" ht="18" hidden="1" customHeight="1" spans="1:22">
      <c r="A1180" s="364" t="s">
        <v>4562</v>
      </c>
      <c r="B1180" s="272"/>
      <c r="C1180" s="273"/>
      <c r="D1180" s="45" t="s">
        <v>31</v>
      </c>
      <c r="E1180" s="80" t="s">
        <v>4563</v>
      </c>
      <c r="F1180" s="81">
        <f>IFERROR(VLOOKUP(E1180,客户!B:C,2,FALSE),"/")</f>
        <v>0</v>
      </c>
      <c r="G1180" s="42" t="s">
        <v>4564</v>
      </c>
      <c r="H1180" s="42" t="s">
        <v>123</v>
      </c>
      <c r="I1180" s="45" t="s">
        <v>770</v>
      </c>
      <c r="J1180" s="389"/>
      <c r="K1180" s="159">
        <v>44078</v>
      </c>
      <c r="L1180" s="100"/>
      <c r="M1180" s="351"/>
      <c r="N1180" s="198" t="s">
        <v>4565</v>
      </c>
      <c r="O1180" s="104" t="s">
        <v>970</v>
      </c>
      <c r="P1180" s="102">
        <v>28597.55</v>
      </c>
      <c r="R1180" s="131"/>
      <c r="S1180" s="400"/>
      <c r="T1180" s="102">
        <f>25087.55+3510</f>
        <v>28597.55</v>
      </c>
      <c r="U1180" s="100">
        <v>43846</v>
      </c>
      <c r="V1180" s="129" t="s">
        <v>4566</v>
      </c>
    </row>
    <row r="1181" s="39" customFormat="1" ht="22" hidden="1" customHeight="1" spans="1:21">
      <c r="A1181" s="255"/>
      <c r="B1181" s="272"/>
      <c r="C1181" s="273"/>
      <c r="D1181" s="45"/>
      <c r="E1181" s="80"/>
      <c r="F1181" s="81"/>
      <c r="G1181" s="42"/>
      <c r="H1181" s="42"/>
      <c r="I1181" s="45"/>
      <c r="K1181" s="178"/>
      <c r="L1181" s="100"/>
      <c r="M1181" s="143"/>
      <c r="N1181" s="42"/>
      <c r="O1181" s="104"/>
      <c r="R1181" s="131"/>
      <c r="S1181" s="400"/>
      <c r="T1181" s="102"/>
      <c r="U1181" s="100"/>
    </row>
    <row r="1182" s="39" customFormat="1" ht="22" hidden="1" customHeight="1" spans="2:21">
      <c r="B1182" s="272"/>
      <c r="C1182" s="273"/>
      <c r="D1182" s="45"/>
      <c r="E1182" s="80"/>
      <c r="F1182" s="81" t="str">
        <f>IFERROR(VLOOKUP(E1182,客户!B:C,2,FALSE),"/")</f>
        <v>/</v>
      </c>
      <c r="K1182" s="355"/>
      <c r="L1182" s="100"/>
      <c r="R1182" s="131"/>
      <c r="S1182" s="400"/>
      <c r="T1182" s="42"/>
      <c r="U1182" s="100"/>
    </row>
    <row r="1183" s="39" customFormat="1" ht="22" hidden="1" customHeight="1" spans="2:21">
      <c r="B1183" s="272"/>
      <c r="C1183" s="273"/>
      <c r="D1183" s="45"/>
      <c r="E1183" s="80"/>
      <c r="F1183" s="81" t="str">
        <f>IFERROR(VLOOKUP(E1183,客户!B:C,2,FALSE),"/")</f>
        <v>/</v>
      </c>
      <c r="K1183" s="355"/>
      <c r="L1183" s="100"/>
      <c r="R1183" s="131"/>
      <c r="S1183" s="400"/>
      <c r="T1183" s="42"/>
      <c r="U1183" s="100"/>
    </row>
    <row r="1184" s="42" customFormat="1" ht="22" hidden="1" customHeight="1" spans="1:23">
      <c r="A1184" s="365" t="s">
        <v>4567</v>
      </c>
      <c r="B1184" s="366"/>
      <c r="C1184" s="367"/>
      <c r="D1184" s="45" t="s">
        <v>31</v>
      </c>
      <c r="E1184" s="368" t="s">
        <v>4568</v>
      </c>
      <c r="F1184" s="81" t="str">
        <f>IFERROR(VLOOKUP(E1184,客户!B:C,2,FALSE),"/")</f>
        <v>/</v>
      </c>
      <c r="G1184" s="368" t="s">
        <v>4569</v>
      </c>
      <c r="H1184" s="369"/>
      <c r="I1184" s="369"/>
      <c r="J1184" s="390"/>
      <c r="K1184" s="391"/>
      <c r="L1184" s="392"/>
      <c r="M1184" s="393"/>
      <c r="N1184" s="393"/>
      <c r="O1184" s="393"/>
      <c r="P1184" s="394">
        <v>32395.57</v>
      </c>
      <c r="Q1184" s="394"/>
      <c r="R1184" s="131"/>
      <c r="S1184" s="400"/>
      <c r="T1184" s="396"/>
      <c r="U1184" s="392"/>
      <c r="V1184" s="394"/>
      <c r="W1184" s="401"/>
    </row>
    <row r="1185" s="42" customFormat="1" ht="22" hidden="1" customHeight="1" spans="1:23">
      <c r="A1185" s="370" t="s">
        <v>4570</v>
      </c>
      <c r="B1185" s="371"/>
      <c r="C1185" s="372"/>
      <c r="D1185" s="45" t="s">
        <v>31</v>
      </c>
      <c r="E1185" s="373" t="s">
        <v>4571</v>
      </c>
      <c r="F1185" s="81" t="str">
        <f>IFERROR(VLOOKUP(E1185,客户!B:C,2,FALSE),"/")</f>
        <v>/</v>
      </c>
      <c r="G1185" s="373" t="s">
        <v>4572</v>
      </c>
      <c r="H1185" s="374" t="s">
        <v>4573</v>
      </c>
      <c r="I1185" s="374"/>
      <c r="J1185" s="390"/>
      <c r="K1185" s="392"/>
      <c r="L1185" s="392"/>
      <c r="M1185" s="395"/>
      <c r="N1185" s="395"/>
      <c r="O1185" s="395"/>
      <c r="P1185" s="396">
        <v>36851</v>
      </c>
      <c r="Q1185" s="396"/>
      <c r="R1185" s="131"/>
      <c r="S1185" s="400"/>
      <c r="T1185" s="396"/>
      <c r="U1185" s="392"/>
      <c r="V1185" s="396"/>
      <c r="W1185" s="374"/>
    </row>
    <row r="1186" s="42" customFormat="1" ht="22" hidden="1" customHeight="1" spans="1:23">
      <c r="A1186" s="370" t="s">
        <v>4574</v>
      </c>
      <c r="B1186" s="371"/>
      <c r="C1186" s="372"/>
      <c r="D1186" s="45" t="s">
        <v>31</v>
      </c>
      <c r="E1186" s="373" t="s">
        <v>4571</v>
      </c>
      <c r="F1186" s="81" t="str">
        <f>IFERROR(VLOOKUP(E1186,客户!B:C,2,FALSE),"/")</f>
        <v>/</v>
      </c>
      <c r="G1186" s="369" t="s">
        <v>4575</v>
      </c>
      <c r="H1186" s="374" t="s">
        <v>4573</v>
      </c>
      <c r="I1186" s="374"/>
      <c r="J1186" s="390"/>
      <c r="K1186" s="392"/>
      <c r="L1186" s="392"/>
      <c r="M1186" s="395"/>
      <c r="N1186" s="395"/>
      <c r="O1186" s="395"/>
      <c r="P1186" s="396">
        <v>34960.42</v>
      </c>
      <c r="Q1186" s="396"/>
      <c r="R1186" s="131"/>
      <c r="S1186" s="400"/>
      <c r="T1186" s="396"/>
      <c r="U1186" s="392"/>
      <c r="V1186" s="396"/>
      <c r="W1186" s="373"/>
    </row>
    <row r="1187" s="42" customFormat="1" ht="22" hidden="1" customHeight="1" spans="1:23">
      <c r="A1187" s="370" t="s">
        <v>4576</v>
      </c>
      <c r="B1187" s="371"/>
      <c r="C1187" s="372"/>
      <c r="D1187" s="45" t="s">
        <v>31</v>
      </c>
      <c r="E1187" s="373" t="s">
        <v>4577</v>
      </c>
      <c r="F1187" s="81" t="str">
        <f>IFERROR(VLOOKUP(E1187,客户!B:C,2,FALSE),"/")</f>
        <v>/</v>
      </c>
      <c r="G1187" s="373" t="s">
        <v>4578</v>
      </c>
      <c r="H1187" s="375" t="s">
        <v>4579</v>
      </c>
      <c r="I1187" s="375"/>
      <c r="J1187" s="390"/>
      <c r="K1187" s="392"/>
      <c r="L1187" s="392"/>
      <c r="M1187" s="395"/>
      <c r="N1187" s="395"/>
      <c r="O1187" s="395"/>
      <c r="P1187" s="396">
        <v>18449.28</v>
      </c>
      <c r="Q1187" s="396"/>
      <c r="R1187" s="131"/>
      <c r="S1187" s="400"/>
      <c r="T1187" s="396"/>
      <c r="U1187" s="392"/>
      <c r="V1187" s="396"/>
      <c r="W1187" s="373"/>
    </row>
    <row r="1188" s="42" customFormat="1" ht="22" hidden="1" customHeight="1" spans="1:23">
      <c r="A1188" s="370" t="s">
        <v>4580</v>
      </c>
      <c r="B1188" s="371"/>
      <c r="C1188" s="372"/>
      <c r="D1188" s="45" t="s">
        <v>31</v>
      </c>
      <c r="E1188" s="373" t="s">
        <v>4571</v>
      </c>
      <c r="F1188" s="81" t="str">
        <f>IFERROR(VLOOKUP(E1188,客户!B:C,2,FALSE),"/")</f>
        <v>/</v>
      </c>
      <c r="G1188" s="373" t="s">
        <v>4572</v>
      </c>
      <c r="H1188" s="375" t="s">
        <v>4581</v>
      </c>
      <c r="I1188" s="375"/>
      <c r="J1188" s="390"/>
      <c r="K1188" s="392"/>
      <c r="L1188" s="392"/>
      <c r="M1188" s="395"/>
      <c r="N1188" s="395"/>
      <c r="O1188" s="395"/>
      <c r="P1188" s="396">
        <v>34450</v>
      </c>
      <c r="Q1188" s="396"/>
      <c r="R1188" s="131"/>
      <c r="S1188" s="400"/>
      <c r="T1188" s="396"/>
      <c r="U1188" s="392"/>
      <c r="V1188" s="396"/>
      <c r="W1188" s="373"/>
    </row>
    <row r="1189" s="39" customFormat="1" ht="22" hidden="1" customHeight="1" spans="1:23">
      <c r="A1189" s="370" t="s">
        <v>4582</v>
      </c>
      <c r="B1189" s="371"/>
      <c r="C1189" s="372"/>
      <c r="D1189" s="45" t="s">
        <v>31</v>
      </c>
      <c r="E1189" s="373" t="s">
        <v>4571</v>
      </c>
      <c r="F1189" s="81" t="str">
        <f>IFERROR(VLOOKUP(E1189,客户!B:C,2,FALSE),"/")</f>
        <v>/</v>
      </c>
      <c r="G1189" s="376" t="s">
        <v>4583</v>
      </c>
      <c r="H1189" s="377" t="s">
        <v>4584</v>
      </c>
      <c r="I1189" s="377"/>
      <c r="J1189" s="390"/>
      <c r="K1189" s="397"/>
      <c r="L1189" s="397"/>
      <c r="M1189" s="395"/>
      <c r="N1189" s="395"/>
      <c r="O1189" s="395"/>
      <c r="P1189" s="396">
        <v>48697.84</v>
      </c>
      <c r="Q1189" s="402"/>
      <c r="R1189" s="320"/>
      <c r="S1189" s="403"/>
      <c r="T1189" s="402"/>
      <c r="U1189" s="397"/>
      <c r="V1189" s="402"/>
      <c r="W1189" s="404"/>
    </row>
    <row r="1190" s="42" customFormat="1" ht="22" hidden="1" customHeight="1" spans="1:23">
      <c r="A1190" s="370" t="s">
        <v>4585</v>
      </c>
      <c r="B1190" s="371"/>
      <c r="C1190" s="372"/>
      <c r="D1190" s="45" t="s">
        <v>31</v>
      </c>
      <c r="E1190" s="373" t="s">
        <v>4571</v>
      </c>
      <c r="F1190" s="81" t="str">
        <f>IFERROR(VLOOKUP(E1190,客户!B:C,2,FALSE),"/")</f>
        <v>/</v>
      </c>
      <c r="G1190" s="376" t="s">
        <v>4572</v>
      </c>
      <c r="H1190" s="375" t="s">
        <v>4581</v>
      </c>
      <c r="I1190" s="375"/>
      <c r="J1190" s="390"/>
      <c r="K1190" s="397"/>
      <c r="L1190" s="397"/>
      <c r="M1190" s="395"/>
      <c r="N1190" s="395"/>
      <c r="O1190" s="395"/>
      <c r="P1190" s="396">
        <v>29568</v>
      </c>
      <c r="Q1190" s="402"/>
      <c r="R1190" s="320"/>
      <c r="S1190" s="403"/>
      <c r="T1190" s="402"/>
      <c r="U1190" s="397"/>
      <c r="V1190" s="402"/>
      <c r="W1190" s="404"/>
    </row>
    <row r="1191" s="42" customFormat="1" ht="22" hidden="1" customHeight="1" spans="1:23">
      <c r="A1191" s="365" t="s">
        <v>4586</v>
      </c>
      <c r="B1191" s="366"/>
      <c r="C1191" s="367"/>
      <c r="D1191" s="45" t="s">
        <v>31</v>
      </c>
      <c r="E1191" s="373" t="s">
        <v>4571</v>
      </c>
      <c r="F1191" s="81" t="str">
        <f>IFERROR(VLOOKUP(E1191,客户!B:C,2,FALSE),"/")</f>
        <v>/</v>
      </c>
      <c r="G1191" s="373" t="s">
        <v>4575</v>
      </c>
      <c r="H1191" s="375" t="s">
        <v>4581</v>
      </c>
      <c r="I1191" s="375"/>
      <c r="J1191" s="390"/>
      <c r="K1191" s="392"/>
      <c r="L1191" s="392"/>
      <c r="M1191" s="395"/>
      <c r="N1191" s="395"/>
      <c r="O1191" s="395"/>
      <c r="P1191" s="396">
        <v>32670.74</v>
      </c>
      <c r="Q1191" s="396"/>
      <c r="R1191" s="131"/>
      <c r="S1191" s="400"/>
      <c r="T1191" s="396"/>
      <c r="U1191" s="392"/>
      <c r="V1191" s="396"/>
      <c r="W1191" s="373"/>
    </row>
    <row r="1192" s="40" customFormat="1" ht="22" hidden="1" customHeight="1" spans="1:23">
      <c r="A1192" s="370" t="s">
        <v>4587</v>
      </c>
      <c r="B1192" s="371"/>
      <c r="C1192" s="372"/>
      <c r="D1192" s="45" t="s">
        <v>31</v>
      </c>
      <c r="E1192" s="373" t="s">
        <v>4571</v>
      </c>
      <c r="F1192" s="81" t="str">
        <f>IFERROR(VLOOKUP(E1192,客户!B:C,2,FALSE),"/")</f>
        <v>/</v>
      </c>
      <c r="G1192" s="373" t="s">
        <v>4588</v>
      </c>
      <c r="H1192" s="373" t="s">
        <v>4584</v>
      </c>
      <c r="I1192" s="373"/>
      <c r="J1192" s="390"/>
      <c r="K1192" s="392"/>
      <c r="L1192" s="392"/>
      <c r="M1192" s="380"/>
      <c r="N1192" s="380"/>
      <c r="O1192" s="380"/>
      <c r="P1192" s="396">
        <v>33400</v>
      </c>
      <c r="Q1192" s="396"/>
      <c r="R1192" s="131"/>
      <c r="S1192" s="400"/>
      <c r="T1192" s="396"/>
      <c r="U1192" s="392"/>
      <c r="V1192" s="396"/>
      <c r="W1192" s="373"/>
    </row>
    <row r="1193" s="40" customFormat="1" ht="22" hidden="1" customHeight="1" spans="1:23">
      <c r="A1193" s="370" t="s">
        <v>4589</v>
      </c>
      <c r="B1193" s="371"/>
      <c r="C1193" s="372"/>
      <c r="D1193" s="45" t="s">
        <v>31</v>
      </c>
      <c r="E1193" s="373" t="s">
        <v>4590</v>
      </c>
      <c r="F1193" s="81" t="str">
        <f>IFERROR(VLOOKUP(E1193,客户!B:C,2,FALSE),"/")</f>
        <v>/</v>
      </c>
      <c r="G1193" s="373" t="s">
        <v>4591</v>
      </c>
      <c r="H1193" s="373" t="s">
        <v>4584</v>
      </c>
      <c r="I1193" s="373"/>
      <c r="J1193" s="390"/>
      <c r="K1193" s="392"/>
      <c r="L1193" s="392"/>
      <c r="M1193" s="380"/>
      <c r="N1193" s="380"/>
      <c r="O1193" s="380"/>
      <c r="P1193" s="396">
        <v>32450</v>
      </c>
      <c r="Q1193" s="396"/>
      <c r="R1193" s="131"/>
      <c r="S1193" s="400"/>
      <c r="T1193" s="396"/>
      <c r="U1193" s="392"/>
      <c r="V1193" s="396"/>
      <c r="W1193" s="373"/>
    </row>
    <row r="1194" s="40" customFormat="1" ht="22" hidden="1" customHeight="1" spans="1:23">
      <c r="A1194" s="378" t="s">
        <v>4592</v>
      </c>
      <c r="B1194" s="371"/>
      <c r="C1194" s="372"/>
      <c r="D1194" s="45" t="s">
        <v>31</v>
      </c>
      <c r="E1194" s="373" t="s">
        <v>4571</v>
      </c>
      <c r="F1194" s="81" t="str">
        <f>IFERROR(VLOOKUP(E1194,客户!B:C,2,FALSE),"/")</f>
        <v>/</v>
      </c>
      <c r="G1194" s="373" t="s">
        <v>4593</v>
      </c>
      <c r="H1194" s="373"/>
      <c r="I1194" s="373"/>
      <c r="J1194" s="390"/>
      <c r="K1194" s="392"/>
      <c r="L1194" s="392"/>
      <c r="M1194" s="380"/>
      <c r="N1194" s="380"/>
      <c r="O1194" s="380"/>
      <c r="P1194" s="396">
        <v>35392</v>
      </c>
      <c r="Q1194" s="396" t="s">
        <v>4594</v>
      </c>
      <c r="R1194" s="131"/>
      <c r="S1194" s="400"/>
      <c r="T1194" s="396"/>
      <c r="U1194" s="392"/>
      <c r="V1194" s="396"/>
      <c r="W1194" s="373"/>
    </row>
    <row r="1195" s="40" customFormat="1" ht="22" hidden="1" customHeight="1" spans="1:23">
      <c r="A1195" s="378" t="s">
        <v>4595</v>
      </c>
      <c r="B1195" s="371"/>
      <c r="C1195" s="372"/>
      <c r="D1195" s="45" t="s">
        <v>31</v>
      </c>
      <c r="E1195" s="373" t="s">
        <v>4571</v>
      </c>
      <c r="F1195" s="81" t="str">
        <f>IFERROR(VLOOKUP(E1195,客户!B:C,2,FALSE),"/")</f>
        <v>/</v>
      </c>
      <c r="G1195" s="373" t="s">
        <v>4575</v>
      </c>
      <c r="H1195" s="373"/>
      <c r="I1195" s="373"/>
      <c r="J1195" s="390"/>
      <c r="K1195" s="392"/>
      <c r="L1195" s="392"/>
      <c r="M1195" s="380"/>
      <c r="N1195" s="380"/>
      <c r="O1195" s="380"/>
      <c r="P1195" s="396">
        <v>42358.85</v>
      </c>
      <c r="Q1195" s="396" t="s">
        <v>4596</v>
      </c>
      <c r="R1195" s="131"/>
      <c r="S1195" s="400"/>
      <c r="T1195" s="396"/>
      <c r="U1195" s="392"/>
      <c r="V1195" s="396"/>
      <c r="W1195" s="373"/>
    </row>
    <row r="1196" s="40" customFormat="1" ht="22" hidden="1" customHeight="1" spans="1:23">
      <c r="A1196" s="378" t="s">
        <v>4597</v>
      </c>
      <c r="B1196" s="371"/>
      <c r="C1196" s="372"/>
      <c r="D1196" s="45" t="s">
        <v>31</v>
      </c>
      <c r="E1196" s="373" t="s">
        <v>4598</v>
      </c>
      <c r="F1196" s="81">
        <f>IFERROR(VLOOKUP(E1196,客户!B:C,2,FALSE),"/")</f>
        <v>0</v>
      </c>
      <c r="G1196" s="373" t="s">
        <v>4593</v>
      </c>
      <c r="H1196" s="373"/>
      <c r="I1196" s="373"/>
      <c r="J1196" s="390"/>
      <c r="K1196" s="392"/>
      <c r="L1196" s="392"/>
      <c r="M1196" s="380"/>
      <c r="N1196" s="380"/>
      <c r="O1196" s="380"/>
      <c r="P1196" s="396">
        <v>14193.98</v>
      </c>
      <c r="Q1196" s="396"/>
      <c r="R1196" s="131"/>
      <c r="S1196" s="400"/>
      <c r="T1196" s="396"/>
      <c r="U1196" s="392"/>
      <c r="V1196" s="396"/>
      <c r="W1196" s="373"/>
    </row>
    <row r="1197" s="40" customFormat="1" ht="22" hidden="1" customHeight="1" spans="1:23">
      <c r="A1197" s="378" t="s">
        <v>4599</v>
      </c>
      <c r="B1197" s="371"/>
      <c r="C1197" s="372"/>
      <c r="D1197" s="45" t="s">
        <v>31</v>
      </c>
      <c r="E1197" s="373" t="s">
        <v>4571</v>
      </c>
      <c r="F1197" s="81" t="str">
        <f>IFERROR(VLOOKUP(E1197,客户!B:C,2,FALSE),"/")</f>
        <v>/</v>
      </c>
      <c r="G1197" s="373" t="s">
        <v>4593</v>
      </c>
      <c r="H1197" s="373"/>
      <c r="I1197" s="373"/>
      <c r="J1197" s="390"/>
      <c r="K1197" s="392"/>
      <c r="L1197" s="392"/>
      <c r="M1197" s="380"/>
      <c r="N1197" s="380"/>
      <c r="O1197" s="380"/>
      <c r="P1197" s="396">
        <v>37477.24</v>
      </c>
      <c r="Q1197" s="405" t="s">
        <v>1283</v>
      </c>
      <c r="R1197" s="131"/>
      <c r="S1197" s="400"/>
      <c r="T1197" s="396"/>
      <c r="U1197" s="392"/>
      <c r="V1197" s="396"/>
      <c r="W1197" s="373"/>
    </row>
    <row r="1198" s="40" customFormat="1" ht="22" hidden="1" customHeight="1" spans="1:23">
      <c r="A1198" s="378" t="s">
        <v>4600</v>
      </c>
      <c r="B1198" s="371"/>
      <c r="C1198" s="372"/>
      <c r="D1198" s="45" t="s">
        <v>31</v>
      </c>
      <c r="E1198" s="373" t="s">
        <v>4571</v>
      </c>
      <c r="F1198" s="81" t="str">
        <f>IFERROR(VLOOKUP(E1198,客户!B:C,2,FALSE),"/")</f>
        <v>/</v>
      </c>
      <c r="G1198" s="373" t="s">
        <v>4601</v>
      </c>
      <c r="H1198" s="373"/>
      <c r="I1198" s="373"/>
      <c r="J1198" s="390"/>
      <c r="K1198" s="392"/>
      <c r="L1198" s="392"/>
      <c r="M1198" s="380"/>
      <c r="N1198" s="380"/>
      <c r="O1198" s="380"/>
      <c r="P1198" s="396">
        <v>38654.15</v>
      </c>
      <c r="Q1198" s="405" t="s">
        <v>1283</v>
      </c>
      <c r="R1198" s="131"/>
      <c r="S1198" s="400"/>
      <c r="T1198" s="396"/>
      <c r="U1198" s="392"/>
      <c r="V1198" s="396"/>
      <c r="W1198" s="373"/>
    </row>
    <row r="1199" s="40" customFormat="1" ht="22" hidden="1" customHeight="1" spans="1:23">
      <c r="A1199" s="378" t="s">
        <v>4602</v>
      </c>
      <c r="B1199" s="371"/>
      <c r="C1199" s="372"/>
      <c r="D1199" s="45" t="s">
        <v>31</v>
      </c>
      <c r="E1199" s="373" t="s">
        <v>4603</v>
      </c>
      <c r="F1199" s="81">
        <f>IFERROR(VLOOKUP(E1199,客户!B:C,2,FALSE),"/")</f>
        <v>0</v>
      </c>
      <c r="G1199" s="373" t="s">
        <v>4601</v>
      </c>
      <c r="H1199" s="373"/>
      <c r="I1199" s="373"/>
      <c r="J1199" s="390"/>
      <c r="K1199" s="392"/>
      <c r="L1199" s="392"/>
      <c r="M1199" s="380"/>
      <c r="N1199" s="380"/>
      <c r="O1199" s="380"/>
      <c r="P1199" s="396">
        <v>14708</v>
      </c>
      <c r="Q1199" s="396" t="s">
        <v>4604</v>
      </c>
      <c r="R1199" s="284"/>
      <c r="S1199" s="400"/>
      <c r="T1199" s="240">
        <v>81270</v>
      </c>
      <c r="U1199" s="392"/>
      <c r="V1199" s="396"/>
      <c r="W1199" s="373"/>
    </row>
    <row r="1200" s="40" customFormat="1" ht="22" hidden="1" customHeight="1" spans="1:23">
      <c r="A1200" s="379" t="s">
        <v>4605</v>
      </c>
      <c r="B1200" s="371"/>
      <c r="C1200" s="372"/>
      <c r="D1200" s="45" t="s">
        <v>31</v>
      </c>
      <c r="E1200" s="373" t="s">
        <v>4606</v>
      </c>
      <c r="F1200" s="81" t="str">
        <f>IFERROR(VLOOKUP(E1200,客户!B:C,2,FALSE),"/")</f>
        <v>/</v>
      </c>
      <c r="G1200" s="373" t="s">
        <v>4607</v>
      </c>
      <c r="H1200" s="373"/>
      <c r="I1200" s="373"/>
      <c r="J1200" s="390"/>
      <c r="K1200" s="392"/>
      <c r="L1200" s="392"/>
      <c r="M1200" s="380"/>
      <c r="N1200" s="380"/>
      <c r="O1200" s="380"/>
      <c r="P1200" s="396" t="s">
        <v>4608</v>
      </c>
      <c r="Q1200" s="396">
        <v>4842</v>
      </c>
      <c r="R1200" s="131"/>
      <c r="S1200" s="400"/>
      <c r="T1200" s="396"/>
      <c r="U1200" s="392"/>
      <c r="V1200" s="396"/>
      <c r="W1200" s="373"/>
    </row>
    <row r="1201" s="40" customFormat="1" ht="22" hidden="1" customHeight="1" spans="1:23">
      <c r="A1201" s="378" t="s">
        <v>4609</v>
      </c>
      <c r="B1201" s="371"/>
      <c r="C1201" s="372"/>
      <c r="D1201" s="45" t="s">
        <v>31</v>
      </c>
      <c r="E1201" s="373" t="s">
        <v>4610</v>
      </c>
      <c r="F1201" s="81" t="str">
        <f>IFERROR(VLOOKUP(E1201,客户!B:C,2,FALSE),"/")</f>
        <v>/</v>
      </c>
      <c r="G1201" s="373" t="s">
        <v>4611</v>
      </c>
      <c r="H1201" s="373"/>
      <c r="I1201" s="373"/>
      <c r="J1201" s="390"/>
      <c r="K1201" s="392"/>
      <c r="L1201" s="392"/>
      <c r="M1201" s="395"/>
      <c r="N1201" s="395"/>
      <c r="O1201" s="395"/>
      <c r="P1201" s="396">
        <v>7978.05</v>
      </c>
      <c r="Q1201" s="406"/>
      <c r="R1201" s="131"/>
      <c r="S1201" s="400"/>
      <c r="T1201" s="131">
        <v>7978.05</v>
      </c>
      <c r="U1201" s="392"/>
      <c r="V1201" s="396"/>
      <c r="W1201" s="373"/>
    </row>
    <row r="1202" s="40" customFormat="1" ht="22" hidden="1" customHeight="1" spans="1:23">
      <c r="A1202" s="379" t="s">
        <v>4612</v>
      </c>
      <c r="B1202" s="371"/>
      <c r="C1202" s="372"/>
      <c r="D1202" s="45" t="s">
        <v>31</v>
      </c>
      <c r="E1202" s="373" t="s">
        <v>4613</v>
      </c>
      <c r="F1202" s="81" t="str">
        <f>IFERROR(VLOOKUP(E1202,客户!B:C,2,FALSE),"/")</f>
        <v>/</v>
      </c>
      <c r="G1202" s="373" t="s">
        <v>4614</v>
      </c>
      <c r="H1202" s="373"/>
      <c r="I1202" s="373"/>
      <c r="J1202" s="390"/>
      <c r="K1202" s="392"/>
      <c r="L1202" s="392"/>
      <c r="M1202" s="380"/>
      <c r="N1202" s="380"/>
      <c r="O1202" s="380"/>
      <c r="P1202" s="396"/>
      <c r="Q1202" s="396" t="s">
        <v>4615</v>
      </c>
      <c r="R1202" s="131"/>
      <c r="S1202" s="400"/>
      <c r="T1202" s="396"/>
      <c r="U1202" s="392"/>
      <c r="V1202" s="396"/>
      <c r="W1202" s="373"/>
    </row>
    <row r="1203" s="41" customFormat="1" ht="22" hidden="1" customHeight="1" spans="1:23">
      <c r="A1203" s="378" t="s">
        <v>4616</v>
      </c>
      <c r="B1203" s="371"/>
      <c r="C1203" s="372"/>
      <c r="D1203" s="45" t="s">
        <v>31</v>
      </c>
      <c r="E1203" s="380" t="s">
        <v>4617</v>
      </c>
      <c r="F1203" s="81" t="str">
        <f>IFERROR(VLOOKUP(E1203,客户!B:C,2,FALSE),"/")</f>
        <v>/</v>
      </c>
      <c r="G1203" s="380" t="s">
        <v>4618</v>
      </c>
      <c r="H1203" s="380" t="s">
        <v>154</v>
      </c>
      <c r="I1203" s="380"/>
      <c r="J1203" s="390"/>
      <c r="K1203" s="393"/>
      <c r="L1203" s="392"/>
      <c r="M1203" s="395"/>
      <c r="N1203" s="395"/>
      <c r="O1203" s="395"/>
      <c r="P1203" s="398"/>
      <c r="Q1203" s="398"/>
      <c r="R1203" s="131"/>
      <c r="S1203" s="400"/>
      <c r="T1203" s="396"/>
      <c r="U1203" s="392"/>
      <c r="V1203" s="398"/>
      <c r="W1203" s="380"/>
    </row>
    <row r="1204" s="41" customFormat="1" ht="22" hidden="1" customHeight="1" spans="1:23">
      <c r="A1204" s="378" t="s">
        <v>4619</v>
      </c>
      <c r="B1204" s="371"/>
      <c r="C1204" s="372"/>
      <c r="D1204" s="45" t="s">
        <v>31</v>
      </c>
      <c r="E1204" s="380" t="s">
        <v>4620</v>
      </c>
      <c r="F1204" s="81" t="str">
        <f>IFERROR(VLOOKUP(E1204,客户!B:C,2,FALSE),"/")</f>
        <v>/</v>
      </c>
      <c r="G1204" s="380" t="s">
        <v>4621</v>
      </c>
      <c r="H1204" s="380" t="s">
        <v>154</v>
      </c>
      <c r="I1204" s="380"/>
      <c r="J1204" s="390"/>
      <c r="K1204" s="392"/>
      <c r="L1204" s="392"/>
      <c r="M1204" s="398"/>
      <c r="N1204" s="398"/>
      <c r="O1204" s="398"/>
      <c r="P1204" s="398"/>
      <c r="Q1204" s="398"/>
      <c r="R1204" s="131"/>
      <c r="S1204" s="400"/>
      <c r="T1204" s="131">
        <v>19625.74</v>
      </c>
      <c r="U1204" s="392"/>
      <c r="V1204" s="396"/>
      <c r="W1204" s="378"/>
    </row>
    <row r="1205" s="40" customFormat="1" ht="22" hidden="1" customHeight="1" spans="1:23">
      <c r="A1205" s="381" t="s">
        <v>4622</v>
      </c>
      <c r="B1205" s="371"/>
      <c r="C1205" s="372"/>
      <c r="D1205" s="45" t="s">
        <v>31</v>
      </c>
      <c r="E1205" s="380" t="s">
        <v>4620</v>
      </c>
      <c r="F1205" s="81" t="str">
        <f>IFERROR(VLOOKUP(E1205,客户!B:C,2,FALSE),"/")</f>
        <v>/</v>
      </c>
      <c r="G1205" s="380" t="s">
        <v>4623</v>
      </c>
      <c r="H1205" s="380" t="s">
        <v>154</v>
      </c>
      <c r="I1205" s="380"/>
      <c r="J1205" s="390"/>
      <c r="K1205" s="392"/>
      <c r="L1205" s="392"/>
      <c r="M1205" s="395"/>
      <c r="N1205" s="395"/>
      <c r="O1205" s="395"/>
      <c r="P1205" s="396">
        <v>16504.01</v>
      </c>
      <c r="Q1205" s="396"/>
      <c r="R1205" s="131"/>
      <c r="S1205" s="400"/>
      <c r="T1205" s="396"/>
      <c r="U1205" s="392"/>
      <c r="V1205" s="396"/>
      <c r="W1205" s="378"/>
    </row>
    <row r="1206" s="40" customFormat="1" ht="22" hidden="1" customHeight="1" spans="1:23">
      <c r="A1206" s="144"/>
      <c r="B1206" s="174"/>
      <c r="C1206" s="175"/>
      <c r="D1206" s="45"/>
      <c r="E1206" s="80"/>
      <c r="F1206" s="81" t="str">
        <f>IFERROR(VLOOKUP(E1206,客户!B:C,2,FALSE),"/")</f>
        <v>/</v>
      </c>
      <c r="G1206" s="45"/>
      <c r="H1206" s="45"/>
      <c r="I1206" s="45"/>
      <c r="J1206" s="45"/>
      <c r="K1206" s="100"/>
      <c r="L1206" s="100"/>
      <c r="M1206" s="143"/>
      <c r="N1206" s="143"/>
      <c r="O1206" s="143"/>
      <c r="P1206" s="102"/>
      <c r="Q1206" s="102"/>
      <c r="R1206" s="131"/>
      <c r="S1206" s="400"/>
      <c r="T1206" s="102"/>
      <c r="U1206" s="100"/>
      <c r="V1206" s="102"/>
      <c r="W1206" s="45"/>
    </row>
    <row r="1207" hidden="1" spans="19:19">
      <c r="S1207" s="407"/>
    </row>
    <row r="1208" hidden="1" spans="19:19">
      <c r="S1208" s="407"/>
    </row>
    <row r="1209" hidden="1" spans="1:19">
      <c r="A1209" s="46" t="s">
        <v>4624</v>
      </c>
      <c r="S1209" s="400"/>
    </row>
    <row r="1210" ht="21" hidden="1" customHeight="1" spans="1:20">
      <c r="A1210" s="261" t="s">
        <v>4625</v>
      </c>
      <c r="B1210" s="174" t="s">
        <v>4533</v>
      </c>
      <c r="C1210" s="175"/>
      <c r="D1210" s="45" t="s">
        <v>31</v>
      </c>
      <c r="E1210" s="82" t="s">
        <v>4626</v>
      </c>
      <c r="F1210" s="81">
        <f>IFERROR(VLOOKUP(E1210,客户!B:C,2,FALSE),"/")</f>
        <v>0</v>
      </c>
      <c r="G1210" s="307" t="s">
        <v>4627</v>
      </c>
      <c r="H1210" s="324" t="s">
        <v>186</v>
      </c>
      <c r="I1210" s="108"/>
      <c r="J1210" s="108">
        <v>44574</v>
      </c>
      <c r="K1210" s="100">
        <v>44574</v>
      </c>
      <c r="L1210" s="100"/>
      <c r="M1210" s="315"/>
      <c r="N1210" s="338"/>
      <c r="O1210" s="265" t="s">
        <v>970</v>
      </c>
      <c r="P1210" s="240">
        <v>620</v>
      </c>
      <c r="S1210" s="400"/>
      <c r="T1210" s="240">
        <v>620</v>
      </c>
    </row>
    <row r="1211" hidden="1" spans="19:19">
      <c r="S1211" s="400"/>
    </row>
    <row r="1212" hidden="1" spans="19:19">
      <c r="S1212" s="400"/>
    </row>
    <row r="1213" hidden="1" spans="19:19">
      <c r="S1213" s="400"/>
    </row>
    <row r="1214" hidden="1" spans="19:19">
      <c r="S1214" s="400"/>
    </row>
    <row r="1215" hidden="1" spans="19:19">
      <c r="S1215" s="400"/>
    </row>
    <row r="1216" hidden="1" spans="19:19">
      <c r="S1216" s="400"/>
    </row>
    <row r="1217" hidden="1" spans="19:19">
      <c r="S1217" s="400"/>
    </row>
    <row r="1218" hidden="1" spans="19:19">
      <c r="S1218" s="400"/>
    </row>
    <row r="1219" hidden="1" spans="19:19">
      <c r="S1219" s="400"/>
    </row>
    <row r="1220" hidden="1" spans="19:19">
      <c r="S1220" s="400"/>
    </row>
    <row r="1221" hidden="1" spans="19:19">
      <c r="S1221" s="400"/>
    </row>
    <row r="1222" hidden="1" spans="19:19">
      <c r="S1222" s="400"/>
    </row>
    <row r="1223" hidden="1" spans="19:19">
      <c r="S1223" s="400"/>
    </row>
    <row r="1224" hidden="1" spans="19:19">
      <c r="S1224" s="400"/>
    </row>
    <row r="1225" hidden="1" spans="19:19">
      <c r="S1225" s="400"/>
    </row>
    <row r="1226" hidden="1" spans="19:19">
      <c r="S1226" s="400"/>
    </row>
    <row r="1227" hidden="1" spans="19:19">
      <c r="S1227" s="400"/>
    </row>
    <row r="1228" hidden="1" spans="19:19">
      <c r="S1228" s="400"/>
    </row>
    <row r="1229" hidden="1" spans="19:19">
      <c r="S1229" s="400"/>
    </row>
    <row r="1230" hidden="1" spans="19:19">
      <c r="S1230" s="400"/>
    </row>
    <row r="1231" hidden="1" spans="19:19">
      <c r="S1231" s="400"/>
    </row>
    <row r="1232" hidden="1" spans="19:19">
      <c r="S1232" s="400"/>
    </row>
    <row r="1233" hidden="1" spans="19:19">
      <c r="S1233" s="400"/>
    </row>
    <row r="1234" hidden="1" spans="19:19">
      <c r="S1234" s="400"/>
    </row>
    <row r="1235" hidden="1" spans="19:19">
      <c r="S1235" s="400"/>
    </row>
    <row r="1236" hidden="1" spans="19:19">
      <c r="S1236" s="400"/>
    </row>
    <row r="1237" hidden="1" spans="19:19">
      <c r="S1237" s="400"/>
    </row>
    <row r="1238" hidden="1" spans="19:19">
      <c r="S1238" s="400"/>
    </row>
    <row r="1239" hidden="1" spans="19:19">
      <c r="S1239" s="400"/>
    </row>
    <row r="1240" hidden="1" spans="19:19">
      <c r="S1240" s="400"/>
    </row>
    <row r="1241" hidden="1" spans="19:19">
      <c r="S1241" s="400"/>
    </row>
    <row r="1242" hidden="1" spans="19:19">
      <c r="S1242" s="400"/>
    </row>
    <row r="1243" hidden="1" spans="19:19">
      <c r="S1243" s="400"/>
    </row>
    <row r="1244" hidden="1" spans="19:19">
      <c r="S1244" s="400"/>
    </row>
    <row r="1245" hidden="1" spans="19:19">
      <c r="S1245" s="400"/>
    </row>
    <row r="1246" hidden="1" spans="19:19">
      <c r="S1246" s="400"/>
    </row>
    <row r="1247" hidden="1" spans="19:19">
      <c r="S1247" s="400"/>
    </row>
    <row r="1248" hidden="1" spans="19:19">
      <c r="S1248" s="400"/>
    </row>
    <row r="1249" hidden="1" spans="19:19">
      <c r="S1249" s="400"/>
    </row>
    <row r="1250" hidden="1" spans="19:19">
      <c r="S1250" s="400"/>
    </row>
    <row r="1251" hidden="1" spans="19:19">
      <c r="S1251" s="400"/>
    </row>
    <row r="1252" hidden="1" spans="19:19">
      <c r="S1252" s="400"/>
    </row>
    <row r="1253" hidden="1" spans="19:19">
      <c r="S1253" s="400"/>
    </row>
    <row r="1254" hidden="1" spans="19:19">
      <c r="S1254" s="400"/>
    </row>
    <row r="1255" hidden="1" spans="19:19">
      <c r="S1255" s="400"/>
    </row>
    <row r="1256" hidden="1" spans="19:19">
      <c r="S1256" s="400"/>
    </row>
    <row r="1257" hidden="1" spans="19:19">
      <c r="S1257" s="400"/>
    </row>
    <row r="1258" hidden="1" spans="19:19">
      <c r="S1258" s="400"/>
    </row>
    <row r="1259" hidden="1" spans="19:19">
      <c r="S1259" s="400"/>
    </row>
    <row r="1260" hidden="1" spans="19:19">
      <c r="S1260" s="400"/>
    </row>
    <row r="1261" hidden="1" spans="19:19">
      <c r="S1261" s="400"/>
    </row>
    <row r="1262" hidden="1" spans="19:19">
      <c r="S1262" s="400"/>
    </row>
    <row r="1263" hidden="1" spans="19:19">
      <c r="S1263" s="400"/>
    </row>
    <row r="1264" hidden="1" spans="19:19">
      <c r="S1264" s="400"/>
    </row>
    <row r="1265" hidden="1" spans="19:19">
      <c r="S1265" s="400"/>
    </row>
    <row r="1266" hidden="1" spans="19:19">
      <c r="S1266" s="400"/>
    </row>
    <row r="1267" hidden="1" spans="19:19">
      <c r="S1267" s="400"/>
    </row>
    <row r="1268" hidden="1" spans="19:19">
      <c r="S1268" s="400"/>
    </row>
    <row r="1269" hidden="1" spans="19:19">
      <c r="S1269" s="400"/>
    </row>
    <row r="1270" hidden="1" spans="19:19">
      <c r="S1270" s="400"/>
    </row>
    <row r="1271" hidden="1" spans="19:19">
      <c r="S1271" s="400"/>
    </row>
    <row r="1272" hidden="1" spans="19:19">
      <c r="S1272" s="400"/>
    </row>
    <row r="1273" hidden="1" spans="19:19">
      <c r="S1273" s="400"/>
    </row>
    <row r="1274" hidden="1" spans="19:19">
      <c r="S1274" s="400"/>
    </row>
    <row r="1275" hidden="1" spans="19:19">
      <c r="S1275" s="400"/>
    </row>
    <row r="1276" hidden="1" spans="19:19">
      <c r="S1276" s="400"/>
    </row>
    <row r="1277" hidden="1" spans="19:19">
      <c r="S1277" s="400"/>
    </row>
    <row r="1278" hidden="1" spans="19:19">
      <c r="S1278" s="400"/>
    </row>
    <row r="1279" hidden="1" spans="19:19">
      <c r="S1279" s="400"/>
    </row>
    <row r="1280" hidden="1" spans="19:19">
      <c r="S1280" s="400"/>
    </row>
    <row r="1281" hidden="1" spans="19:19">
      <c r="S1281" s="400"/>
    </row>
    <row r="1282" hidden="1" spans="19:19">
      <c r="S1282" s="400"/>
    </row>
    <row r="1283" hidden="1" spans="19:19">
      <c r="S1283" s="400"/>
    </row>
    <row r="1284" hidden="1" spans="19:19">
      <c r="S1284" s="400"/>
    </row>
    <row r="1285" hidden="1" spans="19:19">
      <c r="S1285" s="400"/>
    </row>
    <row r="1286" hidden="1" spans="19:19">
      <c r="S1286" s="400"/>
    </row>
    <row r="1287" hidden="1" spans="19:19">
      <c r="S1287" s="400"/>
    </row>
    <row r="1288" hidden="1" spans="19:19">
      <c r="S1288" s="400"/>
    </row>
    <row r="1289" hidden="1" spans="19:19">
      <c r="S1289" s="400"/>
    </row>
    <row r="1290" hidden="1" spans="19:19">
      <c r="S1290" s="400"/>
    </row>
    <row r="1291" hidden="1" spans="19:19">
      <c r="S1291" s="400"/>
    </row>
    <row r="1292" hidden="1" spans="19:19">
      <c r="S1292" s="400"/>
    </row>
    <row r="1293" hidden="1" spans="19:19">
      <c r="S1293" s="400"/>
    </row>
    <row r="1294" hidden="1" spans="19:19">
      <c r="S1294" s="400"/>
    </row>
    <row r="1295" hidden="1" spans="19:19">
      <c r="S1295" s="400"/>
    </row>
    <row r="1296" hidden="1" spans="19:19">
      <c r="S1296" s="400"/>
    </row>
    <row r="1297" hidden="1" spans="19:19">
      <c r="S1297" s="400"/>
    </row>
    <row r="1298" hidden="1" spans="19:19">
      <c r="S1298" s="400"/>
    </row>
    <row r="1299" hidden="1" spans="19:19">
      <c r="S1299" s="400"/>
    </row>
    <row r="1300" hidden="1" spans="19:19">
      <c r="S1300" s="400"/>
    </row>
    <row r="1301" hidden="1" spans="19:19">
      <c r="S1301" s="400"/>
    </row>
    <row r="1302" hidden="1" spans="19:19">
      <c r="S1302" s="400"/>
    </row>
    <row r="1303" hidden="1" spans="19:19">
      <c r="S1303" s="400"/>
    </row>
    <row r="1304" hidden="1" spans="19:19">
      <c r="S1304" s="400"/>
    </row>
    <row r="1305" hidden="1" spans="19:19">
      <c r="S1305" s="400"/>
    </row>
    <row r="1306" hidden="1" spans="19:19">
      <c r="S1306" s="400"/>
    </row>
    <row r="1307" hidden="1" spans="19:19">
      <c r="S1307" s="400"/>
    </row>
    <row r="1308" hidden="1" spans="19:19">
      <c r="S1308" s="400"/>
    </row>
    <row r="1309" hidden="1" spans="19:19">
      <c r="S1309" s="400"/>
    </row>
    <row r="1310" hidden="1" spans="19:19">
      <c r="S1310" s="400"/>
    </row>
    <row r="1311" hidden="1" spans="19:19">
      <c r="S1311" s="400"/>
    </row>
    <row r="1312" hidden="1" spans="19:19">
      <c r="S1312" s="400"/>
    </row>
    <row r="1313" hidden="1" spans="19:19">
      <c r="S1313" s="400"/>
    </row>
    <row r="1314" hidden="1" spans="19:19">
      <c r="S1314" s="400"/>
    </row>
    <row r="1315" hidden="1" spans="19:19">
      <c r="S1315" s="400"/>
    </row>
    <row r="1316" hidden="1" spans="19:19">
      <c r="S1316" s="400"/>
    </row>
    <row r="1317" hidden="1" spans="19:19">
      <c r="S1317" s="400"/>
    </row>
    <row r="1318" hidden="1" spans="19:19">
      <c r="S1318" s="400"/>
    </row>
    <row r="1319" hidden="1" spans="19:19">
      <c r="S1319" s="400"/>
    </row>
    <row r="1320" hidden="1" spans="19:19">
      <c r="S1320" s="400"/>
    </row>
    <row r="1321" hidden="1" spans="19:19">
      <c r="S1321" s="400"/>
    </row>
    <row r="1322" hidden="1" spans="19:19">
      <c r="S1322" s="400"/>
    </row>
    <row r="1323" hidden="1" spans="19:19">
      <c r="S1323" s="400"/>
    </row>
    <row r="1324" hidden="1" spans="19:19">
      <c r="S1324" s="400"/>
    </row>
    <row r="1325" hidden="1" spans="19:19">
      <c r="S1325" s="400"/>
    </row>
    <row r="1326" hidden="1" spans="19:19">
      <c r="S1326" s="400"/>
    </row>
    <row r="1327" hidden="1" spans="19:19">
      <c r="S1327" s="400"/>
    </row>
    <row r="1328" hidden="1" spans="19:19">
      <c r="S1328" s="400"/>
    </row>
    <row r="1329" hidden="1" spans="19:19">
      <c r="S1329" s="400"/>
    </row>
    <row r="1330" hidden="1" spans="19:19">
      <c r="S1330" s="400"/>
    </row>
    <row r="1331" hidden="1" spans="19:19">
      <c r="S1331" s="400"/>
    </row>
    <row r="1332" hidden="1" spans="19:19">
      <c r="S1332" s="400"/>
    </row>
    <row r="1333" hidden="1" spans="19:19">
      <c r="S1333" s="400"/>
    </row>
    <row r="1334" hidden="1" spans="19:19">
      <c r="S1334" s="400"/>
    </row>
    <row r="1335" hidden="1" spans="19:19">
      <c r="S1335" s="400"/>
    </row>
    <row r="1336" hidden="1" spans="19:19">
      <c r="S1336" s="400"/>
    </row>
    <row r="1337" hidden="1" spans="19:19">
      <c r="S1337" s="400"/>
    </row>
    <row r="1338" hidden="1" spans="19:19">
      <c r="S1338" s="400"/>
    </row>
    <row r="1339" hidden="1" spans="19:19">
      <c r="S1339" s="400"/>
    </row>
    <row r="1340" hidden="1" spans="19:19">
      <c r="S1340" s="400"/>
    </row>
    <row r="1341" hidden="1" spans="19:19">
      <c r="S1341" s="400"/>
    </row>
    <row r="1342" hidden="1" spans="19:19">
      <c r="S1342" s="400"/>
    </row>
    <row r="1343" hidden="1" spans="19:19">
      <c r="S1343" s="400"/>
    </row>
    <row r="1344" hidden="1" spans="19:19">
      <c r="S1344" s="400"/>
    </row>
    <row r="1345" hidden="1" spans="19:19">
      <c r="S1345" s="400"/>
    </row>
    <row r="1346" hidden="1" spans="19:19">
      <c r="S1346" s="400"/>
    </row>
    <row r="1347" hidden="1" spans="19:19">
      <c r="S1347" s="400"/>
    </row>
    <row r="1348" hidden="1" spans="19:19">
      <c r="S1348" s="400"/>
    </row>
    <row r="1349" hidden="1" spans="19:19">
      <c r="S1349" s="400"/>
    </row>
    <row r="1350" hidden="1" spans="19:19">
      <c r="S1350" s="400"/>
    </row>
    <row r="1351" hidden="1" spans="19:19">
      <c r="S1351" s="400"/>
    </row>
    <row r="1352" hidden="1" spans="19:19">
      <c r="S1352" s="400"/>
    </row>
    <row r="1353" hidden="1" spans="19:19">
      <c r="S1353" s="400"/>
    </row>
    <row r="1354" hidden="1" spans="19:19">
      <c r="S1354" s="400"/>
    </row>
    <row r="1355" hidden="1" spans="19:19">
      <c r="S1355" s="400"/>
    </row>
    <row r="1356" hidden="1" spans="19:19">
      <c r="S1356" s="400"/>
    </row>
    <row r="1357" hidden="1" spans="19:19">
      <c r="S1357" s="400"/>
    </row>
    <row r="1358" hidden="1" spans="19:19">
      <c r="S1358" s="400"/>
    </row>
    <row r="1359" hidden="1" spans="19:19">
      <c r="S1359" s="400"/>
    </row>
    <row r="1360" hidden="1" spans="19:19">
      <c r="S1360" s="400"/>
    </row>
    <row r="1361" hidden="1" spans="19:19">
      <c r="S1361" s="400"/>
    </row>
    <row r="1362" hidden="1" spans="19:19">
      <c r="S1362" s="400"/>
    </row>
    <row r="1363" hidden="1" spans="19:19">
      <c r="S1363" s="400"/>
    </row>
    <row r="1364" hidden="1" spans="19:19">
      <c r="S1364" s="400"/>
    </row>
    <row r="1365" hidden="1" spans="19:19">
      <c r="S1365" s="400"/>
    </row>
    <row r="1366" hidden="1" spans="19:19">
      <c r="S1366" s="400"/>
    </row>
    <row r="1367" hidden="1" spans="19:19">
      <c r="S1367" s="400"/>
    </row>
    <row r="1368" hidden="1" spans="19:19">
      <c r="S1368" s="400"/>
    </row>
    <row r="1369" hidden="1" spans="19:19">
      <c r="S1369" s="400"/>
    </row>
    <row r="1370" hidden="1" spans="19:19">
      <c r="S1370" s="400"/>
    </row>
    <row r="1371" hidden="1" spans="19:19">
      <c r="S1371" s="400"/>
    </row>
    <row r="1372" hidden="1" spans="19:19">
      <c r="S1372" s="400"/>
    </row>
    <row r="1373" hidden="1" spans="19:19">
      <c r="S1373" s="400"/>
    </row>
    <row r="1374" hidden="1" spans="19:19">
      <c r="S1374" s="400"/>
    </row>
    <row r="1375" hidden="1" spans="19:19">
      <c r="S1375" s="400"/>
    </row>
    <row r="1376" hidden="1" spans="19:19">
      <c r="S1376" s="400"/>
    </row>
    <row r="1377" hidden="1" spans="19:19">
      <c r="S1377" s="400"/>
    </row>
    <row r="1378" hidden="1" spans="19:19">
      <c r="S1378" s="400"/>
    </row>
    <row r="1379" hidden="1" spans="19:19">
      <c r="S1379" s="400"/>
    </row>
    <row r="1380" hidden="1" spans="19:19">
      <c r="S1380" s="400"/>
    </row>
    <row r="1381" hidden="1" spans="19:19">
      <c r="S1381" s="408"/>
    </row>
    <row r="1382" hidden="1" spans="19:19">
      <c r="S1382" s="408"/>
    </row>
    <row r="1383" hidden="1" spans="19:19">
      <c r="S1383" s="408"/>
    </row>
    <row r="1384" hidden="1" spans="19:19">
      <c r="S1384" s="408"/>
    </row>
    <row r="1385" hidden="1" spans="19:19">
      <c r="S1385" s="408"/>
    </row>
    <row r="1386" hidden="1" spans="19:19">
      <c r="S1386" s="408"/>
    </row>
    <row r="1387" hidden="1" spans="19:19">
      <c r="S1387" s="408"/>
    </row>
    <row r="1388" hidden="1" spans="19:19">
      <c r="S1388" s="408"/>
    </row>
    <row r="1389" hidden="1" spans="19:19">
      <c r="S1389" s="408"/>
    </row>
    <row r="1390" hidden="1" spans="19:19">
      <c r="S1390" s="408"/>
    </row>
    <row r="1391" hidden="1" spans="19:19">
      <c r="S1391" s="408"/>
    </row>
    <row r="1392" hidden="1" spans="19:19">
      <c r="S1392" s="408"/>
    </row>
    <row r="1393" hidden="1" spans="19:19">
      <c r="S1393" s="408"/>
    </row>
    <row r="1394" hidden="1" spans="19:19">
      <c r="S1394" s="408"/>
    </row>
    <row r="1395" hidden="1" spans="19:19">
      <c r="S1395" s="408"/>
    </row>
    <row r="1396" hidden="1" spans="19:19">
      <c r="S1396" s="408"/>
    </row>
    <row r="1397" hidden="1" spans="19:19">
      <c r="S1397" s="408"/>
    </row>
    <row r="1398" hidden="1" spans="19:19">
      <c r="S1398" s="408"/>
    </row>
    <row r="1399" hidden="1" spans="19:19">
      <c r="S1399" s="408"/>
    </row>
    <row r="1400" hidden="1" spans="19:19">
      <c r="S1400" s="408"/>
    </row>
    <row r="1401" hidden="1" spans="19:19">
      <c r="S1401" s="408"/>
    </row>
    <row r="1402" hidden="1" spans="19:19">
      <c r="S1402" s="408"/>
    </row>
    <row r="1403" hidden="1" spans="19:19">
      <c r="S1403" s="408"/>
    </row>
    <row r="1404" hidden="1" spans="19:19">
      <c r="S1404" s="408"/>
    </row>
    <row r="1405" hidden="1" spans="19:19">
      <c r="S1405" s="408"/>
    </row>
    <row r="1406" hidden="1" spans="19:19">
      <c r="S1406" s="408"/>
    </row>
    <row r="1407" hidden="1" spans="19:19">
      <c r="S1407" s="408"/>
    </row>
    <row r="1408" hidden="1" spans="19:19">
      <c r="S1408" s="408"/>
    </row>
    <row r="1409" hidden="1" spans="19:19">
      <c r="S1409" s="408"/>
    </row>
    <row r="1410" hidden="1" spans="19:19">
      <c r="S1410" s="408"/>
    </row>
    <row r="1411" hidden="1" spans="19:19">
      <c r="S1411" s="408"/>
    </row>
    <row r="1412" hidden="1" spans="19:19">
      <c r="S1412" s="408"/>
    </row>
    <row r="1413" hidden="1" spans="19:19">
      <c r="S1413" s="408"/>
    </row>
    <row r="1414" hidden="1" spans="19:19">
      <c r="S1414" s="408"/>
    </row>
    <row r="1415" hidden="1" spans="19:19">
      <c r="S1415" s="408"/>
    </row>
    <row r="1416" hidden="1" spans="19:19">
      <c r="S1416" s="408"/>
    </row>
    <row r="1417" hidden="1" spans="19:19">
      <c r="S1417" s="408"/>
    </row>
    <row r="1418" hidden="1" spans="19:19">
      <c r="S1418" s="408"/>
    </row>
    <row r="1419" hidden="1" spans="19:19">
      <c r="S1419" s="408"/>
    </row>
    <row r="1420" hidden="1" spans="19:19">
      <c r="S1420" s="408"/>
    </row>
    <row r="1421" hidden="1" spans="19:19">
      <c r="S1421" s="408"/>
    </row>
    <row r="1422" hidden="1" spans="19:19">
      <c r="S1422" s="408"/>
    </row>
    <row r="1423" hidden="1" spans="19:19">
      <c r="S1423" s="408"/>
    </row>
    <row r="1424" hidden="1" spans="19:19">
      <c r="S1424" s="408"/>
    </row>
    <row r="1425" hidden="1" spans="19:19">
      <c r="S1425" s="408"/>
    </row>
    <row r="1426" hidden="1" spans="19:19">
      <c r="S1426" s="408"/>
    </row>
    <row r="1427" hidden="1" spans="19:19">
      <c r="S1427" s="408"/>
    </row>
    <row r="1428" hidden="1" spans="19:19">
      <c r="S1428" s="408"/>
    </row>
    <row r="1429" hidden="1" spans="19:19">
      <c r="S1429" s="408"/>
    </row>
    <row r="1430" hidden="1" spans="19:19">
      <c r="S1430" s="408"/>
    </row>
    <row r="1431" hidden="1" spans="19:19">
      <c r="S1431" s="408"/>
    </row>
    <row r="1432" hidden="1" spans="19:19">
      <c r="S1432" s="408"/>
    </row>
    <row r="1433" hidden="1" spans="19:19">
      <c r="S1433" s="408"/>
    </row>
    <row r="1434" hidden="1" spans="19:19">
      <c r="S1434" s="408"/>
    </row>
    <row r="1435" hidden="1" spans="19:19">
      <c r="S1435" s="408"/>
    </row>
    <row r="1436" hidden="1" spans="19:19">
      <c r="S1436" s="408"/>
    </row>
    <row r="1437" hidden="1" spans="19:19">
      <c r="S1437" s="408"/>
    </row>
    <row r="1438" hidden="1" spans="19:19">
      <c r="S1438" s="408"/>
    </row>
    <row r="1439" hidden="1" spans="19:19">
      <c r="S1439" s="408"/>
    </row>
    <row r="1440" hidden="1" spans="19:19">
      <c r="S1440" s="408"/>
    </row>
    <row r="1441" hidden="1" spans="19:19">
      <c r="S1441" s="408"/>
    </row>
    <row r="1442" hidden="1" spans="19:19">
      <c r="S1442" s="408"/>
    </row>
    <row r="1443" hidden="1" spans="19:19">
      <c r="S1443" s="408"/>
    </row>
    <row r="1444" hidden="1" spans="19:19">
      <c r="S1444" s="408"/>
    </row>
    <row r="1445" hidden="1" spans="19:19">
      <c r="S1445" s="408"/>
    </row>
    <row r="1446" hidden="1" spans="19:19">
      <c r="S1446" s="408"/>
    </row>
    <row r="1447" hidden="1" spans="19:19">
      <c r="S1447" s="408"/>
    </row>
    <row r="1448" hidden="1" spans="19:19">
      <c r="S1448" s="408"/>
    </row>
    <row r="1449" hidden="1" spans="19:19">
      <c r="S1449" s="408"/>
    </row>
    <row r="1450" hidden="1" spans="19:19">
      <c r="S1450" s="408"/>
    </row>
    <row r="1451" hidden="1" spans="19:19">
      <c r="S1451" s="408"/>
    </row>
    <row r="1452" hidden="1" spans="19:19">
      <c r="S1452" s="408"/>
    </row>
    <row r="1453" hidden="1" spans="19:19">
      <c r="S1453" s="408"/>
    </row>
    <row r="1454" hidden="1" spans="19:19">
      <c r="S1454" s="408"/>
    </row>
    <row r="1455" hidden="1" spans="19:19">
      <c r="S1455" s="408"/>
    </row>
    <row r="1456" hidden="1" spans="19:19">
      <c r="S1456" s="408"/>
    </row>
    <row r="1457" hidden="1" spans="19:19">
      <c r="S1457" s="408"/>
    </row>
    <row r="1458" hidden="1" spans="19:19">
      <c r="S1458" s="408"/>
    </row>
    <row r="1459" hidden="1" spans="19:19">
      <c r="S1459" s="408"/>
    </row>
    <row r="1460" hidden="1" spans="19:19">
      <c r="S1460" s="408"/>
    </row>
    <row r="1461" hidden="1" spans="19:19">
      <c r="S1461" s="408"/>
    </row>
    <row r="1462" hidden="1" spans="19:19">
      <c r="S1462" s="408"/>
    </row>
    <row r="1463" hidden="1" spans="19:19">
      <c r="S1463" s="408"/>
    </row>
    <row r="1464" hidden="1" spans="19:19">
      <c r="S1464" s="408"/>
    </row>
    <row r="1465" hidden="1" spans="19:19">
      <c r="S1465" s="408"/>
    </row>
    <row r="1466" hidden="1" spans="19:19">
      <c r="S1466" s="408"/>
    </row>
    <row r="1467" hidden="1" spans="19:19">
      <c r="S1467" s="408"/>
    </row>
    <row r="1468" hidden="1" spans="19:19">
      <c r="S1468" s="408"/>
    </row>
    <row r="1469" hidden="1" spans="19:19">
      <c r="S1469" s="408"/>
    </row>
    <row r="1470" hidden="1" spans="19:19">
      <c r="S1470" s="408"/>
    </row>
    <row r="1471" hidden="1" spans="19:19">
      <c r="S1471" s="408"/>
    </row>
    <row r="1472" hidden="1" spans="19:19">
      <c r="S1472" s="408"/>
    </row>
    <row r="1473" hidden="1" spans="19:19">
      <c r="S1473" s="408"/>
    </row>
    <row r="1474" hidden="1" spans="19:19">
      <c r="S1474" s="408"/>
    </row>
    <row r="1475" hidden="1" spans="19:19">
      <c r="S1475" s="408"/>
    </row>
    <row r="1476" hidden="1" spans="19:19">
      <c r="S1476" s="408"/>
    </row>
    <row r="1477" hidden="1" spans="19:19">
      <c r="S1477" s="408"/>
    </row>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spans="1:1">
      <c r="A1531" s="293"/>
    </row>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spans="16:17">
      <c r="P1565" s="332"/>
      <c r="Q1565" s="332"/>
    </row>
  </sheetData>
  <autoFilter ref="A3:X1564">
    <filterColumn colId="3">
      <filters>
        <filter val="单据"/>
      </filters>
    </filterColumn>
    <extLst/>
  </autoFilter>
  <mergeCells count="48">
    <mergeCell ref="M134:M135"/>
    <mergeCell ref="N103:N104"/>
    <mergeCell ref="N134:N135"/>
    <mergeCell ref="N626:N627"/>
    <mergeCell ref="P5:P6"/>
    <mergeCell ref="P22:P23"/>
    <mergeCell ref="P61:P62"/>
    <mergeCell ref="P103:P104"/>
    <mergeCell ref="P134:P135"/>
    <mergeCell ref="P153:P154"/>
    <mergeCell ref="P165:P166"/>
    <mergeCell ref="P637:P638"/>
    <mergeCell ref="P766:P767"/>
    <mergeCell ref="P769:P770"/>
    <mergeCell ref="Q19:Q20"/>
    <mergeCell ref="Q22:Q23"/>
    <mergeCell ref="Q26:Q29"/>
    <mergeCell ref="Q68:Q69"/>
    <mergeCell ref="Q87:Q88"/>
    <mergeCell ref="Q199:Q200"/>
    <mergeCell ref="Q541:Q542"/>
    <mergeCell ref="Q558:Q559"/>
    <mergeCell ref="Q580:Q581"/>
    <mergeCell ref="Q590:Q591"/>
    <mergeCell ref="Q764:Q765"/>
    <mergeCell ref="Q1111:Q1112"/>
    <mergeCell ref="R153:R154"/>
    <mergeCell ref="R165:R166"/>
    <mergeCell ref="R199:R200"/>
    <mergeCell ref="R558:R559"/>
    <mergeCell ref="R580:R581"/>
    <mergeCell ref="R764:R765"/>
    <mergeCell ref="R766:R767"/>
    <mergeCell ref="R769:R770"/>
    <mergeCell ref="T5:T6"/>
    <mergeCell ref="T22:T23"/>
    <mergeCell ref="T61:T62"/>
    <mergeCell ref="T514:T515"/>
    <mergeCell ref="T558:T559"/>
    <mergeCell ref="T575:T576"/>
    <mergeCell ref="T580:T581"/>
    <mergeCell ref="T590:T591"/>
    <mergeCell ref="T637:T638"/>
    <mergeCell ref="T764:T765"/>
    <mergeCell ref="T766:T767"/>
    <mergeCell ref="T769:T770"/>
    <mergeCell ref="U514:U515"/>
    <mergeCell ref="X144:X151"/>
  </mergeCells>
  <conditionalFormatting sqref="R182">
    <cfRule type="cellIs" dxfId="0" priority="1190" operator="equal">
      <formula>0</formula>
    </cfRule>
  </conditionalFormatting>
  <conditionalFormatting sqref="R183">
    <cfRule type="cellIs" dxfId="0" priority="1189" operator="equal">
      <formula>0</formula>
    </cfRule>
  </conditionalFormatting>
  <conditionalFormatting sqref="R203">
    <cfRule type="cellIs" dxfId="0" priority="1215" operator="equal">
      <formula>0</formula>
    </cfRule>
  </conditionalFormatting>
  <conditionalFormatting sqref="R204">
    <cfRule type="cellIs" dxfId="0" priority="1214" operator="equal">
      <formula>0</formula>
    </cfRule>
  </conditionalFormatting>
  <conditionalFormatting sqref="R205">
    <cfRule type="cellIs" dxfId="0" priority="1213" operator="equal">
      <formula>0</formula>
    </cfRule>
  </conditionalFormatting>
  <conditionalFormatting sqref="R206">
    <cfRule type="cellIs" dxfId="0" priority="1212" operator="equal">
      <formula>0</formula>
    </cfRule>
  </conditionalFormatting>
  <conditionalFormatting sqref="R207">
    <cfRule type="cellIs" dxfId="0" priority="1211" operator="equal">
      <formula>0</formula>
    </cfRule>
  </conditionalFormatting>
  <conditionalFormatting sqref="R208">
    <cfRule type="cellIs" dxfId="0" priority="1210" operator="equal">
      <formula>0</formula>
    </cfRule>
  </conditionalFormatting>
  <conditionalFormatting sqref="R209">
    <cfRule type="cellIs" dxfId="0" priority="1209" operator="equal">
      <formula>0</formula>
    </cfRule>
  </conditionalFormatting>
  <conditionalFormatting sqref="R210">
    <cfRule type="cellIs" dxfId="0" priority="1208" operator="equal">
      <formula>0</formula>
    </cfRule>
  </conditionalFormatting>
  <conditionalFormatting sqref="R211">
    <cfRule type="cellIs" dxfId="0" priority="1207" operator="equal">
      <formula>0</formula>
    </cfRule>
  </conditionalFormatting>
  <conditionalFormatting sqref="R212">
    <cfRule type="cellIs" dxfId="0" priority="1206" operator="equal">
      <formula>0</formula>
    </cfRule>
  </conditionalFormatting>
  <conditionalFormatting sqref="R213">
    <cfRule type="cellIs" dxfId="0" priority="1205" operator="equal">
      <formula>0</formula>
    </cfRule>
  </conditionalFormatting>
  <conditionalFormatting sqref="R214">
    <cfRule type="cellIs" dxfId="0" priority="1204" operator="equal">
      <formula>0</formula>
    </cfRule>
  </conditionalFormatting>
  <conditionalFormatting sqref="R215">
    <cfRule type="cellIs" dxfId="0" priority="1203" operator="equal">
      <formula>0</formula>
    </cfRule>
  </conditionalFormatting>
  <conditionalFormatting sqref="R216">
    <cfRule type="cellIs" dxfId="0" priority="1202" operator="equal">
      <formula>0</formula>
    </cfRule>
  </conditionalFormatting>
  <conditionalFormatting sqref="R217">
    <cfRule type="cellIs" dxfId="0" priority="1201" operator="equal">
      <formula>0</formula>
    </cfRule>
  </conditionalFormatting>
  <conditionalFormatting sqref="R218">
    <cfRule type="cellIs" dxfId="0" priority="1200" operator="equal">
      <formula>0</formula>
    </cfRule>
  </conditionalFormatting>
  <conditionalFormatting sqref="R219">
    <cfRule type="cellIs" dxfId="0" priority="1199" operator="equal">
      <formula>0</formula>
    </cfRule>
  </conditionalFormatting>
  <conditionalFormatting sqref="R220">
    <cfRule type="cellIs" dxfId="0" priority="1198" operator="equal">
      <formula>0</formula>
    </cfRule>
  </conditionalFormatting>
  <conditionalFormatting sqref="R221">
    <cfRule type="cellIs" dxfId="0" priority="1197" operator="equal">
      <formula>0</formula>
    </cfRule>
  </conditionalFormatting>
  <conditionalFormatting sqref="R222">
    <cfRule type="cellIs" dxfId="0" priority="1196" operator="equal">
      <formula>0</formula>
    </cfRule>
  </conditionalFormatting>
  <conditionalFormatting sqref="R223">
    <cfRule type="cellIs" dxfId="0" priority="1195" operator="equal">
      <formula>0</formula>
    </cfRule>
  </conditionalFormatting>
  <conditionalFormatting sqref="R224">
    <cfRule type="cellIs" dxfId="0" priority="1194" operator="equal">
      <formula>0</formula>
    </cfRule>
  </conditionalFormatting>
  <conditionalFormatting sqref="R225">
    <cfRule type="cellIs" dxfId="0" priority="1193" operator="equal">
      <formula>0</formula>
    </cfRule>
  </conditionalFormatting>
  <conditionalFormatting sqref="R261">
    <cfRule type="cellIs" dxfId="0" priority="1250" operator="equal">
      <formula>0</formula>
    </cfRule>
  </conditionalFormatting>
  <conditionalFormatting sqref="R262">
    <cfRule type="cellIs" dxfId="0" priority="1247" operator="equal">
      <formula>0</formula>
    </cfRule>
  </conditionalFormatting>
  <conditionalFormatting sqref="R263">
    <cfRule type="cellIs" dxfId="0" priority="1248" operator="equal">
      <formula>0</formula>
    </cfRule>
  </conditionalFormatting>
  <conditionalFormatting sqref="R269">
    <cfRule type="cellIs" dxfId="0" priority="1287" operator="equal">
      <formula>0</formula>
    </cfRule>
  </conditionalFormatting>
  <conditionalFormatting sqref="R270">
    <cfRule type="cellIs" dxfId="0" priority="1242" operator="equal">
      <formula>0</formula>
    </cfRule>
  </conditionalFormatting>
  <conditionalFormatting sqref="R271">
    <cfRule type="cellIs" dxfId="0" priority="1241" operator="equal">
      <formula>0</formula>
    </cfRule>
  </conditionalFormatting>
  <conditionalFormatting sqref="R272">
    <cfRule type="cellIs" dxfId="0" priority="1240" operator="equal">
      <formula>0</formula>
    </cfRule>
  </conditionalFormatting>
  <conditionalFormatting sqref="R273">
    <cfRule type="cellIs" dxfId="0" priority="1239" operator="equal">
      <formula>0</formula>
    </cfRule>
  </conditionalFormatting>
  <conditionalFormatting sqref="R276">
    <cfRule type="cellIs" dxfId="0" priority="1281" operator="equal">
      <formula>0</formula>
    </cfRule>
  </conditionalFormatting>
  <conditionalFormatting sqref="R277">
    <cfRule type="cellIs" dxfId="0" priority="1280" operator="equal">
      <formula>0</formula>
    </cfRule>
  </conditionalFormatting>
  <conditionalFormatting sqref="R278">
    <cfRule type="cellIs" dxfId="0" priority="1279" operator="equal">
      <formula>0</formula>
    </cfRule>
  </conditionalFormatting>
  <conditionalFormatting sqref="R279">
    <cfRule type="cellIs" dxfId="0" priority="1278" operator="equal">
      <formula>0</formula>
    </cfRule>
  </conditionalFormatting>
  <conditionalFormatting sqref="R280">
    <cfRule type="cellIs" dxfId="0" priority="1277" operator="equal">
      <formula>0</formula>
    </cfRule>
  </conditionalFormatting>
  <conditionalFormatting sqref="R281">
    <cfRule type="cellIs" dxfId="0" priority="1276" operator="equal">
      <formula>0</formula>
    </cfRule>
  </conditionalFormatting>
  <conditionalFormatting sqref="R282">
    <cfRule type="cellIs" dxfId="0" priority="1275" operator="equal">
      <formula>0</formula>
    </cfRule>
  </conditionalFormatting>
  <conditionalFormatting sqref="R283">
    <cfRule type="cellIs" dxfId="0" priority="1274" operator="equal">
      <formula>0</formula>
    </cfRule>
  </conditionalFormatting>
  <conditionalFormatting sqref="R284">
    <cfRule type="cellIs" dxfId="0" priority="1273" operator="equal">
      <formula>0</formula>
    </cfRule>
  </conditionalFormatting>
  <conditionalFormatting sqref="D286">
    <cfRule type="cellIs" dxfId="1" priority="1066" operator="equal">
      <formula>"等款"</formula>
    </cfRule>
    <cfRule type="cellIs" dxfId="2" priority="1067" operator="equal">
      <formula>"单据"</formula>
    </cfRule>
    <cfRule type="cellIs" dxfId="3" priority="1068" operator="equal">
      <formula>"发货"</formula>
    </cfRule>
  </conditionalFormatting>
  <conditionalFormatting sqref="F286">
    <cfRule type="cellIs" dxfId="4" priority="1064" operator="equal">
      <formula>"/"</formula>
    </cfRule>
    <cfRule type="cellIs" dxfId="5" priority="1065" operator="equal">
      <formula>0</formula>
    </cfRule>
  </conditionalFormatting>
  <conditionalFormatting sqref="R287">
    <cfRule type="cellIs" dxfId="0" priority="1271" operator="equal">
      <formula>0</formula>
    </cfRule>
  </conditionalFormatting>
  <conditionalFormatting sqref="R288">
    <cfRule type="cellIs" dxfId="0" priority="1270" operator="equal">
      <formula>0</formula>
    </cfRule>
  </conditionalFormatting>
  <conditionalFormatting sqref="R289">
    <cfRule type="cellIs" dxfId="0" priority="1269" operator="equal">
      <formula>0</formula>
    </cfRule>
  </conditionalFormatting>
  <conditionalFormatting sqref="R290">
    <cfRule type="cellIs" dxfId="0" priority="1267" operator="equal">
      <formula>0</formula>
    </cfRule>
  </conditionalFormatting>
  <conditionalFormatting sqref="R291">
    <cfRule type="cellIs" dxfId="0" priority="1266" operator="equal">
      <formula>0</formula>
    </cfRule>
  </conditionalFormatting>
  <conditionalFormatting sqref="D293">
    <cfRule type="cellIs" dxfId="1" priority="1081" operator="equal">
      <formula>"等款"</formula>
    </cfRule>
    <cfRule type="cellIs" dxfId="2" priority="1082" operator="equal">
      <formula>"单据"</formula>
    </cfRule>
    <cfRule type="cellIs" dxfId="3" priority="1083" operator="equal">
      <formula>"发货"</formula>
    </cfRule>
  </conditionalFormatting>
  <conditionalFormatting sqref="F293">
    <cfRule type="cellIs" dxfId="4" priority="1079" operator="equal">
      <formula>"/"</formula>
    </cfRule>
    <cfRule type="cellIs" dxfId="5" priority="1080" operator="equal">
      <formula>0</formula>
    </cfRule>
  </conditionalFormatting>
  <conditionalFormatting sqref="R294">
    <cfRule type="cellIs" dxfId="0" priority="1264" operator="equal">
      <formula>0</formula>
    </cfRule>
  </conditionalFormatting>
  <conditionalFormatting sqref="D296">
    <cfRule type="cellIs" dxfId="1" priority="1114" operator="equal">
      <formula>"等款"</formula>
    </cfRule>
    <cfRule type="cellIs" dxfId="2" priority="1115" operator="equal">
      <formula>"单据"</formula>
    </cfRule>
    <cfRule type="cellIs" dxfId="3" priority="1116" operator="equal">
      <formula>"发货"</formula>
    </cfRule>
  </conditionalFormatting>
  <conditionalFormatting sqref="F296">
    <cfRule type="cellIs" dxfId="4" priority="1112" operator="equal">
      <formula>"/"</formula>
    </cfRule>
    <cfRule type="cellIs" dxfId="5" priority="1113" operator="equal">
      <formula>0</formula>
    </cfRule>
  </conditionalFormatting>
  <conditionalFormatting sqref="R297">
    <cfRule type="cellIs" dxfId="0" priority="1262" operator="equal">
      <formula>0</formula>
    </cfRule>
  </conditionalFormatting>
  <conditionalFormatting sqref="R298">
    <cfRule type="cellIs" dxfId="0" priority="1261" operator="equal">
      <formula>0</formula>
    </cfRule>
  </conditionalFormatting>
  <conditionalFormatting sqref="D300">
    <cfRule type="cellIs" dxfId="1" priority="1061" operator="equal">
      <formula>"等款"</formula>
    </cfRule>
    <cfRule type="cellIs" dxfId="2" priority="1062" operator="equal">
      <formula>"单据"</formula>
    </cfRule>
    <cfRule type="cellIs" dxfId="3" priority="1063" operator="equal">
      <formula>"发货"</formula>
    </cfRule>
  </conditionalFormatting>
  <conditionalFormatting sqref="F300">
    <cfRule type="cellIs" dxfId="4" priority="1059" operator="equal">
      <formula>"/"</formula>
    </cfRule>
    <cfRule type="cellIs" dxfId="5" priority="1060" operator="equal">
      <formula>0</formula>
    </cfRule>
  </conditionalFormatting>
  <conditionalFormatting sqref="D317">
    <cfRule type="cellIs" dxfId="1" priority="1030" operator="equal">
      <formula>"等款"</formula>
    </cfRule>
    <cfRule type="cellIs" dxfId="2" priority="1031" operator="equal">
      <formula>"单据"</formula>
    </cfRule>
    <cfRule type="cellIs" dxfId="3" priority="1032" operator="equal">
      <formula>"发货"</formula>
    </cfRule>
  </conditionalFormatting>
  <conditionalFormatting sqref="F317">
    <cfRule type="cellIs" dxfId="4" priority="1028" operator="equal">
      <formula>"/"</formula>
    </cfRule>
    <cfRule type="cellIs" dxfId="5" priority="1029" operator="equal">
      <formula>0</formula>
    </cfRule>
  </conditionalFormatting>
  <conditionalFormatting sqref="D346">
    <cfRule type="cellIs" dxfId="1" priority="945" operator="equal">
      <formula>"等款"</formula>
    </cfRule>
    <cfRule type="cellIs" dxfId="2" priority="946" operator="equal">
      <formula>"单据"</formula>
    </cfRule>
    <cfRule type="cellIs" dxfId="3" priority="947" operator="equal">
      <formula>"发货"</formula>
    </cfRule>
  </conditionalFormatting>
  <conditionalFormatting sqref="F346">
    <cfRule type="cellIs" dxfId="4" priority="943" operator="equal">
      <formula>"/"</formula>
    </cfRule>
    <cfRule type="cellIs" dxfId="5" priority="944" operator="equal">
      <formula>0</formula>
    </cfRule>
  </conditionalFormatting>
  <conditionalFormatting sqref="D347">
    <cfRule type="cellIs" dxfId="3" priority="922" operator="equal">
      <formula>"发货"</formula>
    </cfRule>
    <cfRule type="cellIs" dxfId="2" priority="921" operator="equal">
      <formula>"单据"</formula>
    </cfRule>
    <cfRule type="cellIs" dxfId="1" priority="920" operator="equal">
      <formula>"等款"</formula>
    </cfRule>
  </conditionalFormatting>
  <conditionalFormatting sqref="F347">
    <cfRule type="cellIs" dxfId="5" priority="919" operator="equal">
      <formula>0</formula>
    </cfRule>
    <cfRule type="cellIs" dxfId="4" priority="918" operator="equal">
      <formula>"/"</formula>
    </cfRule>
  </conditionalFormatting>
  <conditionalFormatting sqref="D349">
    <cfRule type="cellIs" dxfId="1" priority="968" operator="equal">
      <formula>"等款"</formula>
    </cfRule>
    <cfRule type="cellIs" dxfId="2" priority="969" operator="equal">
      <formula>"单据"</formula>
    </cfRule>
    <cfRule type="cellIs" dxfId="3" priority="970" operator="equal">
      <formula>"发货"</formula>
    </cfRule>
  </conditionalFormatting>
  <conditionalFormatting sqref="F349">
    <cfRule type="cellIs" dxfId="4" priority="966" operator="equal">
      <formula>"/"</formula>
    </cfRule>
    <cfRule type="cellIs" dxfId="5" priority="967" operator="equal">
      <formula>0</formula>
    </cfRule>
  </conditionalFormatting>
  <conditionalFormatting sqref="D351">
    <cfRule type="cellIs" dxfId="1" priority="910" operator="equal">
      <formula>"等款"</formula>
    </cfRule>
    <cfRule type="cellIs" dxfId="2" priority="911" operator="equal">
      <formula>"单据"</formula>
    </cfRule>
    <cfRule type="cellIs" dxfId="3" priority="912" operator="equal">
      <formula>"发货"</formula>
    </cfRule>
  </conditionalFormatting>
  <conditionalFormatting sqref="F351">
    <cfRule type="cellIs" dxfId="4" priority="908" operator="equal">
      <formula>"/"</formula>
    </cfRule>
    <cfRule type="cellIs" dxfId="5" priority="909" operator="equal">
      <formula>0</formula>
    </cfRule>
  </conditionalFormatting>
  <conditionalFormatting sqref="D352">
    <cfRule type="cellIs" dxfId="3" priority="904" operator="equal">
      <formula>"发货"</formula>
    </cfRule>
    <cfRule type="cellIs" dxfId="2" priority="903" operator="equal">
      <formula>"单据"</formula>
    </cfRule>
    <cfRule type="cellIs" dxfId="1" priority="902" operator="equal">
      <formula>"等款"</formula>
    </cfRule>
  </conditionalFormatting>
  <conditionalFormatting sqref="F352">
    <cfRule type="cellIs" dxfId="5" priority="901" operator="equal">
      <formula>0</formula>
    </cfRule>
    <cfRule type="cellIs" dxfId="4" priority="900" operator="equal">
      <formula>"/"</formula>
    </cfRule>
  </conditionalFormatting>
  <conditionalFormatting sqref="U355">
    <cfRule type="cellIs" dxfId="6" priority="905" operator="equal">
      <formula>0</formula>
    </cfRule>
  </conditionalFormatting>
  <conditionalFormatting sqref="D356">
    <cfRule type="cellIs" dxfId="1" priority="915" operator="equal">
      <formula>"等款"</formula>
    </cfRule>
    <cfRule type="cellIs" dxfId="2" priority="916" operator="equal">
      <formula>"单据"</formula>
    </cfRule>
    <cfRule type="cellIs" dxfId="3" priority="917" operator="equal">
      <formula>"发货"</formula>
    </cfRule>
  </conditionalFormatting>
  <conditionalFormatting sqref="F356">
    <cfRule type="cellIs" dxfId="4" priority="913" operator="equal">
      <formula>"/"</formula>
    </cfRule>
    <cfRule type="cellIs" dxfId="5" priority="914" operator="equal">
      <formula>0</formula>
    </cfRule>
  </conditionalFormatting>
  <conditionalFormatting sqref="D365">
    <cfRule type="cellIs" dxfId="3" priority="792" operator="equal">
      <formula>"发货"</formula>
    </cfRule>
    <cfRule type="cellIs" dxfId="2" priority="791" operator="equal">
      <formula>"单据"</formula>
    </cfRule>
    <cfRule type="cellIs" dxfId="1" priority="790" operator="equal">
      <formula>"等款"</formula>
    </cfRule>
  </conditionalFormatting>
  <conditionalFormatting sqref="F365">
    <cfRule type="cellIs" dxfId="5" priority="789" operator="equal">
      <formula>0</formula>
    </cfRule>
    <cfRule type="cellIs" dxfId="4" priority="788" operator="equal">
      <formula>"/"</formula>
    </cfRule>
  </conditionalFormatting>
  <conditionalFormatting sqref="F369">
    <cfRule type="cellIs" dxfId="4" priority="890" operator="equal">
      <formula>"/"</formula>
    </cfRule>
    <cfRule type="cellIs" dxfId="5" priority="891" operator="equal">
      <formula>0</formula>
    </cfRule>
  </conditionalFormatting>
  <conditionalFormatting sqref="F370">
    <cfRule type="cellIs" dxfId="4" priority="888" operator="equal">
      <formula>"/"</formula>
    </cfRule>
    <cfRule type="cellIs" dxfId="5" priority="889" operator="equal">
      <formula>0</formula>
    </cfRule>
  </conditionalFormatting>
  <conditionalFormatting sqref="F371">
    <cfRule type="cellIs" dxfId="4" priority="878" operator="equal">
      <formula>"/"</formula>
    </cfRule>
    <cfRule type="cellIs" dxfId="5" priority="879" operator="equal">
      <formula>0</formula>
    </cfRule>
  </conditionalFormatting>
  <conditionalFormatting sqref="F372">
    <cfRule type="cellIs" dxfId="4" priority="876" operator="equal">
      <formula>"/"</formula>
    </cfRule>
    <cfRule type="cellIs" dxfId="5" priority="877" operator="equal">
      <formula>0</formula>
    </cfRule>
  </conditionalFormatting>
  <conditionalFormatting sqref="F373">
    <cfRule type="cellIs" dxfId="4" priority="872" operator="equal">
      <formula>"/"</formula>
    </cfRule>
    <cfRule type="cellIs" dxfId="5" priority="873" operator="equal">
      <formula>0</formula>
    </cfRule>
  </conditionalFormatting>
  <conditionalFormatting sqref="F374">
    <cfRule type="cellIs" dxfId="4" priority="870" operator="equal">
      <formula>"/"</formula>
    </cfRule>
    <cfRule type="cellIs" dxfId="5" priority="871" operator="equal">
      <formula>0</formula>
    </cfRule>
  </conditionalFormatting>
  <conditionalFormatting sqref="F375">
    <cfRule type="cellIs" dxfId="4" priority="868" operator="equal">
      <formula>"/"</formula>
    </cfRule>
    <cfRule type="cellIs" dxfId="5" priority="869" operator="equal">
      <formula>0</formula>
    </cfRule>
  </conditionalFormatting>
  <conditionalFormatting sqref="D376">
    <cfRule type="cellIs" dxfId="3" priority="766" operator="equal">
      <formula>"发货"</formula>
    </cfRule>
    <cfRule type="cellIs" dxfId="2" priority="765" operator="equal">
      <formula>"单据"</formula>
    </cfRule>
    <cfRule type="cellIs" dxfId="1" priority="764" operator="equal">
      <formula>"等款"</formula>
    </cfRule>
  </conditionalFormatting>
  <conditionalFormatting sqref="F376">
    <cfRule type="cellIs" dxfId="5" priority="768" operator="equal">
      <formula>0</formula>
    </cfRule>
    <cfRule type="cellIs" dxfId="4" priority="767" operator="equal">
      <formula>"/"</formula>
    </cfRule>
  </conditionalFormatting>
  <conditionalFormatting sqref="F377">
    <cfRule type="cellIs" dxfId="4" priority="866" operator="equal">
      <formula>"/"</formula>
    </cfRule>
    <cfRule type="cellIs" dxfId="5" priority="867" operator="equal">
      <formula>0</formula>
    </cfRule>
  </conditionalFormatting>
  <conditionalFormatting sqref="F378">
    <cfRule type="cellIs" dxfId="4" priority="864" operator="equal">
      <formula>"/"</formula>
    </cfRule>
    <cfRule type="cellIs" dxfId="5" priority="865" operator="equal">
      <formula>0</formula>
    </cfRule>
  </conditionalFormatting>
  <conditionalFormatting sqref="F379">
    <cfRule type="cellIs" dxfId="4" priority="862" operator="equal">
      <formula>"/"</formula>
    </cfRule>
    <cfRule type="cellIs" dxfId="5" priority="863" operator="equal">
      <formula>0</formula>
    </cfRule>
  </conditionalFormatting>
  <conditionalFormatting sqref="F380">
    <cfRule type="cellIs" dxfId="4" priority="860" operator="equal">
      <formula>"/"</formula>
    </cfRule>
    <cfRule type="cellIs" dxfId="5" priority="861" operator="equal">
      <formula>0</formula>
    </cfRule>
  </conditionalFormatting>
  <conditionalFormatting sqref="D381">
    <cfRule type="cellIs" dxfId="1" priority="843" operator="equal">
      <formula>"等款"</formula>
    </cfRule>
    <cfRule type="cellIs" dxfId="2" priority="844" operator="equal">
      <formula>"单据"</formula>
    </cfRule>
    <cfRule type="cellIs" dxfId="3" priority="845" operator="equal">
      <formula>"发货"</formula>
    </cfRule>
  </conditionalFormatting>
  <conditionalFormatting sqref="F381">
    <cfRule type="cellIs" dxfId="4" priority="841" operator="equal">
      <formula>"/"</formula>
    </cfRule>
    <cfRule type="cellIs" dxfId="5" priority="842" operator="equal">
      <formula>0</formula>
    </cfRule>
  </conditionalFormatting>
  <conditionalFormatting sqref="F382">
    <cfRule type="cellIs" dxfId="4" priority="856" operator="equal">
      <formula>"/"</formula>
    </cfRule>
    <cfRule type="cellIs" dxfId="5" priority="857" operator="equal">
      <formula>0</formula>
    </cfRule>
  </conditionalFormatting>
  <conditionalFormatting sqref="F383">
    <cfRule type="cellIs" dxfId="4" priority="854" operator="equal">
      <formula>"/"</formula>
    </cfRule>
    <cfRule type="cellIs" dxfId="5" priority="855" operator="equal">
      <formula>0</formula>
    </cfRule>
  </conditionalFormatting>
  <conditionalFormatting sqref="F384">
    <cfRule type="cellIs" dxfId="4" priority="850" operator="equal">
      <formula>"/"</formula>
    </cfRule>
    <cfRule type="cellIs" dxfId="5" priority="851" operator="equal">
      <formula>0</formula>
    </cfRule>
  </conditionalFormatting>
  <conditionalFormatting sqref="F385">
    <cfRule type="cellIs" dxfId="4" priority="848" operator="equal">
      <formula>"/"</formula>
    </cfRule>
    <cfRule type="cellIs" dxfId="5" priority="849" operator="equal">
      <formula>0</formula>
    </cfRule>
  </conditionalFormatting>
  <conditionalFormatting sqref="F386">
    <cfRule type="cellIs" dxfId="4" priority="839" operator="equal">
      <formula>"/"</formula>
    </cfRule>
    <cfRule type="cellIs" dxfId="5" priority="840" operator="equal">
      <formula>0</formula>
    </cfRule>
  </conditionalFormatting>
  <conditionalFormatting sqref="F387">
    <cfRule type="cellIs" dxfId="4" priority="825" operator="equal">
      <formula>"/"</formula>
    </cfRule>
    <cfRule type="cellIs" dxfId="5" priority="826" operator="equal">
      <formula>0</formula>
    </cfRule>
  </conditionalFormatting>
  <conditionalFormatting sqref="F388">
    <cfRule type="cellIs" dxfId="4" priority="827" operator="equal">
      <formula>"/"</formula>
    </cfRule>
    <cfRule type="cellIs" dxfId="5" priority="828" operator="equal">
      <formula>0</formula>
    </cfRule>
  </conditionalFormatting>
  <conditionalFormatting sqref="F389">
    <cfRule type="cellIs" dxfId="4" priority="817" operator="equal">
      <formula>"/"</formula>
    </cfRule>
    <cfRule type="cellIs" dxfId="5" priority="818" operator="equal">
      <formula>0</formula>
    </cfRule>
  </conditionalFormatting>
  <conditionalFormatting sqref="F390">
    <cfRule type="cellIs" dxfId="4" priority="821" operator="equal">
      <formula>"/"</formula>
    </cfRule>
    <cfRule type="cellIs" dxfId="5" priority="822" operator="equal">
      <formula>0</formula>
    </cfRule>
  </conditionalFormatting>
  <conditionalFormatting sqref="F391">
    <cfRule type="cellIs" dxfId="4" priority="823" operator="equal">
      <formula>"/"</formula>
    </cfRule>
    <cfRule type="cellIs" dxfId="5" priority="824" operator="equal">
      <formula>0</formula>
    </cfRule>
  </conditionalFormatting>
  <conditionalFormatting sqref="F392">
    <cfRule type="cellIs" dxfId="4" priority="819" operator="equal">
      <formula>"/"</formula>
    </cfRule>
    <cfRule type="cellIs" dxfId="5" priority="820" operator="equal">
      <formula>0</formula>
    </cfRule>
  </conditionalFormatting>
  <conditionalFormatting sqref="F393">
    <cfRule type="cellIs" dxfId="4" priority="815" operator="equal">
      <formula>"/"</formula>
    </cfRule>
    <cfRule type="cellIs" dxfId="5" priority="816" operator="equal">
      <formula>0</formula>
    </cfRule>
  </conditionalFormatting>
  <conditionalFormatting sqref="D396">
    <cfRule type="cellIs" dxfId="1" priority="714" operator="equal">
      <formula>"等款"</formula>
    </cfRule>
    <cfRule type="cellIs" dxfId="2" priority="715" operator="equal">
      <formula>"单据"</formula>
    </cfRule>
    <cfRule type="cellIs" dxfId="3" priority="716" operator="equal">
      <formula>"发货"</formula>
    </cfRule>
  </conditionalFormatting>
  <conditionalFormatting sqref="F396">
    <cfRule type="cellIs" dxfId="4" priority="712" operator="equal">
      <formula>"/"</formula>
    </cfRule>
    <cfRule type="cellIs" dxfId="5" priority="713" operator="equal">
      <formula>0</formula>
    </cfRule>
  </conditionalFormatting>
  <conditionalFormatting sqref="D397">
    <cfRule type="cellIs" dxfId="1" priority="699" operator="equal">
      <formula>"等款"</formula>
    </cfRule>
    <cfRule type="cellIs" dxfId="2" priority="700" operator="equal">
      <formula>"单据"</formula>
    </cfRule>
    <cfRule type="cellIs" dxfId="3" priority="701" operator="equal">
      <formula>"发货"</formula>
    </cfRule>
  </conditionalFormatting>
  <conditionalFormatting sqref="F397">
    <cfRule type="cellIs" dxfId="4" priority="697" operator="equal">
      <formula>"/"</formula>
    </cfRule>
    <cfRule type="cellIs" dxfId="5" priority="698" operator="equal">
      <formula>0</formula>
    </cfRule>
  </conditionalFormatting>
  <conditionalFormatting sqref="D398">
    <cfRule type="cellIs" dxfId="3" priority="651" operator="equal">
      <formula>"发货"</formula>
    </cfRule>
    <cfRule type="cellIs" dxfId="2" priority="650" operator="equal">
      <formula>"单据"</formula>
    </cfRule>
    <cfRule type="cellIs" dxfId="1" priority="649" operator="equal">
      <formula>"等款"</formula>
    </cfRule>
  </conditionalFormatting>
  <conditionalFormatting sqref="F398">
    <cfRule type="cellIs" dxfId="5" priority="648" operator="equal">
      <formula>0</formula>
    </cfRule>
    <cfRule type="cellIs" dxfId="4" priority="647" operator="equal">
      <formula>"/"</formula>
    </cfRule>
  </conditionalFormatting>
  <conditionalFormatting sqref="F399">
    <cfRule type="cellIs" dxfId="4" priority="804" operator="equal">
      <formula>"/"</formula>
    </cfRule>
    <cfRule type="cellIs" dxfId="5" priority="805" operator="equal">
      <formula>0</formula>
    </cfRule>
  </conditionalFormatting>
  <conditionalFormatting sqref="F400">
    <cfRule type="cellIs" dxfId="4" priority="802" operator="equal">
      <formula>"/"</formula>
    </cfRule>
    <cfRule type="cellIs" dxfId="5" priority="803" operator="equal">
      <formula>0</formula>
    </cfRule>
  </conditionalFormatting>
  <conditionalFormatting sqref="F401">
    <cfRule type="cellIs" dxfId="4" priority="793" operator="equal">
      <formula>"/"</formula>
    </cfRule>
    <cfRule type="cellIs" dxfId="5" priority="794" operator="equal">
      <formula>0</formula>
    </cfRule>
  </conditionalFormatting>
  <conditionalFormatting sqref="F402">
    <cfRule type="cellIs" dxfId="4" priority="786" operator="equal">
      <formula>"/"</formula>
    </cfRule>
    <cfRule type="cellIs" dxfId="5" priority="787" operator="equal">
      <formula>0</formula>
    </cfRule>
  </conditionalFormatting>
  <conditionalFormatting sqref="F403">
    <cfRule type="cellIs" dxfId="4" priority="784" operator="equal">
      <formula>"/"</formula>
    </cfRule>
    <cfRule type="cellIs" dxfId="5" priority="785" operator="equal">
      <formula>0</formula>
    </cfRule>
  </conditionalFormatting>
  <conditionalFormatting sqref="F406">
    <cfRule type="cellIs" dxfId="4" priority="755" operator="equal">
      <formula>"/"</formula>
    </cfRule>
    <cfRule type="cellIs" dxfId="5" priority="756" operator="equal">
      <formula>0</formula>
    </cfRule>
  </conditionalFormatting>
  <conditionalFormatting sqref="F407">
    <cfRule type="cellIs" dxfId="4" priority="752" operator="equal">
      <formula>"/"</formula>
    </cfRule>
    <cfRule type="cellIs" dxfId="5" priority="753" operator="equal">
      <formula>0</formula>
    </cfRule>
  </conditionalFormatting>
  <conditionalFormatting sqref="F408">
    <cfRule type="cellIs" dxfId="4" priority="747" operator="equal">
      <formula>"/"</formula>
    </cfRule>
    <cfRule type="cellIs" dxfId="5" priority="748" operator="equal">
      <formula>0</formula>
    </cfRule>
  </conditionalFormatting>
  <conditionalFormatting sqref="F413">
    <cfRule type="cellIs" dxfId="4" priority="722" operator="equal">
      <formula>"/"</formula>
    </cfRule>
    <cfRule type="cellIs" dxfId="5" priority="723" operator="equal">
      <formula>0</formula>
    </cfRule>
  </conditionalFormatting>
  <conditionalFormatting sqref="F414">
    <cfRule type="cellIs" dxfId="4" priority="724" operator="equal">
      <formula>"/"</formula>
    </cfRule>
    <cfRule type="cellIs" dxfId="5" priority="725" operator="equal">
      <formula>0</formula>
    </cfRule>
  </conditionalFormatting>
  <conditionalFormatting sqref="D415">
    <cfRule type="cellIs" dxfId="1" priority="670" operator="equal">
      <formula>"等款"</formula>
    </cfRule>
    <cfRule type="cellIs" dxfId="2" priority="671" operator="equal">
      <formula>"单据"</formula>
    </cfRule>
    <cfRule type="cellIs" dxfId="3" priority="672" operator="equal">
      <formula>"发货"</formula>
    </cfRule>
  </conditionalFormatting>
  <conditionalFormatting sqref="F415">
    <cfRule type="cellIs" dxfId="4" priority="668" operator="equal">
      <formula>"/"</formula>
    </cfRule>
    <cfRule type="cellIs" dxfId="5" priority="669" operator="equal">
      <formula>0</formula>
    </cfRule>
  </conditionalFormatting>
  <conditionalFormatting sqref="F416">
    <cfRule type="cellIs" dxfId="4" priority="708" operator="equal">
      <formula>"/"</formula>
    </cfRule>
    <cfRule type="cellIs" dxfId="5" priority="709" operator="equal">
      <formula>0</formula>
    </cfRule>
  </conditionalFormatting>
  <conditionalFormatting sqref="F417">
    <cfRule type="cellIs" dxfId="4" priority="710" operator="equal">
      <formula>"/"</formula>
    </cfRule>
    <cfRule type="cellIs" dxfId="5" priority="711" operator="equal">
      <formula>0</formula>
    </cfRule>
  </conditionalFormatting>
  <conditionalFormatting sqref="F418">
    <cfRule type="cellIs" dxfId="4" priority="704" operator="equal">
      <formula>"/"</formula>
    </cfRule>
    <cfRule type="cellIs" dxfId="5" priority="705" operator="equal">
      <formula>0</formula>
    </cfRule>
  </conditionalFormatting>
  <conditionalFormatting sqref="F419">
    <cfRule type="cellIs" dxfId="4" priority="706" operator="equal">
      <formula>"/"</formula>
    </cfRule>
    <cfRule type="cellIs" dxfId="5" priority="707" operator="equal">
      <formula>0</formula>
    </cfRule>
  </conditionalFormatting>
  <conditionalFormatting sqref="F420">
    <cfRule type="cellIs" dxfId="4" priority="702" operator="equal">
      <formula>"/"</formula>
    </cfRule>
    <cfRule type="cellIs" dxfId="5" priority="703" operator="equal">
      <formula>0</formula>
    </cfRule>
  </conditionalFormatting>
  <conditionalFormatting sqref="F421">
    <cfRule type="cellIs" dxfId="4" priority="691" operator="equal">
      <formula>"/"</formula>
    </cfRule>
    <cfRule type="cellIs" dxfId="5" priority="692" operator="equal">
      <formula>0</formula>
    </cfRule>
  </conditionalFormatting>
  <conditionalFormatting sqref="F422">
    <cfRule type="cellIs" dxfId="4" priority="689" operator="equal">
      <formula>"/"</formula>
    </cfRule>
    <cfRule type="cellIs" dxfId="5" priority="690" operator="equal">
      <formula>0</formula>
    </cfRule>
  </conditionalFormatting>
  <conditionalFormatting sqref="F423">
    <cfRule type="cellIs" dxfId="4" priority="687" operator="equal">
      <formula>"/"</formula>
    </cfRule>
    <cfRule type="cellIs" dxfId="5" priority="688" operator="equal">
      <formula>0</formula>
    </cfRule>
  </conditionalFormatting>
  <conditionalFormatting sqref="D424">
    <cfRule type="cellIs" dxfId="3" priority="640" operator="equal">
      <formula>"发货"</formula>
    </cfRule>
    <cfRule type="cellIs" dxfId="2" priority="639" operator="equal">
      <formula>"单据"</formula>
    </cfRule>
    <cfRule type="cellIs" dxfId="1" priority="638" operator="equal">
      <formula>"等款"</formula>
    </cfRule>
  </conditionalFormatting>
  <conditionalFormatting sqref="F424">
    <cfRule type="cellIs" dxfId="5" priority="637" operator="equal">
      <formula>0</formula>
    </cfRule>
    <cfRule type="cellIs" dxfId="4" priority="636" operator="equal">
      <formula>"/"</formula>
    </cfRule>
  </conditionalFormatting>
  <conditionalFormatting sqref="F425">
    <cfRule type="cellIs" dxfId="4" priority="675" operator="equal">
      <formula>"/"</formula>
    </cfRule>
    <cfRule type="cellIs" dxfId="5" priority="676" operator="equal">
      <formula>0</formula>
    </cfRule>
  </conditionalFormatting>
  <conditionalFormatting sqref="F426">
    <cfRule type="cellIs" dxfId="4" priority="666" operator="equal">
      <formula>"/"</formula>
    </cfRule>
    <cfRule type="cellIs" dxfId="5" priority="667" operator="equal">
      <formula>0</formula>
    </cfRule>
  </conditionalFormatting>
  <conditionalFormatting sqref="F427">
    <cfRule type="cellIs" dxfId="4" priority="660" operator="equal">
      <formula>"/"</formula>
    </cfRule>
    <cfRule type="cellIs" dxfId="5" priority="661" operator="equal">
      <formula>0</formula>
    </cfRule>
  </conditionalFormatting>
  <conditionalFormatting sqref="F428">
    <cfRule type="cellIs" dxfId="4" priority="654" operator="equal">
      <formula>"/"</formula>
    </cfRule>
    <cfRule type="cellIs" dxfId="5" priority="655" operator="equal">
      <formula>0</formula>
    </cfRule>
  </conditionalFormatting>
  <conditionalFormatting sqref="F429">
    <cfRule type="cellIs" dxfId="4" priority="645" operator="equal">
      <formula>"/"</formula>
    </cfRule>
    <cfRule type="cellIs" dxfId="5" priority="646" operator="equal">
      <formula>0</formula>
    </cfRule>
  </conditionalFormatting>
  <conditionalFormatting sqref="F430">
    <cfRule type="cellIs" dxfId="4" priority="643" operator="equal">
      <formula>"/"</formula>
    </cfRule>
    <cfRule type="cellIs" dxfId="5" priority="644" operator="equal">
      <formula>0</formula>
    </cfRule>
  </conditionalFormatting>
  <conditionalFormatting sqref="D431">
    <cfRule type="cellIs" dxfId="3" priority="583" operator="equal">
      <formula>"发货"</formula>
    </cfRule>
    <cfRule type="cellIs" dxfId="2" priority="582" operator="equal">
      <formula>"单据"</formula>
    </cfRule>
    <cfRule type="cellIs" dxfId="1" priority="581" operator="equal">
      <formula>"等款"</formula>
    </cfRule>
  </conditionalFormatting>
  <conditionalFormatting sqref="F431">
    <cfRule type="cellIs" dxfId="5" priority="580" operator="equal">
      <formula>0</formula>
    </cfRule>
    <cfRule type="cellIs" dxfId="4" priority="579" operator="equal">
      <formula>"/"</formula>
    </cfRule>
  </conditionalFormatting>
  <conditionalFormatting sqref="F432">
    <cfRule type="cellIs" dxfId="4" priority="641" operator="equal">
      <formula>"/"</formula>
    </cfRule>
    <cfRule type="cellIs" dxfId="5" priority="642" operator="equal">
      <formula>0</formula>
    </cfRule>
  </conditionalFormatting>
  <conditionalFormatting sqref="F433">
    <cfRule type="cellIs" dxfId="4" priority="634" operator="equal">
      <formula>"/"</formula>
    </cfRule>
    <cfRule type="cellIs" dxfId="5" priority="635" operator="equal">
      <formula>0</formula>
    </cfRule>
  </conditionalFormatting>
  <conditionalFormatting sqref="F434">
    <cfRule type="cellIs" dxfId="4" priority="628" operator="equal">
      <formula>"/"</formula>
    </cfRule>
    <cfRule type="cellIs" dxfId="5" priority="629" operator="equal">
      <formula>0</formula>
    </cfRule>
  </conditionalFormatting>
  <conditionalFormatting sqref="F435">
    <cfRule type="cellIs" dxfId="4" priority="626" operator="equal">
      <formula>"/"</formula>
    </cfRule>
    <cfRule type="cellIs" dxfId="5" priority="627" operator="equal">
      <formula>0</formula>
    </cfRule>
  </conditionalFormatting>
  <conditionalFormatting sqref="F436">
    <cfRule type="cellIs" dxfId="4" priority="620" operator="equal">
      <formula>"/"</formula>
    </cfRule>
    <cfRule type="cellIs" dxfId="5" priority="621" operator="equal">
      <formula>0</formula>
    </cfRule>
  </conditionalFormatting>
  <conditionalFormatting sqref="D437">
    <cfRule type="cellIs" dxfId="3" priority="560" operator="equal">
      <formula>"发货"</formula>
    </cfRule>
    <cfRule type="cellIs" dxfId="2" priority="559" operator="equal">
      <formula>"单据"</formula>
    </cfRule>
    <cfRule type="cellIs" dxfId="1" priority="558" operator="equal">
      <formula>"等款"</formula>
    </cfRule>
  </conditionalFormatting>
  <conditionalFormatting sqref="F437">
    <cfRule type="cellIs" dxfId="5" priority="557" operator="equal">
      <formula>0</formula>
    </cfRule>
    <cfRule type="cellIs" dxfId="4" priority="556" operator="equal">
      <formula>"/"</formula>
    </cfRule>
  </conditionalFormatting>
  <conditionalFormatting sqref="F438">
    <cfRule type="cellIs" dxfId="4" priority="622" operator="equal">
      <formula>"/"</formula>
    </cfRule>
    <cfRule type="cellIs" dxfId="5" priority="623" operator="equal">
      <formula>0</formula>
    </cfRule>
  </conditionalFormatting>
  <conditionalFormatting sqref="F439">
    <cfRule type="cellIs" dxfId="4" priority="614" operator="equal">
      <formula>"/"</formula>
    </cfRule>
    <cfRule type="cellIs" dxfId="5" priority="615" operator="equal">
      <formula>0</formula>
    </cfRule>
  </conditionalFormatting>
  <conditionalFormatting sqref="F440">
    <cfRule type="cellIs" dxfId="4" priority="612" operator="equal">
      <formula>"/"</formula>
    </cfRule>
    <cfRule type="cellIs" dxfId="5" priority="613" operator="equal">
      <formula>0</formula>
    </cfRule>
  </conditionalFormatting>
  <conditionalFormatting sqref="F441">
    <cfRule type="cellIs" dxfId="4" priority="608" operator="equal">
      <formula>"/"</formula>
    </cfRule>
    <cfRule type="cellIs" dxfId="5" priority="609" operator="equal">
      <formula>0</formula>
    </cfRule>
  </conditionalFormatting>
  <conditionalFormatting sqref="F442">
    <cfRule type="cellIs" dxfId="4" priority="597" operator="equal">
      <formula>"/"</formula>
    </cfRule>
    <cfRule type="cellIs" dxfId="5" priority="598" operator="equal">
      <formula>0</formula>
    </cfRule>
  </conditionalFormatting>
  <conditionalFormatting sqref="F443">
    <cfRule type="cellIs" dxfId="4" priority="595" operator="equal">
      <formula>"/"</formula>
    </cfRule>
    <cfRule type="cellIs" dxfId="5" priority="596" operator="equal">
      <formula>0</formula>
    </cfRule>
  </conditionalFormatting>
  <conditionalFormatting sqref="F444">
    <cfRule type="cellIs" dxfId="4" priority="584" operator="equal">
      <formula>"/"</formula>
    </cfRule>
    <cfRule type="cellIs" dxfId="5" priority="585" operator="equal">
      <formula>0</formula>
    </cfRule>
  </conditionalFormatting>
  <conditionalFormatting sqref="D445">
    <cfRule type="cellIs" dxfId="3" priority="494" operator="equal">
      <formula>"发货"</formula>
    </cfRule>
    <cfRule type="cellIs" dxfId="2" priority="493" operator="equal">
      <formula>"单据"</formula>
    </cfRule>
    <cfRule type="cellIs" dxfId="1" priority="492" operator="equal">
      <formula>"等款"</formula>
    </cfRule>
  </conditionalFormatting>
  <conditionalFormatting sqref="F445">
    <cfRule type="cellIs" dxfId="5" priority="491" operator="equal">
      <formula>0</formula>
    </cfRule>
    <cfRule type="cellIs" dxfId="4" priority="490" operator="equal">
      <formula>"/"</formula>
    </cfRule>
  </conditionalFormatting>
  <conditionalFormatting sqref="F446">
    <cfRule type="cellIs" dxfId="4" priority="577" operator="equal">
      <formula>"/"</formula>
    </cfRule>
    <cfRule type="cellIs" dxfId="5" priority="578" operator="equal">
      <formula>0</formula>
    </cfRule>
  </conditionalFormatting>
  <conditionalFormatting sqref="F447">
    <cfRule type="cellIs" dxfId="4" priority="554" operator="equal">
      <formula>"/"</formula>
    </cfRule>
    <cfRule type="cellIs" dxfId="5" priority="555" operator="equal">
      <formula>0</formula>
    </cfRule>
  </conditionalFormatting>
  <conditionalFormatting sqref="F448">
    <cfRule type="cellIs" dxfId="4" priority="545" operator="equal">
      <formula>"/"</formula>
    </cfRule>
    <cfRule type="cellIs" dxfId="5" priority="546" operator="equal">
      <formula>0</formula>
    </cfRule>
  </conditionalFormatting>
  <conditionalFormatting sqref="F449">
    <cfRule type="cellIs" dxfId="4" priority="541" operator="equal">
      <formula>"/"</formula>
    </cfRule>
    <cfRule type="cellIs" dxfId="5" priority="542" operator="equal">
      <formula>0</formula>
    </cfRule>
  </conditionalFormatting>
  <conditionalFormatting sqref="D450">
    <cfRule type="cellIs" dxfId="3" priority="482" operator="equal">
      <formula>"发货"</formula>
    </cfRule>
    <cfRule type="cellIs" dxfId="2" priority="481" operator="equal">
      <formula>"单据"</formula>
    </cfRule>
    <cfRule type="cellIs" dxfId="1" priority="480" operator="equal">
      <formula>"等款"</formula>
    </cfRule>
  </conditionalFormatting>
  <conditionalFormatting sqref="F450">
    <cfRule type="cellIs" dxfId="5" priority="479" operator="equal">
      <formula>0</formula>
    </cfRule>
    <cfRule type="cellIs" dxfId="4" priority="478" operator="equal">
      <formula>"/"</formula>
    </cfRule>
  </conditionalFormatting>
  <conditionalFormatting sqref="F451">
    <cfRule type="cellIs" dxfId="4" priority="537" operator="equal">
      <formula>"/"</formula>
    </cfRule>
    <cfRule type="cellIs" dxfId="5" priority="538" operator="equal">
      <formula>0</formula>
    </cfRule>
  </conditionalFormatting>
  <conditionalFormatting sqref="F452">
    <cfRule type="cellIs" dxfId="4" priority="525" operator="equal">
      <formula>"/"</formula>
    </cfRule>
    <cfRule type="cellIs" dxfId="5" priority="526" operator="equal">
      <formula>0</formula>
    </cfRule>
  </conditionalFormatting>
  <conditionalFormatting sqref="F453">
    <cfRule type="cellIs" dxfId="4" priority="523" operator="equal">
      <formula>"/"</formula>
    </cfRule>
    <cfRule type="cellIs" dxfId="5" priority="524" operator="equal">
      <formula>0</formula>
    </cfRule>
  </conditionalFormatting>
  <conditionalFormatting sqref="F454">
    <cfRule type="cellIs" dxfId="4" priority="517" operator="equal">
      <formula>"/"</formula>
    </cfRule>
    <cfRule type="cellIs" dxfId="5" priority="518" operator="equal">
      <formula>0</formula>
    </cfRule>
  </conditionalFormatting>
  <conditionalFormatting sqref="D455">
    <cfRule type="cellIs" dxfId="3" priority="417" operator="equal">
      <formula>"发货"</formula>
    </cfRule>
    <cfRule type="cellIs" dxfId="2" priority="416" operator="equal">
      <formula>"单据"</formula>
    </cfRule>
    <cfRule type="cellIs" dxfId="1" priority="415" operator="equal">
      <formula>"等款"</formula>
    </cfRule>
  </conditionalFormatting>
  <conditionalFormatting sqref="F455">
    <cfRule type="cellIs" dxfId="5" priority="414" operator="equal">
      <formula>0</formula>
    </cfRule>
    <cfRule type="cellIs" dxfId="4" priority="413" operator="equal">
      <formula>"/"</formula>
    </cfRule>
  </conditionalFormatting>
  <conditionalFormatting sqref="F456">
    <cfRule type="cellIs" dxfId="4" priority="515" operator="equal">
      <formula>"/"</formula>
    </cfRule>
    <cfRule type="cellIs" dxfId="5" priority="516" operator="equal">
      <formula>0</formula>
    </cfRule>
  </conditionalFormatting>
  <conditionalFormatting sqref="F457">
    <cfRule type="cellIs" dxfId="4" priority="513" operator="equal">
      <formula>"/"</formula>
    </cfRule>
    <cfRule type="cellIs" dxfId="5" priority="514" operator="equal">
      <formula>0</formula>
    </cfRule>
  </conditionalFormatting>
  <conditionalFormatting sqref="F458">
    <cfRule type="cellIs" dxfId="4" priority="509" operator="equal">
      <formula>"/"</formula>
    </cfRule>
    <cfRule type="cellIs" dxfId="5" priority="510" operator="equal">
      <formula>0</formula>
    </cfRule>
  </conditionalFormatting>
  <conditionalFormatting sqref="D459">
    <cfRule type="cellIs" dxfId="1" priority="456" operator="equal">
      <formula>"等款"</formula>
    </cfRule>
    <cfRule type="cellIs" dxfId="2" priority="457" operator="equal">
      <formula>"单据"</formula>
    </cfRule>
    <cfRule type="cellIs" dxfId="3" priority="458" operator="equal">
      <formula>"发货"</formula>
    </cfRule>
  </conditionalFormatting>
  <conditionalFormatting sqref="F459">
    <cfRule type="cellIs" dxfId="4" priority="454" operator="equal">
      <formula>"/"</formula>
    </cfRule>
    <cfRule type="cellIs" dxfId="5" priority="455" operator="equal">
      <formula>0</formula>
    </cfRule>
  </conditionalFormatting>
  <conditionalFormatting sqref="F460">
    <cfRule type="cellIs" dxfId="4" priority="511" operator="equal">
      <formula>"/"</formula>
    </cfRule>
    <cfRule type="cellIs" dxfId="5" priority="512" operator="equal">
      <formula>0</formula>
    </cfRule>
  </conditionalFormatting>
  <conditionalFormatting sqref="D461">
    <cfRule type="cellIs" dxfId="1" priority="451" operator="equal">
      <formula>"等款"</formula>
    </cfRule>
    <cfRule type="cellIs" dxfId="2" priority="452" operator="equal">
      <formula>"单据"</formula>
    </cfRule>
    <cfRule type="cellIs" dxfId="3" priority="453" operator="equal">
      <formula>"发货"</formula>
    </cfRule>
  </conditionalFormatting>
  <conditionalFormatting sqref="F461">
    <cfRule type="cellIs" dxfId="4" priority="449" operator="equal">
      <formula>"/"</formula>
    </cfRule>
    <cfRule type="cellIs" dxfId="5" priority="450" operator="equal">
      <formula>0</formula>
    </cfRule>
  </conditionalFormatting>
  <conditionalFormatting sqref="D462">
    <cfRule type="cellIs" dxfId="3" priority="314" operator="equal">
      <formula>"发货"</formula>
    </cfRule>
    <cfRule type="cellIs" dxfId="2" priority="313" operator="equal">
      <formula>"单据"</formula>
    </cfRule>
    <cfRule type="cellIs" dxfId="1" priority="312" operator="equal">
      <formula>"等款"</formula>
    </cfRule>
  </conditionalFormatting>
  <conditionalFormatting sqref="F462">
    <cfRule type="cellIs" dxfId="5" priority="311" operator="equal">
      <formula>0</formula>
    </cfRule>
    <cfRule type="cellIs" dxfId="4" priority="310" operator="equal">
      <formula>"/"</formula>
    </cfRule>
  </conditionalFormatting>
  <conditionalFormatting sqref="F463">
    <cfRule type="cellIs" dxfId="4" priority="507" operator="equal">
      <formula>"/"</formula>
    </cfRule>
    <cfRule type="cellIs" dxfId="5" priority="508" operator="equal">
      <formula>0</formula>
    </cfRule>
  </conditionalFormatting>
  <conditionalFormatting sqref="F464">
    <cfRule type="cellIs" dxfId="4" priority="505" operator="equal">
      <formula>"/"</formula>
    </cfRule>
    <cfRule type="cellIs" dxfId="5" priority="506" operator="equal">
      <formula>0</formula>
    </cfRule>
  </conditionalFormatting>
  <conditionalFormatting sqref="D465">
    <cfRule type="cellIs" dxfId="1" priority="435" operator="equal">
      <formula>"等款"</formula>
    </cfRule>
    <cfRule type="cellIs" dxfId="2" priority="436" operator="equal">
      <formula>"单据"</formula>
    </cfRule>
    <cfRule type="cellIs" dxfId="3" priority="437" operator="equal">
      <formula>"发货"</formula>
    </cfRule>
  </conditionalFormatting>
  <conditionalFormatting sqref="F465">
    <cfRule type="cellIs" dxfId="4" priority="433" operator="equal">
      <formula>"/"</formula>
    </cfRule>
    <cfRule type="cellIs" dxfId="5" priority="434" operator="equal">
      <formula>0</formula>
    </cfRule>
  </conditionalFormatting>
  <conditionalFormatting sqref="F466">
    <cfRule type="cellIs" dxfId="4" priority="501" operator="equal">
      <formula>"/"</formula>
    </cfRule>
    <cfRule type="cellIs" dxfId="5" priority="502" operator="equal">
      <formula>0</formula>
    </cfRule>
  </conditionalFormatting>
  <conditionalFormatting sqref="D468">
    <cfRule type="cellIs" dxfId="1" priority="400" operator="equal">
      <formula>"等款"</formula>
    </cfRule>
    <cfRule type="cellIs" dxfId="2" priority="401" operator="equal">
      <formula>"单据"</formula>
    </cfRule>
    <cfRule type="cellIs" dxfId="3" priority="402" operator="equal">
      <formula>"发货"</formula>
    </cfRule>
  </conditionalFormatting>
  <conditionalFormatting sqref="F468">
    <cfRule type="cellIs" dxfId="4" priority="398" operator="equal">
      <formula>"/"</formula>
    </cfRule>
    <cfRule type="cellIs" dxfId="5" priority="399" operator="equal">
      <formula>0</formula>
    </cfRule>
  </conditionalFormatting>
  <conditionalFormatting sqref="D469">
    <cfRule type="cellIs" dxfId="1" priority="395" operator="equal">
      <formula>"等款"</formula>
    </cfRule>
    <cfRule type="cellIs" dxfId="2" priority="396" operator="equal">
      <formula>"单据"</formula>
    </cfRule>
    <cfRule type="cellIs" dxfId="3" priority="397" operator="equal">
      <formula>"发货"</formula>
    </cfRule>
  </conditionalFormatting>
  <conditionalFormatting sqref="F469">
    <cfRule type="cellIs" dxfId="4" priority="393" operator="equal">
      <formula>"/"</formula>
    </cfRule>
    <cfRule type="cellIs" dxfId="5" priority="394" operator="equal">
      <formula>0</formula>
    </cfRule>
  </conditionalFormatting>
  <conditionalFormatting sqref="F471">
    <cfRule type="cellIs" dxfId="4" priority="483" operator="equal">
      <formula>"/"</formula>
    </cfRule>
    <cfRule type="cellIs" dxfId="5" priority="484" operator="equal">
      <formula>0</formula>
    </cfRule>
  </conditionalFormatting>
  <conditionalFormatting sqref="F474">
    <cfRule type="cellIs" dxfId="4" priority="442" operator="equal">
      <formula>"/"</formula>
    </cfRule>
    <cfRule type="cellIs" dxfId="5" priority="443" operator="equal">
      <formula>0</formula>
    </cfRule>
  </conditionalFormatting>
  <conditionalFormatting sqref="F475">
    <cfRule type="cellIs" dxfId="4" priority="440" operator="equal">
      <formula>"/"</formula>
    </cfRule>
    <cfRule type="cellIs" dxfId="5" priority="441" operator="equal">
      <formula>0</formula>
    </cfRule>
  </conditionalFormatting>
  <conditionalFormatting sqref="F476">
    <cfRule type="cellIs" dxfId="4" priority="438" operator="equal">
      <formula>"/"</formula>
    </cfRule>
    <cfRule type="cellIs" dxfId="5" priority="439" operator="equal">
      <formula>0</formula>
    </cfRule>
  </conditionalFormatting>
  <conditionalFormatting sqref="F477">
    <cfRule type="cellIs" dxfId="4" priority="429" operator="equal">
      <formula>"/"</formula>
    </cfRule>
    <cfRule type="cellIs" dxfId="5" priority="430" operator="equal">
      <formula>0</formula>
    </cfRule>
  </conditionalFormatting>
  <conditionalFormatting sqref="F478">
    <cfRule type="cellIs" dxfId="4" priority="431" operator="equal">
      <formula>"/"</formula>
    </cfRule>
    <cfRule type="cellIs" dxfId="5" priority="432" operator="equal">
      <formula>0</formula>
    </cfRule>
  </conditionalFormatting>
  <conditionalFormatting sqref="F479">
    <cfRule type="cellIs" dxfId="4" priority="422" operator="equal">
      <formula>"/"</formula>
    </cfRule>
    <cfRule type="cellIs" dxfId="5" priority="423" operator="equal">
      <formula>0</formula>
    </cfRule>
  </conditionalFormatting>
  <conditionalFormatting sqref="F480">
    <cfRule type="cellIs" dxfId="4" priority="407" operator="equal">
      <formula>"/"</formula>
    </cfRule>
    <cfRule type="cellIs" dxfId="5" priority="408" operator="equal">
      <formula>0</formula>
    </cfRule>
  </conditionalFormatting>
  <conditionalFormatting sqref="F481">
    <cfRule type="cellIs" dxfId="4" priority="409" operator="equal">
      <formula>"/"</formula>
    </cfRule>
    <cfRule type="cellIs" dxfId="5" priority="410" operator="equal">
      <formula>0</formula>
    </cfRule>
  </conditionalFormatting>
  <conditionalFormatting sqref="F482">
    <cfRule type="cellIs" dxfId="4" priority="403" operator="equal">
      <formula>"/"</formula>
    </cfRule>
    <cfRule type="cellIs" dxfId="5" priority="404" operator="equal">
      <formula>0</formula>
    </cfRule>
  </conditionalFormatting>
  <conditionalFormatting sqref="F483">
    <cfRule type="cellIs" dxfId="4" priority="370" operator="equal">
      <formula>"/"</formula>
    </cfRule>
    <cfRule type="cellIs" dxfId="5" priority="371" operator="equal">
      <formula>0</formula>
    </cfRule>
  </conditionalFormatting>
  <conditionalFormatting sqref="F484">
    <cfRule type="cellIs" dxfId="4" priority="360" operator="equal">
      <formula>"/"</formula>
    </cfRule>
    <cfRule type="cellIs" dxfId="5" priority="361" operator="equal">
      <formula>0</formula>
    </cfRule>
  </conditionalFormatting>
  <conditionalFormatting sqref="D485">
    <cfRule type="cellIs" dxfId="3" priority="5" operator="equal">
      <formula>"发货"</formula>
    </cfRule>
    <cfRule type="cellIs" dxfId="2" priority="4" operator="equal">
      <formula>"单据"</formula>
    </cfRule>
    <cfRule type="cellIs" dxfId="1" priority="3" operator="equal">
      <formula>"等款"</formula>
    </cfRule>
  </conditionalFormatting>
  <conditionalFormatting sqref="F485">
    <cfRule type="cellIs" dxfId="5" priority="2" operator="equal">
      <formula>0</formula>
    </cfRule>
    <cfRule type="cellIs" dxfId="4" priority="1" operator="equal">
      <formula>"/"</formula>
    </cfRule>
  </conditionalFormatting>
  <conditionalFormatting sqref="F486">
    <cfRule type="cellIs" dxfId="4" priority="352" operator="equal">
      <formula>"/"</formula>
    </cfRule>
    <cfRule type="cellIs" dxfId="5" priority="353" operator="equal">
      <formula>0</formula>
    </cfRule>
  </conditionalFormatting>
  <conditionalFormatting sqref="F489">
    <cfRule type="cellIs" dxfId="4" priority="339" operator="equal">
      <formula>"/"</formula>
    </cfRule>
    <cfRule type="cellIs" dxfId="5" priority="340" operator="equal">
      <formula>0</formula>
    </cfRule>
  </conditionalFormatting>
  <conditionalFormatting sqref="F490">
    <cfRule type="cellIs" dxfId="4" priority="335" operator="equal">
      <formula>"/"</formula>
    </cfRule>
    <cfRule type="cellIs" dxfId="5" priority="336" operator="equal">
      <formula>0</formula>
    </cfRule>
  </conditionalFormatting>
  <conditionalFormatting sqref="F491">
    <cfRule type="cellIs" dxfId="4" priority="320" operator="equal">
      <formula>"/"</formula>
    </cfRule>
    <cfRule type="cellIs" dxfId="5" priority="321" operator="equal">
      <formula>0</formula>
    </cfRule>
  </conditionalFormatting>
  <conditionalFormatting sqref="F492">
    <cfRule type="cellIs" dxfId="4" priority="315" operator="equal">
      <formula>"/"</formula>
    </cfRule>
    <cfRule type="cellIs" dxfId="5" priority="316" operator="equal">
      <formula>0</formula>
    </cfRule>
  </conditionalFormatting>
  <conditionalFormatting sqref="F493">
    <cfRule type="cellIs" dxfId="4" priority="302" operator="equal">
      <formula>"/"</formula>
    </cfRule>
    <cfRule type="cellIs" dxfId="5" priority="303" operator="equal">
      <formula>0</formula>
    </cfRule>
  </conditionalFormatting>
  <conditionalFormatting sqref="F494">
    <cfRule type="cellIs" dxfId="4" priority="298" operator="equal">
      <formula>"/"</formula>
    </cfRule>
    <cfRule type="cellIs" dxfId="5" priority="299" operator="equal">
      <formula>0</formula>
    </cfRule>
  </conditionalFormatting>
  <conditionalFormatting sqref="F495">
    <cfRule type="cellIs" dxfId="4" priority="292" operator="equal">
      <formula>"/"</formula>
    </cfRule>
    <cfRule type="cellIs" dxfId="5" priority="293" operator="equal">
      <formula>0</formula>
    </cfRule>
  </conditionalFormatting>
  <conditionalFormatting sqref="D496">
    <cfRule type="cellIs" dxfId="1" priority="233" operator="equal">
      <formula>"等款"</formula>
    </cfRule>
    <cfRule type="cellIs" dxfId="2" priority="234" operator="equal">
      <formula>"单据"</formula>
    </cfRule>
    <cfRule type="cellIs" dxfId="3" priority="235" operator="equal">
      <formula>"发货"</formula>
    </cfRule>
  </conditionalFormatting>
  <conditionalFormatting sqref="F496">
    <cfRule type="cellIs" dxfId="4" priority="231" operator="equal">
      <formula>"/"</formula>
    </cfRule>
    <cfRule type="cellIs" dxfId="5" priority="232" operator="equal">
      <formula>0</formula>
    </cfRule>
  </conditionalFormatting>
  <conditionalFormatting sqref="F497">
    <cfRule type="cellIs" dxfId="4" priority="274" operator="equal">
      <formula>"/"</formula>
    </cfRule>
    <cfRule type="cellIs" dxfId="5" priority="275" operator="equal">
      <formula>0</formula>
    </cfRule>
  </conditionalFormatting>
  <conditionalFormatting sqref="F498">
    <cfRule type="cellIs" dxfId="4" priority="267" operator="equal">
      <formula>"/"</formula>
    </cfRule>
    <cfRule type="cellIs" dxfId="5" priority="268" operator="equal">
      <formula>0</formula>
    </cfRule>
  </conditionalFormatting>
  <conditionalFormatting sqref="F499">
    <cfRule type="cellIs" dxfId="4" priority="260" operator="equal">
      <formula>"/"</formula>
    </cfRule>
    <cfRule type="cellIs" dxfId="5" priority="261" operator="equal">
      <formula>0</formula>
    </cfRule>
  </conditionalFormatting>
  <conditionalFormatting sqref="F500">
    <cfRule type="cellIs" dxfId="4" priority="258" operator="equal">
      <formula>"/"</formula>
    </cfRule>
    <cfRule type="cellIs" dxfId="5" priority="259" operator="equal">
      <formula>0</formula>
    </cfRule>
  </conditionalFormatting>
  <conditionalFormatting sqref="F501">
    <cfRule type="cellIs" dxfId="4" priority="124" operator="equal">
      <formula>"/"</formula>
    </cfRule>
    <cfRule type="cellIs" dxfId="5" priority="125" operator="equal">
      <formula>0</formula>
    </cfRule>
  </conditionalFormatting>
  <conditionalFormatting sqref="F502">
    <cfRule type="cellIs" dxfId="4" priority="252" operator="equal">
      <formula>"/"</formula>
    </cfRule>
    <cfRule type="cellIs" dxfId="5" priority="253" operator="equal">
      <formula>0</formula>
    </cfRule>
  </conditionalFormatting>
  <conditionalFormatting sqref="D503">
    <cfRule type="cellIs" dxfId="1" priority="47" operator="equal">
      <formula>"等款"</formula>
    </cfRule>
    <cfRule type="cellIs" dxfId="2" priority="48" operator="equal">
      <formula>"单据"</formula>
    </cfRule>
    <cfRule type="cellIs" dxfId="3" priority="49" operator="equal">
      <formula>"发货"</formula>
    </cfRule>
  </conditionalFormatting>
  <conditionalFormatting sqref="F503">
    <cfRule type="cellIs" dxfId="4" priority="45" operator="equal">
      <formula>"/"</formula>
    </cfRule>
    <cfRule type="cellIs" dxfId="5" priority="46" operator="equal">
      <formula>0</formula>
    </cfRule>
  </conditionalFormatting>
  <conditionalFormatting sqref="F504">
    <cfRule type="cellIs" dxfId="4" priority="250" operator="equal">
      <formula>"/"</formula>
    </cfRule>
    <cfRule type="cellIs" dxfId="5" priority="251" operator="equal">
      <formula>0</formula>
    </cfRule>
  </conditionalFormatting>
  <conditionalFormatting sqref="F505">
    <cfRule type="cellIs" dxfId="4" priority="248" operator="equal">
      <formula>"/"</formula>
    </cfRule>
    <cfRule type="cellIs" dxfId="5" priority="249" operator="equal">
      <formula>0</formula>
    </cfRule>
  </conditionalFormatting>
  <conditionalFormatting sqref="F508">
    <cfRule type="cellIs" dxfId="4" priority="244" operator="equal">
      <formula>"/"</formula>
    </cfRule>
    <cfRule type="cellIs" dxfId="5" priority="245" operator="equal">
      <formula>0</formula>
    </cfRule>
  </conditionalFormatting>
  <conditionalFormatting sqref="F509">
    <cfRule type="cellIs" dxfId="4" priority="242" operator="equal">
      <formula>"/"</formula>
    </cfRule>
    <cfRule type="cellIs" dxfId="5" priority="243" operator="equal">
      <formula>0</formula>
    </cfRule>
  </conditionalFormatting>
  <conditionalFormatting sqref="F510">
    <cfRule type="cellIs" dxfId="4" priority="240" operator="equal">
      <formula>"/"</formula>
    </cfRule>
    <cfRule type="cellIs" dxfId="5" priority="241" operator="equal">
      <formula>0</formula>
    </cfRule>
  </conditionalFormatting>
  <conditionalFormatting sqref="F511">
    <cfRule type="cellIs" dxfId="4" priority="238" operator="equal">
      <formula>"/"</formula>
    </cfRule>
    <cfRule type="cellIs" dxfId="5" priority="239" operator="equal">
      <formula>0</formula>
    </cfRule>
  </conditionalFormatting>
  <conditionalFormatting sqref="F512">
    <cfRule type="cellIs" dxfId="4" priority="236" operator="equal">
      <formula>"/"</formula>
    </cfRule>
    <cfRule type="cellIs" dxfId="5" priority="237" operator="equal">
      <formula>0</formula>
    </cfRule>
  </conditionalFormatting>
  <conditionalFormatting sqref="F516">
    <cfRule type="cellIs" dxfId="4" priority="217" operator="equal">
      <formula>"/"</formula>
    </cfRule>
    <cfRule type="cellIs" dxfId="5" priority="218" operator="equal">
      <formula>0</formula>
    </cfRule>
  </conditionalFormatting>
  <conditionalFormatting sqref="F517">
    <cfRule type="cellIs" dxfId="4" priority="199" operator="equal">
      <formula>"/"</formula>
    </cfRule>
    <cfRule type="cellIs" dxfId="5" priority="200" operator="equal">
      <formula>0</formula>
    </cfRule>
  </conditionalFormatting>
  <conditionalFormatting sqref="F518">
    <cfRule type="cellIs" dxfId="4" priority="197" operator="equal">
      <formula>"/"</formula>
    </cfRule>
    <cfRule type="cellIs" dxfId="5" priority="198" operator="equal">
      <formula>0</formula>
    </cfRule>
  </conditionalFormatting>
  <conditionalFormatting sqref="F519">
    <cfRule type="cellIs" dxfId="4" priority="177" operator="equal">
      <formula>"/"</formula>
    </cfRule>
    <cfRule type="cellIs" dxfId="5" priority="178" operator="equal">
      <formula>0</formula>
    </cfRule>
  </conditionalFormatting>
  <conditionalFormatting sqref="F520">
    <cfRule type="cellIs" dxfId="4" priority="173" operator="equal">
      <formula>"/"</formula>
    </cfRule>
    <cfRule type="cellIs" dxfId="5" priority="174" operator="equal">
      <formula>0</formula>
    </cfRule>
  </conditionalFormatting>
  <conditionalFormatting sqref="F521">
    <cfRule type="cellIs" dxfId="4" priority="171" operator="equal">
      <formula>"/"</formula>
    </cfRule>
    <cfRule type="cellIs" dxfId="5" priority="172" operator="equal">
      <formula>0</formula>
    </cfRule>
  </conditionalFormatting>
  <conditionalFormatting sqref="F522">
    <cfRule type="cellIs" dxfId="4" priority="169" operator="equal">
      <formula>"/"</formula>
    </cfRule>
    <cfRule type="cellIs" dxfId="5" priority="170" operator="equal">
      <formula>0</formula>
    </cfRule>
  </conditionalFormatting>
  <conditionalFormatting sqref="F523">
    <cfRule type="cellIs" dxfId="4" priority="165" operator="equal">
      <formula>"/"</formula>
    </cfRule>
    <cfRule type="cellIs" dxfId="5" priority="166" operator="equal">
      <formula>0</formula>
    </cfRule>
  </conditionalFormatting>
  <conditionalFormatting sqref="F524">
    <cfRule type="cellIs" dxfId="4" priority="167" operator="equal">
      <formula>"/"</formula>
    </cfRule>
    <cfRule type="cellIs" dxfId="5" priority="168" operator="equal">
      <formula>0</formula>
    </cfRule>
  </conditionalFormatting>
  <conditionalFormatting sqref="F525">
    <cfRule type="cellIs" dxfId="4" priority="163" operator="equal">
      <formula>"/"</formula>
    </cfRule>
    <cfRule type="cellIs" dxfId="5" priority="164" operator="equal">
      <formula>0</formula>
    </cfRule>
  </conditionalFormatting>
  <conditionalFormatting sqref="F526">
    <cfRule type="cellIs" dxfId="4" priority="161" operator="equal">
      <formula>"/"</formula>
    </cfRule>
    <cfRule type="cellIs" dxfId="5" priority="162" operator="equal">
      <formula>0</formula>
    </cfRule>
  </conditionalFormatting>
  <conditionalFormatting sqref="F527">
    <cfRule type="cellIs" dxfId="4" priority="156" operator="equal">
      <formula>"/"</formula>
    </cfRule>
    <cfRule type="cellIs" dxfId="5" priority="157" operator="equal">
      <formula>0</formula>
    </cfRule>
  </conditionalFormatting>
  <conditionalFormatting sqref="F528">
    <cfRule type="cellIs" dxfId="4" priority="140" operator="equal">
      <formula>"/"</formula>
    </cfRule>
    <cfRule type="cellIs" dxfId="5" priority="141" operator="equal">
      <formula>0</formula>
    </cfRule>
  </conditionalFormatting>
  <conditionalFormatting sqref="F529">
    <cfRule type="cellIs" dxfId="4" priority="136" operator="equal">
      <formula>"/"</formula>
    </cfRule>
    <cfRule type="cellIs" dxfId="5" priority="137" operator="equal">
      <formula>0</formula>
    </cfRule>
  </conditionalFormatting>
  <conditionalFormatting sqref="F534">
    <cfRule type="cellIs" dxfId="4" priority="128" operator="equal">
      <formula>"/"</formula>
    </cfRule>
    <cfRule type="cellIs" dxfId="5" priority="129" operator="equal">
      <formula>0</formula>
    </cfRule>
  </conditionalFormatting>
  <conditionalFormatting sqref="F535">
    <cfRule type="cellIs" dxfId="4" priority="120" operator="equal">
      <formula>"/"</formula>
    </cfRule>
    <cfRule type="cellIs" dxfId="5" priority="121" operator="equal">
      <formula>0</formula>
    </cfRule>
  </conditionalFormatting>
  <conditionalFormatting sqref="F536">
    <cfRule type="cellIs" dxfId="4" priority="116" operator="equal">
      <formula>"/"</formula>
    </cfRule>
    <cfRule type="cellIs" dxfId="5" priority="117" operator="equal">
      <formula>0</formula>
    </cfRule>
  </conditionalFormatting>
  <conditionalFormatting sqref="F537">
    <cfRule type="cellIs" dxfId="4" priority="98" operator="equal">
      <formula>"/"</formula>
    </cfRule>
    <cfRule type="cellIs" dxfId="5" priority="99" operator="equal">
      <formula>0</formula>
    </cfRule>
  </conditionalFormatting>
  <conditionalFormatting sqref="F538">
    <cfRule type="cellIs" dxfId="4" priority="96" operator="equal">
      <formula>"/"</formula>
    </cfRule>
    <cfRule type="cellIs" dxfId="5" priority="97" operator="equal">
      <formula>0</formula>
    </cfRule>
  </conditionalFormatting>
  <conditionalFormatting sqref="F539">
    <cfRule type="cellIs" dxfId="4" priority="87" operator="equal">
      <formula>"/"</formula>
    </cfRule>
    <cfRule type="cellIs" dxfId="5" priority="88" operator="equal">
      <formula>0</formula>
    </cfRule>
  </conditionalFormatting>
  <conditionalFormatting sqref="F540">
    <cfRule type="cellIs" dxfId="4" priority="118" operator="equal">
      <formula>"/"</formula>
    </cfRule>
    <cfRule type="cellIs" dxfId="5" priority="119" operator="equal">
      <formula>0</formula>
    </cfRule>
  </conditionalFormatting>
  <conditionalFormatting sqref="F541">
    <cfRule type="cellIs" dxfId="4" priority="70" operator="equal">
      <formula>"/"</formula>
    </cfRule>
    <cfRule type="cellIs" dxfId="5" priority="71" operator="equal">
      <formula>0</formula>
    </cfRule>
  </conditionalFormatting>
  <conditionalFormatting sqref="F542">
    <cfRule type="cellIs" dxfId="4" priority="72" operator="equal">
      <formula>"/"</formula>
    </cfRule>
    <cfRule type="cellIs" dxfId="5" priority="73" operator="equal">
      <formula>0</formula>
    </cfRule>
  </conditionalFormatting>
  <conditionalFormatting sqref="F543">
    <cfRule type="cellIs" dxfId="4" priority="74" operator="equal">
      <formula>"/"</formula>
    </cfRule>
    <cfRule type="cellIs" dxfId="5" priority="75" operator="equal">
      <formula>0</formula>
    </cfRule>
  </conditionalFormatting>
  <conditionalFormatting sqref="F544">
    <cfRule type="cellIs" dxfId="4" priority="54" operator="equal">
      <formula>"/"</formula>
    </cfRule>
    <cfRule type="cellIs" dxfId="5" priority="55" operator="equal">
      <formula>0</formula>
    </cfRule>
  </conditionalFormatting>
  <conditionalFormatting sqref="F545">
    <cfRule type="cellIs" dxfId="4" priority="50" operator="equal">
      <formula>"/"</formula>
    </cfRule>
    <cfRule type="cellIs" dxfId="5" priority="51" operator="equal">
      <formula>0</formula>
    </cfRule>
  </conditionalFormatting>
  <conditionalFormatting sqref="F546">
    <cfRule type="cellIs" dxfId="4" priority="52" operator="equal">
      <formula>"/"</formula>
    </cfRule>
    <cfRule type="cellIs" dxfId="5" priority="53" operator="equal">
      <formula>0</formula>
    </cfRule>
  </conditionalFormatting>
  <conditionalFormatting sqref="F547">
    <cfRule type="cellIs" dxfId="4" priority="43" operator="equal">
      <formula>"/"</formula>
    </cfRule>
    <cfRule type="cellIs" dxfId="5" priority="44" operator="equal">
      <formula>0</formula>
    </cfRule>
  </conditionalFormatting>
  <conditionalFormatting sqref="F548">
    <cfRule type="cellIs" dxfId="4" priority="56" operator="equal">
      <formula>"/"</formula>
    </cfRule>
    <cfRule type="cellIs" dxfId="5" priority="57" operator="equal">
      <formula>0</formula>
    </cfRule>
  </conditionalFormatting>
  <conditionalFormatting sqref="F549">
    <cfRule type="cellIs" dxfId="4" priority="36" operator="equal">
      <formula>"/"</formula>
    </cfRule>
    <cfRule type="cellIs" dxfId="5" priority="37" operator="equal">
      <formula>0</formula>
    </cfRule>
  </conditionalFormatting>
  <conditionalFormatting sqref="F550">
    <cfRule type="cellIs" dxfId="4" priority="28" operator="equal">
      <formula>"/"</formula>
    </cfRule>
    <cfRule type="cellIs" dxfId="5" priority="29" operator="equal">
      <formula>0</formula>
    </cfRule>
  </conditionalFormatting>
  <conditionalFormatting sqref="F551">
    <cfRule type="cellIs" dxfId="4" priority="32" operator="equal">
      <formula>"/"</formula>
    </cfRule>
    <cfRule type="cellIs" dxfId="5" priority="33" operator="equal">
      <formula>0</formula>
    </cfRule>
  </conditionalFormatting>
  <conditionalFormatting sqref="F552">
    <cfRule type="cellIs" dxfId="4" priority="30" operator="equal">
      <formula>"/"</formula>
    </cfRule>
    <cfRule type="cellIs" dxfId="5" priority="31" operator="equal">
      <formula>0</formula>
    </cfRule>
  </conditionalFormatting>
  <conditionalFormatting sqref="F553">
    <cfRule type="cellIs" dxfId="4" priority="34" operator="equal">
      <formula>"/"</formula>
    </cfRule>
    <cfRule type="cellIs" dxfId="5" priority="35" operator="equal">
      <formula>0</formula>
    </cfRule>
  </conditionalFormatting>
  <conditionalFormatting sqref="F554">
    <cfRule type="cellIs" dxfId="4" priority="175" operator="equal">
      <formula>"/"</formula>
    </cfRule>
    <cfRule type="cellIs" dxfId="5" priority="176" operator="equal">
      <formula>0</formula>
    </cfRule>
  </conditionalFormatting>
  <conditionalFormatting sqref="R554">
    <cfRule type="cellIs" dxfId="0" priority="1257" operator="equal">
      <formula>0</formula>
    </cfRule>
  </conditionalFormatting>
  <conditionalFormatting sqref="R555">
    <cfRule type="cellIs" dxfId="0" priority="1256" operator="equal">
      <formula>0</formula>
    </cfRule>
  </conditionalFormatting>
  <conditionalFormatting sqref="R556">
    <cfRule type="cellIs" dxfId="0" priority="1255" operator="equal">
      <formula>0</formula>
    </cfRule>
  </conditionalFormatting>
  <conditionalFormatting sqref="R557">
    <cfRule type="cellIs" dxfId="0" priority="1254" operator="equal">
      <formula>0</formula>
    </cfRule>
  </conditionalFormatting>
  <conditionalFormatting sqref="R564">
    <cfRule type="cellIs" dxfId="0" priority="1344" operator="equal">
      <formula>0</formula>
    </cfRule>
  </conditionalFormatting>
  <conditionalFormatting sqref="R570">
    <cfRule type="cellIs" dxfId="0" priority="1350" operator="equal">
      <formula>0</formula>
    </cfRule>
  </conditionalFormatting>
  <conditionalFormatting sqref="R571">
    <cfRule type="cellIs" dxfId="0" priority="1349" operator="equal">
      <formula>0</formula>
    </cfRule>
  </conditionalFormatting>
  <conditionalFormatting sqref="F574">
    <cfRule type="cellIs" dxfId="4" priority="1144" operator="equal">
      <formula>"/"</formula>
    </cfRule>
    <cfRule type="cellIs" dxfId="5" priority="1145" operator="equal">
      <formula>0</formula>
    </cfRule>
  </conditionalFormatting>
  <conditionalFormatting sqref="F599">
    <cfRule type="cellIs" dxfId="4" priority="588" operator="equal">
      <formula>"/"</formula>
    </cfRule>
    <cfRule type="cellIs" dxfId="5" priority="589" operator="equal">
      <formula>0</formula>
    </cfRule>
  </conditionalFormatting>
  <conditionalFormatting sqref="F600">
    <cfRule type="cellIs" dxfId="4" priority="547" operator="equal">
      <formula>"/"</formula>
    </cfRule>
    <cfRule type="cellIs" dxfId="5" priority="548" operator="equal">
      <formula>0</formula>
    </cfRule>
  </conditionalFormatting>
  <conditionalFormatting sqref="F601">
    <cfRule type="cellIs" dxfId="4" priority="499" operator="equal">
      <formula>"/"</formula>
    </cfRule>
    <cfRule type="cellIs" dxfId="5" priority="500" operator="equal">
      <formula>0</formula>
    </cfRule>
  </conditionalFormatting>
  <conditionalFormatting sqref="F602">
    <cfRule type="cellIs" dxfId="4" priority="262" operator="equal">
      <formula>"/"</formula>
    </cfRule>
    <cfRule type="cellIs" dxfId="5" priority="263" operator="equal">
      <formula>0</formula>
    </cfRule>
  </conditionalFormatting>
  <conditionalFormatting sqref="F603">
    <cfRule type="cellIs" dxfId="4" priority="122" operator="equal">
      <formula>"/"</formula>
    </cfRule>
    <cfRule type="cellIs" dxfId="5" priority="123" operator="equal">
      <formula>0</formula>
    </cfRule>
  </conditionalFormatting>
  <conditionalFormatting sqref="F606">
    <cfRule type="cellIs" dxfId="4" priority="104" operator="equal">
      <formula>"/"</formula>
    </cfRule>
    <cfRule type="cellIs" dxfId="5" priority="105" operator="equal">
      <formula>0</formula>
    </cfRule>
  </conditionalFormatting>
  <conditionalFormatting sqref="R606">
    <cfRule type="cellIs" dxfId="0" priority="1347" operator="equal">
      <formula>0</formula>
    </cfRule>
  </conditionalFormatting>
  <conditionalFormatting sqref="R607">
    <cfRule type="cellIs" dxfId="0" priority="1346" operator="equal">
      <formula>0</formula>
    </cfRule>
  </conditionalFormatting>
  <conditionalFormatting sqref="T625">
    <cfRule type="cellIs" dxfId="0" priority="1168" operator="equal">
      <formula>0</formula>
    </cfRule>
  </conditionalFormatting>
  <conditionalFormatting sqref="R695">
    <cfRule type="cellIs" dxfId="0" priority="1367" operator="equal">
      <formula>0</formula>
    </cfRule>
  </conditionalFormatting>
  <conditionalFormatting sqref="R696">
    <cfRule type="cellIs" dxfId="0" priority="1366" operator="equal">
      <formula>0</formula>
    </cfRule>
  </conditionalFormatting>
  <conditionalFormatting sqref="R697">
    <cfRule type="cellIs" dxfId="0" priority="1365" operator="equal">
      <formula>0</formula>
    </cfRule>
  </conditionalFormatting>
  <conditionalFormatting sqref="R698">
    <cfRule type="cellIs" dxfId="0" priority="1364" operator="equal">
      <formula>0</formula>
    </cfRule>
  </conditionalFormatting>
  <conditionalFormatting sqref="R699">
    <cfRule type="cellIs" dxfId="0" priority="1363" operator="equal">
      <formula>0</formula>
    </cfRule>
  </conditionalFormatting>
  <conditionalFormatting sqref="R700">
    <cfRule type="cellIs" dxfId="0" priority="1362" operator="equal">
      <formula>0</formula>
    </cfRule>
  </conditionalFormatting>
  <conditionalFormatting sqref="R701">
    <cfRule type="cellIs" dxfId="0" priority="1361" operator="equal">
      <formula>0</formula>
    </cfRule>
  </conditionalFormatting>
  <conditionalFormatting sqref="R702">
    <cfRule type="cellIs" dxfId="0" priority="1360" operator="equal">
      <formula>0</formula>
    </cfRule>
  </conditionalFormatting>
  <conditionalFormatting sqref="R703">
    <cfRule type="cellIs" dxfId="0" priority="1359" operator="equal">
      <formula>0</formula>
    </cfRule>
  </conditionalFormatting>
  <conditionalFormatting sqref="R704">
    <cfRule type="cellIs" dxfId="0" priority="1358" operator="equal">
      <formula>0</formula>
    </cfRule>
  </conditionalFormatting>
  <conditionalFormatting sqref="D707">
    <cfRule type="cellIs" dxfId="1" priority="1071" operator="equal">
      <formula>"等款"</formula>
    </cfRule>
    <cfRule type="cellIs" dxfId="2" priority="1072" operator="equal">
      <formula>"单据"</formula>
    </cfRule>
    <cfRule type="cellIs" dxfId="3" priority="1073" operator="equal">
      <formula>"发货"</formula>
    </cfRule>
  </conditionalFormatting>
  <conditionalFormatting sqref="F707">
    <cfRule type="cellIs" dxfId="4" priority="1069" operator="equal">
      <formula>"/"</formula>
    </cfRule>
    <cfRule type="cellIs" dxfId="5" priority="1070" operator="equal">
      <formula>0</formula>
    </cfRule>
  </conditionalFormatting>
  <conditionalFormatting sqref="D708">
    <cfRule type="cellIs" dxfId="1" priority="1100" operator="equal">
      <formula>"等款"</formula>
    </cfRule>
    <cfRule type="cellIs" dxfId="2" priority="1101" operator="equal">
      <formula>"单据"</formula>
    </cfRule>
    <cfRule type="cellIs" dxfId="3" priority="1102" operator="equal">
      <formula>"发货"</formula>
    </cfRule>
  </conditionalFormatting>
  <conditionalFormatting sqref="F708">
    <cfRule type="cellIs" dxfId="4" priority="1098" operator="equal">
      <formula>"/"</formula>
    </cfRule>
    <cfRule type="cellIs" dxfId="5" priority="1099" operator="equal">
      <formula>0</formula>
    </cfRule>
  </conditionalFormatting>
  <conditionalFormatting sqref="D717">
    <cfRule type="cellIs" dxfId="1" priority="1045" operator="equal">
      <formula>"等款"</formula>
    </cfRule>
    <cfRule type="cellIs" dxfId="2" priority="1046" operator="equal">
      <formula>"单据"</formula>
    </cfRule>
    <cfRule type="cellIs" dxfId="3" priority="1047" operator="equal">
      <formula>"发货"</formula>
    </cfRule>
  </conditionalFormatting>
  <conditionalFormatting sqref="F717">
    <cfRule type="cellIs" dxfId="4" priority="1043" operator="equal">
      <formula>"/"</formula>
    </cfRule>
    <cfRule type="cellIs" dxfId="5" priority="1044" operator="equal">
      <formula>0</formula>
    </cfRule>
  </conditionalFormatting>
  <conditionalFormatting sqref="T719">
    <cfRule type="cellIs" dxfId="6" priority="1018" operator="equal">
      <formula>0</formula>
    </cfRule>
  </conditionalFormatting>
  <conditionalFormatting sqref="U719">
    <cfRule type="cellIs" dxfId="6" priority="971" operator="equal">
      <formula>0</formula>
    </cfRule>
  </conditionalFormatting>
  <conditionalFormatting sqref="R731">
    <cfRule type="cellIs" dxfId="0" priority="1380" operator="equal">
      <formula>0</formula>
    </cfRule>
  </conditionalFormatting>
  <conditionalFormatting sqref="F739">
    <cfRule type="cellIs" dxfId="4" priority="1490" operator="equal">
      <formula>"/"</formula>
    </cfRule>
    <cfRule type="cellIs" dxfId="5" priority="1491" operator="equal">
      <formula>0</formula>
    </cfRule>
  </conditionalFormatting>
  <conditionalFormatting sqref="R744">
    <cfRule type="cellIs" dxfId="0" priority="1178" operator="equal">
      <formula>0</formula>
    </cfRule>
  </conditionalFormatting>
  <conditionalFormatting sqref="R745">
    <cfRule type="cellIs" dxfId="0" priority="1177" operator="equal">
      <formula>0</formula>
    </cfRule>
  </conditionalFormatting>
  <conditionalFormatting sqref="R746">
    <cfRule type="cellIs" dxfId="0" priority="1176" operator="equal">
      <formula>0</formula>
    </cfRule>
  </conditionalFormatting>
  <conditionalFormatting sqref="R747">
    <cfRule type="cellIs" dxfId="0" priority="1175" operator="equal">
      <formula>0</formula>
    </cfRule>
  </conditionalFormatting>
  <conditionalFormatting sqref="R748">
    <cfRule type="cellIs" dxfId="0" priority="1174" operator="equal">
      <formula>0</formula>
    </cfRule>
  </conditionalFormatting>
  <conditionalFormatting sqref="R749">
    <cfRule type="cellIs" dxfId="0" priority="1173" operator="equal">
      <formula>0</formula>
    </cfRule>
  </conditionalFormatting>
  <conditionalFormatting sqref="R750">
    <cfRule type="cellIs" dxfId="0" priority="1172" operator="equal">
      <formula>0</formula>
    </cfRule>
  </conditionalFormatting>
  <conditionalFormatting sqref="R751">
    <cfRule type="cellIs" dxfId="0" priority="1171" operator="equal">
      <formula>0</formula>
    </cfRule>
  </conditionalFormatting>
  <conditionalFormatting sqref="R821">
    <cfRule type="cellIs" dxfId="0" priority="1398" operator="equal">
      <formula>0</formula>
    </cfRule>
  </conditionalFormatting>
  <conditionalFormatting sqref="R822">
    <cfRule type="cellIs" dxfId="0" priority="1397" operator="equal">
      <formula>0</formula>
    </cfRule>
  </conditionalFormatting>
  <conditionalFormatting sqref="U822">
    <cfRule type="cellIs" dxfId="0" priority="1050" operator="equal">
      <formula>0</formula>
    </cfRule>
  </conditionalFormatting>
  <conditionalFormatting sqref="D823">
    <cfRule type="cellIs" dxfId="1" priority="1552" operator="equal">
      <formula>"等款"</formula>
    </cfRule>
    <cfRule type="cellIs" dxfId="2" priority="1553" operator="equal">
      <formula>"单据"</formula>
    </cfRule>
    <cfRule type="cellIs" dxfId="3" priority="1554" operator="equal">
      <formula>"发货"</formula>
    </cfRule>
  </conditionalFormatting>
  <conditionalFormatting sqref="F823">
    <cfRule type="cellIs" dxfId="4" priority="1550" operator="equal">
      <formula>"/"</formula>
    </cfRule>
    <cfRule type="cellIs" dxfId="5" priority="1551" operator="equal">
      <formula>0</formula>
    </cfRule>
  </conditionalFormatting>
  <conditionalFormatting sqref="D824">
    <cfRule type="cellIs" dxfId="1" priority="1095" operator="equal">
      <formula>"等款"</formula>
    </cfRule>
    <cfRule type="cellIs" dxfId="2" priority="1096" operator="equal">
      <formula>"单据"</formula>
    </cfRule>
    <cfRule type="cellIs" dxfId="3" priority="1097" operator="equal">
      <formula>"发货"</formula>
    </cfRule>
  </conditionalFormatting>
  <conditionalFormatting sqref="F824">
    <cfRule type="cellIs" dxfId="4" priority="1093" operator="equal">
      <formula>"/"</formula>
    </cfRule>
    <cfRule type="cellIs" dxfId="5" priority="1094" operator="equal">
      <formula>0</formula>
    </cfRule>
  </conditionalFormatting>
  <conditionalFormatting sqref="R825">
    <cfRule type="cellIs" dxfId="0" priority="1395" operator="equal">
      <formula>0</formula>
    </cfRule>
  </conditionalFormatting>
  <conditionalFormatting sqref="R826">
    <cfRule type="cellIs" dxfId="0" priority="1394" operator="equal">
      <formula>0</formula>
    </cfRule>
  </conditionalFormatting>
  <conditionalFormatting sqref="D828">
    <cfRule type="cellIs" dxfId="1" priority="1141" operator="equal">
      <formula>"等款"</formula>
    </cfRule>
    <cfRule type="cellIs" dxfId="2" priority="1142" operator="equal">
      <formula>"单据"</formula>
    </cfRule>
    <cfRule type="cellIs" dxfId="3" priority="1143" operator="equal">
      <formula>"发货"</formula>
    </cfRule>
  </conditionalFormatting>
  <conditionalFormatting sqref="F828">
    <cfRule type="cellIs" dxfId="4" priority="1137" operator="equal">
      <formula>"/"</formula>
    </cfRule>
    <cfRule type="cellIs" dxfId="5" priority="1138" operator="equal">
      <formula>0</formula>
    </cfRule>
  </conditionalFormatting>
  <conditionalFormatting sqref="D829">
    <cfRule type="cellIs" dxfId="1" priority="1076" operator="equal">
      <formula>"等款"</formula>
    </cfRule>
    <cfRule type="cellIs" dxfId="2" priority="1077" operator="equal">
      <formula>"单据"</formula>
    </cfRule>
    <cfRule type="cellIs" dxfId="3" priority="1078" operator="equal">
      <formula>"发货"</formula>
    </cfRule>
  </conditionalFormatting>
  <conditionalFormatting sqref="F829">
    <cfRule type="cellIs" dxfId="4" priority="1074" operator="equal">
      <formula>"/"</formula>
    </cfRule>
    <cfRule type="cellIs" dxfId="5" priority="1075" operator="equal">
      <formula>0</formula>
    </cfRule>
  </conditionalFormatting>
  <conditionalFormatting sqref="D831">
    <cfRule type="cellIs" dxfId="1" priority="1134" operator="equal">
      <formula>"等款"</formula>
    </cfRule>
    <cfRule type="cellIs" dxfId="2" priority="1135" operator="equal">
      <formula>"单据"</formula>
    </cfRule>
    <cfRule type="cellIs" dxfId="3" priority="1136" operator="equal">
      <formula>"发货"</formula>
    </cfRule>
  </conditionalFormatting>
  <conditionalFormatting sqref="R832">
    <cfRule type="cellIs" dxfId="0" priority="1412" operator="equal">
      <formula>0</formula>
    </cfRule>
  </conditionalFormatting>
  <conditionalFormatting sqref="R833">
    <cfRule type="cellIs" dxfId="0" priority="1411" operator="equal">
      <formula>0</formula>
    </cfRule>
  </conditionalFormatting>
  <conditionalFormatting sqref="F834">
    <cfRule type="cellIs" dxfId="4" priority="1564" operator="equal">
      <formula>"/"</formula>
    </cfRule>
    <cfRule type="cellIs" dxfId="5" priority="1565" operator="equal">
      <formula>0</formula>
    </cfRule>
  </conditionalFormatting>
  <conditionalFormatting sqref="R834">
    <cfRule type="cellIs" dxfId="0" priority="1410" operator="equal">
      <formula>0</formula>
    </cfRule>
  </conditionalFormatting>
  <conditionalFormatting sqref="F837">
    <cfRule type="cellIs" dxfId="4" priority="1110" operator="equal">
      <formula>"/"</formula>
    </cfRule>
    <cfRule type="cellIs" dxfId="5" priority="1111" operator="equal">
      <formula>0</formula>
    </cfRule>
  </conditionalFormatting>
  <conditionalFormatting sqref="F838">
    <cfRule type="cellIs" dxfId="4" priority="1557" operator="equal">
      <formula>"/"</formula>
    </cfRule>
    <cfRule type="cellIs" dxfId="5" priority="1558" operator="equal">
      <formula>0</formula>
    </cfRule>
  </conditionalFormatting>
  <conditionalFormatting sqref="F839">
    <cfRule type="cellIs" dxfId="4" priority="1103" operator="equal">
      <formula>"/"</formula>
    </cfRule>
    <cfRule type="cellIs" dxfId="5" priority="1104" operator="equal">
      <formula>0</formula>
    </cfRule>
  </conditionalFormatting>
  <conditionalFormatting sqref="F840">
    <cfRule type="cellIs" dxfId="4" priority="1091" operator="equal">
      <formula>"/"</formula>
    </cfRule>
    <cfRule type="cellIs" dxfId="5" priority="1092" operator="equal">
      <formula>0</formula>
    </cfRule>
  </conditionalFormatting>
  <conditionalFormatting sqref="F841">
    <cfRule type="cellIs" dxfId="4" priority="1084" operator="equal">
      <formula>"/"</formula>
    </cfRule>
    <cfRule type="cellIs" dxfId="5" priority="1085" operator="equal">
      <formula>0</formula>
    </cfRule>
  </conditionalFormatting>
  <conditionalFormatting sqref="F842">
    <cfRule type="cellIs" dxfId="4" priority="1057" operator="equal">
      <formula>"/"</formula>
    </cfRule>
    <cfRule type="cellIs" dxfId="5" priority="1058" operator="equal">
      <formula>0</formula>
    </cfRule>
  </conditionalFormatting>
  <conditionalFormatting sqref="F843">
    <cfRule type="cellIs" dxfId="4" priority="1048" operator="equal">
      <formula>"/"</formula>
    </cfRule>
    <cfRule type="cellIs" dxfId="5" priority="1049" operator="equal">
      <formula>0</formula>
    </cfRule>
  </conditionalFormatting>
  <conditionalFormatting sqref="D844">
    <cfRule type="cellIs" dxfId="1" priority="1023" operator="equal">
      <formula>"等款"</formula>
    </cfRule>
    <cfRule type="cellIs" dxfId="2" priority="1024" operator="equal">
      <formula>"单据"</formula>
    </cfRule>
    <cfRule type="cellIs" dxfId="3" priority="1025" operator="equal">
      <formula>"发货"</formula>
    </cfRule>
  </conditionalFormatting>
  <conditionalFormatting sqref="F844">
    <cfRule type="cellIs" dxfId="4" priority="1021" operator="equal">
      <formula>"/"</formula>
    </cfRule>
    <cfRule type="cellIs" dxfId="5" priority="1022" operator="equal">
      <formula>0</formula>
    </cfRule>
  </conditionalFormatting>
  <conditionalFormatting sqref="D850">
    <cfRule type="cellIs" dxfId="1" priority="994" operator="equal">
      <formula>"等款"</formula>
    </cfRule>
    <cfRule type="cellIs" dxfId="2" priority="995" operator="equal">
      <formula>"单据"</formula>
    </cfRule>
    <cfRule type="cellIs" dxfId="3" priority="996" operator="equal">
      <formula>"发货"</formula>
    </cfRule>
  </conditionalFormatting>
  <conditionalFormatting sqref="F850">
    <cfRule type="cellIs" dxfId="4" priority="992" operator="equal">
      <formula>"/"</formula>
    </cfRule>
    <cfRule type="cellIs" dxfId="5" priority="993" operator="equal">
      <formula>0</formula>
    </cfRule>
  </conditionalFormatting>
  <conditionalFormatting sqref="D852">
    <cfRule type="cellIs" dxfId="1" priority="989" operator="equal">
      <formula>"等款"</formula>
    </cfRule>
    <cfRule type="cellIs" dxfId="2" priority="990" operator="equal">
      <formula>"单据"</formula>
    </cfRule>
    <cfRule type="cellIs" dxfId="3" priority="991" operator="equal">
      <formula>"发货"</formula>
    </cfRule>
  </conditionalFormatting>
  <conditionalFormatting sqref="F852">
    <cfRule type="cellIs" dxfId="4" priority="987" operator="equal">
      <formula>"/"</formula>
    </cfRule>
    <cfRule type="cellIs" dxfId="5" priority="988" operator="equal">
      <formula>0</formula>
    </cfRule>
  </conditionalFormatting>
  <conditionalFormatting sqref="D860">
    <cfRule type="cellIs" dxfId="1" priority="940" operator="equal">
      <formula>"等款"</formula>
    </cfRule>
    <cfRule type="cellIs" dxfId="2" priority="941" operator="equal">
      <formula>"单据"</formula>
    </cfRule>
    <cfRule type="cellIs" dxfId="3" priority="942" operator="equal">
      <formula>"发货"</formula>
    </cfRule>
  </conditionalFormatting>
  <conditionalFormatting sqref="F860">
    <cfRule type="cellIs" dxfId="4" priority="938" operator="equal">
      <formula>"/"</formula>
    </cfRule>
    <cfRule type="cellIs" dxfId="5" priority="939" operator="equal">
      <formula>0</formula>
    </cfRule>
  </conditionalFormatting>
  <conditionalFormatting sqref="D875">
    <cfRule type="cellIs" dxfId="1" priority="761" operator="equal">
      <formula>"等款"</formula>
    </cfRule>
    <cfRule type="cellIs" dxfId="2" priority="762" operator="equal">
      <formula>"单据"</formula>
    </cfRule>
    <cfRule type="cellIs" dxfId="3" priority="763" operator="equal">
      <formula>"发货"</formula>
    </cfRule>
  </conditionalFormatting>
  <conditionalFormatting sqref="F875">
    <cfRule type="cellIs" dxfId="4" priority="759" operator="equal">
      <formula>"/"</formula>
    </cfRule>
    <cfRule type="cellIs" dxfId="5" priority="760" operator="equal">
      <formula>0</formula>
    </cfRule>
  </conditionalFormatting>
  <conditionalFormatting sqref="D876">
    <cfRule type="cellIs" dxfId="1" priority="744" operator="equal">
      <formula>"等款"</formula>
    </cfRule>
    <cfRule type="cellIs" dxfId="2" priority="745" operator="equal">
      <formula>"单据"</formula>
    </cfRule>
    <cfRule type="cellIs" dxfId="3" priority="746" operator="equal">
      <formula>"发货"</formula>
    </cfRule>
  </conditionalFormatting>
  <conditionalFormatting sqref="F876">
    <cfRule type="cellIs" dxfId="4" priority="742" operator="equal">
      <formula>"/"</formula>
    </cfRule>
    <cfRule type="cellIs" dxfId="5" priority="743" operator="equal">
      <formula>0</formula>
    </cfRule>
  </conditionalFormatting>
  <conditionalFormatting sqref="D877">
    <cfRule type="cellIs" dxfId="1" priority="719" operator="equal">
      <formula>"等款"</formula>
    </cfRule>
    <cfRule type="cellIs" dxfId="2" priority="720" operator="equal">
      <formula>"单据"</formula>
    </cfRule>
    <cfRule type="cellIs" dxfId="3" priority="721" operator="equal">
      <formula>"发货"</formula>
    </cfRule>
  </conditionalFormatting>
  <conditionalFormatting sqref="F877">
    <cfRule type="cellIs" dxfId="4" priority="717" operator="equal">
      <formula>"/"</formula>
    </cfRule>
    <cfRule type="cellIs" dxfId="5" priority="718" operator="equal">
      <formula>0</formula>
    </cfRule>
  </conditionalFormatting>
  <conditionalFormatting sqref="F884">
    <cfRule type="cellIs" dxfId="4" priority="603" operator="equal">
      <formula>"/"</formula>
    </cfRule>
    <cfRule type="cellIs" dxfId="5" priority="604" operator="equal">
      <formula>0</formula>
    </cfRule>
  </conditionalFormatting>
  <conditionalFormatting sqref="F885">
    <cfRule type="cellIs" dxfId="4" priority="571" operator="equal">
      <formula>"/"</formula>
    </cfRule>
    <cfRule type="cellIs" dxfId="5" priority="572" operator="equal">
      <formula>0</formula>
    </cfRule>
  </conditionalFormatting>
  <conditionalFormatting sqref="F886">
    <cfRule type="cellIs" dxfId="4" priority="573" operator="equal">
      <formula>"/"</formula>
    </cfRule>
    <cfRule type="cellIs" dxfId="5" priority="574" operator="equal">
      <formula>0</formula>
    </cfRule>
  </conditionalFormatting>
  <conditionalFormatting sqref="F887">
    <cfRule type="cellIs" dxfId="4" priority="565" operator="equal">
      <formula>"/"</formula>
    </cfRule>
    <cfRule type="cellIs" dxfId="5" priority="566" operator="equal">
      <formula>0</formula>
    </cfRule>
  </conditionalFormatting>
  <conditionalFormatting sqref="F890">
    <cfRule type="cellIs" dxfId="4" priority="527" operator="equal">
      <formula>"/"</formula>
    </cfRule>
    <cfRule type="cellIs" dxfId="5" priority="528" operator="equal">
      <formula>0</formula>
    </cfRule>
  </conditionalFormatting>
  <conditionalFormatting sqref="F891">
    <cfRule type="cellIs" dxfId="4" priority="521" operator="equal">
      <formula>"/"</formula>
    </cfRule>
    <cfRule type="cellIs" dxfId="5" priority="522" operator="equal">
      <formula>0</formula>
    </cfRule>
  </conditionalFormatting>
  <conditionalFormatting sqref="D892">
    <cfRule type="cellIs" dxfId="1" priority="487" operator="equal">
      <formula>"等款"</formula>
    </cfRule>
    <cfRule type="cellIs" dxfId="2" priority="488" operator="equal">
      <formula>"单据"</formula>
    </cfRule>
    <cfRule type="cellIs" dxfId="3" priority="489" operator="equal">
      <formula>"发货"</formula>
    </cfRule>
  </conditionalFormatting>
  <conditionalFormatting sqref="F892">
    <cfRule type="cellIs" dxfId="4" priority="485" operator="equal">
      <formula>"/"</formula>
    </cfRule>
    <cfRule type="cellIs" dxfId="5" priority="486" operator="equal">
      <formula>0</formula>
    </cfRule>
  </conditionalFormatting>
  <conditionalFormatting sqref="F893">
    <cfRule type="cellIs" dxfId="4" priority="519" operator="equal">
      <formula>"/"</formula>
    </cfRule>
    <cfRule type="cellIs" dxfId="5" priority="520" operator="equal">
      <formula>0</formula>
    </cfRule>
  </conditionalFormatting>
  <conditionalFormatting sqref="D894">
    <cfRule type="cellIs" dxfId="1" priority="426" operator="equal">
      <formula>"等款"</formula>
    </cfRule>
    <cfRule type="cellIs" dxfId="2" priority="427" operator="equal">
      <formula>"单据"</formula>
    </cfRule>
    <cfRule type="cellIs" dxfId="3" priority="428" operator="equal">
      <formula>"发货"</formula>
    </cfRule>
  </conditionalFormatting>
  <conditionalFormatting sqref="F894">
    <cfRule type="cellIs" dxfId="4" priority="424" operator="equal">
      <formula>"/"</formula>
    </cfRule>
    <cfRule type="cellIs" dxfId="5" priority="425" operator="equal">
      <formula>0</formula>
    </cfRule>
  </conditionalFormatting>
  <conditionalFormatting sqref="F897">
    <cfRule type="cellIs" dxfId="4" priority="420" operator="equal">
      <formula>"/"</formula>
    </cfRule>
    <cfRule type="cellIs" dxfId="5" priority="421" operator="equal">
      <formula>0</formula>
    </cfRule>
  </conditionalFormatting>
  <conditionalFormatting sqref="D898">
    <cfRule type="cellIs" dxfId="1" priority="287" operator="equal">
      <formula>"等款"</formula>
    </cfRule>
    <cfRule type="cellIs" dxfId="2" priority="288" operator="equal">
      <formula>"单据"</formula>
    </cfRule>
    <cfRule type="cellIs" dxfId="3" priority="289" operator="equal">
      <formula>"发货"</formula>
    </cfRule>
  </conditionalFormatting>
  <conditionalFormatting sqref="F898">
    <cfRule type="cellIs" dxfId="4" priority="285" operator="equal">
      <formula>"/"</formula>
    </cfRule>
    <cfRule type="cellIs" dxfId="5" priority="286" operator="equal">
      <formula>0</formula>
    </cfRule>
  </conditionalFormatting>
  <conditionalFormatting sqref="F899">
    <cfRule type="cellIs" dxfId="4" priority="376" operator="equal">
      <formula>"/"</formula>
    </cfRule>
    <cfRule type="cellIs" dxfId="5" priority="377" operator="equal">
      <formula>0</formula>
    </cfRule>
  </conditionalFormatting>
  <conditionalFormatting sqref="F900">
    <cfRule type="cellIs" dxfId="4" priority="358" operator="equal">
      <formula>"/"</formula>
    </cfRule>
    <cfRule type="cellIs" dxfId="5" priority="359" operator="equal">
      <formula>0</formula>
    </cfRule>
  </conditionalFormatting>
  <conditionalFormatting sqref="F901">
    <cfRule type="cellIs" dxfId="4" priority="354" operator="equal">
      <formula>"/"</formula>
    </cfRule>
    <cfRule type="cellIs" dxfId="5" priority="355" operator="equal">
      <formula>0</formula>
    </cfRule>
  </conditionalFormatting>
  <conditionalFormatting sqref="D904">
    <cfRule type="cellIs" dxfId="1" priority="280" operator="equal">
      <formula>"等款"</formula>
    </cfRule>
    <cfRule type="cellIs" dxfId="2" priority="281" operator="equal">
      <formula>"单据"</formula>
    </cfRule>
    <cfRule type="cellIs" dxfId="3" priority="282" operator="equal">
      <formula>"发货"</formula>
    </cfRule>
  </conditionalFormatting>
  <conditionalFormatting sqref="F904">
    <cfRule type="cellIs" dxfId="4" priority="278" operator="equal">
      <formula>"/"</formula>
    </cfRule>
    <cfRule type="cellIs" dxfId="5" priority="279" operator="equal">
      <formula>0</formula>
    </cfRule>
  </conditionalFormatting>
  <conditionalFormatting sqref="D905">
    <cfRule type="cellIs" dxfId="1" priority="214" operator="equal">
      <formula>"等款"</formula>
    </cfRule>
    <cfRule type="cellIs" dxfId="2" priority="215" operator="equal">
      <formula>"单据"</formula>
    </cfRule>
    <cfRule type="cellIs" dxfId="3" priority="216" operator="equal">
      <formula>"发货"</formula>
    </cfRule>
  </conditionalFormatting>
  <conditionalFormatting sqref="F905">
    <cfRule type="cellIs" dxfId="4" priority="212" operator="equal">
      <formula>"/"</formula>
    </cfRule>
    <cfRule type="cellIs" dxfId="5" priority="213" operator="equal">
      <formula>0</formula>
    </cfRule>
  </conditionalFormatting>
  <conditionalFormatting sqref="F906">
    <cfRule type="cellIs" dxfId="4" priority="328" operator="equal">
      <formula>"/"</formula>
    </cfRule>
    <cfRule type="cellIs" dxfId="5" priority="329" operator="equal">
      <formula>0</formula>
    </cfRule>
  </conditionalFormatting>
  <conditionalFormatting sqref="F907">
    <cfRule type="cellIs" dxfId="4" priority="306" operator="equal">
      <formula>"/"</formula>
    </cfRule>
    <cfRule type="cellIs" dxfId="5" priority="307" operator="equal">
      <formula>0</formula>
    </cfRule>
  </conditionalFormatting>
  <conditionalFormatting sqref="F908">
    <cfRule type="cellIs" dxfId="4" priority="308" operator="equal">
      <formula>"/"</formula>
    </cfRule>
    <cfRule type="cellIs" dxfId="5" priority="309" operator="equal">
      <formula>0</formula>
    </cfRule>
  </conditionalFormatting>
  <conditionalFormatting sqref="F909">
    <cfRule type="cellIs" dxfId="4" priority="283" operator="equal">
      <formula>"/"</formula>
    </cfRule>
    <cfRule type="cellIs" dxfId="5" priority="284" operator="equal">
      <formula>0</formula>
    </cfRule>
  </conditionalFormatting>
  <conditionalFormatting sqref="F910">
    <cfRule type="cellIs" dxfId="4" priority="219" operator="equal">
      <formula>"/"</formula>
    </cfRule>
    <cfRule type="cellIs" dxfId="5" priority="220" operator="equal">
      <formula>0</formula>
    </cfRule>
  </conditionalFormatting>
  <conditionalFormatting sqref="D913">
    <cfRule type="cellIs" dxfId="1" priority="60" operator="equal">
      <formula>"等款"</formula>
    </cfRule>
    <cfRule type="cellIs" dxfId="2" priority="61" operator="equal">
      <formula>"单据"</formula>
    </cfRule>
    <cfRule type="cellIs" dxfId="3" priority="62" operator="equal">
      <formula>"发货"</formula>
    </cfRule>
  </conditionalFormatting>
  <conditionalFormatting sqref="F913">
    <cfRule type="cellIs" dxfId="4" priority="58" operator="equal">
      <formula>"/"</formula>
    </cfRule>
    <cfRule type="cellIs" dxfId="5" priority="59" operator="equal">
      <formula>0</formula>
    </cfRule>
  </conditionalFormatting>
  <conditionalFormatting sqref="F914">
    <cfRule type="cellIs" dxfId="4" priority="195" operator="equal">
      <formula>"/"</formula>
    </cfRule>
    <cfRule type="cellIs" dxfId="5" priority="196" operator="equal">
      <formula>0</formula>
    </cfRule>
  </conditionalFormatting>
  <conditionalFormatting sqref="F915">
    <cfRule type="cellIs" dxfId="4" priority="185" operator="equal">
      <formula>"/"</formula>
    </cfRule>
    <cfRule type="cellIs" dxfId="5" priority="186" operator="equal">
      <formula>0</formula>
    </cfRule>
  </conditionalFormatting>
  <conditionalFormatting sqref="F916">
    <cfRule type="cellIs" dxfId="4" priority="154" operator="equal">
      <formula>"/"</formula>
    </cfRule>
    <cfRule type="cellIs" dxfId="5" priority="155" operator="equal">
      <formula>0</formula>
    </cfRule>
  </conditionalFormatting>
  <conditionalFormatting sqref="F917">
    <cfRule type="cellIs" dxfId="4" priority="152" operator="equal">
      <formula>"/"</formula>
    </cfRule>
    <cfRule type="cellIs" dxfId="5" priority="153" operator="equal">
      <formula>0</formula>
    </cfRule>
  </conditionalFormatting>
  <conditionalFormatting sqref="F918">
    <cfRule type="cellIs" dxfId="4" priority="150" operator="equal">
      <formula>"/"</formula>
    </cfRule>
    <cfRule type="cellIs" dxfId="5" priority="151" operator="equal">
      <formula>0</formula>
    </cfRule>
  </conditionalFormatting>
  <conditionalFormatting sqref="F919">
    <cfRule type="cellIs" dxfId="4" priority="148" operator="equal">
      <formula>"/"</formula>
    </cfRule>
    <cfRule type="cellIs" dxfId="5" priority="149" operator="equal">
      <formula>0</formula>
    </cfRule>
  </conditionalFormatting>
  <conditionalFormatting sqref="F920">
    <cfRule type="cellIs" dxfId="4" priority="134" operator="equal">
      <formula>"/"</formula>
    </cfRule>
    <cfRule type="cellIs" dxfId="5" priority="135" operator="equal">
      <formula>0</formula>
    </cfRule>
  </conditionalFormatting>
  <conditionalFormatting sqref="F921">
    <cfRule type="cellIs" dxfId="4" priority="126" operator="equal">
      <formula>"/"</formula>
    </cfRule>
    <cfRule type="cellIs" dxfId="5" priority="127" operator="equal">
      <formula>0</formula>
    </cfRule>
  </conditionalFormatting>
  <conditionalFormatting sqref="F922">
    <cfRule type="cellIs" dxfId="4" priority="110" operator="equal">
      <formula>"/"</formula>
    </cfRule>
    <cfRule type="cellIs" dxfId="5" priority="111" operator="equal">
      <formula>0</formula>
    </cfRule>
  </conditionalFormatting>
  <conditionalFormatting sqref="D923">
    <cfRule type="cellIs" dxfId="1" priority="25" operator="equal">
      <formula>"等款"</formula>
    </cfRule>
    <cfRule type="cellIs" dxfId="2" priority="26" operator="equal">
      <formula>"单据"</formula>
    </cfRule>
    <cfRule type="cellIs" dxfId="3" priority="27" operator="equal">
      <formula>"发货"</formula>
    </cfRule>
  </conditionalFormatting>
  <conditionalFormatting sqref="F923">
    <cfRule type="cellIs" dxfId="4" priority="23" operator="equal">
      <formula>"/"</formula>
    </cfRule>
    <cfRule type="cellIs" dxfId="5" priority="24" operator="equal">
      <formula>0</formula>
    </cfRule>
  </conditionalFormatting>
  <conditionalFormatting sqref="F924">
    <cfRule type="cellIs" dxfId="4" priority="78" operator="equal">
      <formula>"/"</formula>
    </cfRule>
    <cfRule type="cellIs" dxfId="5" priority="79" operator="equal">
      <formula>0</formula>
    </cfRule>
  </conditionalFormatting>
  <conditionalFormatting sqref="F925">
    <cfRule type="cellIs" dxfId="4" priority="76" operator="equal">
      <formula>"/"</formula>
    </cfRule>
    <cfRule type="cellIs" dxfId="5" priority="77" operator="equal">
      <formula>0</formula>
    </cfRule>
  </conditionalFormatting>
  <conditionalFormatting sqref="D926">
    <cfRule type="cellIs" dxfId="1" priority="18" operator="equal">
      <formula>"等款"</formula>
    </cfRule>
    <cfRule type="cellIs" dxfId="2" priority="19" operator="equal">
      <formula>"单据"</formula>
    </cfRule>
    <cfRule type="cellIs" dxfId="3" priority="20" operator="equal">
      <formula>"发货"</formula>
    </cfRule>
  </conditionalFormatting>
  <conditionalFormatting sqref="F926">
    <cfRule type="cellIs" dxfId="4" priority="16" operator="equal">
      <formula>"/"</formula>
    </cfRule>
    <cfRule type="cellIs" dxfId="5" priority="17" operator="equal">
      <formula>0</formula>
    </cfRule>
  </conditionalFormatting>
  <conditionalFormatting sqref="F927">
    <cfRule type="cellIs" dxfId="4" priority="112" operator="equal">
      <formula>"/"</formula>
    </cfRule>
    <cfRule type="cellIs" dxfId="5" priority="113" operator="equal">
      <formula>0</formula>
    </cfRule>
  </conditionalFormatting>
  <conditionalFormatting sqref="F928">
    <cfRule type="cellIs" dxfId="4" priority="21" operator="equal">
      <formula>"/"</formula>
    </cfRule>
    <cfRule type="cellIs" dxfId="5" priority="22" operator="equal">
      <formula>0</formula>
    </cfRule>
  </conditionalFormatting>
  <conditionalFormatting sqref="F929">
    <cfRule type="cellIs" dxfId="4" priority="205" operator="equal">
      <formula>"/"</formula>
    </cfRule>
    <cfRule type="cellIs" dxfId="5" priority="206" operator="equal">
      <formula>0</formula>
    </cfRule>
  </conditionalFormatting>
  <conditionalFormatting sqref="R929">
    <cfRule type="cellIs" dxfId="0" priority="1406" operator="equal">
      <formula>0</formula>
    </cfRule>
  </conditionalFormatting>
  <conditionalFormatting sqref="R933">
    <cfRule type="cellIs" dxfId="0" priority="1423" operator="equal">
      <formula>0</formula>
    </cfRule>
  </conditionalFormatting>
  <conditionalFormatting sqref="F934">
    <cfRule type="cellIs" dxfId="4" priority="1555" operator="equal">
      <formula>"/"</formula>
    </cfRule>
    <cfRule type="cellIs" dxfId="5" priority="1556" operator="equal">
      <formula>0</formula>
    </cfRule>
  </conditionalFormatting>
  <conditionalFormatting sqref="R936">
    <cfRule type="cellIs" dxfId="0" priority="1421" operator="equal">
      <formula>0</formula>
    </cfRule>
  </conditionalFormatting>
  <conditionalFormatting sqref="R937">
    <cfRule type="cellIs" dxfId="0" priority="1420" operator="equal">
      <formula>0</formula>
    </cfRule>
  </conditionalFormatting>
  <conditionalFormatting sqref="R971">
    <cfRule type="cellIs" dxfId="0" priority="1428" operator="equal">
      <formula>0</formula>
    </cfRule>
  </conditionalFormatting>
  <conditionalFormatting sqref="R978">
    <cfRule type="cellIs" dxfId="0" priority="1430" operator="equal">
      <formula>0</formula>
    </cfRule>
  </conditionalFormatting>
  <conditionalFormatting sqref="R982">
    <cfRule type="cellIs" dxfId="0" priority="1438" operator="equal">
      <formula>0</formula>
    </cfRule>
  </conditionalFormatting>
  <conditionalFormatting sqref="R983">
    <cfRule type="cellIs" dxfId="0" priority="1437" operator="equal">
      <formula>0</formula>
    </cfRule>
  </conditionalFormatting>
  <conditionalFormatting sqref="D985">
    <cfRule type="cellIs" dxfId="1" priority="1088" operator="equal">
      <formula>"等款"</formula>
    </cfRule>
    <cfRule type="cellIs" dxfId="2" priority="1089" operator="equal">
      <formula>"单据"</formula>
    </cfRule>
    <cfRule type="cellIs" dxfId="3" priority="1090" operator="equal">
      <formula>"发货"</formula>
    </cfRule>
  </conditionalFormatting>
  <conditionalFormatting sqref="F985">
    <cfRule type="cellIs" dxfId="4" priority="1086" operator="equal">
      <formula>"/"</formula>
    </cfRule>
    <cfRule type="cellIs" dxfId="5" priority="1087" operator="equal">
      <formula>0</formula>
    </cfRule>
  </conditionalFormatting>
  <conditionalFormatting sqref="D986">
    <cfRule type="cellIs" dxfId="1" priority="1123" operator="equal">
      <formula>"等款"</formula>
    </cfRule>
    <cfRule type="cellIs" dxfId="2" priority="1124" operator="equal">
      <formula>"单据"</formula>
    </cfRule>
    <cfRule type="cellIs" dxfId="3" priority="1125" operator="equal">
      <formula>"发货"</formula>
    </cfRule>
  </conditionalFormatting>
  <conditionalFormatting sqref="F986">
    <cfRule type="cellIs" dxfId="4" priority="1121" operator="equal">
      <formula>"/"</formula>
    </cfRule>
    <cfRule type="cellIs" dxfId="5" priority="1122" operator="equal">
      <formula>0</formula>
    </cfRule>
  </conditionalFormatting>
  <conditionalFormatting sqref="R987">
    <cfRule type="cellIs" dxfId="0" priority="1435" operator="equal">
      <formula>0</formula>
    </cfRule>
  </conditionalFormatting>
  <conditionalFormatting sqref="R988">
    <cfRule type="cellIs" dxfId="0" priority="1434" operator="equal">
      <formula>0</formula>
    </cfRule>
  </conditionalFormatting>
  <conditionalFormatting sqref="R989">
    <cfRule type="cellIs" dxfId="0" priority="1433" operator="equal">
      <formula>0</formula>
    </cfRule>
  </conditionalFormatting>
  <conditionalFormatting sqref="D994">
    <cfRule type="cellIs" dxfId="1" priority="1107" operator="equal">
      <formula>"等款"</formula>
    </cfRule>
    <cfRule type="cellIs" dxfId="2" priority="1108" operator="equal">
      <formula>"单据"</formula>
    </cfRule>
    <cfRule type="cellIs" dxfId="3" priority="1109" operator="equal">
      <formula>"发货"</formula>
    </cfRule>
  </conditionalFormatting>
  <conditionalFormatting sqref="F994">
    <cfRule type="cellIs" dxfId="4" priority="1105" operator="equal">
      <formula>"/"</formula>
    </cfRule>
    <cfRule type="cellIs" dxfId="5" priority="1106" operator="equal">
      <formula>0</formula>
    </cfRule>
  </conditionalFormatting>
  <conditionalFormatting sqref="D1004">
    <cfRule type="cellIs" dxfId="1" priority="1040" operator="equal">
      <formula>"等款"</formula>
    </cfRule>
    <cfRule type="cellIs" dxfId="2" priority="1041" operator="equal">
      <formula>"单据"</formula>
    </cfRule>
    <cfRule type="cellIs" dxfId="3" priority="1042" operator="equal">
      <formula>"发货"</formula>
    </cfRule>
  </conditionalFormatting>
  <conditionalFormatting sqref="F1004">
    <cfRule type="cellIs" dxfId="4" priority="1038" operator="equal">
      <formula>"/"</formula>
    </cfRule>
    <cfRule type="cellIs" dxfId="5" priority="1039" operator="equal">
      <formula>0</formula>
    </cfRule>
  </conditionalFormatting>
  <conditionalFormatting sqref="F1008">
    <cfRule type="cellIs" dxfId="4" priority="1033" operator="equal">
      <formula>"/"</formula>
    </cfRule>
    <cfRule type="cellIs" dxfId="5" priority="1034" operator="equal">
      <formula>0</formula>
    </cfRule>
  </conditionalFormatting>
  <conditionalFormatting sqref="T1010">
    <cfRule type="cellIs" dxfId="6" priority="1008" operator="equal">
      <formula>0</formula>
    </cfRule>
  </conditionalFormatting>
  <conditionalFormatting sqref="F1011">
    <cfRule type="cellIs" dxfId="4" priority="1016" operator="equal">
      <formula>"/"</formula>
    </cfRule>
    <cfRule type="cellIs" dxfId="5" priority="1017" operator="equal">
      <formula>0</formula>
    </cfRule>
  </conditionalFormatting>
  <conditionalFormatting sqref="F1012">
    <cfRule type="cellIs" dxfId="4" priority="1014" operator="equal">
      <formula>"/"</formula>
    </cfRule>
    <cfRule type="cellIs" dxfId="5" priority="1015" operator="equal">
      <formula>0</formula>
    </cfRule>
  </conditionalFormatting>
  <conditionalFormatting sqref="F1013">
    <cfRule type="cellIs" dxfId="4" priority="1012" operator="equal">
      <formula>"/"</formula>
    </cfRule>
    <cfRule type="cellIs" dxfId="5" priority="1013" operator="equal">
      <formula>0</formula>
    </cfRule>
  </conditionalFormatting>
  <conditionalFormatting sqref="F1014">
    <cfRule type="cellIs" dxfId="4" priority="1009" operator="equal">
      <formula>"/"</formula>
    </cfRule>
    <cfRule type="cellIs" dxfId="5" priority="1010" operator="equal">
      <formula>0</formula>
    </cfRule>
  </conditionalFormatting>
  <conditionalFormatting sqref="F1015">
    <cfRule type="cellIs" dxfId="4" priority="1006" operator="equal">
      <formula>"/"</formula>
    </cfRule>
    <cfRule type="cellIs" dxfId="5" priority="1007" operator="equal">
      <formula>0</formula>
    </cfRule>
  </conditionalFormatting>
  <conditionalFormatting sqref="F1018">
    <cfRule type="cellIs" dxfId="4" priority="985" operator="equal">
      <formula>"/"</formula>
    </cfRule>
    <cfRule type="cellIs" dxfId="5" priority="986" operator="equal">
      <formula>0</formula>
    </cfRule>
  </conditionalFormatting>
  <conditionalFormatting sqref="F1019">
    <cfRule type="cellIs" dxfId="4" priority="983" operator="equal">
      <formula>"/"</formula>
    </cfRule>
    <cfRule type="cellIs" dxfId="5" priority="984" operator="equal">
      <formula>0</formula>
    </cfRule>
  </conditionalFormatting>
  <conditionalFormatting sqref="F1020">
    <cfRule type="cellIs" dxfId="4" priority="981" operator="equal">
      <formula>"/"</formula>
    </cfRule>
    <cfRule type="cellIs" dxfId="5" priority="982" operator="equal">
      <formula>0</formula>
    </cfRule>
  </conditionalFormatting>
  <conditionalFormatting sqref="F1021">
    <cfRule type="cellIs" dxfId="4" priority="979" operator="equal">
      <formula>"/"</formula>
    </cfRule>
    <cfRule type="cellIs" dxfId="5" priority="980" operator="equal">
      <formula>0</formula>
    </cfRule>
  </conditionalFormatting>
  <conditionalFormatting sqref="F1022">
    <cfRule type="cellIs" dxfId="4" priority="976" operator="equal">
      <formula>"/"</formula>
    </cfRule>
    <cfRule type="cellIs" dxfId="5" priority="977" operator="equal">
      <formula>0</formula>
    </cfRule>
  </conditionalFormatting>
  <conditionalFormatting sqref="F1023">
    <cfRule type="cellIs" dxfId="4" priority="974" operator="equal">
      <formula>"/"</formula>
    </cfRule>
    <cfRule type="cellIs" dxfId="5" priority="975" operator="equal">
      <formula>0</formula>
    </cfRule>
  </conditionalFormatting>
  <conditionalFormatting sqref="F1024">
    <cfRule type="cellIs" dxfId="4" priority="972" operator="equal">
      <formula>"/"</formula>
    </cfRule>
    <cfRule type="cellIs" dxfId="5" priority="973" operator="equal">
      <formula>0</formula>
    </cfRule>
  </conditionalFormatting>
  <conditionalFormatting sqref="F1025">
    <cfRule type="cellIs" dxfId="4" priority="925" operator="equal">
      <formula>"/"</formula>
    </cfRule>
    <cfRule type="cellIs" dxfId="5" priority="926" operator="equal">
      <formula>0</formula>
    </cfRule>
  </conditionalFormatting>
  <conditionalFormatting sqref="F1026">
    <cfRule type="cellIs" dxfId="4" priority="959" operator="equal">
      <formula>"/"</formula>
    </cfRule>
    <cfRule type="cellIs" dxfId="5" priority="960" operator="equal">
      <formula>0</formula>
    </cfRule>
  </conditionalFormatting>
  <conditionalFormatting sqref="F1027">
    <cfRule type="cellIs" dxfId="4" priority="957" operator="equal">
      <formula>"/"</formula>
    </cfRule>
    <cfRule type="cellIs" dxfId="5" priority="958" operator="equal">
      <formula>0</formula>
    </cfRule>
  </conditionalFormatting>
  <conditionalFormatting sqref="F1028">
    <cfRule type="cellIs" dxfId="4" priority="955" operator="equal">
      <formula>"/"</formula>
    </cfRule>
    <cfRule type="cellIs" dxfId="5" priority="956" operator="equal">
      <formula>0</formula>
    </cfRule>
  </conditionalFormatting>
  <conditionalFormatting sqref="F1029">
    <cfRule type="cellIs" dxfId="4" priority="950" operator="equal">
      <formula>"/"</formula>
    </cfRule>
    <cfRule type="cellIs" dxfId="5" priority="951" operator="equal">
      <formula>0</formula>
    </cfRule>
  </conditionalFormatting>
  <conditionalFormatting sqref="D1030">
    <cfRule type="cellIs" dxfId="1" priority="897" operator="equal">
      <formula>"等款"</formula>
    </cfRule>
    <cfRule type="cellIs" dxfId="2" priority="898" operator="equal">
      <formula>"单据"</formula>
    </cfRule>
    <cfRule type="cellIs" dxfId="3" priority="899" operator="equal">
      <formula>"发货"</formula>
    </cfRule>
  </conditionalFormatting>
  <conditionalFormatting sqref="F1030">
    <cfRule type="cellIs" dxfId="4" priority="895" operator="equal">
      <formula>"/"</formula>
    </cfRule>
    <cfRule type="cellIs" dxfId="5" priority="896" operator="equal">
      <formula>0</formula>
    </cfRule>
  </conditionalFormatting>
  <conditionalFormatting sqref="F1031">
    <cfRule type="cellIs" dxfId="4" priority="936" operator="equal">
      <formula>"/"</formula>
    </cfRule>
    <cfRule type="cellIs" dxfId="5" priority="937" operator="equal">
      <formula>0</formula>
    </cfRule>
  </conditionalFormatting>
  <conditionalFormatting sqref="F1032">
    <cfRule type="cellIs" dxfId="4" priority="929" operator="equal">
      <formula>"/"</formula>
    </cfRule>
    <cfRule type="cellIs" dxfId="5" priority="930" operator="equal">
      <formula>0</formula>
    </cfRule>
  </conditionalFormatting>
  <conditionalFormatting sqref="F1033">
    <cfRule type="cellIs" dxfId="4" priority="927" operator="equal">
      <formula>"/"</formula>
    </cfRule>
    <cfRule type="cellIs" dxfId="5" priority="928" operator="equal">
      <formula>0</formula>
    </cfRule>
  </conditionalFormatting>
  <conditionalFormatting sqref="F1034">
    <cfRule type="cellIs" dxfId="4" priority="923" operator="equal">
      <formula>"/"</formula>
    </cfRule>
    <cfRule type="cellIs" dxfId="5" priority="924" operator="equal">
      <formula>0</formula>
    </cfRule>
  </conditionalFormatting>
  <conditionalFormatting sqref="T1034">
    <cfRule type="cellIs" dxfId="0" priority="754" operator="equal">
      <formula>0</formula>
    </cfRule>
  </conditionalFormatting>
  <conditionalFormatting sqref="F1035">
    <cfRule type="cellIs" dxfId="4" priority="906" operator="equal">
      <formula>"/"</formula>
    </cfRule>
    <cfRule type="cellIs" dxfId="5" priority="907" operator="equal">
      <formula>0</formula>
    </cfRule>
  </conditionalFormatting>
  <conditionalFormatting sqref="F1036">
    <cfRule type="cellIs" dxfId="4" priority="885" operator="equal">
      <formula>"/"</formula>
    </cfRule>
    <cfRule type="cellIs" dxfId="5" priority="886" operator="equal">
      <formula>0</formula>
    </cfRule>
  </conditionalFormatting>
  <conditionalFormatting sqref="F1037">
    <cfRule type="cellIs" dxfId="4" priority="874" operator="equal">
      <formula>"/"</formula>
    </cfRule>
    <cfRule type="cellIs" dxfId="5" priority="875" operator="equal">
      <formula>0</formula>
    </cfRule>
  </conditionalFormatting>
  <conditionalFormatting sqref="D1038">
    <cfRule type="cellIs" dxfId="1" priority="684" operator="equal">
      <formula>"等款"</formula>
    </cfRule>
    <cfRule type="cellIs" dxfId="2" priority="685" operator="equal">
      <formula>"单据"</formula>
    </cfRule>
    <cfRule type="cellIs" dxfId="3" priority="686" operator="equal">
      <formula>"发货"</formula>
    </cfRule>
  </conditionalFormatting>
  <conditionalFormatting sqref="F1038">
    <cfRule type="cellIs" dxfId="4" priority="682" operator="equal">
      <formula>"/"</formula>
    </cfRule>
    <cfRule type="cellIs" dxfId="5" priority="683" operator="equal">
      <formula>0</formula>
    </cfRule>
  </conditionalFormatting>
  <conditionalFormatting sqref="D1039">
    <cfRule type="cellIs" dxfId="1" priority="781" operator="equal">
      <formula>"等款"</formula>
    </cfRule>
    <cfRule type="cellIs" dxfId="2" priority="782" operator="equal">
      <formula>"单据"</formula>
    </cfRule>
    <cfRule type="cellIs" dxfId="3" priority="783" operator="equal">
      <formula>"发货"</formula>
    </cfRule>
  </conditionalFormatting>
  <conditionalFormatting sqref="F1039">
    <cfRule type="cellIs" dxfId="4" priority="779" operator="equal">
      <formula>"/"</formula>
    </cfRule>
    <cfRule type="cellIs" dxfId="5" priority="780" operator="equal">
      <formula>0</formula>
    </cfRule>
  </conditionalFormatting>
  <conditionalFormatting sqref="F1040">
    <cfRule type="cellIs" dxfId="4" priority="858" operator="equal">
      <formula>"/"</formula>
    </cfRule>
    <cfRule type="cellIs" dxfId="5" priority="859" operator="equal">
      <formula>0</formula>
    </cfRule>
  </conditionalFormatting>
  <conditionalFormatting sqref="F1041">
    <cfRule type="cellIs" dxfId="4" priority="852" operator="equal">
      <formula>"/"</formula>
    </cfRule>
    <cfRule type="cellIs" dxfId="5" priority="853" operator="equal">
      <formula>0</formula>
    </cfRule>
  </conditionalFormatting>
  <conditionalFormatting sqref="F1042">
    <cfRule type="cellIs" dxfId="4" priority="846" operator="equal">
      <formula>"/"</formula>
    </cfRule>
    <cfRule type="cellIs" dxfId="5" priority="847" operator="equal">
      <formula>0</formula>
    </cfRule>
  </conditionalFormatting>
  <conditionalFormatting sqref="F1043">
    <cfRule type="cellIs" dxfId="4" priority="832" operator="equal">
      <formula>"/"</formula>
    </cfRule>
    <cfRule type="cellIs" dxfId="5" priority="833" operator="equal">
      <formula>0</formula>
    </cfRule>
  </conditionalFormatting>
  <conditionalFormatting sqref="F1044">
    <cfRule type="cellIs" dxfId="4" priority="830" operator="equal">
      <formula>"/"</formula>
    </cfRule>
    <cfRule type="cellIs" dxfId="5" priority="831" operator="equal">
      <formula>0</formula>
    </cfRule>
  </conditionalFormatting>
  <conditionalFormatting sqref="F1045">
    <cfRule type="cellIs" dxfId="4" priority="811" operator="equal">
      <formula>"/"</formula>
    </cfRule>
    <cfRule type="cellIs" dxfId="5" priority="812" operator="equal">
      <formula>0</formula>
    </cfRule>
  </conditionalFormatting>
  <conditionalFormatting sqref="F1046">
    <cfRule type="cellIs" dxfId="4" priority="809" operator="equal">
      <formula>"/"</formula>
    </cfRule>
    <cfRule type="cellIs" dxfId="5" priority="810" operator="equal">
      <formula>0</formula>
    </cfRule>
  </conditionalFormatting>
  <conditionalFormatting sqref="F1047">
    <cfRule type="cellIs" dxfId="4" priority="806" operator="equal">
      <formula>"/"</formula>
    </cfRule>
    <cfRule type="cellIs" dxfId="5" priority="807" operator="equal">
      <formula>0</formula>
    </cfRule>
  </conditionalFormatting>
  <conditionalFormatting sqref="D1048">
    <cfRule type="cellIs" dxfId="1" priority="732" operator="equal">
      <formula>"等款"</formula>
    </cfRule>
    <cfRule type="cellIs" dxfId="2" priority="733" operator="equal">
      <formula>"单据"</formula>
    </cfRule>
    <cfRule type="cellIs" dxfId="3" priority="734" operator="equal">
      <formula>"发货"</formula>
    </cfRule>
  </conditionalFormatting>
  <conditionalFormatting sqref="F1048">
    <cfRule type="cellIs" dxfId="4" priority="730" operator="equal">
      <formula>"/"</formula>
    </cfRule>
    <cfRule type="cellIs" dxfId="5" priority="731" operator="equal">
      <formula>0</formula>
    </cfRule>
  </conditionalFormatting>
  <conditionalFormatting sqref="F1053">
    <cfRule type="cellIs" dxfId="4" priority="757" operator="equal">
      <formula>"/"</formula>
    </cfRule>
    <cfRule type="cellIs" dxfId="5" priority="758" operator="equal">
      <formula>0</formula>
    </cfRule>
  </conditionalFormatting>
  <conditionalFormatting sqref="F1054">
    <cfRule type="cellIs" dxfId="4" priority="749" operator="equal">
      <formula>"/"</formula>
    </cfRule>
    <cfRule type="cellIs" dxfId="5" priority="750" operator="equal">
      <formula>0</formula>
    </cfRule>
  </conditionalFormatting>
  <conditionalFormatting sqref="F1055">
    <cfRule type="cellIs" dxfId="4" priority="726" operator="equal">
      <formula>"/"</formula>
    </cfRule>
    <cfRule type="cellIs" dxfId="5" priority="727" operator="equal">
      <formula>0</formula>
    </cfRule>
  </conditionalFormatting>
  <conditionalFormatting sqref="F1056">
    <cfRule type="cellIs" dxfId="4" priority="728" operator="equal">
      <formula>"/"</formula>
    </cfRule>
    <cfRule type="cellIs" dxfId="5" priority="729" operator="equal">
      <formula>0</formula>
    </cfRule>
  </conditionalFormatting>
  <conditionalFormatting sqref="F1057">
    <cfRule type="cellIs" dxfId="4" priority="693" operator="equal">
      <formula>"/"</formula>
    </cfRule>
    <cfRule type="cellIs" dxfId="5" priority="694" operator="equal">
      <formula>0</formula>
    </cfRule>
  </conditionalFormatting>
  <conditionalFormatting sqref="F1058">
    <cfRule type="cellIs" dxfId="4" priority="695" operator="equal">
      <formula>"/"</formula>
    </cfRule>
    <cfRule type="cellIs" dxfId="5" priority="696" operator="equal">
      <formula>0</formula>
    </cfRule>
  </conditionalFormatting>
  <conditionalFormatting sqref="F1059">
    <cfRule type="cellIs" dxfId="4" priority="673" operator="equal">
      <formula>"/"</formula>
    </cfRule>
    <cfRule type="cellIs" dxfId="5" priority="674" operator="equal">
      <formula>0</formula>
    </cfRule>
  </conditionalFormatting>
  <conditionalFormatting sqref="F1060">
    <cfRule type="cellIs" dxfId="4" priority="664" operator="equal">
      <formula>"/"</formula>
    </cfRule>
    <cfRule type="cellIs" dxfId="5" priority="665" operator="equal">
      <formula>0</formula>
    </cfRule>
  </conditionalFormatting>
  <conditionalFormatting sqref="F1061">
    <cfRule type="cellIs" dxfId="4" priority="662" operator="equal">
      <formula>"/"</formula>
    </cfRule>
    <cfRule type="cellIs" dxfId="5" priority="663" operator="equal">
      <formula>0</formula>
    </cfRule>
  </conditionalFormatting>
  <conditionalFormatting sqref="F1062">
    <cfRule type="cellIs" dxfId="4" priority="658" operator="equal">
      <formula>"/"</formula>
    </cfRule>
    <cfRule type="cellIs" dxfId="5" priority="659" operator="equal">
      <formula>0</formula>
    </cfRule>
  </conditionalFormatting>
  <conditionalFormatting sqref="F1063">
    <cfRule type="cellIs" dxfId="4" priority="656" operator="equal">
      <formula>"/"</formula>
    </cfRule>
    <cfRule type="cellIs" dxfId="5" priority="657" operator="equal">
      <formula>0</formula>
    </cfRule>
  </conditionalFormatting>
  <conditionalFormatting sqref="F1064">
    <cfRule type="cellIs" dxfId="4" priority="652" operator="equal">
      <formula>"/"</formula>
    </cfRule>
    <cfRule type="cellIs" dxfId="5" priority="653" operator="equal">
      <formula>0</formula>
    </cfRule>
  </conditionalFormatting>
  <conditionalFormatting sqref="F1065">
    <cfRule type="cellIs" dxfId="4" priority="632" operator="equal">
      <formula>"/"</formula>
    </cfRule>
    <cfRule type="cellIs" dxfId="5" priority="633" operator="equal">
      <formula>0</formula>
    </cfRule>
  </conditionalFormatting>
  <conditionalFormatting sqref="F1066">
    <cfRule type="cellIs" dxfId="4" priority="630" operator="equal">
      <formula>"/"</formula>
    </cfRule>
    <cfRule type="cellIs" dxfId="5" priority="631" operator="equal">
      <formula>0</formula>
    </cfRule>
  </conditionalFormatting>
  <conditionalFormatting sqref="F1067">
    <cfRule type="cellIs" dxfId="4" priority="616" operator="equal">
      <formula>"/"</formula>
    </cfRule>
    <cfRule type="cellIs" dxfId="5" priority="617" operator="equal">
      <formula>0</formula>
    </cfRule>
  </conditionalFormatting>
  <conditionalFormatting sqref="F1068">
    <cfRule type="cellIs" dxfId="4" priority="610" operator="equal">
      <formula>"/"</formula>
    </cfRule>
    <cfRule type="cellIs" dxfId="5" priority="611" operator="equal">
      <formula>0</formula>
    </cfRule>
  </conditionalFormatting>
  <conditionalFormatting sqref="F1069">
    <cfRule type="cellIs" dxfId="4" priority="601" operator="equal">
      <formula>"/"</formula>
    </cfRule>
    <cfRule type="cellIs" dxfId="5" priority="602" operator="equal">
      <formula>0</formula>
    </cfRule>
  </conditionalFormatting>
  <conditionalFormatting sqref="F1070">
    <cfRule type="cellIs" dxfId="4" priority="599" operator="equal">
      <formula>"/"</formula>
    </cfRule>
    <cfRule type="cellIs" dxfId="5" priority="600" operator="equal">
      <formula>0</formula>
    </cfRule>
  </conditionalFormatting>
  <conditionalFormatting sqref="F1073">
    <cfRule type="cellIs" dxfId="4" priority="575" operator="equal">
      <formula>"/"</formula>
    </cfRule>
    <cfRule type="cellIs" dxfId="5" priority="576" operator="equal">
      <formula>0</formula>
    </cfRule>
  </conditionalFormatting>
  <conditionalFormatting sqref="F1074">
    <cfRule type="cellIs" dxfId="4" priority="567" operator="equal">
      <formula>"/"</formula>
    </cfRule>
    <cfRule type="cellIs" dxfId="5" priority="568" operator="equal">
      <formula>0</formula>
    </cfRule>
  </conditionalFormatting>
  <conditionalFormatting sqref="F1075">
    <cfRule type="cellIs" dxfId="4" priority="569" operator="equal">
      <formula>"/"</formula>
    </cfRule>
    <cfRule type="cellIs" dxfId="5" priority="570" operator="equal">
      <formula>0</formula>
    </cfRule>
  </conditionalFormatting>
  <conditionalFormatting sqref="F1076">
    <cfRule type="cellIs" dxfId="4" priority="561" operator="equal">
      <formula>"/"</formula>
    </cfRule>
    <cfRule type="cellIs" dxfId="5" priority="562" operator="equal">
      <formula>0</formula>
    </cfRule>
  </conditionalFormatting>
  <conditionalFormatting sqref="F1077">
    <cfRule type="cellIs" dxfId="4" priority="539" operator="equal">
      <formula>"/"</formula>
    </cfRule>
    <cfRule type="cellIs" dxfId="5" priority="540" operator="equal">
      <formula>0</formula>
    </cfRule>
  </conditionalFormatting>
  <conditionalFormatting sqref="F1078">
    <cfRule type="cellIs" dxfId="4" priority="533" operator="equal">
      <formula>"/"</formula>
    </cfRule>
    <cfRule type="cellIs" dxfId="5" priority="534" operator="equal">
      <formula>0</formula>
    </cfRule>
  </conditionalFormatting>
  <conditionalFormatting sqref="D1079">
    <cfRule type="cellIs" dxfId="1" priority="471" operator="equal">
      <formula>"等款"</formula>
    </cfRule>
    <cfRule type="cellIs" dxfId="2" priority="472" operator="equal">
      <formula>"单据"</formula>
    </cfRule>
    <cfRule type="cellIs" dxfId="3" priority="473" operator="equal">
      <formula>"发货"</formula>
    </cfRule>
  </conditionalFormatting>
  <conditionalFormatting sqref="F1079">
    <cfRule type="cellIs" dxfId="4" priority="469" operator="equal">
      <formula>"/"</formula>
    </cfRule>
    <cfRule type="cellIs" dxfId="5" priority="470" operator="equal">
      <formula>0</formula>
    </cfRule>
  </conditionalFormatting>
  <conditionalFormatting sqref="F1080">
    <cfRule type="cellIs" dxfId="4" priority="474" operator="equal">
      <formula>"/"</formula>
    </cfRule>
    <cfRule type="cellIs" dxfId="5" priority="475" operator="equal">
      <formula>0</formula>
    </cfRule>
  </conditionalFormatting>
  <conditionalFormatting sqref="F1081">
    <cfRule type="cellIs" dxfId="4" priority="476" operator="equal">
      <formula>"/"</formula>
    </cfRule>
    <cfRule type="cellIs" dxfId="5" priority="477" operator="equal">
      <formula>0</formula>
    </cfRule>
  </conditionalFormatting>
  <conditionalFormatting sqref="F1082">
    <cfRule type="cellIs" dxfId="4" priority="465" operator="equal">
      <formula>"/"</formula>
    </cfRule>
    <cfRule type="cellIs" dxfId="5" priority="466" operator="equal">
      <formula>0</formula>
    </cfRule>
  </conditionalFormatting>
  <conditionalFormatting sqref="F1083">
    <cfRule type="cellIs" dxfId="4" priority="463" operator="equal">
      <formula>"/"</formula>
    </cfRule>
    <cfRule type="cellIs" dxfId="5" priority="464" operator="equal">
      <formula>0</formula>
    </cfRule>
  </conditionalFormatting>
  <conditionalFormatting sqref="F1084">
    <cfRule type="cellIs" dxfId="4" priority="459" operator="equal">
      <formula>"/"</formula>
    </cfRule>
    <cfRule type="cellIs" dxfId="5" priority="460" operator="equal">
      <formula>0</formula>
    </cfRule>
  </conditionalFormatting>
  <conditionalFormatting sqref="D1086">
    <cfRule type="cellIs" dxfId="1" priority="332" operator="equal">
      <formula>"等款"</formula>
    </cfRule>
    <cfRule type="cellIs" dxfId="2" priority="333" operator="equal">
      <formula>"单据"</formula>
    </cfRule>
    <cfRule type="cellIs" dxfId="3" priority="334" operator="equal">
      <formula>"发货"</formula>
    </cfRule>
  </conditionalFormatting>
  <conditionalFormatting sqref="F1087">
    <cfRule type="cellIs" dxfId="4" priority="384" operator="equal">
      <formula>"/"</formula>
    </cfRule>
    <cfRule type="cellIs" dxfId="5" priority="385" operator="equal">
      <formula>0</formula>
    </cfRule>
  </conditionalFormatting>
  <conditionalFormatting sqref="F1088">
    <cfRule type="cellIs" dxfId="4" priority="380" operator="equal">
      <formula>"/"</formula>
    </cfRule>
    <cfRule type="cellIs" dxfId="5" priority="381" operator="equal">
      <formula>0</formula>
    </cfRule>
  </conditionalFormatting>
  <conditionalFormatting sqref="F1089">
    <cfRule type="cellIs" dxfId="4" priority="378" operator="equal">
      <formula>"/"</formula>
    </cfRule>
    <cfRule type="cellIs" dxfId="5" priority="379" operator="equal">
      <formula>0</formula>
    </cfRule>
  </conditionalFormatting>
  <conditionalFormatting sqref="F1090">
    <cfRule type="cellIs" dxfId="4" priority="372" operator="equal">
      <formula>"/"</formula>
    </cfRule>
    <cfRule type="cellIs" dxfId="5" priority="373" operator="equal">
      <formula>0</formula>
    </cfRule>
  </conditionalFormatting>
  <conditionalFormatting sqref="F1091">
    <cfRule type="cellIs" dxfId="4" priority="374" operator="equal">
      <formula>"/"</formula>
    </cfRule>
    <cfRule type="cellIs" dxfId="5" priority="375" operator="equal">
      <formula>0</formula>
    </cfRule>
  </conditionalFormatting>
  <conditionalFormatting sqref="F1092">
    <cfRule type="cellIs" dxfId="4" priority="366" operator="equal">
      <formula>"/"</formula>
    </cfRule>
    <cfRule type="cellIs" dxfId="5" priority="367" operator="equal">
      <formula>0</formula>
    </cfRule>
  </conditionalFormatting>
  <conditionalFormatting sqref="F1093">
    <cfRule type="cellIs" dxfId="4" priority="364" operator="equal">
      <formula>"/"</formula>
    </cfRule>
    <cfRule type="cellIs" dxfId="5" priority="365" operator="equal">
      <formula>0</formula>
    </cfRule>
  </conditionalFormatting>
  <conditionalFormatting sqref="F1096">
    <cfRule type="cellIs" dxfId="4" priority="330" operator="equal">
      <formula>"/"</formula>
    </cfRule>
    <cfRule type="cellIs" dxfId="5" priority="331" operator="equal">
      <formula>0</formula>
    </cfRule>
  </conditionalFormatting>
  <conditionalFormatting sqref="F1097">
    <cfRule type="cellIs" dxfId="4" priority="300" operator="equal">
      <formula>"/"</formula>
    </cfRule>
    <cfRule type="cellIs" dxfId="5" priority="301" operator="equal">
      <formula>0</formula>
    </cfRule>
  </conditionalFormatting>
  <conditionalFormatting sqref="F1098">
    <cfRule type="cellIs" dxfId="4" priority="294" operator="equal">
      <formula>"/"</formula>
    </cfRule>
    <cfRule type="cellIs" dxfId="5" priority="295" operator="equal">
      <formula>0</formula>
    </cfRule>
  </conditionalFormatting>
  <conditionalFormatting sqref="F1099">
    <cfRule type="cellIs" dxfId="4" priority="290" operator="equal">
      <formula>"/"</formula>
    </cfRule>
    <cfRule type="cellIs" dxfId="5" priority="291" operator="equal">
      <formula>0</formula>
    </cfRule>
  </conditionalFormatting>
  <conditionalFormatting sqref="F1100">
    <cfRule type="cellIs" dxfId="4" priority="256" operator="equal">
      <formula>"/"</formula>
    </cfRule>
    <cfRule type="cellIs" dxfId="5" priority="257" operator="equal">
      <formula>0</formula>
    </cfRule>
  </conditionalFormatting>
  <conditionalFormatting sqref="D1101">
    <cfRule type="cellIs" dxfId="1" priority="209" operator="equal">
      <formula>"等款"</formula>
    </cfRule>
    <cfRule type="cellIs" dxfId="2" priority="210" operator="equal">
      <formula>"单据"</formula>
    </cfRule>
    <cfRule type="cellIs" dxfId="3" priority="211" operator="equal">
      <formula>"发货"</formula>
    </cfRule>
  </conditionalFormatting>
  <conditionalFormatting sqref="F1101">
    <cfRule type="cellIs" dxfId="4" priority="207" operator="equal">
      <formula>"/"</formula>
    </cfRule>
    <cfRule type="cellIs" dxfId="5" priority="208" operator="equal">
      <formula>0</formula>
    </cfRule>
  </conditionalFormatting>
  <conditionalFormatting sqref="F1102">
    <cfRule type="cellIs" dxfId="4" priority="254" operator="equal">
      <formula>"/"</formula>
    </cfRule>
    <cfRule type="cellIs" dxfId="5" priority="255" operator="equal">
      <formula>0</formula>
    </cfRule>
  </conditionalFormatting>
  <conditionalFormatting sqref="F1105">
    <cfRule type="cellIs" dxfId="4" priority="225" operator="equal">
      <formula>"/"</formula>
    </cfRule>
    <cfRule type="cellIs" dxfId="5" priority="226" operator="equal">
      <formula>0</formula>
    </cfRule>
  </conditionalFormatting>
  <conditionalFormatting sqref="D1106">
    <cfRule type="cellIs" dxfId="1" priority="82" operator="equal">
      <formula>"等款"</formula>
    </cfRule>
    <cfRule type="cellIs" dxfId="2" priority="83" operator="equal">
      <formula>"单据"</formula>
    </cfRule>
    <cfRule type="cellIs" dxfId="3" priority="84" operator="equal">
      <formula>"发货"</formula>
    </cfRule>
  </conditionalFormatting>
  <conditionalFormatting sqref="F1106">
    <cfRule type="cellIs" dxfId="4" priority="80" operator="equal">
      <formula>"/"</formula>
    </cfRule>
    <cfRule type="cellIs" dxfId="5" priority="81" operator="equal">
      <formula>0</formula>
    </cfRule>
  </conditionalFormatting>
  <conditionalFormatting sqref="F1107">
    <cfRule type="cellIs" dxfId="4" priority="223" operator="equal">
      <formula>"/"</formula>
    </cfRule>
    <cfRule type="cellIs" dxfId="5" priority="224" operator="equal">
      <formula>0</formula>
    </cfRule>
  </conditionalFormatting>
  <conditionalFormatting sqref="F1108">
    <cfRule type="cellIs" dxfId="4" priority="221" operator="equal">
      <formula>"/"</formula>
    </cfRule>
    <cfRule type="cellIs" dxfId="5" priority="222" operator="equal">
      <formula>0</formula>
    </cfRule>
  </conditionalFormatting>
  <conditionalFormatting sqref="F1109">
    <cfRule type="cellIs" dxfId="4" priority="201" operator="equal">
      <formula>"/"</formula>
    </cfRule>
    <cfRule type="cellIs" dxfId="5" priority="202" operator="equal">
      <formula>0</formula>
    </cfRule>
  </conditionalFormatting>
  <conditionalFormatting sqref="F1110">
    <cfRule type="cellIs" dxfId="4" priority="191" operator="equal">
      <formula>"/"</formula>
    </cfRule>
    <cfRule type="cellIs" dxfId="5" priority="192" operator="equal">
      <formula>0</formula>
    </cfRule>
  </conditionalFormatting>
  <conditionalFormatting sqref="F1111">
    <cfRule type="cellIs" dxfId="4" priority="189" operator="equal">
      <formula>"/"</formula>
    </cfRule>
    <cfRule type="cellIs" dxfId="5" priority="190" operator="equal">
      <formula>0</formula>
    </cfRule>
  </conditionalFormatting>
  <conditionalFormatting sqref="F1112">
    <cfRule type="cellIs" dxfId="4" priority="187" operator="equal">
      <formula>"/"</formula>
    </cfRule>
    <cfRule type="cellIs" dxfId="5" priority="188" operator="equal">
      <formula>0</formula>
    </cfRule>
  </conditionalFormatting>
  <conditionalFormatting sqref="F1113">
    <cfRule type="cellIs" dxfId="4" priority="181" operator="equal">
      <formula>"/"</formula>
    </cfRule>
    <cfRule type="cellIs" dxfId="5" priority="182" operator="equal">
      <formula>0</formula>
    </cfRule>
  </conditionalFormatting>
  <conditionalFormatting sqref="F1114">
    <cfRule type="cellIs" dxfId="4" priority="179" operator="equal">
      <formula>"/"</formula>
    </cfRule>
    <cfRule type="cellIs" dxfId="5" priority="180" operator="equal">
      <formula>0</formula>
    </cfRule>
  </conditionalFormatting>
  <conditionalFormatting sqref="F1115">
    <cfRule type="cellIs" dxfId="4" priority="68" operator="equal">
      <formula>"/"</formula>
    </cfRule>
    <cfRule type="cellIs" dxfId="5" priority="69" operator="equal">
      <formula>0</formula>
    </cfRule>
  </conditionalFormatting>
  <conditionalFormatting sqref="F1116">
    <cfRule type="cellIs" dxfId="4" priority="146" operator="equal">
      <formula>"/"</formula>
    </cfRule>
    <cfRule type="cellIs" dxfId="5" priority="147" operator="equal">
      <formula>0</formula>
    </cfRule>
  </conditionalFormatting>
  <conditionalFormatting sqref="F1117">
    <cfRule type="cellIs" dxfId="4" priority="142" operator="equal">
      <formula>"/"</formula>
    </cfRule>
    <cfRule type="cellIs" dxfId="5" priority="143" operator="equal">
      <formula>0</formula>
    </cfRule>
  </conditionalFormatting>
  <conditionalFormatting sqref="F1118">
    <cfRule type="cellIs" dxfId="4" priority="144" operator="equal">
      <formula>"/"</formula>
    </cfRule>
    <cfRule type="cellIs" dxfId="5" priority="145" operator="equal">
      <formula>0</formula>
    </cfRule>
  </conditionalFormatting>
  <conditionalFormatting sqref="F1121">
    <cfRule type="cellIs" dxfId="4" priority="130" operator="equal">
      <formula>"/"</formula>
    </cfRule>
    <cfRule type="cellIs" dxfId="5" priority="131" operator="equal">
      <formula>0</formula>
    </cfRule>
  </conditionalFormatting>
  <conditionalFormatting sqref="F1122">
    <cfRule type="cellIs" dxfId="4" priority="106" operator="equal">
      <formula>"/"</formula>
    </cfRule>
    <cfRule type="cellIs" dxfId="5" priority="107" operator="equal">
      <formula>0</formula>
    </cfRule>
  </conditionalFormatting>
  <conditionalFormatting sqref="F1123">
    <cfRule type="cellIs" dxfId="4" priority="89" operator="equal">
      <formula>"/"</formula>
    </cfRule>
    <cfRule type="cellIs" dxfId="5" priority="90" operator="equal">
      <formula>0</formula>
    </cfRule>
  </conditionalFormatting>
  <conditionalFormatting sqref="F1124">
    <cfRule type="cellIs" dxfId="4" priority="85" operator="equal">
      <formula>"/"</formula>
    </cfRule>
    <cfRule type="cellIs" dxfId="5" priority="86" operator="equal">
      <formula>0</formula>
    </cfRule>
  </conditionalFormatting>
  <conditionalFormatting sqref="F1125">
    <cfRule type="cellIs" dxfId="4" priority="108" operator="equal">
      <formula>"/"</formula>
    </cfRule>
    <cfRule type="cellIs" dxfId="5" priority="109" operator="equal">
      <formula>0</formula>
    </cfRule>
  </conditionalFormatting>
  <conditionalFormatting sqref="F1126">
    <cfRule type="cellIs" dxfId="4" priority="10" operator="equal">
      <formula>"/"</formula>
    </cfRule>
    <cfRule type="cellIs" dxfId="5" priority="11" operator="equal">
      <formula>0</formula>
    </cfRule>
  </conditionalFormatting>
  <conditionalFormatting sqref="F1127">
    <cfRule type="cellIs" dxfId="4" priority="8" operator="equal">
      <formula>"/"</formula>
    </cfRule>
    <cfRule type="cellIs" dxfId="5" priority="9" operator="equal">
      <formula>0</formula>
    </cfRule>
  </conditionalFormatting>
  <conditionalFormatting sqref="F1128">
    <cfRule type="cellIs" dxfId="4" priority="6" operator="equal">
      <formula>"/"</formula>
    </cfRule>
    <cfRule type="cellIs" dxfId="5" priority="7" operator="equal">
      <formula>0</formula>
    </cfRule>
  </conditionalFormatting>
  <conditionalFormatting sqref="F1129">
    <cfRule type="cellIs" dxfId="4" priority="183" operator="equal">
      <formula>"/"</formula>
    </cfRule>
    <cfRule type="cellIs" dxfId="5" priority="184" operator="equal">
      <formula>0</formula>
    </cfRule>
  </conditionalFormatting>
  <conditionalFormatting sqref="R1129">
    <cfRule type="cellIs" dxfId="0" priority="1452" operator="equal">
      <formula>0</formula>
    </cfRule>
  </conditionalFormatting>
  <conditionalFormatting sqref="R1130">
    <cfRule type="cellIs" dxfId="0" priority="1451" operator="equal">
      <formula>0</formula>
    </cfRule>
  </conditionalFormatting>
  <conditionalFormatting sqref="R1131">
    <cfRule type="cellIs" dxfId="0" priority="1450" operator="equal">
      <formula>0</formula>
    </cfRule>
  </conditionalFormatting>
  <conditionalFormatting sqref="D1132">
    <cfRule type="cellIs" dxfId="1" priority="1153" operator="equal">
      <formula>"等款"</formula>
    </cfRule>
    <cfRule type="cellIs" dxfId="2" priority="1154" operator="equal">
      <formula>"单据"</formula>
    </cfRule>
    <cfRule type="cellIs" dxfId="3" priority="1155" operator="equal">
      <formula>"发货"</formula>
    </cfRule>
  </conditionalFormatting>
  <conditionalFormatting sqref="F1132">
    <cfRule type="cellIs" dxfId="4" priority="1151" operator="equal">
      <formula>"/"</formula>
    </cfRule>
    <cfRule type="cellIs" dxfId="5" priority="1152" operator="equal">
      <formula>0</formula>
    </cfRule>
  </conditionalFormatting>
  <conditionalFormatting sqref="S1132">
    <cfRule type="cellIs" dxfId="6" priority="1149" operator="equal">
      <formula>0</formula>
    </cfRule>
  </conditionalFormatting>
  <conditionalFormatting sqref="T1135">
    <cfRule type="cellIs" dxfId="0" priority="978" operator="equal">
      <formula>0</formula>
    </cfRule>
  </conditionalFormatting>
  <conditionalFormatting sqref="D1136">
    <cfRule type="cellIs" dxfId="1" priority="1003" operator="equal">
      <formula>"等款"</formula>
    </cfRule>
    <cfRule type="cellIs" dxfId="2" priority="1004" operator="equal">
      <formula>"单据"</formula>
    </cfRule>
    <cfRule type="cellIs" dxfId="3" priority="1005" operator="equal">
      <formula>"发货"</formula>
    </cfRule>
  </conditionalFormatting>
  <conditionalFormatting sqref="F1136">
    <cfRule type="cellIs" dxfId="4" priority="999" operator="equal">
      <formula>"/"</formula>
    </cfRule>
    <cfRule type="cellIs" dxfId="5" priority="1000" operator="equal">
      <formula>0</formula>
    </cfRule>
  </conditionalFormatting>
  <conditionalFormatting sqref="R1139">
    <cfRule type="cellIs" dxfId="0" priority="1447" operator="equal">
      <formula>0</formula>
    </cfRule>
  </conditionalFormatting>
  <conditionalFormatting sqref="R1140">
    <cfRule type="cellIs" dxfId="0" priority="1446" operator="equal">
      <formula>0</formula>
    </cfRule>
  </conditionalFormatting>
  <conditionalFormatting sqref="F1142">
    <cfRule type="cellIs" dxfId="4" priority="1540" operator="equal">
      <formula>"/"</formula>
    </cfRule>
    <cfRule type="cellIs" dxfId="5" priority="1541" operator="equal">
      <formula>0</formula>
    </cfRule>
  </conditionalFormatting>
  <conditionalFormatting sqref="R1142">
    <cfRule type="cellIs" dxfId="0" priority="1469" operator="equal">
      <formula>0</formula>
    </cfRule>
  </conditionalFormatting>
  <conditionalFormatting sqref="F1143">
    <cfRule type="cellIs" dxfId="4" priority="1542" operator="equal">
      <formula>"/"</formula>
    </cfRule>
    <cfRule type="cellIs" dxfId="5" priority="1543" operator="equal">
      <formula>0</formula>
    </cfRule>
  </conditionalFormatting>
  <conditionalFormatting sqref="R1143">
    <cfRule type="cellIs" dxfId="0" priority="1468" operator="equal">
      <formula>0</formula>
    </cfRule>
  </conditionalFormatting>
  <conditionalFormatting sqref="F1144">
    <cfRule type="cellIs" dxfId="4" priority="1544" operator="equal">
      <formula>"/"</formula>
    </cfRule>
    <cfRule type="cellIs" dxfId="5" priority="1545" operator="equal">
      <formula>0</formula>
    </cfRule>
  </conditionalFormatting>
  <conditionalFormatting sqref="R1144">
    <cfRule type="cellIs" dxfId="0" priority="1467" operator="equal">
      <formula>0</formula>
    </cfRule>
  </conditionalFormatting>
  <conditionalFormatting sqref="F1145">
    <cfRule type="cellIs" dxfId="4" priority="1546" operator="equal">
      <formula>"/"</formula>
    </cfRule>
    <cfRule type="cellIs" dxfId="5" priority="1547" operator="equal">
      <formula>0</formula>
    </cfRule>
  </conditionalFormatting>
  <conditionalFormatting sqref="R1145">
    <cfRule type="cellIs" dxfId="0" priority="1120" operator="equal">
      <formula>0</formula>
    </cfRule>
  </conditionalFormatting>
  <conditionalFormatting sqref="T1145">
    <cfRule type="cellIs" dxfId="0" priority="1051" operator="equal">
      <formula>0</formula>
    </cfRule>
  </conditionalFormatting>
  <conditionalFormatting sqref="F1146">
    <cfRule type="cellIs" dxfId="4" priority="1548" operator="equal">
      <formula>"/"</formula>
    </cfRule>
    <cfRule type="cellIs" dxfId="5" priority="1549" operator="equal">
      <formula>0</formula>
    </cfRule>
  </conditionalFormatting>
  <conditionalFormatting sqref="R1146">
    <cfRule type="cellIs" dxfId="0" priority="1465" operator="equal">
      <formula>0</formula>
    </cfRule>
  </conditionalFormatting>
  <conditionalFormatting sqref="R1147">
    <cfRule type="cellIs" dxfId="0" priority="1464" operator="equal">
      <formula>0</formula>
    </cfRule>
  </conditionalFormatting>
  <conditionalFormatting sqref="R1148">
    <cfRule type="cellIs" dxfId="0" priority="1463" operator="equal">
      <formula>0</formula>
    </cfRule>
  </conditionalFormatting>
  <conditionalFormatting sqref="R1149">
    <cfRule type="cellIs" dxfId="0" priority="1462" operator="equal">
      <formula>0</formula>
    </cfRule>
  </conditionalFormatting>
  <conditionalFormatting sqref="R1172">
    <cfRule type="cellIs" dxfId="0" priority="1187" operator="equal">
      <formula>0</formula>
    </cfRule>
  </conditionalFormatting>
  <conditionalFormatting sqref="R1182">
    <cfRule type="cellIs" dxfId="0" priority="1479" operator="equal">
      <formula>0</formula>
    </cfRule>
  </conditionalFormatting>
  <conditionalFormatting sqref="R1183">
    <cfRule type="cellIs" dxfId="0" priority="1478" operator="equal">
      <formula>0</formula>
    </cfRule>
  </conditionalFormatting>
  <conditionalFormatting sqref="T1201">
    <cfRule type="cellIs" dxfId="0" priority="1157" operator="equal">
      <formula>0</formula>
    </cfRule>
  </conditionalFormatting>
  <conditionalFormatting sqref="T1204">
    <cfRule type="cellIs" dxfId="0" priority="1156" operator="equal">
      <formula>0</formula>
    </cfRule>
  </conditionalFormatting>
  <conditionalFormatting sqref="R1206">
    <cfRule type="cellIs" dxfId="0" priority="1484" operator="equal">
      <formula>0</formula>
    </cfRule>
  </conditionalFormatting>
  <conditionalFormatting sqref="D1210">
    <cfRule type="cellIs" dxfId="1" priority="271" operator="equal">
      <formula>"等款"</formula>
    </cfRule>
    <cfRule type="cellIs" dxfId="2" priority="272" operator="equal">
      <formula>"单据"</formula>
    </cfRule>
    <cfRule type="cellIs" dxfId="3" priority="273" operator="equal">
      <formula>"发货"</formula>
    </cfRule>
  </conditionalFormatting>
  <conditionalFormatting sqref="F1210">
    <cfRule type="cellIs" dxfId="4" priority="269" operator="equal">
      <formula>"/"</formula>
    </cfRule>
    <cfRule type="cellIs" dxfId="5" priority="270" operator="equal">
      <formula>0</formula>
    </cfRule>
  </conditionalFormatting>
  <conditionalFormatting sqref="D247:D271">
    <cfRule type="cellIs" dxfId="1" priority="1581" operator="equal">
      <formula>"等款"</formula>
    </cfRule>
    <cfRule type="cellIs" dxfId="2" priority="1582" operator="equal">
      <formula>"单据"</formula>
    </cfRule>
    <cfRule type="cellIs" dxfId="3" priority="1583" operator="equal">
      <formula>"发货"</formula>
    </cfRule>
  </conditionalFormatting>
  <conditionalFormatting sqref="D306:D310">
    <cfRule type="cellIs" dxfId="1" priority="1126" operator="equal">
      <formula>"等款"</formula>
    </cfRule>
    <cfRule type="cellIs" dxfId="2" priority="1127" operator="equal">
      <formula>"单据"</formula>
    </cfRule>
    <cfRule type="cellIs" dxfId="3" priority="1128" operator="equal">
      <formula>"发货"</formula>
    </cfRule>
  </conditionalFormatting>
  <conditionalFormatting sqref="D526:D553">
    <cfRule type="cellIs" dxfId="1" priority="158" operator="equal">
      <formula>"等款"</formula>
    </cfRule>
    <cfRule type="cellIs" dxfId="2" priority="159" operator="equal">
      <formula>"单据"</formula>
    </cfRule>
    <cfRule type="cellIs" dxfId="3" priority="160" operator="equal">
      <formula>"发货"</formula>
    </cfRule>
  </conditionalFormatting>
  <conditionalFormatting sqref="D600:D601">
    <cfRule type="cellIs" dxfId="1" priority="549" operator="equal">
      <formula>"等款"</formula>
    </cfRule>
    <cfRule type="cellIs" dxfId="2" priority="550" operator="equal">
      <formula>"单据"</formula>
    </cfRule>
    <cfRule type="cellIs" dxfId="3" priority="551" operator="equal">
      <formula>"发货"</formula>
    </cfRule>
  </conditionalFormatting>
  <conditionalFormatting sqref="D602:D605">
    <cfRule type="cellIs" dxfId="1" priority="264" operator="equal">
      <formula>"等款"</formula>
    </cfRule>
    <cfRule type="cellIs" dxfId="2" priority="265" operator="equal">
      <formula>"单据"</formula>
    </cfRule>
    <cfRule type="cellIs" dxfId="3" priority="266" operator="equal">
      <formula>"发货"</formula>
    </cfRule>
  </conditionalFormatting>
  <conditionalFormatting sqref="D836:D837">
    <cfRule type="cellIs" dxfId="1" priority="1117" operator="equal">
      <formula>"等款"</formula>
    </cfRule>
    <cfRule type="cellIs" dxfId="2" priority="1118" operator="equal">
      <formula>"单据"</formula>
    </cfRule>
    <cfRule type="cellIs" dxfId="3" priority="1119" operator="equal">
      <formula>"发货"</formula>
    </cfRule>
  </conditionalFormatting>
  <conditionalFormatting sqref="D838:D843">
    <cfRule type="cellIs" dxfId="1" priority="1559" operator="equal">
      <formula>"等款"</formula>
    </cfRule>
    <cfRule type="cellIs" dxfId="2" priority="1560" operator="equal">
      <formula>"单据"</formula>
    </cfRule>
    <cfRule type="cellIs" dxfId="3" priority="1561" operator="equal">
      <formula>"发货"</formula>
    </cfRule>
  </conditionalFormatting>
  <conditionalFormatting sqref="D992:D993">
    <cfRule type="cellIs" dxfId="1" priority="1131" operator="equal">
      <formula>"等款"</formula>
    </cfRule>
    <cfRule type="cellIs" dxfId="2" priority="1132" operator="equal">
      <formula>"单据"</formula>
    </cfRule>
    <cfRule type="cellIs" dxfId="3" priority="1133" operator="equal">
      <formula>"发货"</formula>
    </cfRule>
  </conditionalFormatting>
  <conditionalFormatting sqref="D1008:D1028">
    <cfRule type="cellIs" dxfId="1" priority="1035" operator="equal">
      <formula>"等款"</formula>
    </cfRule>
    <cfRule type="cellIs" dxfId="2" priority="1036" operator="equal">
      <formula>"单据"</formula>
    </cfRule>
    <cfRule type="cellIs" dxfId="3" priority="1037" operator="equal">
      <formula>"发货"</formula>
    </cfRule>
  </conditionalFormatting>
  <conditionalFormatting sqref="D1051:D1070">
    <cfRule type="cellIs" dxfId="1" priority="769" operator="equal">
      <formula>"等款"</formula>
    </cfRule>
    <cfRule type="cellIs" dxfId="2" priority="770" operator="equal">
      <formula>"单据"</formula>
    </cfRule>
    <cfRule type="cellIs" dxfId="3" priority="771" operator="equal">
      <formula>"发货"</formula>
    </cfRule>
  </conditionalFormatting>
  <conditionalFormatting sqref="D1123:D1124">
    <cfRule type="cellIs" dxfId="1" priority="91" operator="equal">
      <formula>"等款"</formula>
    </cfRule>
    <cfRule type="cellIs" dxfId="2" priority="92" operator="equal">
      <formula>"单据"</formula>
    </cfRule>
    <cfRule type="cellIs" dxfId="3" priority="93" operator="equal">
      <formula>"发货"</formula>
    </cfRule>
  </conditionalFormatting>
  <conditionalFormatting sqref="F394:F395">
    <cfRule type="cellIs" dxfId="4" priority="813" operator="equal">
      <formula>"/"</formula>
    </cfRule>
    <cfRule type="cellIs" dxfId="5" priority="814" operator="equal">
      <formula>0</formula>
    </cfRule>
  </conditionalFormatting>
  <conditionalFormatting sqref="F404:F405">
    <cfRule type="cellIs" dxfId="4" priority="777" operator="equal">
      <formula>"/"</formula>
    </cfRule>
    <cfRule type="cellIs" dxfId="5" priority="778" operator="equal">
      <formula>0</formula>
    </cfRule>
  </conditionalFormatting>
  <conditionalFormatting sqref="F409:F412">
    <cfRule type="cellIs" dxfId="4" priority="735" operator="equal">
      <formula>"/"</formula>
    </cfRule>
    <cfRule type="cellIs" dxfId="5" priority="736" operator="equal">
      <formula>0</formula>
    </cfRule>
  </conditionalFormatting>
  <conditionalFormatting sqref="F472:F473">
    <cfRule type="cellIs" dxfId="4" priority="461" operator="equal">
      <formula>"/"</formula>
    </cfRule>
    <cfRule type="cellIs" dxfId="5" priority="462" operator="equal">
      <formula>0</formula>
    </cfRule>
  </conditionalFormatting>
  <conditionalFormatting sqref="F487:F488">
    <cfRule type="cellIs" dxfId="4" priority="341" operator="equal">
      <formula>"/"</formula>
    </cfRule>
    <cfRule type="cellIs" dxfId="5" priority="342" operator="equal">
      <formula>0</formula>
    </cfRule>
  </conditionalFormatting>
  <conditionalFormatting sqref="F506:F507">
    <cfRule type="cellIs" dxfId="4" priority="246" operator="equal">
      <formula>"/"</formula>
    </cfRule>
    <cfRule type="cellIs" dxfId="5" priority="247" operator="equal">
      <formula>0</formula>
    </cfRule>
  </conditionalFormatting>
  <conditionalFormatting sqref="F513:F515">
    <cfRule type="cellIs" dxfId="4" priority="227" operator="equal">
      <formula>"/"</formula>
    </cfRule>
    <cfRule type="cellIs" dxfId="5" priority="228" operator="equal">
      <formula>0</formula>
    </cfRule>
  </conditionalFormatting>
  <conditionalFormatting sqref="F530:F533">
    <cfRule type="cellIs" dxfId="4" priority="132" operator="equal">
      <formula>"/"</formula>
    </cfRule>
    <cfRule type="cellIs" dxfId="5" priority="133" operator="equal">
      <formula>0</formula>
    </cfRule>
  </conditionalFormatting>
  <conditionalFormatting sqref="F604:F605">
    <cfRule type="cellIs" dxfId="4" priority="102" operator="equal">
      <formula>"/"</formula>
    </cfRule>
    <cfRule type="cellIs" dxfId="5" priority="103" operator="equal">
      <formula>0</formula>
    </cfRule>
  </conditionalFormatting>
  <conditionalFormatting sqref="F835:F836">
    <cfRule type="cellIs" dxfId="4" priority="1562" operator="equal">
      <formula>"/"</formula>
    </cfRule>
    <cfRule type="cellIs" dxfId="5" priority="1563" operator="equal">
      <formula>0</formula>
    </cfRule>
  </conditionalFormatting>
  <conditionalFormatting sqref="F888:F889">
    <cfRule type="cellIs" dxfId="4" priority="531" operator="equal">
      <formula>"/"</formula>
    </cfRule>
    <cfRule type="cellIs" dxfId="5" priority="532" operator="equal">
      <formula>0</formula>
    </cfRule>
  </conditionalFormatting>
  <conditionalFormatting sqref="F895:F896">
    <cfRule type="cellIs" dxfId="4" priority="444" operator="equal">
      <formula>"/"</formula>
    </cfRule>
    <cfRule type="cellIs" dxfId="5" priority="445" operator="equal">
      <formula>0</formula>
    </cfRule>
  </conditionalFormatting>
  <conditionalFormatting sqref="F902:F903">
    <cfRule type="cellIs" dxfId="4" priority="343" operator="equal">
      <formula>"/"</formula>
    </cfRule>
    <cfRule type="cellIs" dxfId="5" priority="344" operator="equal">
      <formula>0</formula>
    </cfRule>
  </conditionalFormatting>
  <conditionalFormatting sqref="F911:F912">
    <cfRule type="cellIs" dxfId="4" priority="203" operator="equal">
      <formula>"/"</formula>
    </cfRule>
    <cfRule type="cellIs" dxfId="5" priority="204" operator="equal">
      <formula>0</formula>
    </cfRule>
  </conditionalFormatting>
  <conditionalFormatting sqref="F992:F993">
    <cfRule type="cellIs" dxfId="4" priority="1129" operator="equal">
      <formula>"/"</formula>
    </cfRule>
    <cfRule type="cellIs" dxfId="5" priority="1130" operator="equal">
      <formula>0</formula>
    </cfRule>
  </conditionalFormatting>
  <conditionalFormatting sqref="F1009:F1010">
    <cfRule type="cellIs" dxfId="4" priority="1026" operator="equal">
      <formula>"/"</formula>
    </cfRule>
    <cfRule type="cellIs" dxfId="5" priority="1027" operator="equal">
      <formula>0</formula>
    </cfRule>
  </conditionalFormatting>
  <conditionalFormatting sqref="F1016:F1017">
    <cfRule type="cellIs" dxfId="4" priority="997" operator="equal">
      <formula>"/"</formula>
    </cfRule>
    <cfRule type="cellIs" dxfId="5" priority="998" operator="equal">
      <formula>0</formula>
    </cfRule>
  </conditionalFormatting>
  <conditionalFormatting sqref="F1049:F1050">
    <cfRule type="cellIs" dxfId="4" priority="800" operator="equal">
      <formula>"/"</formula>
    </cfRule>
    <cfRule type="cellIs" dxfId="5" priority="801" operator="equal">
      <formula>0</formula>
    </cfRule>
  </conditionalFormatting>
  <conditionalFormatting sqref="F1051:F1052">
    <cfRule type="cellIs" dxfId="4" priority="772" operator="equal">
      <formula>"/"</formula>
    </cfRule>
    <cfRule type="cellIs" dxfId="5" priority="773" operator="equal">
      <formula>0</formula>
    </cfRule>
  </conditionalFormatting>
  <conditionalFormatting sqref="F1071:F1072">
    <cfRule type="cellIs" dxfId="4" priority="593" operator="equal">
      <formula>"/"</formula>
    </cfRule>
    <cfRule type="cellIs" dxfId="5" priority="594" operator="equal">
      <formula>0</formula>
    </cfRule>
  </conditionalFormatting>
  <conditionalFormatting sqref="F1085:F1086">
    <cfRule type="cellIs" dxfId="4" priority="418" operator="equal">
      <formula>"/"</formula>
    </cfRule>
    <cfRule type="cellIs" dxfId="5" priority="419" operator="equal">
      <formula>0</formula>
    </cfRule>
  </conditionalFormatting>
  <conditionalFormatting sqref="F1094:F1095">
    <cfRule type="cellIs" dxfId="4" priority="356" operator="equal">
      <formula>"/"</formula>
    </cfRule>
    <cfRule type="cellIs" dxfId="5" priority="357" operator="equal">
      <formula>0</formula>
    </cfRule>
  </conditionalFormatting>
  <conditionalFormatting sqref="F1103:F1104">
    <cfRule type="cellIs" dxfId="4" priority="229" operator="equal">
      <formula>"/"</formula>
    </cfRule>
    <cfRule type="cellIs" dxfId="5" priority="230" operator="equal">
      <formula>0</formula>
    </cfRule>
  </conditionalFormatting>
  <conditionalFormatting sqref="F1119:F1120">
    <cfRule type="cellIs" dxfId="4" priority="138" operator="equal">
      <formula>"/"</formula>
    </cfRule>
    <cfRule type="cellIs" dxfId="5" priority="139" operator="equal">
      <formula>0</formula>
    </cfRule>
  </conditionalFormatting>
  <conditionalFormatting sqref="R274:R275">
    <cfRule type="cellIs" dxfId="0" priority="1282" operator="equal">
      <formula>0</formula>
    </cfRule>
  </conditionalFormatting>
  <conditionalFormatting sqref="R285:R286">
    <cfRule type="cellIs" dxfId="0" priority="1272" operator="equal">
      <formula>0</formula>
    </cfRule>
  </conditionalFormatting>
  <conditionalFormatting sqref="R292:R293">
    <cfRule type="cellIs" dxfId="0" priority="1265" operator="equal">
      <formula>0</formula>
    </cfRule>
  </conditionalFormatting>
  <conditionalFormatting sqref="R295:R296">
    <cfRule type="cellIs" dxfId="0" priority="1263" operator="equal">
      <formula>0</formula>
    </cfRule>
  </conditionalFormatting>
  <conditionalFormatting sqref="R299:R310">
    <cfRule type="cellIs" dxfId="0" priority="1260" operator="equal">
      <formula>0</formula>
    </cfRule>
  </conditionalFormatting>
  <conditionalFormatting sqref="R311:R324">
    <cfRule type="cellIs" dxfId="0" priority="1259" operator="equal">
      <formula>0</formula>
    </cfRule>
  </conditionalFormatting>
  <conditionalFormatting sqref="R572:R580">
    <cfRule type="cellIs" dxfId="0" priority="1348" operator="equal">
      <formula>0</formula>
    </cfRule>
  </conditionalFormatting>
  <conditionalFormatting sqref="R705:R714">
    <cfRule type="cellIs" dxfId="0" priority="1357" operator="equal">
      <formula>0</formula>
    </cfRule>
  </conditionalFormatting>
  <conditionalFormatting sqref="R715:R726">
    <cfRule type="cellIs" dxfId="0" priority="1356" operator="equal">
      <formula>0</formula>
    </cfRule>
  </conditionalFormatting>
  <conditionalFormatting sqref="R727:R730">
    <cfRule type="cellIs" dxfId="0" priority="1381" operator="equal">
      <formula>0</formula>
    </cfRule>
  </conditionalFormatting>
  <conditionalFormatting sqref="R823:R824">
    <cfRule type="cellIs" dxfId="0" priority="1396" operator="equal">
      <formula>0</formula>
    </cfRule>
  </conditionalFormatting>
  <conditionalFormatting sqref="R830:R831">
    <cfRule type="cellIs" dxfId="0" priority="1392" operator="equal">
      <formula>0</formula>
    </cfRule>
  </conditionalFormatting>
  <conditionalFormatting sqref="R835:R837">
    <cfRule type="cellIs" dxfId="0" priority="1409" operator="equal">
      <formula>0</formula>
    </cfRule>
  </conditionalFormatting>
  <conditionalFormatting sqref="R838:R844">
    <cfRule type="cellIs" dxfId="0" priority="1408" operator="equal">
      <formula>0</formula>
    </cfRule>
  </conditionalFormatting>
  <conditionalFormatting sqref="R845:R928">
    <cfRule type="cellIs" dxfId="0" priority="1407" operator="equal">
      <formula>0</formula>
    </cfRule>
  </conditionalFormatting>
  <conditionalFormatting sqref="R934:R935">
    <cfRule type="cellIs" dxfId="0" priority="1422" operator="equal">
      <formula>0</formula>
    </cfRule>
  </conditionalFormatting>
  <conditionalFormatting sqref="R984:R986">
    <cfRule type="cellIs" dxfId="0" priority="1436" operator="equal">
      <formula>0</formula>
    </cfRule>
  </conditionalFormatting>
  <conditionalFormatting sqref="R990:R994">
    <cfRule type="cellIs" dxfId="0" priority="1432" operator="equal">
      <formula>0</formula>
    </cfRule>
  </conditionalFormatting>
  <conditionalFormatting sqref="R1133:R1134">
    <cfRule type="cellIs" dxfId="0" priority="1449" operator="equal">
      <formula>0</formula>
    </cfRule>
  </conditionalFormatting>
  <conditionalFormatting sqref="R1135:R1138">
    <cfRule type="cellIs" dxfId="0" priority="1448" operator="equal">
      <formula>0</formula>
    </cfRule>
  </conditionalFormatting>
  <conditionalFormatting sqref="R1180:R1181">
    <cfRule type="cellIs" dxfId="0" priority="1480" operator="equal">
      <formula>0</formula>
    </cfRule>
  </conditionalFormatting>
  <conditionalFormatting sqref="T1037:T1038">
    <cfRule type="cellIs" dxfId="6" priority="776" operator="equal">
      <formula>0</formula>
    </cfRule>
  </conditionalFormatting>
  <conditionalFormatting sqref="F1:F2 F301:F316 F318:F345 F294:F295 F287:F292 F4:F285 F297:F299 F348 F350 F353:F355 F357:F364 F366:F368 F555:F598 F1130:F1131 F1137:F1206 F1133:F1135 F930:F984 F1005:F1007 F987:F991 F995:F1003 F830:F836 F861:F874 F718:F822 F607:F706 F853:F859 F851 F845:F849 F709:F716 F825:F827 F878:F883">
    <cfRule type="cellIs" dxfId="4" priority="1566" operator="equal">
      <formula>"/"</formula>
    </cfRule>
    <cfRule type="cellIs" dxfId="5" priority="1567" operator="equal">
      <formula>0</formula>
    </cfRule>
  </conditionalFormatting>
  <conditionalFormatting sqref="R1 R3:R181 R184:R202 R263:R268 R226:R261 R558:R563 R1150:R1171 R1173:R1179 R1184:R1205 R1141 R979:R981 R972:R977 R938:R970 R930:R932 R608:R694 R732:R743 R752:R820 R565:R569">
    <cfRule type="cellIs" dxfId="0" priority="1486" operator="equal">
      <formula>0</formula>
    </cfRule>
  </conditionalFormatting>
  <conditionalFormatting sqref="S1 S3:S997 S1133:S1048576 S999:S1131">
    <cfRule type="cellIs" dxfId="6" priority="1169" operator="equal">
      <formula>0</formula>
    </cfRule>
  </conditionalFormatting>
  <conditionalFormatting sqref="D272:D285 D294:D295 D311:D316 D318:D345 D287:D292 D301:D305 D297:D299 D348 D350 D353:D355 D357:D364 D366:D368 D554:D599 D1133:D1135 D1129:D1131 D1137:D1206 D929:D984 D1005:D1007 D995:D1003 D987:D991 D861:D874 D853:D859 D606:D706 D718:D822 D845:D849 D830 D832:D835 D851 D878:D883 D709:D716 D825:D827">
    <cfRule type="cellIs" dxfId="1" priority="1578" operator="equal">
      <formula>"等款"</formula>
    </cfRule>
    <cfRule type="cellIs" dxfId="2" priority="1579" operator="equal">
      <formula>"单据"</formula>
    </cfRule>
    <cfRule type="cellIs" dxfId="3" priority="1580" operator="equal">
      <formula>"发货"</formula>
    </cfRule>
  </conditionalFormatting>
  <conditionalFormatting sqref="R325:R521 R528:R553 R523:R526">
    <cfRule type="cellIs" dxfId="0" priority="1258" operator="equal">
      <formula>0</formula>
    </cfRule>
  </conditionalFormatting>
  <conditionalFormatting sqref="D369:D375 D377:D380 D382:D395 D399:D414 D416:D423 D425:D430 D432:D436 D438:D444 D446:D449 D451:D454 D456:D458 D460 D466:D467 D463:D464 D470:D484 D486:D491">
    <cfRule type="cellIs" dxfId="1" priority="892" operator="equal">
      <formula>"等款"</formula>
    </cfRule>
    <cfRule type="cellIs" dxfId="2" priority="893" operator="equal">
      <formula>"单据"</formula>
    </cfRule>
    <cfRule type="cellIs" dxfId="3" priority="894" operator="equal">
      <formula>"发货"</formula>
    </cfRule>
  </conditionalFormatting>
  <conditionalFormatting sqref="F467 F470">
    <cfRule type="cellIs" dxfId="4" priority="495" operator="equal">
      <formula>"/"</formula>
    </cfRule>
    <cfRule type="cellIs" dxfId="5" priority="496" operator="equal">
      <formula>0</formula>
    </cfRule>
  </conditionalFormatting>
  <conditionalFormatting sqref="D492:D495 D504:D525 D497:D502">
    <cfRule type="cellIs" dxfId="1" priority="317" operator="equal">
      <formula>"等款"</formula>
    </cfRule>
    <cfRule type="cellIs" dxfId="2" priority="318" operator="equal">
      <formula>"单据"</formula>
    </cfRule>
    <cfRule type="cellIs" dxfId="3" priority="319" operator="equal">
      <formula>"发货"</formula>
    </cfRule>
  </conditionalFormatting>
  <conditionalFormatting sqref="R827:R829 R1132">
    <cfRule type="cellIs" dxfId="0" priority="1393" operator="equal">
      <formula>0</formula>
    </cfRule>
  </conditionalFormatting>
  <conditionalFormatting sqref="D884:D891 D893">
    <cfRule type="cellIs" dxfId="1" priority="605" operator="equal">
      <formula>"等款"</formula>
    </cfRule>
    <cfRule type="cellIs" dxfId="2" priority="606" operator="equal">
      <formula>"单据"</formula>
    </cfRule>
    <cfRule type="cellIs" dxfId="3" priority="607" operator="equal">
      <formula>"发货"</formula>
    </cfRule>
  </conditionalFormatting>
  <conditionalFormatting sqref="D895:D897 D927:D928 D924:D925 D914:D922 D906:D912 D899:D903">
    <cfRule type="cellIs" dxfId="1" priority="446" operator="equal">
      <formula>"等款"</formula>
    </cfRule>
    <cfRule type="cellIs" dxfId="2" priority="447" operator="equal">
      <formula>"单据"</formula>
    </cfRule>
    <cfRule type="cellIs" dxfId="3" priority="448" operator="equal">
      <formula>"发货"</formula>
    </cfRule>
  </conditionalFormatting>
  <conditionalFormatting sqref="R995:R1062 R1064:R1128">
    <cfRule type="cellIs" dxfId="0" priority="1453" operator="equal">
      <formula>0</formula>
    </cfRule>
  </conditionalFormatting>
  <conditionalFormatting sqref="D1029 D1049:D1050 D1040:D1047 D1031:D1037">
    <cfRule type="cellIs" dxfId="1" priority="952" operator="equal">
      <formula>"等款"</formula>
    </cfRule>
    <cfRule type="cellIs" dxfId="2" priority="953" operator="equal">
      <formula>"单据"</formula>
    </cfRule>
    <cfRule type="cellIs" dxfId="3" priority="954" operator="equal">
      <formula>"发货"</formula>
    </cfRule>
  </conditionalFormatting>
  <conditionalFormatting sqref="D1071:D1078 D1087:D1100 D1102:D1105 D1107:D1122 D1080:D1085 D1125:D1128">
    <cfRule type="cellIs" dxfId="1" priority="590" operator="equal">
      <formula>"等款"</formula>
    </cfRule>
    <cfRule type="cellIs" dxfId="2" priority="591" operator="equal">
      <formula>"单据"</formula>
    </cfRule>
    <cfRule type="cellIs" dxfId="3" priority="592" operator="equal">
      <formula>"发货"</formula>
    </cfRule>
  </conditionalFormatting>
  <dataValidations count="14">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61 E564 E565 E566 E567 E568 E569 E570 E571 E617 E661 E701 E702 E703 E732 E734 E735 E736 E737 E738 E739 E740 E741 E742 E743 E744 E813 E822 E823 E824 E825 E826 E827 E829 E830 E831 E832 E983 E984 E985 E986 E987 E988 E989 E1130 E1149 E1181 E146:E147 E149:E150 E156:E157 E174:E177 E181:E184 E196:E198 E204:E206 E217:E219 E227:E228 E699:E700 E1147:E1148 E1179:E1180">
      <formula1>客户!B$2:B$114</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65 O566 O567 O568 O569 O570 O571 O572 O573 O574 O575 O576 O577 O578 O579 O580 O581 O582 O583 O584 O585 O586 O587 O588 O589 O590 O591 O592 O593 O594 O595 O596 O597 O598 O599 O600 O601 O602 O603 O604 O605 O606 O684 O687 O688 O689 O690 O691 O692 O693 O694 O695 O696 O697 O698 O699 O700 O701 O702 O703 O704 O705 O706 O707 O708 O709 O710 O711 O712 O713 O714 O715 O716 O717 O718 O719 O720 O721 O722 O723 O724 O725 O726 O727 O728 O729 O730 O742 O743 O744 O745 O746 O747 O748 O749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33 O934 O935 O973 O974 O975 O976 O978 O980 O981 O982 O983 O984 O985 O986 O987 O988 O989 O990 O991 O992 O993 O994 O995 O996 O997 O998 O999 O1000 O1001 O1002 O1003 O1004 O1005 O1006 O1007 O1008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4 O1135 O1136 O1137 O1138 O1139 O1140 O1141 O1145 O1146 O1170 O1180 O1181 O1210 O6:O20 O30:O61 O62:O79 O80:O232 O237:O238 O244:O263 O554:O564 O607:O683 O685:O686 O731:O741 O750:O813 O929:O932 O936:O972 O1142:O1144 O1147:O1148 O1149:O1169 O1171:O1179">
      <formula1>"DP,出厂,到港,LC,信保"</formula1>
    </dataValidation>
    <dataValidation type="list" allowBlank="1" showInputMessage="1" showErrorMessage="1" sqref="B4 C4 B1140 C1140 B1141 C1141 B1181 C1181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42:B1143 B1144:B1146 B1178:B1180 B1182:B1206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42:C1143 C1144:C1146 C1178:C1180 C1182:C1206">
      <formula1>"T,E,C,A,B"</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66 C666 B682 C682 B685 C685 B686 C686 B687 C687 B688 C688 B689 C689 B690 C690 B691 C691 B692 C692 B693 C693 B694 C694 B695 C695 B696 C696 B697 C697 B698 C698 B699 C699 B700 C700 B701 C701 B702 C702 C703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41 C741 B742 C742 B743 C743 B744 C744 B745 C745 B746 C746 B747 C747 B748 C748 B749 C749 B789 C789 B790 C790 B791 C791 B805 C805 B806 C806 B807 C807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33 C933 B934 C934 B935 C935 B969 C969 B970 C970 B971 C971 B972 C972 B975 C975 B976 C976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70 C1170 B1210 C1210 B164:B166 B193:B194 B205:B220 B226:B228 B554:B562 B607:B608 B609:B628 B629:B651 B652:B654 B655:B665 B667:B668 B669:B670 B671:B681 B683:B684 B703:B704 B738:B740 B750:B752 B753:B786 B787:B788 B792:B804 B808:B809 B929:B932 B936:B938 B939:B964 B965:B968 B1009:B1010 B1147:B1148 B1149:B1169 B1171:B1177 C164:C166 C193:C194 C205:C220 C226:C228 C554:C562 C607:C608 C609:C628 C629:C651 C652:C654 C655:C665 C667:C668 C669:C670 C671:C681 C683:C684 C738:C740 C750:C752 C753:C786 C787:C788 C792:C804 C808:C809 C929:C932 C936:C938 C939:C964 C965:C968 C1009:C1010 C1147:C1148 C1149:C1169 C1171:C1177">
      <formula1>"T,E,C,A,B,S"</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75 A576 A577 A578 A579 A580 A581 A582 A583 A584 A585 A586 A587 A588 A589 A590 A591 A592 A593 A594 A595 A596 A597 A598 A599 A600 A601 A602 A603 A604 A605 A606 A706 A707 A708 A709 A710 A711 A712 A713 A714 A715 A716 A717 A718 A719 A720 A721 A722 A723 A724 A725 A726 A727 A728 A729 A730 A824 A829 A830 A831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35 A985 A986 A992 A993 A994 A995 A996 A997 A998 A999 A1000 A1001 A1002 A1003 A1004 A1005 A1006 A1007 A1008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34 A1135 A1136 A1137 A1138 A1210 A4:A274 A276:A285 A287:A289 A290:A292 A294:A295 A297:A299 A301:A302 A554:A574 A607:A705 A731:A823 A825:A827 A832:A835 A929:A934 A936:A984 A987:A991 A1009:A1010 A1129:A1133 A1139:A1209 A1211:A1263">
      <formula1>SUBSTITUTE(A4," ","")=A4</formula1>
    </dataValidation>
    <dataValidation type="list" allowBlank="1" showInputMessage="1" showErrorMessage="1" sqref="E298 E301 E302 E303 E304 E305 E306 E307 E308 E309 E310 E572 E573 E574 E575 E576 E577 E578 E579 E580 E581 E582 E583 E584 E585 E586 E587 E588 E589 E590 E591 E592 E593 E594 E595 E596 E597 E598 E599 E600 E601 E602 E603 E604 E605 E695 E696 E698 E704 E705 E706 E707 E708 E709 E710 E711 E712 E713 E714 E715 E716 E717 E718 E719 E720 E721 E722 E723 E724 E725 E726 E727 E728 E729 E730 E731 E745 E818 E821 E833 E834 E835 E836 E837 E932 E933 E934 E935 E971 E973 E974 E975 E976 E978 E979 E980 E982 E990 E991 E992 E993 E994 E995 E996 E997 E998 E999 E1000 E1001 E1002 E1003 E1004 E1005 E1006 E1007 E1008 E1011 E1012 E1013 E1014 E1015 E1016 E1017 E1018 E1019 E1020 E1021 E1022 E1023 E1024 E1025 E1026 E1027 E1028 E1129 E1131 E1132 E1133 E1134 E1135 E1136 E1137 E1138 E1141 E1142 E1143 E1144 E1145 E1146 E1172 E299:E300 E1009:E1010 E1139:E1140">
      <formula1>客户!B$2:B$397</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73 F574 F575 F576 F577 F578 F579 F580 F581 F582 F583 F584 F585 F586 F587 F588 F589 F590 F591 F592 F593 F594 F595 F596 F597 F598 F599 F600 F601 F602 F603 F604 F605 F606 F607 F706 F707 F708 F709 F710 F711 F712 F713 F714 F715 F716 F717 F718 F719 F720 F721 F722 F723 F724 F725 F726 F727 F728 F729 F730 F739 F747 F748 F749 F823 F824 F828 F829 F830 F831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4 F935 F985 F986 F991 F992 F993 F994 F995 F996 F997 F998 F999 F1000 F1001 F1002 F1003 F1004 F1005 F1006 F1007 F1008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2 F1133 F1134 F1135 F1136 F1137 F1138 F1142 F1143 F1144 F1145 F1146 F1181 F1210 F1:F3 F4:F274 F276:F280 F281:F285 F287:F289 F290:F292 F294:F295 F297:F298 F323:F324 F555:F572 F608:F618 F619:F629 F630:F705 F731:F738 F740:F746 F750:F822 F825:F827 F832:F833 F930:F933 F936:F984 F987:F990 F1009:F1010 F1130:F1131 F1139:F1141 F1147:F1148 F1149:F1180 F1182:F1206"/>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R553 S553 R573 S573 R574 S574 R575 S575 R576 S576 R577 S577 R578 S578 R579 S579 R580 S580 R581 S581 R582 S582 R583 S583 R584 S584 R585 S585 R586 S586 R587 S587 R588 S588 R589 S589 R590 S590 R591 S591 R592 S592 R593 S593 R594 S594 R595 S595 R596 S596 R597 S597 R598 S598 R599 S599 R600 S600 R601 S601 R602 S602 R603 S603 R604 S604 R605 S605 R606 S606 T625 R706 S706 R707 S707 R708 S708 R709 S709 R710 S710 R711 S711 R712 S712 R713 S713 R714 S714 R715 S715 R716 S716 R717 S717 R718 S718 R719 S719 R720 S720 R721 S721 R722 S722 R723 S723 R724 S724 R725 S725 R726 S726 R727 S727 R728 S728 R729 S729 R730 S730 T732 T752 T756 T761 T777 R824 S824 R828 S828 R829 S829 S830 S831 S836 R837 S837 R838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1 S921 R922 S922 R923 S923 R924 S924 R925 S925 R926 S926 R927 S927 R928 S928 R935 S935 T938 T944 R985 S985 R986 S986 S991 R992 S992 S993 S994 S995 S996 R997 S997 R998 S998 R999 S999 R1000 S1000 R1001 S1001 R1002 S1002 R1003 S1003 R1004 S1004 R1005 S1005 R1006 S1006 R1007 S1007 R1008 S1008 R1011 S1011 R1012 S1012 R1013 S1013 R1014 S1014 R1015 S1015 R1016 S1016 R1017 S1017 R1018 S1018 R1019 S1019 R1020 S1020 R1021 S1021 R1022 S1022 R1023 S1023 R1024 S1024 R1025 S1025 R1026 S1026 R1027 S1027 R1028 S1028 R1029 S1029 R1030 S1030 R1031 S1031 R1032 S1032 R1033 S1033 R1034 S1034 R1035 S1035 R1036 S1036 R1037 S1037 T1037 R1038 S1038 T1038 R1039 S1039 R1040 S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R1118 S1118 R1119 S1119 R1120 S1120 R1121 S1121 R1122 S1122 R1123 S1123 R1124 S1124 R1125 S1125 R1126 S1126 R1127 S1127 R1128 S1128 S1132 R1133 S1133 R1134 S1134 R1135 S1135 R1136 S1136 R1137 S1137 R1138 S1138 R1145 T1176 R1181 S1181 T1201 T1204 R4:R274 R276:R285 R287:R289 R290:R292 R294:R295 R297:R299 R554:R572 R607:R705 R731:R823 R825:R827 R830:R834 R835:R836 R929:R934 R936:R984 R987:R991 R993:R994 R995:R996 R1009:R1010 R1129:R1132 R1139:R1144 R1146:R1180 R1182:R1428 S4:S274 S276:S285 S287:S289 S290:S292 S294:S295 S297:S299 S554:S572 S607:S705 S731:S823 S825:S827 S832:S835 S929:S934 S936:S984 S987:S990 S1009:S1010 S1129:S1131 S1139:S1180 S1182:S1428 T939:T942 T947:T949">
      <formula1>-100000</formula1>
      <formula2>10000000</formula2>
    </dataValidation>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606 E607 E746 E747 E748 E749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6 E937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206 E1210 E750:E751 E1182:E1183">
      <formula1>客户!B$2:B$297</formula1>
    </dataValidation>
    <dataValidation type="list" allowBlank="1" showInputMessage="1" showErrorMessage="1" sqref="E828">
      <formula1>[2]客户!#REF!</formula1>
    </dataValidation>
    <dataValidation allowBlank="1" showInputMessage="1" showErrorMessage="1" promptTitle="不留空格" prompt="前面不留空格" sqref="A1:A3 A1532:A1048576"/>
    <dataValidation type="custom" allowBlank="1" showInputMessage="1" showErrorMessage="1" errorTitle="不能含空格" error="请去掉空格" promptTitle="不留空格" prompt="前面不留空格" sqref="A1264:A1517 A1518:A1531" errorStyle="information">
      <formula1>SUBSTITUTE(A1264," ","")=A1264</formula1>
    </dataValidation>
    <dataValidation type="list" allowBlank="1" showInputMessage="1" showErrorMessage="1" sqref="D4:D1210">
      <formula1>"备货,发货,货好,单据,等款,完成"</formula1>
    </dataValidation>
    <dataValidation type="decimal" operator="between" allowBlank="1" showInputMessage="1" showErrorMessage="1" sqref="R1429:R1474">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zoomScale="130" zoomScaleNormal="130" workbookViewId="0">
      <selection activeCell="B7" sqref="B7"/>
    </sheetView>
  </sheetViews>
  <sheetFormatPr defaultColWidth="11" defaultRowHeight="14.25"/>
  <cols>
    <col min="2" max="2" width="28.625" customWidth="1"/>
    <col min="4" max="4" width="40" customWidth="1"/>
    <col min="5" max="5" width="14" customWidth="1"/>
  </cols>
  <sheetData>
    <row r="1" ht="30.75" customHeight="1" spans="1:6">
      <c r="A1" s="22" t="s">
        <v>4628</v>
      </c>
      <c r="B1" s="23" t="s">
        <v>4629</v>
      </c>
      <c r="C1" s="24" t="s">
        <v>4630</v>
      </c>
      <c r="D1" s="25" t="s">
        <v>4631</v>
      </c>
      <c r="E1" s="26"/>
      <c r="F1" s="27"/>
    </row>
    <row r="2" ht="23.1" customHeight="1" spans="1:11">
      <c r="A2" s="22">
        <v>1</v>
      </c>
      <c r="B2" s="23" t="s">
        <v>4632</v>
      </c>
      <c r="C2" s="24">
        <v>0</v>
      </c>
      <c r="D2" s="25" t="s">
        <v>4633</v>
      </c>
      <c r="E2" s="26" t="s">
        <v>4634</v>
      </c>
      <c r="F2" s="28"/>
      <c r="G2" s="29"/>
      <c r="H2" s="30"/>
      <c r="I2" s="30"/>
      <c r="J2" s="28"/>
      <c r="K2" s="35"/>
    </row>
    <row r="3" ht="23.1" customHeight="1" spans="1:5">
      <c r="A3" s="22">
        <v>2</v>
      </c>
      <c r="B3" s="23" t="s">
        <v>4635</v>
      </c>
      <c r="C3" s="24">
        <v>10000</v>
      </c>
      <c r="D3" s="31" t="s">
        <v>4636</v>
      </c>
      <c r="E3" t="s">
        <v>4637</v>
      </c>
    </row>
    <row r="4" ht="23.1" customHeight="1" spans="1:5">
      <c r="A4" s="22">
        <v>3</v>
      </c>
      <c r="B4" s="31" t="s">
        <v>4638</v>
      </c>
      <c r="C4" s="24">
        <v>2429</v>
      </c>
      <c r="D4" s="32" t="s">
        <v>4639</v>
      </c>
      <c r="E4" s="33"/>
    </row>
    <row r="5" ht="23.1" customHeight="1" spans="1:4">
      <c r="A5" s="22">
        <v>4</v>
      </c>
      <c r="B5" s="31" t="s">
        <v>4640</v>
      </c>
      <c r="C5" s="31" t="s">
        <v>4641</v>
      </c>
      <c r="D5" s="31"/>
    </row>
    <row r="6" ht="23.1" customHeight="1" spans="1:4">
      <c r="A6" s="22">
        <v>5</v>
      </c>
      <c r="B6" s="31" t="s">
        <v>1083</v>
      </c>
      <c r="C6" s="24">
        <v>5000</v>
      </c>
      <c r="D6" s="34" t="s">
        <v>4642</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92"/>
  <sheetViews>
    <sheetView zoomScale="130" zoomScaleNormal="130" topLeftCell="A24" workbookViewId="0">
      <selection activeCell="C38" sqref="C38"/>
    </sheetView>
  </sheetViews>
  <sheetFormatPr defaultColWidth="9.125" defaultRowHeight="14.25" outlineLevelCol="7"/>
  <cols>
    <col min="2" max="2" width="25.125" style="1" customWidth="1"/>
    <col min="3" max="3" width="9.125" style="2"/>
  </cols>
  <sheetData>
    <row r="1" spans="2:3">
      <c r="B1" s="3" t="s">
        <v>4643</v>
      </c>
      <c r="C1" s="2" t="s">
        <v>4644</v>
      </c>
    </row>
    <row r="2" spans="2:2">
      <c r="B2" s="4" t="s">
        <v>4645</v>
      </c>
    </row>
    <row r="3" spans="2:2">
      <c r="B3" s="4" t="s">
        <v>4646</v>
      </c>
    </row>
    <row r="4" spans="2:3">
      <c r="B4" s="4" t="s">
        <v>4647</v>
      </c>
      <c r="C4" s="2" t="s">
        <v>4648</v>
      </c>
    </row>
    <row r="5" spans="2:2">
      <c r="B5" s="4" t="s">
        <v>4649</v>
      </c>
    </row>
    <row r="6" spans="2:2">
      <c r="B6" s="4" t="s">
        <v>4650</v>
      </c>
    </row>
    <row r="7" spans="2:2">
      <c r="B7" s="4" t="s">
        <v>4651</v>
      </c>
    </row>
    <row r="8" spans="2:3">
      <c r="B8" s="4" t="s">
        <v>4652</v>
      </c>
      <c r="C8" s="2" t="s">
        <v>4653</v>
      </c>
    </row>
    <row r="9" spans="2:2">
      <c r="B9" s="4" t="s">
        <v>4654</v>
      </c>
    </row>
    <row r="10" spans="2:2">
      <c r="B10" s="4" t="s">
        <v>4655</v>
      </c>
    </row>
    <row r="11" spans="2:2">
      <c r="B11" s="5" t="s">
        <v>4656</v>
      </c>
    </row>
    <row r="12" spans="2:2">
      <c r="B12" s="4" t="s">
        <v>4657</v>
      </c>
    </row>
    <row r="13" spans="2:2">
      <c r="B13" s="4" t="s">
        <v>4658</v>
      </c>
    </row>
    <row r="14" spans="2:2">
      <c r="B14" s="4" t="s">
        <v>4659</v>
      </c>
    </row>
    <row r="15" spans="2:2">
      <c r="B15" s="4" t="s">
        <v>4660</v>
      </c>
    </row>
    <row r="16" spans="2:3">
      <c r="B16" s="4" t="s">
        <v>4661</v>
      </c>
      <c r="C16" s="2" t="s">
        <v>4662</v>
      </c>
    </row>
    <row r="17" spans="2:2">
      <c r="B17" s="4" t="s">
        <v>4663</v>
      </c>
    </row>
    <row r="18" spans="2:2">
      <c r="B18" s="4" t="s">
        <v>4664</v>
      </c>
    </row>
    <row r="19" spans="2:2">
      <c r="B19" s="4" t="s">
        <v>4665</v>
      </c>
    </row>
    <row r="20" spans="2:2">
      <c r="B20" s="4" t="s">
        <v>4666</v>
      </c>
    </row>
    <row r="21" spans="2:2">
      <c r="B21" s="4" t="s">
        <v>4667</v>
      </c>
    </row>
    <row r="22" spans="2:2">
      <c r="B22" s="6" t="s">
        <v>4668</v>
      </c>
    </row>
    <row r="23" spans="2:2">
      <c r="B23" s="6" t="s">
        <v>4669</v>
      </c>
    </row>
    <row r="24" spans="2:2">
      <c r="B24" s="4" t="s">
        <v>1578</v>
      </c>
    </row>
    <row r="25" spans="2:2">
      <c r="B25" s="1" t="s">
        <v>4670</v>
      </c>
    </row>
    <row r="26" spans="2:2">
      <c r="B26" s="4" t="s">
        <v>1513</v>
      </c>
    </row>
    <row r="27" spans="2:2">
      <c r="B27" s="6" t="s">
        <v>4671</v>
      </c>
    </row>
    <row r="28" spans="2:2">
      <c r="B28" s="4" t="s">
        <v>4672</v>
      </c>
    </row>
    <row r="29" spans="2:2">
      <c r="B29" s="5" t="s">
        <v>4673</v>
      </c>
    </row>
    <row r="30" spans="2:2">
      <c r="B30" s="7" t="s">
        <v>2154</v>
      </c>
    </row>
    <row r="31" spans="2:2">
      <c r="B31" s="1" t="s">
        <v>4674</v>
      </c>
    </row>
    <row r="32" spans="2:2">
      <c r="B32" s="6" t="s">
        <v>4675</v>
      </c>
    </row>
    <row r="33" spans="2:2">
      <c r="B33" s="6" t="s">
        <v>4676</v>
      </c>
    </row>
    <row r="34" spans="2:2">
      <c r="B34" s="6" t="s">
        <v>4677</v>
      </c>
    </row>
    <row r="35" spans="2:2">
      <c r="B35" s="1" t="s">
        <v>4678</v>
      </c>
    </row>
    <row r="36" spans="2:2">
      <c r="B36" s="1" t="s">
        <v>4679</v>
      </c>
    </row>
    <row r="37" spans="2:2">
      <c r="B37" s="1" t="s">
        <v>4680</v>
      </c>
    </row>
    <row r="38" spans="2:3">
      <c r="B38" s="6" t="s">
        <v>1345</v>
      </c>
      <c r="C38" s="2" t="s">
        <v>4681</v>
      </c>
    </row>
    <row r="39" spans="2:2">
      <c r="B39" s="6" t="s">
        <v>4682</v>
      </c>
    </row>
    <row r="40" spans="2:2">
      <c r="B40" s="6" t="s">
        <v>4683</v>
      </c>
    </row>
    <row r="41" spans="2:2">
      <c r="B41" s="6" t="s">
        <v>2804</v>
      </c>
    </row>
    <row r="42" spans="2:2">
      <c r="B42" s="6" t="s">
        <v>2768</v>
      </c>
    </row>
    <row r="43" spans="2:2">
      <c r="B43" s="6" t="s">
        <v>4684</v>
      </c>
    </row>
    <row r="44" spans="2:2">
      <c r="B44" s="6" t="s">
        <v>2488</v>
      </c>
    </row>
    <row r="45" spans="2:2">
      <c r="B45" s="6" t="s">
        <v>1429</v>
      </c>
    </row>
    <row r="46" spans="2:2">
      <c r="B46" s="6" t="s">
        <v>4685</v>
      </c>
    </row>
    <row r="47" spans="2:2">
      <c r="B47" s="6" t="s">
        <v>2125</v>
      </c>
    </row>
    <row r="48" spans="2:2">
      <c r="B48" s="1" t="s">
        <v>2856</v>
      </c>
    </row>
    <row r="49" spans="2:2">
      <c r="B49" s="6" t="s">
        <v>4686</v>
      </c>
    </row>
    <row r="50" spans="2:2">
      <c r="B50" s="1" t="s">
        <v>4687</v>
      </c>
    </row>
    <row r="51" spans="2:2">
      <c r="B51" s="1" t="s">
        <v>4688</v>
      </c>
    </row>
    <row r="52" spans="2:2">
      <c r="B52" s="1" t="s">
        <v>4689</v>
      </c>
    </row>
    <row r="53" spans="2:4">
      <c r="B53" s="6" t="s">
        <v>3214</v>
      </c>
      <c r="D53" s="8"/>
    </row>
    <row r="54" ht="18" customHeight="1" spans="2:3">
      <c r="B54" s="1" t="s">
        <v>4690</v>
      </c>
      <c r="C54" s="9"/>
    </row>
    <row r="55" spans="2:2">
      <c r="B55" s="6" t="s">
        <v>4691</v>
      </c>
    </row>
    <row r="56" spans="2:2">
      <c r="B56" s="6" t="s">
        <v>4692</v>
      </c>
    </row>
    <row r="57" spans="2:2">
      <c r="B57" s="6" t="s">
        <v>4693</v>
      </c>
    </row>
    <row r="58" spans="2:2">
      <c r="B58" s="1" t="s">
        <v>4694</v>
      </c>
    </row>
    <row r="59" spans="2:2">
      <c r="B59" s="6" t="s">
        <v>4695</v>
      </c>
    </row>
    <row r="60" spans="2:2">
      <c r="B60" s="6" t="s">
        <v>4696</v>
      </c>
    </row>
    <row r="61" spans="2:2">
      <c r="B61" s="4" t="s">
        <v>4697</v>
      </c>
    </row>
    <row r="62" ht="21" customHeight="1" spans="2:3">
      <c r="B62" s="7" t="s">
        <v>3280</v>
      </c>
      <c r="C62" s="9" t="s">
        <v>4698</v>
      </c>
    </row>
    <row r="63" spans="2:2">
      <c r="B63" s="5" t="s">
        <v>4699</v>
      </c>
    </row>
    <row r="64" spans="2:2">
      <c r="B64" s="5" t="s">
        <v>4700</v>
      </c>
    </row>
    <row r="65" spans="2:2">
      <c r="B65" s="5" t="s">
        <v>4701</v>
      </c>
    </row>
    <row r="66" spans="2:2">
      <c r="B66" s="10" t="s">
        <v>4702</v>
      </c>
    </row>
    <row r="67" spans="2:2">
      <c r="B67" s="10" t="s">
        <v>4703</v>
      </c>
    </row>
    <row r="68" spans="2:2">
      <c r="B68" s="10" t="s">
        <v>4704</v>
      </c>
    </row>
    <row r="69" spans="2:2">
      <c r="B69" s="11" t="s">
        <v>4705</v>
      </c>
    </row>
    <row r="70" spans="2:2">
      <c r="B70" s="12" t="s">
        <v>4706</v>
      </c>
    </row>
    <row r="71" spans="2:2">
      <c r="B71" s="11" t="s">
        <v>3685</v>
      </c>
    </row>
    <row r="72" spans="2:2">
      <c r="B72" s="10" t="s">
        <v>4707</v>
      </c>
    </row>
    <row r="73" spans="2:2">
      <c r="B73" s="11" t="s">
        <v>4708</v>
      </c>
    </row>
    <row r="74" spans="2:3">
      <c r="B74" s="10" t="s">
        <v>4709</v>
      </c>
      <c r="C74" s="2" t="s">
        <v>4710</v>
      </c>
    </row>
    <row r="75" ht="20" customHeight="1" spans="2:3">
      <c r="B75" s="10" t="s">
        <v>4711</v>
      </c>
      <c r="C75" s="9"/>
    </row>
    <row r="76" spans="2:2">
      <c r="B76" s="11" t="s">
        <v>3719</v>
      </c>
    </row>
    <row r="77" spans="2:2">
      <c r="B77" s="11" t="s">
        <v>3989</v>
      </c>
    </row>
    <row r="78" spans="2:2">
      <c r="B78" s="11" t="s">
        <v>4712</v>
      </c>
    </row>
    <row r="79" spans="2:2">
      <c r="B79" s="6" t="s">
        <v>4713</v>
      </c>
    </row>
    <row r="80" spans="2:2">
      <c r="B80" s="1" t="s">
        <v>4714</v>
      </c>
    </row>
    <row r="81" ht="15" customHeight="1" spans="2:3">
      <c r="B81" s="6" t="s">
        <v>1249</v>
      </c>
      <c r="C81" s="9"/>
    </row>
    <row r="82" spans="2:2">
      <c r="B82" s="1" t="s">
        <v>4715</v>
      </c>
    </row>
    <row r="83" spans="2:2">
      <c r="B83" s="6" t="s">
        <v>4716</v>
      </c>
    </row>
    <row r="84" spans="2:2">
      <c r="B84" s="1" t="s">
        <v>4717</v>
      </c>
    </row>
    <row r="85" spans="2:2">
      <c r="B85" s="6" t="s">
        <v>4522</v>
      </c>
    </row>
    <row r="86" spans="2:2">
      <c r="B86" s="6" t="s">
        <v>4718</v>
      </c>
    </row>
    <row r="87" spans="2:2">
      <c r="B87" s="13" t="s">
        <v>4719</v>
      </c>
    </row>
    <row r="88" spans="2:2">
      <c r="B88" s="14" t="s">
        <v>4720</v>
      </c>
    </row>
    <row r="89" spans="2:2">
      <c r="B89" s="14" t="s">
        <v>4721</v>
      </c>
    </row>
    <row r="90" spans="2:2">
      <c r="B90" s="15" t="s">
        <v>2116</v>
      </c>
    </row>
    <row r="91" spans="2:2">
      <c r="B91" s="16" t="s">
        <v>4722</v>
      </c>
    </row>
    <row r="92" spans="2:2">
      <c r="B92" s="17" t="s">
        <v>1167</v>
      </c>
    </row>
    <row r="93" spans="2:2">
      <c r="B93" s="17" t="s">
        <v>3946</v>
      </c>
    </row>
    <row r="94" spans="2:3">
      <c r="B94" s="17" t="s">
        <v>1113</v>
      </c>
      <c r="C94" s="2" t="s">
        <v>4723</v>
      </c>
    </row>
    <row r="95" spans="2:2">
      <c r="B95" s="17" t="s">
        <v>4385</v>
      </c>
    </row>
    <row r="96" spans="2:2">
      <c r="B96" s="17" t="s">
        <v>4724</v>
      </c>
    </row>
    <row r="97" spans="2:2">
      <c r="B97" s="17" t="s">
        <v>1758</v>
      </c>
    </row>
    <row r="98" spans="2:3">
      <c r="B98" s="17" t="s">
        <v>4725</v>
      </c>
      <c r="C98" s="2" t="s">
        <v>4726</v>
      </c>
    </row>
    <row r="99" spans="2:2">
      <c r="B99" s="17" t="s">
        <v>4160</v>
      </c>
    </row>
    <row r="100" spans="2:2">
      <c r="B100" s="17" t="s">
        <v>4019</v>
      </c>
    </row>
    <row r="101" spans="2:2">
      <c r="B101" s="17" t="s">
        <v>2838</v>
      </c>
    </row>
    <row r="102" spans="2:2">
      <c r="B102" s="18" t="s">
        <v>4727</v>
      </c>
    </row>
    <row r="103" spans="2:2">
      <c r="B103" s="17" t="s">
        <v>4728</v>
      </c>
    </row>
    <row r="104" spans="2:2">
      <c r="B104" s="17" t="s">
        <v>3931</v>
      </c>
    </row>
    <row r="105" spans="2:2">
      <c r="B105" s="17" t="s">
        <v>4729</v>
      </c>
    </row>
    <row r="106" spans="2:2">
      <c r="B106" s="17" t="s">
        <v>4730</v>
      </c>
    </row>
    <row r="107" spans="2:2">
      <c r="B107" s="17" t="s">
        <v>4731</v>
      </c>
    </row>
    <row r="108" spans="2:2">
      <c r="B108" s="17" t="s">
        <v>4732</v>
      </c>
    </row>
    <row r="109" spans="2:2">
      <c r="B109" s="17" t="s">
        <v>4730</v>
      </c>
    </row>
    <row r="110" spans="2:2">
      <c r="B110" s="17" t="s">
        <v>3882</v>
      </c>
    </row>
    <row r="111" spans="2:2">
      <c r="B111" s="17" t="s">
        <v>4048</v>
      </c>
    </row>
    <row r="112" spans="2:2">
      <c r="B112" s="17" t="s">
        <v>3915</v>
      </c>
    </row>
    <row r="113" spans="2:2">
      <c r="B113" s="17" t="s">
        <v>4733</v>
      </c>
    </row>
    <row r="114" spans="2:2">
      <c r="B114" s="17" t="s">
        <v>4734</v>
      </c>
    </row>
    <row r="115" spans="2:2">
      <c r="B115" s="19" t="s">
        <v>4735</v>
      </c>
    </row>
    <row r="116" spans="2:2">
      <c r="B116" s="8" t="s">
        <v>4736</v>
      </c>
    </row>
    <row r="117" ht="23" customHeight="1" spans="2:3">
      <c r="B117" s="17" t="s">
        <v>1389</v>
      </c>
      <c r="C117" s="9"/>
    </row>
    <row r="118" spans="2:2">
      <c r="B118" s="17" t="s">
        <v>3868</v>
      </c>
    </row>
    <row r="119" spans="2:2">
      <c r="B119" s="17" t="s">
        <v>2683</v>
      </c>
    </row>
    <row r="120" spans="2:2">
      <c r="B120" s="17" t="s">
        <v>1901</v>
      </c>
    </row>
    <row r="121" spans="2:2">
      <c r="B121" s="17" t="s">
        <v>3888</v>
      </c>
    </row>
    <row r="122" spans="2:2">
      <c r="B122" s="17" t="s">
        <v>1508</v>
      </c>
    </row>
    <row r="123" spans="2:2">
      <c r="B123" s="17" t="s">
        <v>3892</v>
      </c>
    </row>
    <row r="124" spans="2:2">
      <c r="B124" s="17" t="s">
        <v>1128</v>
      </c>
    </row>
    <row r="125" spans="2:2">
      <c r="B125" s="17" t="s">
        <v>2702</v>
      </c>
    </row>
    <row r="126" spans="2:2">
      <c r="B126" s="17" t="s">
        <v>2719</v>
      </c>
    </row>
    <row r="127" spans="2:2">
      <c r="B127" s="17" t="s">
        <v>2731</v>
      </c>
    </row>
    <row r="128" spans="2:2">
      <c r="B128" s="17" t="s">
        <v>2723</v>
      </c>
    </row>
    <row r="129" spans="2:2">
      <c r="B129" s="17" t="s">
        <v>3253</v>
      </c>
    </row>
    <row r="130" spans="2:2">
      <c r="B130" s="17" t="s">
        <v>4379</v>
      </c>
    </row>
    <row r="131" spans="2:2">
      <c r="B131" s="20" t="s">
        <v>3285</v>
      </c>
    </row>
    <row r="132" spans="2:2">
      <c r="B132" s="20" t="s">
        <v>3971</v>
      </c>
    </row>
    <row r="133" spans="2:2">
      <c r="B133" s="20" t="s">
        <v>1245</v>
      </c>
    </row>
    <row r="134" spans="2:2">
      <c r="B134" s="20" t="s">
        <v>3296</v>
      </c>
    </row>
    <row r="135" spans="2:2">
      <c r="B135" s="20" t="s">
        <v>3995</v>
      </c>
    </row>
    <row r="136" spans="2:2">
      <c r="B136" s="20" t="s">
        <v>2765</v>
      </c>
    </row>
    <row r="137" spans="2:2">
      <c r="B137" s="20" t="s">
        <v>3327</v>
      </c>
    </row>
    <row r="138" spans="2:2">
      <c r="B138" s="20" t="s">
        <v>2131</v>
      </c>
    </row>
    <row r="139" spans="2:2">
      <c r="B139" s="20" t="s">
        <v>1339</v>
      </c>
    </row>
    <row r="140" spans="2:2">
      <c r="B140" s="20" t="s">
        <v>4038</v>
      </c>
    </row>
    <row r="141" spans="2:2">
      <c r="B141" s="20" t="s">
        <v>4070</v>
      </c>
    </row>
    <row r="142" spans="2:2">
      <c r="B142" s="20" t="s">
        <v>4074</v>
      </c>
    </row>
    <row r="143" spans="2:2">
      <c r="B143" s="20" t="s">
        <v>1441</v>
      </c>
    </row>
    <row r="144" spans="2:2">
      <c r="B144" s="20" t="s">
        <v>1502</v>
      </c>
    </row>
    <row r="145" spans="2:2">
      <c r="B145" s="20" t="s">
        <v>4118</v>
      </c>
    </row>
    <row r="146" spans="2:2">
      <c r="B146" s="20" t="s">
        <v>1607</v>
      </c>
    </row>
    <row r="147" spans="2:2">
      <c r="B147" s="20" t="s">
        <v>1612</v>
      </c>
    </row>
    <row r="148" spans="2:2">
      <c r="B148" s="20" t="s">
        <v>4177</v>
      </c>
    </row>
    <row r="149" spans="2:2">
      <c r="B149" s="20" t="s">
        <v>4192</v>
      </c>
    </row>
    <row r="150" spans="2:2">
      <c r="B150" s="20" t="s">
        <v>1717</v>
      </c>
    </row>
    <row r="151" spans="2:2">
      <c r="B151" s="20" t="s">
        <v>4211</v>
      </c>
    </row>
    <row r="152" spans="2:2">
      <c r="B152" s="20" t="s">
        <v>1754</v>
      </c>
    </row>
    <row r="153" spans="2:2">
      <c r="B153" s="20" t="s">
        <v>3460</v>
      </c>
    </row>
    <row r="154" spans="2:2">
      <c r="B154" s="20" t="s">
        <v>3466</v>
      </c>
    </row>
    <row r="155" spans="2:2">
      <c r="B155" s="20" t="s">
        <v>1791</v>
      </c>
    </row>
    <row r="156" spans="2:2">
      <c r="B156" s="20" t="s">
        <v>4267</v>
      </c>
    </row>
    <row r="157" spans="2:2">
      <c r="B157" s="20" t="s">
        <v>1826</v>
      </c>
    </row>
    <row r="158" spans="2:2">
      <c r="B158" s="20" t="s">
        <v>4626</v>
      </c>
    </row>
    <row r="159" spans="2:2">
      <c r="B159" s="20" t="s">
        <v>1830</v>
      </c>
    </row>
    <row r="160" spans="2:2">
      <c r="B160" s="20" t="s">
        <v>4290</v>
      </c>
    </row>
    <row r="161" spans="2:2">
      <c r="B161" s="20" t="s">
        <v>3508</v>
      </c>
    </row>
    <row r="162" spans="2:2">
      <c r="B162" s="20" t="s">
        <v>1913</v>
      </c>
    </row>
    <row r="163" spans="2:2">
      <c r="B163" s="20" t="s">
        <v>3534</v>
      </c>
    </row>
    <row r="164" spans="2:2">
      <c r="B164" s="20" t="s">
        <v>3538</v>
      </c>
    </row>
    <row r="165" spans="2:2">
      <c r="B165" s="20" t="s">
        <v>4326</v>
      </c>
    </row>
    <row r="166" spans="2:2">
      <c r="B166" s="20" t="s">
        <v>1944</v>
      </c>
    </row>
    <row r="167" spans="2:2">
      <c r="B167" s="20" t="s">
        <v>1953</v>
      </c>
    </row>
    <row r="168" spans="2:2">
      <c r="B168" s="20" t="s">
        <v>1957</v>
      </c>
    </row>
    <row r="169" spans="2:2">
      <c r="B169" s="20" t="s">
        <v>3557</v>
      </c>
    </row>
    <row r="170" spans="2:2">
      <c r="B170" s="20" t="s">
        <v>3572</v>
      </c>
    </row>
    <row r="171" spans="2:2">
      <c r="B171" s="20" t="s">
        <v>4358</v>
      </c>
    </row>
    <row r="172" spans="2:2">
      <c r="B172" s="20"/>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1">
    <extLst/>
  </autoFilter>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王玮-金凯建材</cp:lastModifiedBy>
  <cp:revision>1</cp:revision>
  <dcterms:created xsi:type="dcterms:W3CDTF">2014-03-02T09:25:00Z</dcterms:created>
  <dcterms:modified xsi:type="dcterms:W3CDTF">2022-06-21T09:43:03Z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