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620"/>
  </bookViews>
  <sheets>
    <sheet name="订单跟踪表" sheetId="1" r:id="rId1"/>
    <sheet name="固定定金客户" sheetId="2" r:id="rId2"/>
    <sheet name="客户" sheetId="3" r:id="rId3"/>
  </sheets>
  <externalReferences>
    <externalReference r:id="rId4"/>
    <externalReference r:id="rId5"/>
  </externalReferences>
  <definedNames>
    <definedName name="_xlnm._FilterDatabase" localSheetId="0" hidden="1">订单跟踪表!$A$3:$X$1569</definedName>
    <definedName name="_xlnm._FilterDatabase" localSheetId="2" hidden="1">客户!$B$1:$C$172</definedName>
  </definedNames>
  <calcPr calcId="144525" concurrentCalc="0"/>
</workbook>
</file>

<file path=xl/comments1.xml><?xml version="1.0" encoding="utf-8"?>
<comments xmlns="http://schemas.openxmlformats.org/spreadsheetml/2006/main">
  <authors>
    <author>Administrator</author>
    <author>Microsoft Office 用户</author>
    <author>brank</author>
  </authors>
  <commentList>
    <comment ref="Q4" authorId="0">
      <text>
        <r>
          <rPr>
            <b/>
            <sz val="9"/>
            <rFont val="宋体"/>
            <charset val="134"/>
          </rPr>
          <t>Administrator:</t>
        </r>
        <r>
          <rPr>
            <sz val="9"/>
            <rFont val="宋体"/>
            <charset val="134"/>
          </rPr>
          <t xml:space="preserve">
2017.6.11</t>
        </r>
      </text>
    </comment>
    <comment ref="T4" authorId="0">
      <text>
        <r>
          <rPr>
            <b/>
            <sz val="9"/>
            <rFont val="宋体"/>
            <charset val="134"/>
          </rPr>
          <t>Administrator:</t>
        </r>
        <r>
          <rPr>
            <sz val="9"/>
            <rFont val="宋体"/>
            <charset val="134"/>
          </rPr>
          <t xml:space="preserve">
8.9 18000美金折合120780RMB 6789折合45296  8.10号收到</t>
        </r>
      </text>
    </comment>
    <comment ref="U4" authorId="0">
      <text>
        <r>
          <rPr>
            <b/>
            <sz val="9"/>
            <rFont val="宋体"/>
            <charset val="134"/>
          </rPr>
          <t>Administrator:</t>
        </r>
        <r>
          <rPr>
            <sz val="9"/>
            <rFont val="宋体"/>
            <charset val="134"/>
          </rPr>
          <t xml:space="preserve">
8.9 18000美金折合120780RMB 6789折合45296  8.10号收到</t>
        </r>
      </text>
    </comment>
    <comment ref="Q5" authorId="0">
      <text>
        <r>
          <rPr>
            <b/>
            <sz val="9"/>
            <rFont val="宋体"/>
            <charset val="134"/>
          </rPr>
          <t>Administrator:</t>
        </r>
        <r>
          <rPr>
            <sz val="9"/>
            <rFont val="宋体"/>
            <charset val="134"/>
          </rPr>
          <t xml:space="preserve">
2017.5.24 实收1721</t>
        </r>
      </text>
    </comment>
    <comment ref="T5" authorId="0">
      <text>
        <r>
          <rPr>
            <b/>
            <sz val="9"/>
            <rFont val="宋体"/>
            <charset val="134"/>
          </rPr>
          <t>Administrator:</t>
        </r>
        <r>
          <rPr>
            <sz val="9"/>
            <rFont val="宋体"/>
            <charset val="134"/>
          </rPr>
          <t xml:space="preserve">
33563  8.11</t>
        </r>
      </text>
    </comment>
    <comment ref="U5" authorId="0">
      <text>
        <r>
          <rPr>
            <b/>
            <sz val="9"/>
            <rFont val="宋体"/>
            <charset val="134"/>
          </rPr>
          <t>Administrator:</t>
        </r>
        <r>
          <rPr>
            <sz val="9"/>
            <rFont val="宋体"/>
            <charset val="134"/>
          </rPr>
          <t xml:space="preserve">
33563  8.11</t>
        </r>
      </text>
    </comment>
    <comment ref="Q6" authorId="0">
      <text>
        <r>
          <rPr>
            <b/>
            <sz val="9"/>
            <rFont val="宋体"/>
            <charset val="134"/>
          </rPr>
          <t>Administrator:</t>
        </r>
        <r>
          <rPr>
            <sz val="9"/>
            <rFont val="宋体"/>
            <charset val="134"/>
          </rPr>
          <t xml:space="preserve">
2017.5.24 实收1723</t>
        </r>
      </text>
    </comment>
    <comment ref="T7" authorId="0">
      <text>
        <r>
          <rPr>
            <b/>
            <sz val="9"/>
            <rFont val="宋体"/>
            <charset val="134"/>
          </rPr>
          <t>Administrator:</t>
        </r>
        <r>
          <rPr>
            <sz val="9"/>
            <rFont val="宋体"/>
            <charset val="134"/>
          </rPr>
          <t xml:space="preserve">
35557  8.1</t>
        </r>
      </text>
    </comment>
    <comment ref="U7" authorId="0">
      <text>
        <r>
          <rPr>
            <b/>
            <sz val="9"/>
            <rFont val="宋体"/>
            <charset val="134"/>
          </rPr>
          <t>Administrator:</t>
        </r>
        <r>
          <rPr>
            <sz val="9"/>
            <rFont val="宋体"/>
            <charset val="134"/>
          </rPr>
          <t xml:space="preserve">
35557  8.1</t>
        </r>
      </text>
    </comment>
    <comment ref="Q8" authorId="0">
      <text>
        <r>
          <rPr>
            <b/>
            <sz val="9"/>
            <rFont val="宋体"/>
            <charset val="134"/>
          </rPr>
          <t>Administrator:</t>
        </r>
        <r>
          <rPr>
            <sz val="9"/>
            <rFont val="宋体"/>
            <charset val="134"/>
          </rPr>
          <t xml:space="preserve">
2017.6.10 实收4407</t>
        </r>
      </text>
    </comment>
    <comment ref="T8" authorId="0">
      <text>
        <r>
          <rPr>
            <b/>
            <sz val="9"/>
            <rFont val="宋体"/>
            <charset val="134"/>
          </rPr>
          <t>Administrator:</t>
        </r>
        <r>
          <rPr>
            <sz val="9"/>
            <rFont val="宋体"/>
            <charset val="134"/>
          </rPr>
          <t xml:space="preserve">
17690  8.17</t>
        </r>
      </text>
    </comment>
    <comment ref="U8" authorId="0">
      <text>
        <r>
          <rPr>
            <b/>
            <sz val="9"/>
            <rFont val="宋体"/>
            <charset val="134"/>
          </rPr>
          <t>Administrator:</t>
        </r>
        <r>
          <rPr>
            <sz val="9"/>
            <rFont val="宋体"/>
            <charset val="134"/>
          </rPr>
          <t xml:space="preserve">
17690  8.17</t>
        </r>
      </text>
    </comment>
    <comment ref="Q9" authorId="0">
      <text>
        <r>
          <rPr>
            <b/>
            <sz val="9"/>
            <rFont val="宋体"/>
            <charset val="134"/>
          </rPr>
          <t>Administrator:</t>
        </r>
        <r>
          <rPr>
            <sz val="9"/>
            <rFont val="宋体"/>
            <charset val="134"/>
          </rPr>
          <t xml:space="preserve">
2017.7.5 2000   6.29 3000</t>
        </r>
      </text>
    </comment>
    <comment ref="T9" authorId="0">
      <text>
        <r>
          <rPr>
            <b/>
            <sz val="9"/>
            <rFont val="宋体"/>
            <charset val="134"/>
          </rPr>
          <t>Administrator:</t>
        </r>
        <r>
          <rPr>
            <sz val="9"/>
            <rFont val="宋体"/>
            <charset val="134"/>
          </rPr>
          <t xml:space="preserve">
88817 汇率6.65  8.24收</t>
        </r>
      </text>
    </comment>
    <comment ref="U9" authorId="0">
      <text>
        <r>
          <rPr>
            <b/>
            <sz val="9"/>
            <rFont val="宋体"/>
            <charset val="134"/>
          </rPr>
          <t>Administrator:</t>
        </r>
        <r>
          <rPr>
            <sz val="9"/>
            <rFont val="宋体"/>
            <charset val="134"/>
          </rPr>
          <t xml:space="preserve">
88817 汇率6.65  8.24收</t>
        </r>
      </text>
    </comment>
    <comment ref="Q10" authorId="0">
      <text>
        <r>
          <rPr>
            <b/>
            <sz val="9"/>
            <rFont val="宋体"/>
            <charset val="134"/>
          </rPr>
          <t>Administrator:</t>
        </r>
        <r>
          <rPr>
            <sz val="9"/>
            <rFont val="宋体"/>
            <charset val="134"/>
          </rPr>
          <t xml:space="preserve">
8.25 收13009</t>
        </r>
      </text>
    </comment>
    <comment ref="T10" authorId="0">
      <text>
        <r>
          <rPr>
            <b/>
            <sz val="9"/>
            <rFont val="宋体"/>
            <charset val="134"/>
          </rPr>
          <t>Administrator:低报部分29987 7.25 收</t>
        </r>
      </text>
    </comment>
    <comment ref="U10" authorId="0">
      <text>
        <r>
          <rPr>
            <b/>
            <sz val="9"/>
            <rFont val="宋体"/>
            <charset val="134"/>
          </rPr>
          <t>Administrator:低报部分29987 7.25 收</t>
        </r>
      </text>
    </comment>
    <comment ref="T12" authorId="0">
      <text>
        <r>
          <rPr>
            <b/>
            <sz val="9"/>
            <rFont val="宋体"/>
            <charset val="134"/>
          </rPr>
          <t>Administrator:</t>
        </r>
        <r>
          <rPr>
            <sz val="9"/>
            <rFont val="宋体"/>
            <charset val="134"/>
          </rPr>
          <t xml:space="preserve">
23554   9.6</t>
        </r>
      </text>
    </comment>
    <comment ref="U12" authorId="0">
      <text>
        <r>
          <rPr>
            <b/>
            <sz val="9"/>
            <rFont val="宋体"/>
            <charset val="134"/>
          </rPr>
          <t>Administrator:</t>
        </r>
        <r>
          <rPr>
            <sz val="9"/>
            <rFont val="宋体"/>
            <charset val="134"/>
          </rPr>
          <t xml:space="preserve">
23554   9.6</t>
        </r>
      </text>
    </comment>
    <comment ref="Q13" authorId="0">
      <text>
        <r>
          <rPr>
            <b/>
            <sz val="9"/>
            <rFont val="宋体"/>
            <charset val="134"/>
          </rPr>
          <t>Administrator:</t>
        </r>
        <r>
          <rPr>
            <sz val="9"/>
            <rFont val="宋体"/>
            <charset val="134"/>
          </rPr>
          <t xml:space="preserve">
2017.6.21  3970</t>
        </r>
      </text>
    </comment>
    <comment ref="T13" authorId="0">
      <text>
        <r>
          <rPr>
            <b/>
            <sz val="9"/>
            <rFont val="宋体"/>
            <charset val="134"/>
          </rPr>
          <t>Administrator:</t>
        </r>
        <r>
          <rPr>
            <sz val="9"/>
            <rFont val="宋体"/>
            <charset val="134"/>
          </rPr>
          <t xml:space="preserve">
15978  9.6</t>
        </r>
      </text>
    </comment>
    <comment ref="U13" authorId="0">
      <text>
        <r>
          <rPr>
            <b/>
            <sz val="9"/>
            <rFont val="宋体"/>
            <charset val="134"/>
          </rPr>
          <t>Administrator:</t>
        </r>
        <r>
          <rPr>
            <sz val="9"/>
            <rFont val="宋体"/>
            <charset val="134"/>
          </rPr>
          <t xml:space="preserve">
15978  9.6</t>
        </r>
      </text>
    </comment>
    <comment ref="T15" authorId="0">
      <text>
        <r>
          <rPr>
            <b/>
            <sz val="9"/>
            <rFont val="宋体"/>
            <charset val="134"/>
          </rPr>
          <t>Administrator:</t>
        </r>
        <r>
          <rPr>
            <sz val="9"/>
            <rFont val="宋体"/>
            <charset val="134"/>
          </rPr>
          <t xml:space="preserve">
2017.9.13 收到</t>
        </r>
      </text>
    </comment>
    <comment ref="U15" authorId="0">
      <text>
        <r>
          <rPr>
            <b/>
            <sz val="9"/>
            <rFont val="宋体"/>
            <charset val="134"/>
          </rPr>
          <t>Administrator:</t>
        </r>
        <r>
          <rPr>
            <sz val="9"/>
            <rFont val="宋体"/>
            <charset val="134"/>
          </rPr>
          <t xml:space="preserve">
2017.9.13 收到</t>
        </r>
      </text>
    </comment>
    <comment ref="T16" authorId="0">
      <text>
        <r>
          <rPr>
            <b/>
            <sz val="9"/>
            <rFont val="宋体"/>
            <charset val="134"/>
          </rPr>
          <t>Administrator:</t>
        </r>
        <r>
          <rPr>
            <sz val="9"/>
            <rFont val="宋体"/>
            <charset val="134"/>
          </rPr>
          <t xml:space="preserve">
2017.10.9  收到</t>
        </r>
      </text>
    </comment>
    <comment ref="U16" authorId="0">
      <text>
        <r>
          <rPr>
            <b/>
            <sz val="9"/>
            <rFont val="宋体"/>
            <charset val="134"/>
          </rPr>
          <t>Administrator:</t>
        </r>
        <r>
          <rPr>
            <sz val="9"/>
            <rFont val="宋体"/>
            <charset val="134"/>
          </rPr>
          <t xml:space="preserve">
2017.10.9  收到</t>
        </r>
      </text>
    </comment>
    <comment ref="Q17" authorId="0">
      <text>
        <r>
          <rPr>
            <b/>
            <sz val="9"/>
            <rFont val="宋体"/>
            <charset val="134"/>
          </rPr>
          <t>Administrator:</t>
        </r>
        <r>
          <rPr>
            <sz val="9"/>
            <rFont val="宋体"/>
            <charset val="134"/>
          </rPr>
          <t xml:space="preserve">
7.20 打给工厂</t>
        </r>
      </text>
    </comment>
    <comment ref="T17" authorId="0">
      <text>
        <r>
          <rPr>
            <b/>
            <sz val="9"/>
            <rFont val="宋体"/>
            <charset val="134"/>
          </rPr>
          <t>Administrator:</t>
        </r>
        <r>
          <rPr>
            <sz val="9"/>
            <rFont val="宋体"/>
            <charset val="134"/>
          </rPr>
          <t xml:space="preserve">
15000=97890 9.6收
14330=93288 9.15收</t>
        </r>
      </text>
    </comment>
    <comment ref="U17" authorId="0">
      <text>
        <r>
          <rPr>
            <b/>
            <sz val="9"/>
            <rFont val="宋体"/>
            <charset val="134"/>
          </rPr>
          <t>Administrator:</t>
        </r>
        <r>
          <rPr>
            <sz val="9"/>
            <rFont val="宋体"/>
            <charset val="134"/>
          </rPr>
          <t xml:space="preserve">
15000=97890 9.6收
14330=93288 9.15收</t>
        </r>
      </text>
    </comment>
    <comment ref="Q19" authorId="0">
      <text>
        <r>
          <rPr>
            <b/>
            <sz val="9"/>
            <rFont val="宋体"/>
            <charset val="134"/>
          </rPr>
          <t>Administrator:</t>
        </r>
        <r>
          <rPr>
            <sz val="9"/>
            <rFont val="宋体"/>
            <charset val="134"/>
          </rPr>
          <t xml:space="preserve">
2017.7.26 转工厂</t>
        </r>
      </text>
    </comment>
    <comment ref="T19" authorId="0">
      <text>
        <r>
          <rPr>
            <b/>
            <sz val="9"/>
            <rFont val="宋体"/>
            <charset val="134"/>
          </rPr>
          <t>Administrator:</t>
        </r>
        <r>
          <rPr>
            <sz val="9"/>
            <rFont val="宋体"/>
            <charset val="134"/>
          </rPr>
          <t xml:space="preserve">
272691RMB 6.62  9.26收到</t>
        </r>
      </text>
    </comment>
    <comment ref="U19" authorId="0">
      <text>
        <r>
          <rPr>
            <b/>
            <sz val="9"/>
            <rFont val="宋体"/>
            <charset val="134"/>
          </rPr>
          <t>Administrator:</t>
        </r>
        <r>
          <rPr>
            <sz val="9"/>
            <rFont val="宋体"/>
            <charset val="134"/>
          </rPr>
          <t xml:space="preserve">
272691RMB 6.62  9.26收到</t>
        </r>
      </text>
    </comment>
    <comment ref="T20" authorId="0">
      <text>
        <r>
          <rPr>
            <b/>
            <sz val="9"/>
            <rFont val="宋体"/>
            <charset val="134"/>
          </rPr>
          <t>Administrator:</t>
        </r>
        <r>
          <rPr>
            <sz val="9"/>
            <rFont val="宋体"/>
            <charset val="134"/>
          </rPr>
          <t xml:space="preserve">
10.10 111631  汇率6.64</t>
        </r>
      </text>
    </comment>
    <comment ref="U20" authorId="0">
      <text>
        <r>
          <rPr>
            <b/>
            <sz val="9"/>
            <rFont val="宋体"/>
            <charset val="134"/>
          </rPr>
          <t>Administrator:</t>
        </r>
        <r>
          <rPr>
            <sz val="9"/>
            <rFont val="宋体"/>
            <charset val="134"/>
          </rPr>
          <t xml:space="preserve">
10.10 111631  汇率6.64</t>
        </r>
      </text>
    </comment>
    <comment ref="Q21" authorId="0">
      <text>
        <r>
          <rPr>
            <b/>
            <sz val="9"/>
            <rFont val="宋体"/>
            <charset val="134"/>
          </rPr>
          <t>Administrator:</t>
        </r>
        <r>
          <rPr>
            <sz val="9"/>
            <rFont val="宋体"/>
            <charset val="134"/>
          </rPr>
          <t xml:space="preserve">
6.29 5238  </t>
        </r>
      </text>
    </comment>
    <comment ref="T21" authorId="0">
      <text>
        <r>
          <rPr>
            <b/>
            <sz val="9"/>
            <rFont val="宋体"/>
            <charset val="134"/>
          </rPr>
          <t>Administrator:
给第二批货留4000定金31735  9.27收的</t>
        </r>
      </text>
    </comment>
    <comment ref="U21" authorId="0">
      <text>
        <r>
          <rPr>
            <b/>
            <sz val="9"/>
            <rFont val="宋体"/>
            <charset val="134"/>
          </rPr>
          <t>Administrator:
给第二批货留4000定金31735  9.27收的</t>
        </r>
      </text>
    </comment>
    <comment ref="P22" authorId="0">
      <text>
        <r>
          <rPr>
            <b/>
            <sz val="9"/>
            <rFont val="宋体"/>
            <charset val="134"/>
          </rPr>
          <t>Administrator:</t>
        </r>
        <r>
          <rPr>
            <sz val="9"/>
            <rFont val="宋体"/>
            <charset val="134"/>
          </rPr>
          <t xml:space="preserve">
已经加上垫付的腰包1940</t>
        </r>
      </text>
    </comment>
    <comment ref="Q22" authorId="0">
      <text>
        <r>
          <rPr>
            <b/>
            <sz val="9"/>
            <rFont val="宋体"/>
            <charset val="134"/>
          </rPr>
          <t>Administrator:</t>
        </r>
        <r>
          <rPr>
            <sz val="9"/>
            <rFont val="宋体"/>
            <charset val="134"/>
          </rPr>
          <t xml:space="preserve">
差额部分10.26 和X2938 一起收到</t>
        </r>
      </text>
    </comment>
    <comment ref="T22" authorId="0">
      <text>
        <r>
          <rPr>
            <b/>
            <sz val="9"/>
            <rFont val="宋体"/>
            <charset val="134"/>
          </rPr>
          <t>Administrator:
低报部分30996   10.9收到</t>
        </r>
      </text>
    </comment>
    <comment ref="U22" authorId="0">
      <text>
        <r>
          <rPr>
            <b/>
            <sz val="9"/>
            <rFont val="宋体"/>
            <charset val="134"/>
          </rPr>
          <t>Administrator:
低报部分30996   10.9收到</t>
        </r>
      </text>
    </comment>
    <comment ref="Q24" authorId="0">
      <text>
        <r>
          <rPr>
            <b/>
            <sz val="9"/>
            <rFont val="宋体"/>
            <charset val="134"/>
          </rPr>
          <t>Administrator:</t>
        </r>
        <r>
          <rPr>
            <sz val="9"/>
            <rFont val="宋体"/>
            <charset val="134"/>
          </rPr>
          <t xml:space="preserve">
9.7 收到 8264 给工厂打6000</t>
        </r>
      </text>
    </comment>
    <comment ref="T24" authorId="0">
      <text>
        <r>
          <rPr>
            <b/>
            <sz val="9"/>
            <rFont val="宋体"/>
            <charset val="134"/>
          </rPr>
          <t>Administrator:</t>
        </r>
        <r>
          <rPr>
            <sz val="9"/>
            <rFont val="宋体"/>
            <charset val="134"/>
          </rPr>
          <t xml:space="preserve">
16444   10.12 收到</t>
        </r>
      </text>
    </comment>
    <comment ref="U24" authorId="0">
      <text>
        <r>
          <rPr>
            <b/>
            <sz val="9"/>
            <rFont val="宋体"/>
            <charset val="134"/>
          </rPr>
          <t>Administrator:</t>
        </r>
        <r>
          <rPr>
            <sz val="9"/>
            <rFont val="宋体"/>
            <charset val="134"/>
          </rPr>
          <t xml:space="preserve">
16444   10.12 收到</t>
        </r>
      </text>
    </comment>
    <comment ref="Q25" authorId="0">
      <text>
        <r>
          <rPr>
            <sz val="9"/>
            <rFont val="宋体"/>
            <charset val="134"/>
          </rPr>
          <t>Administrator:
2016.5.23</t>
        </r>
      </text>
    </comment>
    <comment ref="Q30" authorId="0">
      <text>
        <r>
          <rPr>
            <b/>
            <sz val="9"/>
            <rFont val="宋体"/>
            <charset val="134"/>
          </rPr>
          <t>Administrator:</t>
        </r>
        <r>
          <rPr>
            <sz val="9"/>
            <rFont val="宋体"/>
            <charset val="134"/>
          </rPr>
          <t xml:space="preserve">
7.3 6147</t>
        </r>
      </text>
    </comment>
    <comment ref="Q31" authorId="0">
      <text>
        <r>
          <rPr>
            <b/>
            <sz val="9"/>
            <rFont val="宋体"/>
            <charset val="134"/>
          </rPr>
          <t>Administrator:</t>
        </r>
        <r>
          <rPr>
            <sz val="9"/>
            <rFont val="宋体"/>
            <charset val="134"/>
          </rPr>
          <t xml:space="preserve">
2017.6.14 实收
6.16 839</t>
        </r>
      </text>
    </comment>
    <comment ref="T32" authorId="0">
      <text>
        <r>
          <rPr>
            <b/>
            <sz val="9"/>
            <rFont val="宋体"/>
            <charset val="134"/>
          </rPr>
          <t>Administrator:</t>
        </r>
        <r>
          <rPr>
            <sz val="9"/>
            <rFont val="宋体"/>
            <charset val="134"/>
          </rPr>
          <t xml:space="preserve">
11.3 收到</t>
        </r>
      </text>
    </comment>
    <comment ref="U32" authorId="0">
      <text>
        <r>
          <rPr>
            <b/>
            <sz val="9"/>
            <rFont val="宋体"/>
            <charset val="134"/>
          </rPr>
          <t>Administrator:</t>
        </r>
        <r>
          <rPr>
            <sz val="9"/>
            <rFont val="宋体"/>
            <charset val="134"/>
          </rPr>
          <t xml:space="preserve">
11.3 收到</t>
        </r>
      </text>
    </comment>
    <comment ref="T33" authorId="0">
      <text>
        <r>
          <rPr>
            <b/>
            <sz val="9"/>
            <rFont val="宋体"/>
            <charset val="134"/>
          </rPr>
          <t>Administrator:</t>
        </r>
        <r>
          <rPr>
            <sz val="9"/>
            <rFont val="宋体"/>
            <charset val="134"/>
          </rPr>
          <t xml:space="preserve">
11.29</t>
        </r>
      </text>
    </comment>
    <comment ref="U33" authorId="0">
      <text>
        <r>
          <rPr>
            <b/>
            <sz val="9"/>
            <rFont val="宋体"/>
            <charset val="134"/>
          </rPr>
          <t>Administrator:</t>
        </r>
        <r>
          <rPr>
            <sz val="9"/>
            <rFont val="宋体"/>
            <charset val="134"/>
          </rPr>
          <t xml:space="preserve">
11.29</t>
        </r>
      </text>
    </comment>
    <comment ref="Q35" authorId="0">
      <text>
        <r>
          <rPr>
            <b/>
            <sz val="9"/>
            <rFont val="宋体"/>
            <charset val="134"/>
          </rPr>
          <t>Administrator:</t>
        </r>
        <r>
          <rPr>
            <sz val="9"/>
            <rFont val="宋体"/>
            <charset val="134"/>
          </rPr>
          <t xml:space="preserve">
86590  9.5 收到RMB</t>
        </r>
      </text>
    </comment>
    <comment ref="T35" authorId="0">
      <text>
        <r>
          <rPr>
            <b/>
            <sz val="9"/>
            <rFont val="宋体"/>
            <charset val="134"/>
          </rPr>
          <t>Administrator:</t>
        </r>
        <r>
          <rPr>
            <sz val="9"/>
            <rFont val="宋体"/>
            <charset val="134"/>
          </rPr>
          <t xml:space="preserve">
13200RMB=2万美金10.19 收到 10.24 收到16390=108338RMB</t>
        </r>
      </text>
    </comment>
    <comment ref="U35" authorId="0">
      <text>
        <r>
          <rPr>
            <b/>
            <sz val="9"/>
            <rFont val="宋体"/>
            <charset val="134"/>
          </rPr>
          <t>Administrator:</t>
        </r>
        <r>
          <rPr>
            <sz val="9"/>
            <rFont val="宋体"/>
            <charset val="134"/>
          </rPr>
          <t xml:space="preserve">
13200RMB=2万美金10.19 收到 10.24 收到16390=108338RMB</t>
        </r>
      </text>
    </comment>
    <comment ref="T36" authorId="0">
      <text>
        <r>
          <rPr>
            <b/>
            <sz val="9"/>
            <rFont val="宋体"/>
            <charset val="134"/>
          </rPr>
          <t>Administrator:</t>
        </r>
        <r>
          <rPr>
            <sz val="9"/>
            <rFont val="宋体"/>
            <charset val="134"/>
          </rPr>
          <t xml:space="preserve">
11.7  17000美金=112540 汇率6.62
1518=10037RMB 12.14</t>
        </r>
      </text>
    </comment>
    <comment ref="U36" authorId="0">
      <text>
        <r>
          <rPr>
            <b/>
            <sz val="9"/>
            <rFont val="宋体"/>
            <charset val="134"/>
          </rPr>
          <t>Administrator:</t>
        </r>
        <r>
          <rPr>
            <sz val="9"/>
            <rFont val="宋体"/>
            <charset val="134"/>
          </rPr>
          <t xml:space="preserve">
11.7  17000美金=112540 汇率6.62
1518=10037RMB 12.14</t>
        </r>
      </text>
    </comment>
    <comment ref="Q37" authorId="0">
      <text>
        <r>
          <rPr>
            <b/>
            <sz val="9"/>
            <rFont val="宋体"/>
            <charset val="134"/>
          </rPr>
          <t>Administrator:</t>
        </r>
        <r>
          <rPr>
            <sz val="9"/>
            <rFont val="宋体"/>
            <charset val="134"/>
          </rPr>
          <t xml:space="preserve">
10.9  收到7472</t>
        </r>
      </text>
    </comment>
    <comment ref="T37" authorId="0">
      <text>
        <r>
          <rPr>
            <b/>
            <sz val="9"/>
            <rFont val="宋体"/>
            <charset val="134"/>
          </rPr>
          <t>Administrator:</t>
        </r>
        <r>
          <rPr>
            <sz val="9"/>
            <rFont val="宋体"/>
            <charset val="134"/>
          </rPr>
          <t xml:space="preserve">
11.8  打17080  实际收17052， 剩余1917当做下单定金</t>
        </r>
      </text>
    </comment>
    <comment ref="U37" authorId="0">
      <text>
        <r>
          <rPr>
            <b/>
            <sz val="9"/>
            <rFont val="宋体"/>
            <charset val="134"/>
          </rPr>
          <t>Administrator:</t>
        </r>
        <r>
          <rPr>
            <sz val="9"/>
            <rFont val="宋体"/>
            <charset val="134"/>
          </rPr>
          <t xml:space="preserve">
11.8  打17080  实际收17052， 剩余1917当做下单定金</t>
        </r>
      </text>
    </comment>
    <comment ref="Q38" authorId="0">
      <text>
        <r>
          <rPr>
            <b/>
            <sz val="9"/>
            <rFont val="宋体"/>
            <charset val="134"/>
          </rPr>
          <t>Administrator:</t>
        </r>
        <r>
          <rPr>
            <sz val="9"/>
            <rFont val="宋体"/>
            <charset val="134"/>
          </rPr>
          <t xml:space="preserve">
9.22  实收</t>
        </r>
      </text>
    </comment>
    <comment ref="T38" authorId="0">
      <text>
        <r>
          <rPr>
            <b/>
            <sz val="9"/>
            <rFont val="宋体"/>
            <charset val="134"/>
          </rPr>
          <t>Administrator:</t>
        </r>
        <r>
          <rPr>
            <sz val="9"/>
            <rFont val="宋体"/>
            <charset val="134"/>
          </rPr>
          <t xml:space="preserve">
低报16984.41， 还差1262美金，3090订单订金6000， 扣掉1262+461=1723，剩4277
12.18 收低报16900</t>
        </r>
      </text>
    </comment>
    <comment ref="U38" authorId="0">
      <text>
        <r>
          <rPr>
            <b/>
            <sz val="9"/>
            <rFont val="宋体"/>
            <charset val="134"/>
          </rPr>
          <t>Administrator:</t>
        </r>
        <r>
          <rPr>
            <sz val="9"/>
            <rFont val="宋体"/>
            <charset val="134"/>
          </rPr>
          <t xml:space="preserve">
低报16984.41， 还差1262美金，3090订单订金6000， 扣掉1262+461=1723，剩4277
12.18 收低报16900</t>
        </r>
      </text>
    </comment>
    <comment ref="Q41" authorId="0">
      <text>
        <r>
          <rPr>
            <b/>
            <sz val="9"/>
            <rFont val="宋体"/>
            <charset val="134"/>
          </rPr>
          <t>Administrator:</t>
        </r>
        <r>
          <rPr>
            <sz val="9"/>
            <rFont val="宋体"/>
            <charset val="134"/>
          </rPr>
          <t xml:space="preserve">
9.28 号转给金凯</t>
        </r>
      </text>
    </comment>
    <comment ref="T41" authorId="0">
      <text>
        <r>
          <rPr>
            <b/>
            <sz val="9"/>
            <rFont val="宋体"/>
            <charset val="134"/>
          </rPr>
          <t>Administrator:</t>
        </r>
        <r>
          <rPr>
            <sz val="9"/>
            <rFont val="宋体"/>
            <charset val="134"/>
          </rPr>
          <t xml:space="preserve">
12.26</t>
        </r>
      </text>
    </comment>
    <comment ref="U41" authorId="0">
      <text>
        <r>
          <rPr>
            <b/>
            <sz val="9"/>
            <rFont val="宋体"/>
            <charset val="134"/>
          </rPr>
          <t>Administrator:</t>
        </r>
        <r>
          <rPr>
            <sz val="9"/>
            <rFont val="宋体"/>
            <charset val="134"/>
          </rPr>
          <t xml:space="preserve">
12.26</t>
        </r>
      </text>
    </comment>
    <comment ref="T42" authorId="0">
      <text>
        <r>
          <rPr>
            <b/>
            <sz val="9"/>
            <rFont val="宋体"/>
            <charset val="134"/>
          </rPr>
          <t>Administrator:</t>
        </r>
        <r>
          <rPr>
            <sz val="9"/>
            <rFont val="宋体"/>
            <charset val="134"/>
          </rPr>
          <t xml:space="preserve">
1.11</t>
        </r>
      </text>
    </comment>
    <comment ref="U42" authorId="0">
      <text>
        <r>
          <rPr>
            <b/>
            <sz val="9"/>
            <rFont val="宋体"/>
            <charset val="134"/>
          </rPr>
          <t>Administrator:</t>
        </r>
        <r>
          <rPr>
            <sz val="9"/>
            <rFont val="宋体"/>
            <charset val="134"/>
          </rPr>
          <t xml:space="preserve">
1.11</t>
        </r>
      </text>
    </comment>
    <comment ref="Q43" authorId="0">
      <text>
        <r>
          <rPr>
            <b/>
            <sz val="9"/>
            <rFont val="宋体"/>
            <charset val="134"/>
          </rPr>
          <t>Administrator:</t>
        </r>
        <r>
          <rPr>
            <sz val="9"/>
            <rFont val="宋体"/>
            <charset val="134"/>
          </rPr>
          <t xml:space="preserve">
3080石膏板多打的</t>
        </r>
      </text>
    </comment>
    <comment ref="T43" authorId="0">
      <text>
        <r>
          <rPr>
            <b/>
            <sz val="9"/>
            <rFont val="宋体"/>
            <charset val="134"/>
          </rPr>
          <t>Administrator:</t>
        </r>
        <r>
          <rPr>
            <sz val="9"/>
            <rFont val="宋体"/>
            <charset val="134"/>
          </rPr>
          <t xml:space="preserve">
103147</t>
        </r>
      </text>
    </comment>
    <comment ref="U43" authorId="0">
      <text>
        <r>
          <rPr>
            <b/>
            <sz val="9"/>
            <rFont val="宋体"/>
            <charset val="134"/>
          </rPr>
          <t>Administrator:</t>
        </r>
        <r>
          <rPr>
            <sz val="9"/>
            <rFont val="宋体"/>
            <charset val="134"/>
          </rPr>
          <t xml:space="preserve">
103147</t>
        </r>
      </text>
    </comment>
    <comment ref="Q44" authorId="0">
      <text>
        <r>
          <rPr>
            <b/>
            <sz val="9"/>
            <rFont val="宋体"/>
            <charset val="134"/>
          </rPr>
          <t>Administrator:
差额部分，应该TT12.12  收37380RMB</t>
        </r>
      </text>
    </comment>
    <comment ref="T44" authorId="0">
      <text>
        <r>
          <rPr>
            <b/>
            <sz val="9"/>
            <rFont val="宋体"/>
            <charset val="134"/>
          </rPr>
          <t>Administrator:</t>
        </r>
        <r>
          <rPr>
            <sz val="9"/>
            <rFont val="宋体"/>
            <charset val="134"/>
          </rPr>
          <t xml:space="preserve">
低报部分17020  1.25</t>
        </r>
      </text>
    </comment>
    <comment ref="U44" authorId="0">
      <text>
        <r>
          <rPr>
            <b/>
            <sz val="9"/>
            <rFont val="宋体"/>
            <charset val="134"/>
          </rPr>
          <t>Administrator:</t>
        </r>
        <r>
          <rPr>
            <sz val="9"/>
            <rFont val="宋体"/>
            <charset val="134"/>
          </rPr>
          <t xml:space="preserve">
低报部分17020  1.25</t>
        </r>
      </text>
    </comment>
    <comment ref="Q45" authorId="0">
      <text>
        <r>
          <rPr>
            <b/>
            <sz val="9"/>
            <rFont val="宋体"/>
            <charset val="134"/>
          </rPr>
          <t>Administrator:</t>
        </r>
        <r>
          <rPr>
            <sz val="9"/>
            <rFont val="宋体"/>
            <charset val="134"/>
          </rPr>
          <t xml:space="preserve">
25962  10.30</t>
        </r>
      </text>
    </comment>
    <comment ref="T45" authorId="0">
      <text>
        <r>
          <rPr>
            <b/>
            <sz val="9"/>
            <rFont val="宋体"/>
            <charset val="134"/>
          </rPr>
          <t>Administrator:</t>
        </r>
        <r>
          <rPr>
            <sz val="9"/>
            <rFont val="宋体"/>
            <charset val="134"/>
          </rPr>
          <t xml:space="preserve">
62845  11.24打62883</t>
        </r>
      </text>
    </comment>
    <comment ref="U45" authorId="0">
      <text>
        <r>
          <rPr>
            <b/>
            <sz val="9"/>
            <rFont val="宋体"/>
            <charset val="134"/>
          </rPr>
          <t>Administrator:</t>
        </r>
        <r>
          <rPr>
            <sz val="9"/>
            <rFont val="宋体"/>
            <charset val="134"/>
          </rPr>
          <t xml:space="preserve">
62845  11.24打62883</t>
        </r>
      </text>
    </comment>
    <comment ref="Q48" authorId="0">
      <text>
        <r>
          <rPr>
            <b/>
            <sz val="9"/>
            <rFont val="宋体"/>
            <charset val="134"/>
          </rPr>
          <t>Administrator:</t>
        </r>
        <r>
          <rPr>
            <sz val="9"/>
            <rFont val="宋体"/>
            <charset val="134"/>
          </rPr>
          <t xml:space="preserve">
12.14 收到 12000 和3106 各6000定金</t>
        </r>
      </text>
    </comment>
    <comment ref="T48" authorId="0">
      <text>
        <r>
          <rPr>
            <b/>
            <sz val="9"/>
            <rFont val="宋体"/>
            <charset val="134"/>
          </rPr>
          <t>Administrator:</t>
        </r>
        <r>
          <rPr>
            <sz val="9"/>
            <rFont val="宋体"/>
            <charset val="134"/>
          </rPr>
          <t xml:space="preserve">
付全款  
1.25 539348RMB</t>
        </r>
      </text>
    </comment>
    <comment ref="U48" authorId="0">
      <text>
        <r>
          <rPr>
            <b/>
            <sz val="9"/>
            <rFont val="宋体"/>
            <charset val="134"/>
          </rPr>
          <t>Administrator:</t>
        </r>
        <r>
          <rPr>
            <sz val="9"/>
            <rFont val="宋体"/>
            <charset val="134"/>
          </rPr>
          <t xml:space="preserve">
付全款  
1.25 539348RMB</t>
        </r>
      </text>
    </comment>
    <comment ref="Q49" authorId="0">
      <text>
        <r>
          <rPr>
            <b/>
            <sz val="9"/>
            <rFont val="宋体"/>
            <charset val="134"/>
          </rPr>
          <t>Administrator:</t>
        </r>
        <r>
          <rPr>
            <sz val="9"/>
            <rFont val="宋体"/>
            <charset val="134"/>
          </rPr>
          <t xml:space="preserve">
12.7 收到</t>
        </r>
      </text>
    </comment>
    <comment ref="T49" authorId="0">
      <text>
        <r>
          <rPr>
            <b/>
            <sz val="9"/>
            <rFont val="宋体"/>
            <charset val="134"/>
          </rPr>
          <t>Administrator:</t>
        </r>
        <r>
          <rPr>
            <sz val="9"/>
            <rFont val="宋体"/>
            <charset val="134"/>
          </rPr>
          <t xml:space="preserve">
13581  1.19</t>
        </r>
      </text>
    </comment>
    <comment ref="U49" authorId="0">
      <text>
        <r>
          <rPr>
            <b/>
            <sz val="9"/>
            <rFont val="宋体"/>
            <charset val="134"/>
          </rPr>
          <t>Administrator:</t>
        </r>
        <r>
          <rPr>
            <sz val="9"/>
            <rFont val="宋体"/>
            <charset val="134"/>
          </rPr>
          <t xml:space="preserve">
13581  1.19</t>
        </r>
      </text>
    </comment>
    <comment ref="Q50" authorId="0">
      <text>
        <r>
          <rPr>
            <b/>
            <sz val="9"/>
            <rFont val="宋体"/>
            <charset val="134"/>
          </rPr>
          <t>Administrator:</t>
        </r>
        <r>
          <rPr>
            <sz val="9"/>
            <rFont val="宋体"/>
            <charset val="134"/>
          </rPr>
          <t xml:space="preserve">
差额</t>
        </r>
      </text>
    </comment>
    <comment ref="T50" authorId="0">
      <text>
        <r>
          <rPr>
            <b/>
            <sz val="9"/>
            <rFont val="宋体"/>
            <charset val="134"/>
          </rPr>
          <t>Administrator:</t>
        </r>
        <r>
          <rPr>
            <sz val="9"/>
            <rFont val="宋体"/>
            <charset val="134"/>
          </rPr>
          <t xml:space="preserve">
低报</t>
        </r>
      </text>
    </comment>
    <comment ref="U50" authorId="0">
      <text>
        <r>
          <rPr>
            <b/>
            <sz val="9"/>
            <rFont val="宋体"/>
            <charset val="134"/>
          </rPr>
          <t>Administrator:</t>
        </r>
        <r>
          <rPr>
            <sz val="9"/>
            <rFont val="宋体"/>
            <charset val="134"/>
          </rPr>
          <t xml:space="preserve">
低报</t>
        </r>
      </text>
    </comment>
    <comment ref="Q51" authorId="0">
      <text>
        <r>
          <rPr>
            <b/>
            <sz val="9"/>
            <rFont val="宋体"/>
            <charset val="134"/>
          </rPr>
          <t>Administrator:</t>
        </r>
        <r>
          <rPr>
            <sz val="9"/>
            <rFont val="宋体"/>
            <charset val="134"/>
          </rPr>
          <t xml:space="preserve">
11.16 收到13660</t>
        </r>
      </text>
    </comment>
    <comment ref="Q52" authorId="0">
      <text>
        <r>
          <rPr>
            <b/>
            <sz val="9"/>
            <rFont val="宋体"/>
            <charset val="134"/>
          </rPr>
          <t>Administrator:</t>
        </r>
        <r>
          <rPr>
            <sz val="9"/>
            <rFont val="宋体"/>
            <charset val="134"/>
          </rPr>
          <t xml:space="preserve">
25962..11.16</t>
        </r>
      </text>
    </comment>
    <comment ref="T52" authorId="0">
      <text>
        <r>
          <rPr>
            <b/>
            <sz val="9"/>
            <rFont val="宋体"/>
            <charset val="134"/>
          </rPr>
          <t>Administrator:</t>
        </r>
        <r>
          <rPr>
            <sz val="9"/>
            <rFont val="宋体"/>
            <charset val="134"/>
          </rPr>
          <t xml:space="preserve">
63812  12.18</t>
        </r>
      </text>
    </comment>
    <comment ref="U52" authorId="0">
      <text>
        <r>
          <rPr>
            <b/>
            <sz val="9"/>
            <rFont val="宋体"/>
            <charset val="134"/>
          </rPr>
          <t>Administrator:</t>
        </r>
        <r>
          <rPr>
            <sz val="9"/>
            <rFont val="宋体"/>
            <charset val="134"/>
          </rPr>
          <t xml:space="preserve">
63812  12.18</t>
        </r>
      </text>
    </comment>
    <comment ref="Q53" authorId="0">
      <text>
        <r>
          <rPr>
            <b/>
            <sz val="9"/>
            <rFont val="宋体"/>
            <charset val="134"/>
          </rPr>
          <t>Administrator:</t>
        </r>
        <r>
          <rPr>
            <sz val="9"/>
            <rFont val="宋体"/>
            <charset val="134"/>
          </rPr>
          <t xml:space="preserve">
11.15  39780RMB 
这单扣掉上单款，剩4277美金</t>
        </r>
      </text>
    </comment>
    <comment ref="T53" authorId="0">
      <text>
        <r>
          <rPr>
            <b/>
            <sz val="9"/>
            <rFont val="宋体"/>
            <charset val="134"/>
          </rPr>
          <t>Administrator:</t>
        </r>
        <r>
          <rPr>
            <sz val="9"/>
            <rFont val="宋体"/>
            <charset val="134"/>
          </rPr>
          <t xml:space="preserve">
低报17030.9  
差额1475美金
16942  1.26</t>
        </r>
      </text>
    </comment>
    <comment ref="U53" authorId="0">
      <text>
        <r>
          <rPr>
            <b/>
            <sz val="9"/>
            <rFont val="宋体"/>
            <charset val="134"/>
          </rPr>
          <t>Administrator:</t>
        </r>
        <r>
          <rPr>
            <sz val="9"/>
            <rFont val="宋体"/>
            <charset val="134"/>
          </rPr>
          <t xml:space="preserve">
低报17030.9  
差额1475美金
16942  1.26</t>
        </r>
      </text>
    </comment>
    <comment ref="Q55" authorId="0">
      <text>
        <r>
          <rPr>
            <b/>
            <sz val="9"/>
            <rFont val="宋体"/>
            <charset val="134"/>
          </rPr>
          <t>Administrator:</t>
        </r>
        <r>
          <rPr>
            <sz val="9"/>
            <rFont val="宋体"/>
            <charset val="134"/>
          </rPr>
          <t xml:space="preserve">
12.23 收到6746.5</t>
        </r>
      </text>
    </comment>
    <comment ref="T55" authorId="0">
      <text>
        <r>
          <rPr>
            <b/>
            <sz val="9"/>
            <rFont val="宋体"/>
            <charset val="134"/>
          </rPr>
          <t>Administrator:</t>
        </r>
        <r>
          <rPr>
            <sz val="9"/>
            <rFont val="宋体"/>
            <charset val="134"/>
          </rPr>
          <t xml:space="preserve">
低报15760.84
2.22 15552 
差额566.89=3625 1.22 </t>
        </r>
      </text>
    </comment>
    <comment ref="U55" authorId="0">
      <text>
        <r>
          <rPr>
            <b/>
            <sz val="9"/>
            <rFont val="宋体"/>
            <charset val="134"/>
          </rPr>
          <t>Administrator:</t>
        </r>
        <r>
          <rPr>
            <sz val="9"/>
            <rFont val="宋体"/>
            <charset val="134"/>
          </rPr>
          <t xml:space="preserve">
低报15760.84
2.22 15552 
差额566.89=3625 1.22 </t>
        </r>
      </text>
    </comment>
    <comment ref="T56" authorId="0">
      <text>
        <r>
          <rPr>
            <b/>
            <sz val="9"/>
            <rFont val="宋体"/>
            <charset val="134"/>
          </rPr>
          <t>Administrator:</t>
        </r>
        <r>
          <rPr>
            <sz val="9"/>
            <rFont val="宋体"/>
            <charset val="134"/>
          </rPr>
          <t xml:space="preserve">
4-4 到款</t>
        </r>
      </text>
    </comment>
    <comment ref="U56" authorId="0">
      <text>
        <r>
          <rPr>
            <b/>
            <sz val="9"/>
            <rFont val="宋体"/>
            <charset val="134"/>
          </rPr>
          <t>Administrator:</t>
        </r>
        <r>
          <rPr>
            <sz val="9"/>
            <rFont val="宋体"/>
            <charset val="134"/>
          </rPr>
          <t xml:space="preserve">
4-4 到款</t>
        </r>
      </text>
    </comment>
    <comment ref="Q59" authorId="0">
      <text>
        <r>
          <rPr>
            <b/>
            <sz val="9"/>
            <rFont val="宋体"/>
            <charset val="134"/>
          </rPr>
          <t>Administrator:</t>
        </r>
        <r>
          <rPr>
            <sz val="9"/>
            <rFont val="宋体"/>
            <charset val="134"/>
          </rPr>
          <t xml:space="preserve">
2017.12.1 3000</t>
        </r>
      </text>
    </comment>
    <comment ref="T59" authorId="0">
      <text>
        <r>
          <rPr>
            <b/>
            <sz val="9"/>
            <rFont val="宋体"/>
            <charset val="134"/>
          </rPr>
          <t>Administrator:</t>
        </r>
        <r>
          <rPr>
            <sz val="9"/>
            <rFont val="宋体"/>
            <charset val="134"/>
          </rPr>
          <t xml:space="preserve">
2018.1.4</t>
        </r>
      </text>
    </comment>
    <comment ref="U59" authorId="0">
      <text>
        <r>
          <rPr>
            <b/>
            <sz val="9"/>
            <rFont val="宋体"/>
            <charset val="134"/>
          </rPr>
          <t>Administrator:</t>
        </r>
        <r>
          <rPr>
            <sz val="9"/>
            <rFont val="宋体"/>
            <charset val="134"/>
          </rPr>
          <t xml:space="preserve">
2018.1.4</t>
        </r>
      </text>
    </comment>
    <comment ref="Q60" authorId="0">
      <text>
        <r>
          <rPr>
            <b/>
            <sz val="9"/>
            <rFont val="宋体"/>
            <charset val="134"/>
          </rPr>
          <t>Administrator:</t>
        </r>
        <r>
          <rPr>
            <sz val="9"/>
            <rFont val="宋体"/>
            <charset val="134"/>
          </rPr>
          <t xml:space="preserve">
12.14 的收到的12000</t>
        </r>
      </text>
    </comment>
    <comment ref="T60" authorId="0">
      <text>
        <r>
          <rPr>
            <b/>
            <sz val="9"/>
            <rFont val="宋体"/>
            <charset val="134"/>
          </rPr>
          <t>Administrator:</t>
        </r>
        <r>
          <rPr>
            <sz val="9"/>
            <rFont val="宋体"/>
            <charset val="134"/>
          </rPr>
          <t xml:space="preserve">
4.20</t>
        </r>
      </text>
    </comment>
    <comment ref="U60" authorId="0">
      <text>
        <r>
          <rPr>
            <b/>
            <sz val="9"/>
            <rFont val="宋体"/>
            <charset val="134"/>
          </rPr>
          <t>Administrator:</t>
        </r>
        <r>
          <rPr>
            <sz val="9"/>
            <rFont val="宋体"/>
            <charset val="134"/>
          </rPr>
          <t xml:space="preserve">
4.20</t>
        </r>
      </text>
    </comment>
    <comment ref="Q61" authorId="0">
      <text>
        <r>
          <rPr>
            <b/>
            <sz val="9"/>
            <rFont val="宋体"/>
            <charset val="134"/>
          </rPr>
          <t>Administrator:</t>
        </r>
        <r>
          <rPr>
            <sz val="9"/>
            <rFont val="宋体"/>
            <charset val="134"/>
          </rPr>
          <t xml:space="preserve">
2017.12.8 收5100=33670 </t>
        </r>
      </text>
    </comment>
    <comment ref="T61" authorId="0">
      <text>
        <r>
          <rPr>
            <b/>
            <sz val="9"/>
            <rFont val="宋体"/>
            <charset val="134"/>
          </rPr>
          <t>Administrator:</t>
        </r>
        <r>
          <rPr>
            <sz val="9"/>
            <rFont val="宋体"/>
            <charset val="134"/>
          </rPr>
          <t xml:space="preserve">
35373 ，还有5000美金</t>
        </r>
      </text>
    </comment>
    <comment ref="U61" authorId="0">
      <text>
        <r>
          <rPr>
            <b/>
            <sz val="9"/>
            <rFont val="宋体"/>
            <charset val="134"/>
          </rPr>
          <t>Administrator:</t>
        </r>
        <r>
          <rPr>
            <sz val="9"/>
            <rFont val="宋体"/>
            <charset val="134"/>
          </rPr>
          <t xml:space="preserve">
35373 ，还有5000美金</t>
        </r>
      </text>
    </comment>
    <comment ref="Q62" authorId="0">
      <text>
        <r>
          <rPr>
            <b/>
            <sz val="9"/>
            <rFont val="宋体"/>
            <charset val="134"/>
          </rPr>
          <t>Administrator:</t>
        </r>
        <r>
          <rPr>
            <sz val="9"/>
            <rFont val="宋体"/>
            <charset val="134"/>
          </rPr>
          <t xml:space="preserve">
12.14 16530
12.18 打2000美金
</t>
        </r>
      </text>
    </comment>
    <comment ref="Q63" authorId="0">
      <text>
        <r>
          <rPr>
            <b/>
            <sz val="9"/>
            <rFont val="宋体"/>
            <charset val="134"/>
          </rPr>
          <t>Administrator:</t>
        </r>
        <r>
          <rPr>
            <sz val="9"/>
            <rFont val="宋体"/>
            <charset val="134"/>
          </rPr>
          <t xml:space="preserve">
49962 12.20</t>
        </r>
      </text>
    </comment>
    <comment ref="T63" authorId="0">
      <text>
        <r>
          <rPr>
            <b/>
            <sz val="9"/>
            <rFont val="宋体"/>
            <charset val="134"/>
          </rPr>
          <t>Administrator:</t>
        </r>
        <r>
          <rPr>
            <sz val="9"/>
            <rFont val="宋体"/>
            <charset val="134"/>
          </rPr>
          <t xml:space="preserve">
91653.1 1.23</t>
        </r>
      </text>
    </comment>
    <comment ref="U63" authorId="0">
      <text>
        <r>
          <rPr>
            <b/>
            <sz val="9"/>
            <rFont val="宋体"/>
            <charset val="134"/>
          </rPr>
          <t>Administrator:</t>
        </r>
        <r>
          <rPr>
            <sz val="9"/>
            <rFont val="宋体"/>
            <charset val="134"/>
          </rPr>
          <t xml:space="preserve">
91653.1 1.23</t>
        </r>
      </text>
    </comment>
    <comment ref="T64" authorId="0">
      <text>
        <r>
          <rPr>
            <b/>
            <sz val="9"/>
            <rFont val="宋体"/>
            <charset val="134"/>
          </rPr>
          <t>Administrator:</t>
        </r>
        <r>
          <rPr>
            <sz val="9"/>
            <rFont val="宋体"/>
            <charset val="134"/>
          </rPr>
          <t xml:space="preserve">
2.8 49953</t>
        </r>
      </text>
    </comment>
    <comment ref="U64" authorId="0">
      <text>
        <r>
          <rPr>
            <b/>
            <sz val="9"/>
            <rFont val="宋体"/>
            <charset val="134"/>
          </rPr>
          <t>Administrator:</t>
        </r>
        <r>
          <rPr>
            <sz val="9"/>
            <rFont val="宋体"/>
            <charset val="134"/>
          </rPr>
          <t xml:space="preserve">
2.8 49953</t>
        </r>
      </text>
    </comment>
    <comment ref="Q65" authorId="0">
      <text>
        <r>
          <rPr>
            <b/>
            <sz val="9"/>
            <rFont val="宋体"/>
            <charset val="134"/>
          </rPr>
          <t>Administrator:</t>
        </r>
        <r>
          <rPr>
            <sz val="9"/>
            <rFont val="宋体"/>
            <charset val="134"/>
          </rPr>
          <t xml:space="preserve">
4-3</t>
        </r>
      </text>
    </comment>
    <comment ref="Q66" authorId="0">
      <text>
        <r>
          <rPr>
            <b/>
            <sz val="9"/>
            <rFont val="宋体"/>
            <charset val="134"/>
          </rPr>
          <t>Administrator:</t>
        </r>
        <r>
          <rPr>
            <sz val="9"/>
            <rFont val="宋体"/>
            <charset val="134"/>
          </rPr>
          <t xml:space="preserve">
12.27</t>
        </r>
      </text>
    </comment>
    <comment ref="T66" authorId="0">
      <text>
        <r>
          <rPr>
            <b/>
            <sz val="9"/>
            <rFont val="宋体"/>
            <charset val="134"/>
          </rPr>
          <t>Administrator:</t>
        </r>
        <r>
          <rPr>
            <sz val="9"/>
            <rFont val="宋体"/>
            <charset val="134"/>
          </rPr>
          <t xml:space="preserve">
3.2 含上单3108的5000美金尾款补齐</t>
        </r>
      </text>
    </comment>
    <comment ref="U66" authorId="0">
      <text>
        <r>
          <rPr>
            <b/>
            <sz val="9"/>
            <rFont val="宋体"/>
            <charset val="134"/>
          </rPr>
          <t>Administrator:</t>
        </r>
        <r>
          <rPr>
            <sz val="9"/>
            <rFont val="宋体"/>
            <charset val="134"/>
          </rPr>
          <t xml:space="preserve">
3.2 含上单3108的5000美金尾款补齐</t>
        </r>
      </text>
    </comment>
    <comment ref="P67" authorId="1">
      <text>
        <r>
          <rPr>
            <b/>
            <sz val="11"/>
            <rFont val="MS PGothic"/>
            <charset val="134"/>
          </rPr>
          <t>Microsoft Office 用户:</t>
        </r>
        <r>
          <rPr>
            <sz val="11"/>
            <rFont val="MS PGothic"/>
            <charset val="134"/>
          </rPr>
          <t xml:space="preserve">
与J3140发的一批货
</t>
        </r>
      </text>
    </comment>
    <comment ref="Q67" authorId="0">
      <text>
        <r>
          <rPr>
            <b/>
            <sz val="9"/>
            <rFont val="宋体"/>
            <charset val="134"/>
          </rPr>
          <t>Administrator:</t>
        </r>
        <r>
          <rPr>
            <sz val="9"/>
            <rFont val="宋体"/>
            <charset val="134"/>
          </rPr>
          <t xml:space="preserve">
1.7</t>
        </r>
      </text>
    </comment>
    <comment ref="Q68" authorId="0">
      <text>
        <r>
          <rPr>
            <b/>
            <sz val="9"/>
            <rFont val="宋体"/>
            <charset val="134"/>
          </rPr>
          <t>Administrator:</t>
        </r>
        <r>
          <rPr>
            <sz val="9"/>
            <rFont val="宋体"/>
            <charset val="134"/>
          </rPr>
          <t xml:space="preserve">
2018.1.12 实收</t>
        </r>
      </text>
    </comment>
    <comment ref="Q70" authorId="1">
      <text>
        <r>
          <rPr>
            <b/>
            <sz val="11"/>
            <rFont val="MS PGothic"/>
            <charset val="134"/>
          </rPr>
          <t>Microsoft Office 用户:</t>
        </r>
        <r>
          <rPr>
            <sz val="11"/>
            <rFont val="MS PGothic"/>
            <charset val="134"/>
          </rPr>
          <t xml:space="preserve">
2018.3.16</t>
        </r>
      </text>
    </comment>
    <comment ref="Q71" authorId="0">
      <text>
        <r>
          <rPr>
            <b/>
            <sz val="9"/>
            <rFont val="宋体"/>
            <charset val="134"/>
          </rPr>
          <t>Administrator:</t>
        </r>
        <r>
          <rPr>
            <sz val="9"/>
            <rFont val="宋体"/>
            <charset val="134"/>
          </rPr>
          <t xml:space="preserve">
9967  2.5</t>
        </r>
      </text>
    </comment>
    <comment ref="Q72" authorId="0">
      <text>
        <r>
          <rPr>
            <b/>
            <sz val="9"/>
            <rFont val="宋体"/>
            <charset val="134"/>
          </rPr>
          <t>Administrator:</t>
        </r>
        <r>
          <rPr>
            <sz val="9"/>
            <rFont val="宋体"/>
            <charset val="134"/>
          </rPr>
          <t xml:space="preserve">
1.12  实收</t>
        </r>
      </text>
    </comment>
    <comment ref="T72" authorId="0">
      <text>
        <r>
          <rPr>
            <b/>
            <sz val="9"/>
            <rFont val="宋体"/>
            <charset val="134"/>
          </rPr>
          <t>Administrator:</t>
        </r>
        <r>
          <rPr>
            <sz val="9"/>
            <rFont val="宋体"/>
            <charset val="134"/>
          </rPr>
          <t xml:space="preserve">
4-23 还差655美金没有安排，从最近新合同定金里减去。</t>
        </r>
      </text>
    </comment>
    <comment ref="U72" authorId="0">
      <text>
        <r>
          <rPr>
            <b/>
            <sz val="9"/>
            <rFont val="宋体"/>
            <charset val="134"/>
          </rPr>
          <t>Administrator:</t>
        </r>
        <r>
          <rPr>
            <sz val="9"/>
            <rFont val="宋体"/>
            <charset val="134"/>
          </rPr>
          <t xml:space="preserve">
4-23 还差655美金没有安排，从最近新合同定金里减去。</t>
        </r>
      </text>
    </comment>
    <comment ref="T74" authorId="0">
      <text>
        <r>
          <rPr>
            <b/>
            <sz val="9"/>
            <rFont val="宋体"/>
            <charset val="134"/>
          </rPr>
          <t>Administrator:</t>
        </r>
        <r>
          <rPr>
            <sz val="9"/>
            <rFont val="宋体"/>
            <charset val="134"/>
          </rPr>
          <t xml:space="preserve">
3-29</t>
        </r>
      </text>
    </comment>
    <comment ref="U74" authorId="0">
      <text>
        <r>
          <rPr>
            <b/>
            <sz val="9"/>
            <rFont val="宋体"/>
            <charset val="134"/>
          </rPr>
          <t>Administrator:</t>
        </r>
        <r>
          <rPr>
            <sz val="9"/>
            <rFont val="宋体"/>
            <charset val="134"/>
          </rPr>
          <t xml:space="preserve">
3-29</t>
        </r>
      </text>
    </comment>
    <comment ref="A75" authorId="0">
      <text>
        <r>
          <rPr>
            <b/>
            <sz val="9"/>
            <rFont val="宋体"/>
            <charset val="134"/>
          </rPr>
          <t>Administrator:</t>
        </r>
        <r>
          <rPr>
            <sz val="9"/>
            <rFont val="宋体"/>
            <charset val="134"/>
          </rPr>
          <t xml:space="preserve">
订单号： 3682035-2   </t>
        </r>
      </text>
    </comment>
    <comment ref="Q75" authorId="0">
      <text>
        <r>
          <rPr>
            <b/>
            <sz val="9"/>
            <rFont val="宋体"/>
            <charset val="134"/>
          </rPr>
          <t>Administrator:</t>
        </r>
        <r>
          <rPr>
            <sz val="9"/>
            <rFont val="宋体"/>
            <charset val="134"/>
          </rPr>
          <t xml:space="preserve">
4975  1.31</t>
        </r>
      </text>
    </comment>
    <comment ref="Q76" authorId="0">
      <text>
        <r>
          <rPr>
            <b/>
            <sz val="9"/>
            <rFont val="宋体"/>
            <charset val="134"/>
          </rPr>
          <t>Administrator:</t>
        </r>
        <r>
          <rPr>
            <sz val="9"/>
            <rFont val="宋体"/>
            <charset val="134"/>
          </rPr>
          <t xml:space="preserve">
1.26</t>
        </r>
      </text>
    </comment>
    <comment ref="T76" authorId="0">
      <text>
        <r>
          <rPr>
            <b/>
            <sz val="9"/>
            <rFont val="宋体"/>
            <charset val="134"/>
          </rPr>
          <t>Administrator:</t>
        </r>
        <r>
          <rPr>
            <sz val="9"/>
            <rFont val="宋体"/>
            <charset val="134"/>
          </rPr>
          <t xml:space="preserve">
4-28 多付了 6370</t>
        </r>
      </text>
    </comment>
    <comment ref="U76" authorId="0">
      <text>
        <r>
          <rPr>
            <b/>
            <sz val="9"/>
            <rFont val="宋体"/>
            <charset val="134"/>
          </rPr>
          <t>Administrator:</t>
        </r>
        <r>
          <rPr>
            <sz val="9"/>
            <rFont val="宋体"/>
            <charset val="134"/>
          </rPr>
          <t xml:space="preserve">
4-28 多付了 6370</t>
        </r>
      </text>
    </comment>
    <comment ref="T78" authorId="1">
      <text>
        <r>
          <rPr>
            <b/>
            <sz val="11"/>
            <rFont val="MS PGothic"/>
            <charset val="134"/>
          </rPr>
          <t>Microsoft Office 用户:客户有固定定金</t>
        </r>
      </text>
    </comment>
    <comment ref="U78" authorId="1">
      <text>
        <r>
          <rPr>
            <b/>
            <sz val="11"/>
            <rFont val="MS PGothic"/>
            <charset val="134"/>
          </rPr>
          <t>Microsoft Office 用户:客户有固定定金</t>
        </r>
      </text>
    </comment>
    <comment ref="A79" authorId="0">
      <text>
        <r>
          <rPr>
            <b/>
            <sz val="9"/>
            <rFont val="宋体"/>
            <charset val="134"/>
          </rPr>
          <t>Administrator:</t>
        </r>
        <r>
          <rPr>
            <sz val="9"/>
            <rFont val="宋体"/>
            <charset val="134"/>
          </rPr>
          <t xml:space="preserve">
埃及红线因为低报的原因 需交单前收到差额尾款。</t>
        </r>
      </text>
    </comment>
    <comment ref="P79" authorId="0">
      <text>
        <r>
          <rPr>
            <b/>
            <sz val="9"/>
            <rFont val="宋体"/>
            <charset val="134"/>
          </rPr>
          <t>Administrator:</t>
        </r>
        <r>
          <rPr>
            <sz val="9"/>
            <rFont val="宋体"/>
            <charset val="134"/>
          </rPr>
          <t xml:space="preserve">
J3175  代付的毛巾款  USD6009 4-4 支付， 之前安排了3000美金 毛巾的款给供应商都付完了 灯已经付完全款了 灯金凯垫付运费 一个167,一个90</t>
        </r>
      </text>
    </comment>
    <comment ref="Q79" authorId="0">
      <text>
        <r>
          <rPr>
            <b/>
            <sz val="9"/>
            <rFont val="宋体"/>
            <charset val="134"/>
          </rPr>
          <t>Administrator:</t>
        </r>
        <r>
          <rPr>
            <sz val="9"/>
            <rFont val="宋体"/>
            <charset val="134"/>
          </rPr>
          <t xml:space="preserve">
16605</t>
        </r>
      </text>
    </comment>
    <comment ref="T80" authorId="0">
      <text>
        <r>
          <rPr>
            <b/>
            <sz val="9"/>
            <rFont val="宋体"/>
            <charset val="134"/>
          </rPr>
          <t>Administrator:</t>
        </r>
        <r>
          <rPr>
            <sz val="9"/>
            <rFont val="宋体"/>
            <charset val="134"/>
          </rPr>
          <t xml:space="preserve">
7.25</t>
        </r>
      </text>
    </comment>
    <comment ref="U80" authorId="0">
      <text>
        <r>
          <rPr>
            <b/>
            <sz val="9"/>
            <rFont val="宋体"/>
            <charset val="134"/>
          </rPr>
          <t>Administrator:</t>
        </r>
        <r>
          <rPr>
            <sz val="9"/>
            <rFont val="宋体"/>
            <charset val="134"/>
          </rPr>
          <t xml:space="preserve">
7.25</t>
        </r>
      </text>
    </comment>
    <comment ref="Q81" authorId="0">
      <text>
        <r>
          <rPr>
            <b/>
            <sz val="9"/>
            <rFont val="宋体"/>
            <charset val="134"/>
          </rPr>
          <t>Administrator:</t>
        </r>
        <r>
          <rPr>
            <sz val="9"/>
            <rFont val="宋体"/>
            <charset val="134"/>
          </rPr>
          <t xml:space="preserve">
银行托收费用
</t>
        </r>
      </text>
    </comment>
    <comment ref="Q82" authorId="1">
      <text>
        <r>
          <rPr>
            <b/>
            <sz val="11"/>
            <rFont val="MS PGothic"/>
            <charset val="134"/>
          </rPr>
          <t>Microsoft Office 用户:</t>
        </r>
        <r>
          <rPr>
            <sz val="11"/>
            <rFont val="MS PGothic"/>
            <charset val="134"/>
          </rPr>
          <t xml:space="preserve">
托收费208.   9.12</t>
        </r>
      </text>
    </comment>
    <comment ref="Q87" authorId="0">
      <text>
        <r>
          <rPr>
            <b/>
            <sz val="9"/>
            <rFont val="宋体"/>
            <charset val="134"/>
          </rPr>
          <t>Administrator:</t>
        </r>
        <r>
          <rPr>
            <sz val="9"/>
            <rFont val="宋体"/>
            <charset val="134"/>
          </rPr>
          <t xml:space="preserve">
46863  4.13</t>
        </r>
      </text>
    </comment>
    <comment ref="Q89" authorId="1">
      <text>
        <r>
          <rPr>
            <b/>
            <sz val="11"/>
            <rFont val="MS PGothic"/>
            <charset val="134"/>
          </rPr>
          <t>Microsoft Office 用户:</t>
        </r>
        <r>
          <rPr>
            <sz val="11"/>
            <rFont val="MS PGothic"/>
            <charset val="134"/>
          </rPr>
          <t xml:space="preserve">
10.8 恒生</t>
        </r>
      </text>
    </comment>
    <comment ref="Q91" authorId="0">
      <text>
        <r>
          <rPr>
            <b/>
            <sz val="9"/>
            <rFont val="宋体"/>
            <charset val="134"/>
          </rPr>
          <t>Administrator:</t>
        </r>
        <r>
          <rPr>
            <sz val="9"/>
            <rFont val="宋体"/>
            <charset val="134"/>
          </rPr>
          <t xml:space="preserve">
4.25 实际收款6379.63</t>
        </r>
      </text>
    </comment>
    <comment ref="T91" authorId="0">
      <text>
        <r>
          <rPr>
            <b/>
            <sz val="9"/>
            <rFont val="宋体"/>
            <charset val="134"/>
          </rPr>
          <t>Administrator:</t>
        </r>
        <r>
          <rPr>
            <sz val="9"/>
            <rFont val="宋体"/>
            <charset val="134"/>
          </rPr>
          <t xml:space="preserve">
14531   7.23</t>
        </r>
      </text>
    </comment>
    <comment ref="U91" authorId="0">
      <text>
        <r>
          <rPr>
            <b/>
            <sz val="9"/>
            <rFont val="宋体"/>
            <charset val="134"/>
          </rPr>
          <t>Administrator:</t>
        </r>
        <r>
          <rPr>
            <sz val="9"/>
            <rFont val="宋体"/>
            <charset val="134"/>
          </rPr>
          <t xml:space="preserve">
14531   7.23</t>
        </r>
      </text>
    </comment>
    <comment ref="Q92" authorId="0">
      <text>
        <r>
          <rPr>
            <b/>
            <sz val="9"/>
            <rFont val="宋体"/>
            <charset val="134"/>
          </rPr>
          <t>Administrator:</t>
        </r>
        <r>
          <rPr>
            <sz val="9"/>
            <rFont val="宋体"/>
            <charset val="134"/>
          </rPr>
          <t xml:space="preserve">
8.14  16720</t>
        </r>
      </text>
    </comment>
    <comment ref="T92" authorId="0">
      <text>
        <r>
          <rPr>
            <b/>
            <sz val="9"/>
            <rFont val="宋体"/>
            <charset val="134"/>
          </rPr>
          <t>Administrator:</t>
        </r>
        <r>
          <rPr>
            <sz val="9"/>
            <rFont val="宋体"/>
            <charset val="134"/>
          </rPr>
          <t xml:space="preserve">
7.30 收J3219+J3175的差额部分11147，实际收11107</t>
        </r>
      </text>
    </comment>
    <comment ref="U92" authorId="0">
      <text>
        <r>
          <rPr>
            <b/>
            <sz val="9"/>
            <rFont val="宋体"/>
            <charset val="134"/>
          </rPr>
          <t>Administrator:</t>
        </r>
        <r>
          <rPr>
            <sz val="9"/>
            <rFont val="宋体"/>
            <charset val="134"/>
          </rPr>
          <t xml:space="preserve">
7.30 收J3219+J3175的差额部分11147，实际收11107</t>
        </r>
      </text>
    </comment>
    <comment ref="Q93" authorId="0">
      <text>
        <r>
          <rPr>
            <b/>
            <sz val="9"/>
            <rFont val="宋体"/>
            <charset val="134"/>
          </rPr>
          <t>Administrator:</t>
        </r>
        <r>
          <rPr>
            <sz val="9"/>
            <rFont val="宋体"/>
            <charset val="134"/>
          </rPr>
          <t xml:space="preserve">
7.26</t>
        </r>
      </text>
    </comment>
    <comment ref="T93" authorId="0">
      <text>
        <r>
          <rPr>
            <b/>
            <sz val="9"/>
            <rFont val="宋体"/>
            <charset val="134"/>
          </rPr>
          <t>Administrator:</t>
        </r>
        <r>
          <rPr>
            <sz val="9"/>
            <rFont val="宋体"/>
            <charset val="134"/>
          </rPr>
          <t xml:space="preserve">
5.28</t>
        </r>
      </text>
    </comment>
    <comment ref="U93" authorId="0">
      <text>
        <r>
          <rPr>
            <b/>
            <sz val="9"/>
            <rFont val="宋体"/>
            <charset val="134"/>
          </rPr>
          <t>Administrator:</t>
        </r>
        <r>
          <rPr>
            <sz val="9"/>
            <rFont val="宋体"/>
            <charset val="134"/>
          </rPr>
          <t xml:space="preserve">
5.28</t>
        </r>
      </text>
    </comment>
    <comment ref="T95" authorId="0">
      <text>
        <r>
          <rPr>
            <b/>
            <sz val="9"/>
            <rFont val="宋体"/>
            <charset val="134"/>
          </rPr>
          <t>Administrator:</t>
        </r>
        <r>
          <rPr>
            <sz val="9"/>
            <rFont val="宋体"/>
            <charset val="134"/>
          </rPr>
          <t xml:space="preserve">
7.18</t>
        </r>
      </text>
    </comment>
    <comment ref="U95" authorId="0">
      <text>
        <r>
          <rPr>
            <b/>
            <sz val="9"/>
            <rFont val="宋体"/>
            <charset val="134"/>
          </rPr>
          <t>Administrator:</t>
        </r>
        <r>
          <rPr>
            <sz val="9"/>
            <rFont val="宋体"/>
            <charset val="134"/>
          </rPr>
          <t xml:space="preserve">
7.18</t>
        </r>
      </text>
    </comment>
    <comment ref="Q96" authorId="0">
      <text>
        <r>
          <rPr>
            <b/>
            <sz val="9"/>
            <rFont val="宋体"/>
            <charset val="134"/>
          </rPr>
          <t>Administrator:</t>
        </r>
        <r>
          <rPr>
            <sz val="9"/>
            <rFont val="宋体"/>
            <charset val="134"/>
          </rPr>
          <t xml:space="preserve">
银行托收费用</t>
        </r>
      </text>
    </comment>
    <comment ref="T96" authorId="0">
      <text>
        <r>
          <rPr>
            <b/>
            <sz val="9"/>
            <rFont val="宋体"/>
            <charset val="134"/>
          </rPr>
          <t>Administrator:</t>
        </r>
        <r>
          <rPr>
            <sz val="9"/>
            <rFont val="宋体"/>
            <charset val="134"/>
          </rPr>
          <t xml:space="preserve">
7.27</t>
        </r>
      </text>
    </comment>
    <comment ref="U96" authorId="0">
      <text>
        <r>
          <rPr>
            <b/>
            <sz val="9"/>
            <rFont val="宋体"/>
            <charset val="134"/>
          </rPr>
          <t>Administrator:</t>
        </r>
        <r>
          <rPr>
            <sz val="9"/>
            <rFont val="宋体"/>
            <charset val="134"/>
          </rPr>
          <t xml:space="preserve">
7.27</t>
        </r>
      </text>
    </comment>
    <comment ref="T97" authorId="1">
      <text>
        <r>
          <rPr>
            <b/>
            <sz val="11"/>
            <rFont val="MS PGothic"/>
            <charset val="134"/>
          </rPr>
          <t>Microsoft Office 用户:</t>
        </r>
        <r>
          <rPr>
            <sz val="11"/>
            <rFont val="MS PGothic"/>
            <charset val="134"/>
          </rPr>
          <t xml:space="preserve">
9.5  Guangfa</t>
        </r>
      </text>
    </comment>
    <comment ref="U97" authorId="1">
      <text>
        <r>
          <rPr>
            <b/>
            <sz val="11"/>
            <rFont val="MS PGothic"/>
            <charset val="134"/>
          </rPr>
          <t>Microsoft Office 用户:</t>
        </r>
        <r>
          <rPr>
            <sz val="11"/>
            <rFont val="MS PGothic"/>
            <charset val="134"/>
          </rPr>
          <t xml:space="preserve">
9.5  Guangfa</t>
        </r>
      </text>
    </comment>
    <comment ref="Q98" authorId="0">
      <text>
        <r>
          <rPr>
            <b/>
            <sz val="9"/>
            <rFont val="宋体"/>
            <charset val="134"/>
          </rPr>
          <t>Administrator:</t>
        </r>
        <r>
          <rPr>
            <sz val="9"/>
            <rFont val="宋体"/>
            <charset val="134"/>
          </rPr>
          <t xml:space="preserve">
5.12 4589.94</t>
        </r>
      </text>
    </comment>
    <comment ref="T98" authorId="0">
      <text>
        <r>
          <rPr>
            <b/>
            <sz val="9"/>
            <rFont val="宋体"/>
            <charset val="134"/>
          </rPr>
          <t>Administrator:</t>
        </r>
        <r>
          <rPr>
            <sz val="9"/>
            <rFont val="宋体"/>
            <charset val="134"/>
          </rPr>
          <t xml:space="preserve">
18467  8.10</t>
        </r>
      </text>
    </comment>
    <comment ref="U98" authorId="0">
      <text>
        <r>
          <rPr>
            <b/>
            <sz val="9"/>
            <rFont val="宋体"/>
            <charset val="134"/>
          </rPr>
          <t>Administrator:</t>
        </r>
        <r>
          <rPr>
            <sz val="9"/>
            <rFont val="宋体"/>
            <charset val="134"/>
          </rPr>
          <t xml:space="preserve">
18467  8.10</t>
        </r>
      </text>
    </comment>
    <comment ref="T99" authorId="0">
      <text>
        <r>
          <rPr>
            <b/>
            <sz val="9"/>
            <rFont val="宋体"/>
            <charset val="134"/>
          </rPr>
          <t>Administrator:</t>
        </r>
        <r>
          <rPr>
            <sz val="9"/>
            <rFont val="宋体"/>
            <charset val="134"/>
          </rPr>
          <t xml:space="preserve">
2018.7.25</t>
        </r>
      </text>
    </comment>
    <comment ref="U99" authorId="0">
      <text>
        <r>
          <rPr>
            <b/>
            <sz val="9"/>
            <rFont val="宋体"/>
            <charset val="134"/>
          </rPr>
          <t>Administrator:</t>
        </r>
        <r>
          <rPr>
            <sz val="9"/>
            <rFont val="宋体"/>
            <charset val="134"/>
          </rPr>
          <t xml:space="preserve">
2018.7.25</t>
        </r>
      </text>
    </comment>
    <comment ref="T101" authorId="0">
      <text>
        <r>
          <rPr>
            <b/>
            <sz val="9"/>
            <rFont val="宋体"/>
            <charset val="134"/>
          </rPr>
          <t>Administrator:</t>
        </r>
        <r>
          <rPr>
            <sz val="9"/>
            <rFont val="宋体"/>
            <charset val="134"/>
          </rPr>
          <t xml:space="preserve">
8.13</t>
        </r>
      </text>
    </comment>
    <comment ref="U101" authorId="0">
      <text>
        <r>
          <rPr>
            <b/>
            <sz val="9"/>
            <rFont val="宋体"/>
            <charset val="134"/>
          </rPr>
          <t>Administrator:</t>
        </r>
        <r>
          <rPr>
            <sz val="9"/>
            <rFont val="宋体"/>
            <charset val="134"/>
          </rPr>
          <t xml:space="preserve">
8.13</t>
        </r>
      </text>
    </comment>
    <comment ref="T105" authorId="0">
      <text>
        <r>
          <rPr>
            <b/>
            <sz val="9"/>
            <rFont val="宋体"/>
            <charset val="134"/>
          </rPr>
          <t>Administrator:</t>
        </r>
        <r>
          <rPr>
            <sz val="9"/>
            <rFont val="宋体"/>
            <charset val="134"/>
          </rPr>
          <t xml:space="preserve">
12.26  白沟收到</t>
        </r>
      </text>
    </comment>
    <comment ref="U105" authorId="0">
      <text>
        <r>
          <rPr>
            <b/>
            <sz val="9"/>
            <rFont val="宋体"/>
            <charset val="134"/>
          </rPr>
          <t>Administrator:</t>
        </r>
        <r>
          <rPr>
            <sz val="9"/>
            <rFont val="宋体"/>
            <charset val="134"/>
          </rPr>
          <t xml:space="preserve">
12.26  白沟收到</t>
        </r>
      </text>
    </comment>
    <comment ref="Q111" authorId="1">
      <text>
        <r>
          <rPr>
            <b/>
            <sz val="11"/>
            <rFont val="MS PGothic"/>
            <charset val="134"/>
          </rPr>
          <t>Microsoft Office 用户:</t>
        </r>
        <r>
          <rPr>
            <sz val="11"/>
            <rFont val="MS PGothic"/>
            <charset val="134"/>
          </rPr>
          <t xml:space="preserve">
9.11 jinkai USD</t>
        </r>
      </text>
    </comment>
    <comment ref="R111" authorId="1">
      <text>
        <r>
          <rPr>
            <b/>
            <sz val="11"/>
            <rFont val="MS PGothic"/>
            <charset val="134"/>
          </rPr>
          <t>Microsoft Office 用户:</t>
        </r>
        <r>
          <rPr>
            <sz val="11"/>
            <rFont val="MS PGothic"/>
            <charset val="134"/>
          </rPr>
          <t xml:space="preserve">
9.11 jinkai USD</t>
        </r>
      </text>
    </comment>
    <comment ref="T111" authorId="1">
      <text>
        <r>
          <rPr>
            <b/>
            <sz val="11"/>
            <rFont val="MS PGothic"/>
            <charset val="134"/>
          </rPr>
          <t>Microsoft Office 用户:</t>
        </r>
        <r>
          <rPr>
            <sz val="11"/>
            <rFont val="MS PGothic"/>
            <charset val="134"/>
          </rPr>
          <t xml:space="preserve">
9.11 jinkai USD</t>
        </r>
      </text>
    </comment>
    <comment ref="U111" authorId="1">
      <text>
        <r>
          <rPr>
            <b/>
            <sz val="11"/>
            <rFont val="MS PGothic"/>
            <charset val="134"/>
          </rPr>
          <t>Microsoft Office 用户:</t>
        </r>
        <r>
          <rPr>
            <sz val="11"/>
            <rFont val="MS PGothic"/>
            <charset val="134"/>
          </rPr>
          <t xml:space="preserve">
9.12 WangWeiguo RMB</t>
        </r>
      </text>
    </comment>
    <comment ref="Q113" authorId="0">
      <text>
        <r>
          <rPr>
            <b/>
            <sz val="9"/>
            <rFont val="宋体"/>
            <charset val="134"/>
          </rPr>
          <t>Administrator:</t>
        </r>
        <r>
          <rPr>
            <sz val="9"/>
            <rFont val="宋体"/>
            <charset val="134"/>
          </rPr>
          <t xml:space="preserve">
定金30%</t>
        </r>
      </text>
    </comment>
    <comment ref="R113" authorId="0">
      <text>
        <r>
          <rPr>
            <b/>
            <sz val="9"/>
            <rFont val="宋体"/>
            <charset val="134"/>
          </rPr>
          <t>Administrator:</t>
        </r>
        <r>
          <rPr>
            <sz val="9"/>
            <rFont val="宋体"/>
            <charset val="134"/>
          </rPr>
          <t xml:space="preserve">
定金30%</t>
        </r>
      </text>
    </comment>
    <comment ref="T113" authorId="0">
      <text>
        <r>
          <rPr>
            <b/>
            <sz val="9"/>
            <rFont val="宋体"/>
            <charset val="134"/>
          </rPr>
          <t>Administrator:</t>
        </r>
        <r>
          <rPr>
            <sz val="9"/>
            <rFont val="宋体"/>
            <charset val="134"/>
          </rPr>
          <t xml:space="preserve">
定金30%</t>
        </r>
      </text>
    </comment>
    <comment ref="U113" authorId="0">
      <text>
        <r>
          <rPr>
            <b/>
            <sz val="9"/>
            <rFont val="宋体"/>
            <charset val="134"/>
          </rPr>
          <t>Administrator:</t>
        </r>
        <r>
          <rPr>
            <sz val="9"/>
            <rFont val="宋体"/>
            <charset val="134"/>
          </rPr>
          <t xml:space="preserve">
8月20日打的70%余款，总金额是按照实际发货的数量计算的金额。</t>
        </r>
      </text>
    </comment>
    <comment ref="Q114" authorId="1">
      <text>
        <r>
          <rPr>
            <b/>
            <sz val="11"/>
            <rFont val="MS PGothic"/>
            <charset val="134"/>
          </rPr>
          <t>Microsoft Office 用户:2018.9.17 实际付王总人民币54454</t>
        </r>
      </text>
    </comment>
    <comment ref="R114" authorId="1">
      <text>
        <r>
          <rPr>
            <b/>
            <sz val="11"/>
            <rFont val="MS PGothic"/>
            <charset val="134"/>
          </rPr>
          <t>Microsoft Office 用户:2018.9.17 实际付王总人民币54454</t>
        </r>
      </text>
    </comment>
    <comment ref="T114" authorId="1">
      <text>
        <r>
          <rPr>
            <b/>
            <sz val="11"/>
            <rFont val="MS PGothic"/>
            <charset val="134"/>
          </rPr>
          <t>Microsoft Office 用户:2018.9.17 实际付王总人民币54454</t>
        </r>
      </text>
    </comment>
    <comment ref="U114" authorId="1">
      <text>
        <r>
          <rPr>
            <b/>
            <sz val="11"/>
            <rFont val="MS PGothic"/>
            <charset val="134"/>
          </rPr>
          <t>Microsoft Office 用户:</t>
        </r>
        <r>
          <rPr>
            <sz val="11"/>
            <rFont val="MS PGothic"/>
            <charset val="134"/>
          </rPr>
          <t xml:space="preserve">
9.14 Jinkai USD
，9.17</t>
        </r>
        <r>
          <rPr>
            <sz val="11"/>
            <rFont val="宋体"/>
            <charset val="134"/>
          </rPr>
          <t>日人民币到账</t>
        </r>
      </text>
    </comment>
    <comment ref="M115" authorId="0">
      <text>
        <r>
          <rPr>
            <b/>
            <sz val="9"/>
            <rFont val="宋体"/>
            <charset val="134"/>
          </rPr>
          <t>Administrator:</t>
        </r>
        <r>
          <rPr>
            <sz val="9"/>
            <rFont val="宋体"/>
            <charset val="134"/>
          </rPr>
          <t xml:space="preserve">
节后发个提单草本开始催款</t>
        </r>
      </text>
    </comment>
    <comment ref="Q115" authorId="0">
      <text>
        <r>
          <rPr>
            <b/>
            <sz val="9"/>
            <rFont val="宋体"/>
            <charset val="134"/>
          </rPr>
          <t>Administrator:</t>
        </r>
        <r>
          <rPr>
            <sz val="9"/>
            <rFont val="宋体"/>
            <charset val="134"/>
          </rPr>
          <t xml:space="preserve">
客户欠款1156.2美金，下次打款补齐
</t>
        </r>
      </text>
    </comment>
    <comment ref="T115" authorId="0">
      <text>
        <r>
          <rPr>
            <b/>
            <sz val="9"/>
            <rFont val="宋体"/>
            <charset val="134"/>
          </rPr>
          <t>Administrator:</t>
        </r>
        <r>
          <rPr>
            <sz val="9"/>
            <rFont val="宋体"/>
            <charset val="134"/>
          </rPr>
          <t xml:space="preserve">
客户欠款1156.2美金，下次打款补齐
</t>
        </r>
      </text>
    </comment>
    <comment ref="V115" authorId="0">
      <text>
        <r>
          <rPr>
            <b/>
            <sz val="9"/>
            <rFont val="宋体"/>
            <charset val="134"/>
          </rPr>
          <t>Administrator:</t>
        </r>
        <r>
          <rPr>
            <sz val="9"/>
            <rFont val="宋体"/>
            <charset val="134"/>
          </rPr>
          <t xml:space="preserve">
客户欠款1156.2美金，下次打款补齐
</t>
        </r>
      </text>
    </comment>
    <comment ref="Q117" authorId="0">
      <text>
        <r>
          <rPr>
            <b/>
            <sz val="9"/>
            <rFont val="宋体"/>
            <charset val="134"/>
          </rPr>
          <t>Administrator:</t>
        </r>
        <r>
          <rPr>
            <sz val="9"/>
            <rFont val="宋体"/>
            <charset val="134"/>
          </rPr>
          <t xml:space="preserve">
PI金额</t>
        </r>
      </text>
    </comment>
    <comment ref="Q118" authorId="0">
      <text>
        <r>
          <rPr>
            <b/>
            <sz val="9"/>
            <rFont val="宋体"/>
            <charset val="134"/>
          </rPr>
          <t>Administrator:</t>
        </r>
        <r>
          <rPr>
            <sz val="9"/>
            <rFont val="宋体"/>
            <charset val="134"/>
          </rPr>
          <t xml:space="preserve">
7.27</t>
        </r>
      </text>
    </comment>
    <comment ref="Q119" authorId="0">
      <text>
        <r>
          <rPr>
            <b/>
            <sz val="9"/>
            <rFont val="宋体"/>
            <charset val="134"/>
          </rPr>
          <t>Administrator:</t>
        </r>
        <r>
          <rPr>
            <sz val="9"/>
            <rFont val="宋体"/>
            <charset val="134"/>
          </rPr>
          <t xml:space="preserve">
7857  转金凯美金账户8.8 32096  8.8实际收款</t>
        </r>
      </text>
    </comment>
    <comment ref="Q120" authorId="0">
      <text>
        <r>
          <rPr>
            <b/>
            <sz val="9"/>
            <rFont val="宋体"/>
            <charset val="134"/>
          </rPr>
          <t>Administrator:</t>
        </r>
        <r>
          <rPr>
            <sz val="9"/>
            <rFont val="宋体"/>
            <charset val="134"/>
          </rPr>
          <t xml:space="preserve">
实际收到 8.14</t>
        </r>
      </text>
    </comment>
    <comment ref="P128" authorId="0">
      <text>
        <r>
          <rPr>
            <b/>
            <sz val="9"/>
            <rFont val="宋体"/>
            <charset val="134"/>
          </rPr>
          <t>Administrator:</t>
        </r>
        <r>
          <rPr>
            <sz val="9"/>
            <rFont val="宋体"/>
            <charset val="134"/>
          </rPr>
          <t xml:space="preserve">
PI金额
</t>
        </r>
      </text>
    </comment>
    <comment ref="Q129" authorId="1">
      <text>
        <r>
          <rPr>
            <b/>
            <sz val="11"/>
            <rFont val="MS PGothic"/>
            <charset val="134"/>
          </rPr>
          <t>Microsoft Office 用户:</t>
        </r>
        <r>
          <rPr>
            <sz val="11"/>
            <rFont val="MS PGothic"/>
            <charset val="134"/>
          </rPr>
          <t xml:space="preserve">
2018.9。6  打的RMB</t>
        </r>
      </text>
    </comment>
    <comment ref="T130" authorId="0">
      <text>
        <r>
          <rPr>
            <b/>
            <sz val="9"/>
            <rFont val="宋体"/>
            <charset val="134"/>
          </rPr>
          <t>Administrator:</t>
        </r>
        <r>
          <rPr>
            <sz val="9"/>
            <rFont val="宋体"/>
            <charset val="134"/>
          </rPr>
          <t xml:space="preserve">
12.24 收到  托收扣160手续费</t>
        </r>
      </text>
    </comment>
    <comment ref="U130" authorId="0">
      <text>
        <r>
          <rPr>
            <b/>
            <sz val="9"/>
            <rFont val="宋体"/>
            <charset val="134"/>
          </rPr>
          <t>Administrator:</t>
        </r>
        <r>
          <rPr>
            <sz val="9"/>
            <rFont val="宋体"/>
            <charset val="134"/>
          </rPr>
          <t xml:space="preserve">
12.24 收到  托收扣160手续费</t>
        </r>
      </text>
    </comment>
    <comment ref="Q131" authorId="1">
      <text>
        <r>
          <rPr>
            <b/>
            <sz val="11"/>
            <rFont val="MS PGothic"/>
            <charset val="134"/>
          </rPr>
          <t>Microsoft Office 用户:</t>
        </r>
        <r>
          <rPr>
            <sz val="11"/>
            <rFont val="MS PGothic"/>
            <charset val="134"/>
          </rPr>
          <t xml:space="preserve">
9.15  RMB王勇</t>
        </r>
      </text>
    </comment>
    <comment ref="Q132" authorId="1">
      <text>
        <r>
          <rPr>
            <b/>
            <sz val="11"/>
            <rFont val="MS PGothic"/>
            <charset val="134"/>
          </rPr>
          <t>恒生 2018.9.27</t>
        </r>
      </text>
    </comment>
    <comment ref="T137" authorId="0">
      <text>
        <r>
          <rPr>
            <b/>
            <sz val="9"/>
            <rFont val="宋体"/>
            <charset val="134"/>
          </rPr>
          <t>Administrator:</t>
        </r>
        <r>
          <rPr>
            <sz val="9"/>
            <rFont val="宋体"/>
            <charset val="134"/>
          </rPr>
          <t xml:space="preserve">
客户少了1500模具费</t>
        </r>
      </text>
    </comment>
    <comment ref="U137" authorId="0">
      <text>
        <r>
          <rPr>
            <b/>
            <sz val="9"/>
            <rFont val="宋体"/>
            <charset val="134"/>
          </rPr>
          <t>Administrator:</t>
        </r>
        <r>
          <rPr>
            <sz val="9"/>
            <rFont val="宋体"/>
            <charset val="134"/>
          </rPr>
          <t xml:space="preserve">
客户少了1500模具费</t>
        </r>
      </text>
    </comment>
    <comment ref="Q138" authorId="0">
      <text>
        <r>
          <rPr>
            <b/>
            <sz val="9"/>
            <rFont val="宋体"/>
            <charset val="134"/>
          </rPr>
          <t>Administrator:</t>
        </r>
        <r>
          <rPr>
            <sz val="9"/>
            <rFont val="宋体"/>
            <charset val="134"/>
          </rPr>
          <t xml:space="preserve">
付了两次2600+2600
</t>
        </r>
      </text>
    </comment>
    <comment ref="T138" authorId="0">
      <text>
        <r>
          <rPr>
            <b/>
            <sz val="9"/>
            <rFont val="宋体"/>
            <charset val="134"/>
          </rPr>
          <t>Administrator:</t>
        </r>
        <r>
          <rPr>
            <sz val="9"/>
            <rFont val="宋体"/>
            <charset val="134"/>
          </rPr>
          <t xml:space="preserve">
1.10 经理收</t>
        </r>
      </text>
    </comment>
    <comment ref="P139" authorId="0">
      <text>
        <r>
          <rPr>
            <b/>
            <sz val="9"/>
            <rFont val="宋体"/>
            <charset val="134"/>
          </rPr>
          <t>Administrator:</t>
        </r>
        <r>
          <rPr>
            <sz val="9"/>
            <rFont val="宋体"/>
            <charset val="134"/>
          </rPr>
          <t xml:space="preserve">
彩带的款已经付了，所以不显示在实际发票里面了。</t>
        </r>
      </text>
    </comment>
    <comment ref="T140" authorId="0">
      <text>
        <r>
          <rPr>
            <b/>
            <sz val="9"/>
            <rFont val="宋体"/>
            <charset val="134"/>
          </rPr>
          <t>Administrator:</t>
        </r>
        <r>
          <rPr>
            <sz val="9"/>
            <rFont val="宋体"/>
            <charset val="134"/>
          </rPr>
          <t xml:space="preserve">
14 号收14971</t>
        </r>
      </text>
    </comment>
    <comment ref="T144" authorId="0">
      <text>
        <r>
          <rPr>
            <b/>
            <sz val="9"/>
            <rFont val="宋体"/>
            <charset val="134"/>
          </rPr>
          <t>Administrator:</t>
        </r>
        <r>
          <rPr>
            <sz val="9"/>
            <rFont val="宋体"/>
            <charset val="134"/>
          </rPr>
          <t xml:space="preserve">
 7148  5.8号打RMB68240+26320</t>
        </r>
      </text>
    </comment>
    <comment ref="Q147" authorId="0">
      <text>
        <r>
          <rPr>
            <b/>
            <sz val="9"/>
            <rFont val="宋体"/>
            <charset val="134"/>
          </rPr>
          <t>Administrator:</t>
        </r>
        <r>
          <rPr>
            <sz val="9"/>
            <rFont val="宋体"/>
            <charset val="134"/>
          </rPr>
          <t xml:space="preserve">
12.26 6632</t>
        </r>
      </text>
    </comment>
    <comment ref="Q148" authorId="0">
      <text>
        <r>
          <rPr>
            <b/>
            <sz val="9"/>
            <rFont val="宋体"/>
            <charset val="134"/>
          </rPr>
          <t>Administrator:</t>
        </r>
        <r>
          <rPr>
            <sz val="9"/>
            <rFont val="宋体"/>
            <charset val="134"/>
          </rPr>
          <t xml:space="preserve">
1178</t>
        </r>
      </text>
    </comment>
    <comment ref="Q149" authorId="0">
      <text>
        <r>
          <rPr>
            <b/>
            <sz val="9"/>
            <rFont val="宋体"/>
            <charset val="134"/>
          </rPr>
          <t>Administrator:</t>
        </r>
        <r>
          <rPr>
            <sz val="9"/>
            <rFont val="宋体"/>
            <charset val="134"/>
          </rPr>
          <t xml:space="preserve">
4933.7   1.31</t>
        </r>
      </text>
    </comment>
    <comment ref="R150" authorId="0">
      <text>
        <r>
          <rPr>
            <b/>
            <sz val="9"/>
            <rFont val="宋体"/>
            <charset val="134"/>
          </rPr>
          <t>Administrator:</t>
        </r>
        <r>
          <rPr>
            <sz val="9"/>
            <rFont val="宋体"/>
            <charset val="134"/>
          </rPr>
          <t xml:space="preserve">
3346 上单差2271</t>
        </r>
      </text>
    </comment>
    <comment ref="T151" authorId="0">
      <text>
        <r>
          <rPr>
            <b/>
            <sz val="9"/>
            <rFont val="宋体"/>
            <charset val="134"/>
          </rPr>
          <t>Administrator:</t>
        </r>
        <r>
          <rPr>
            <sz val="9"/>
            <rFont val="宋体"/>
            <charset val="134"/>
          </rPr>
          <t xml:space="preserve">
5.27托收到</t>
        </r>
      </text>
    </comment>
    <comment ref="T152" authorId="0">
      <text>
        <r>
          <rPr>
            <b/>
            <sz val="9"/>
            <rFont val="宋体"/>
            <charset val="134"/>
          </rPr>
          <t>Administrator:</t>
        </r>
        <r>
          <rPr>
            <sz val="9"/>
            <rFont val="宋体"/>
            <charset val="134"/>
          </rPr>
          <t xml:space="preserve">
7.31 和3459 打的RMB</t>
        </r>
      </text>
    </comment>
    <comment ref="Q153" authorId="0">
      <text>
        <r>
          <rPr>
            <b/>
            <sz val="9"/>
            <rFont val="宋体"/>
            <charset val="134"/>
          </rPr>
          <t>Administrator:</t>
        </r>
        <r>
          <rPr>
            <sz val="9"/>
            <rFont val="宋体"/>
            <charset val="134"/>
          </rPr>
          <t xml:space="preserve">
3.10</t>
        </r>
      </text>
    </comment>
    <comment ref="Q154" authorId="0">
      <text>
        <r>
          <rPr>
            <b/>
            <sz val="9"/>
            <rFont val="宋体"/>
            <charset val="134"/>
          </rPr>
          <t>Administrator:</t>
        </r>
        <r>
          <rPr>
            <sz val="9"/>
            <rFont val="宋体"/>
            <charset val="134"/>
          </rPr>
          <t xml:space="preserve">
3.10</t>
        </r>
      </text>
    </comment>
    <comment ref="Q155" authorId="0">
      <text>
        <r>
          <rPr>
            <b/>
            <sz val="9"/>
            <rFont val="宋体"/>
            <charset val="134"/>
          </rPr>
          <t>Administrator:</t>
        </r>
        <r>
          <rPr>
            <sz val="9"/>
            <rFont val="宋体"/>
            <charset val="134"/>
          </rPr>
          <t xml:space="preserve">
1.31 收到14732.73 两笔</t>
        </r>
      </text>
    </comment>
    <comment ref="Q156" authorId="0">
      <text>
        <r>
          <rPr>
            <b/>
            <sz val="9"/>
            <rFont val="宋体"/>
            <charset val="134"/>
          </rPr>
          <t>Administrator:</t>
        </r>
        <r>
          <rPr>
            <sz val="9"/>
            <rFont val="宋体"/>
            <charset val="134"/>
          </rPr>
          <t xml:space="preserve">
5735  2.27</t>
        </r>
      </text>
    </comment>
    <comment ref="Q157" authorId="0">
      <text>
        <r>
          <rPr>
            <b/>
            <sz val="9"/>
            <rFont val="宋体"/>
            <charset val="134"/>
          </rPr>
          <t>Administrator:</t>
        </r>
        <r>
          <rPr>
            <sz val="9"/>
            <rFont val="宋体"/>
            <charset val="134"/>
          </rPr>
          <t xml:space="preserve">
4.8 4819</t>
        </r>
      </text>
    </comment>
    <comment ref="Q159" authorId="0">
      <text>
        <r>
          <rPr>
            <b/>
            <sz val="9"/>
            <rFont val="宋体"/>
            <charset val="134"/>
          </rPr>
          <t>Administrator:</t>
        </r>
        <r>
          <rPr>
            <sz val="9"/>
            <rFont val="宋体"/>
            <charset val="134"/>
          </rPr>
          <t xml:space="preserve">
6883  3.6</t>
        </r>
      </text>
    </comment>
    <comment ref="Q161" authorId="0">
      <text>
        <r>
          <rPr>
            <b/>
            <sz val="9"/>
            <rFont val="宋体"/>
            <charset val="134"/>
          </rPr>
          <t>Administrator:</t>
        </r>
        <r>
          <rPr>
            <sz val="9"/>
            <rFont val="宋体"/>
            <charset val="134"/>
          </rPr>
          <t xml:space="preserve">
53520 3.5 RMB</t>
        </r>
      </text>
    </comment>
    <comment ref="Q165" authorId="0">
      <text>
        <r>
          <rPr>
            <b/>
            <sz val="9"/>
            <rFont val="宋体"/>
            <charset val="134"/>
          </rPr>
          <t>Administrator:</t>
        </r>
        <r>
          <rPr>
            <sz val="9"/>
            <rFont val="宋体"/>
            <charset val="134"/>
          </rPr>
          <t xml:space="preserve">
3.12</t>
        </r>
      </text>
    </comment>
    <comment ref="Q167" authorId="0">
      <text>
        <r>
          <rPr>
            <b/>
            <sz val="9"/>
            <rFont val="宋体"/>
            <charset val="134"/>
          </rPr>
          <t>Administrator:</t>
        </r>
        <r>
          <rPr>
            <sz val="9"/>
            <rFont val="宋体"/>
            <charset val="134"/>
          </rPr>
          <t xml:space="preserve">
5173  3.15</t>
        </r>
      </text>
    </comment>
    <comment ref="Q168" authorId="0">
      <text>
        <r>
          <rPr>
            <b/>
            <sz val="9"/>
            <rFont val="宋体"/>
            <charset val="134"/>
          </rPr>
          <t>Administrator:</t>
        </r>
        <r>
          <rPr>
            <sz val="9"/>
            <rFont val="宋体"/>
            <charset val="134"/>
          </rPr>
          <t xml:space="preserve">
3989 3.15</t>
        </r>
      </text>
    </comment>
    <comment ref="T169" authorId="0">
      <text>
        <r>
          <rPr>
            <b/>
            <sz val="9"/>
            <rFont val="宋体"/>
            <charset val="134"/>
          </rPr>
          <t>Administrator:</t>
        </r>
        <r>
          <rPr>
            <sz val="9"/>
            <rFont val="宋体"/>
            <charset val="134"/>
          </rPr>
          <t xml:space="preserve">
5.13  9938付的RMB 67450</t>
        </r>
      </text>
    </comment>
    <comment ref="Q172" authorId="0">
      <text>
        <r>
          <rPr>
            <b/>
            <sz val="9"/>
            <rFont val="宋体"/>
            <charset val="134"/>
          </rPr>
          <t>Administrator:</t>
        </r>
        <r>
          <rPr>
            <sz val="9"/>
            <rFont val="宋体"/>
            <charset val="134"/>
          </rPr>
          <t xml:space="preserve">
28377  3.28</t>
        </r>
      </text>
    </comment>
    <comment ref="R177" authorId="0">
      <text>
        <r>
          <rPr>
            <b/>
            <sz val="9"/>
            <rFont val="宋体"/>
            <charset val="134"/>
          </rPr>
          <t>Administrator:</t>
        </r>
        <r>
          <rPr>
            <sz val="9"/>
            <rFont val="宋体"/>
            <charset val="134"/>
          </rPr>
          <t xml:space="preserve">
14957</t>
        </r>
      </text>
    </comment>
    <comment ref="Q178" authorId="0">
      <text>
        <r>
          <rPr>
            <b/>
            <sz val="9"/>
            <rFont val="宋体"/>
            <charset val="134"/>
          </rPr>
          <t>Administrator:</t>
        </r>
        <r>
          <rPr>
            <sz val="9"/>
            <rFont val="宋体"/>
            <charset val="134"/>
          </rPr>
          <t xml:space="preserve">
4046  4.30</t>
        </r>
      </text>
    </comment>
    <comment ref="R179" authorId="0">
      <text>
        <r>
          <rPr>
            <b/>
            <sz val="9"/>
            <rFont val="宋体"/>
            <charset val="134"/>
          </rPr>
          <t>Administrator:</t>
        </r>
        <r>
          <rPr>
            <sz val="9"/>
            <rFont val="宋体"/>
            <charset val="134"/>
          </rPr>
          <t xml:space="preserve">
需要TT</t>
        </r>
      </text>
    </comment>
    <comment ref="T179" authorId="0">
      <text>
        <r>
          <rPr>
            <b/>
            <sz val="9"/>
            <rFont val="宋体"/>
            <charset val="134"/>
          </rPr>
          <t>Administrator:</t>
        </r>
        <r>
          <rPr>
            <sz val="9"/>
            <rFont val="宋体"/>
            <charset val="134"/>
          </rPr>
          <t xml:space="preserve">
低报部分</t>
        </r>
      </text>
    </comment>
    <comment ref="Q180" authorId="0">
      <text>
        <r>
          <rPr>
            <b/>
            <sz val="9"/>
            <rFont val="宋体"/>
            <charset val="134"/>
          </rPr>
          <t>Administrator:</t>
        </r>
        <r>
          <rPr>
            <sz val="9"/>
            <rFont val="宋体"/>
            <charset val="134"/>
          </rPr>
          <t xml:space="preserve">
9953 4.25 5.5 9 953</t>
        </r>
      </text>
    </comment>
    <comment ref="Q185" authorId="0">
      <text>
        <r>
          <rPr>
            <b/>
            <sz val="9"/>
            <rFont val="宋体"/>
            <charset val="134"/>
          </rPr>
          <t>Administrator:</t>
        </r>
        <r>
          <rPr>
            <sz val="9"/>
            <rFont val="宋体"/>
            <charset val="134"/>
          </rPr>
          <t xml:space="preserve">
6768</t>
        </r>
      </text>
    </comment>
    <comment ref="Q187" authorId="0">
      <text>
        <r>
          <rPr>
            <b/>
            <sz val="9"/>
            <rFont val="宋体"/>
            <charset val="134"/>
          </rPr>
          <t>Administrator:</t>
        </r>
        <r>
          <rPr>
            <sz val="9"/>
            <rFont val="宋体"/>
            <charset val="134"/>
          </rPr>
          <t xml:space="preserve">
3918   5.14</t>
        </r>
      </text>
    </comment>
    <comment ref="Q189" authorId="0">
      <text>
        <r>
          <rPr>
            <b/>
            <sz val="9"/>
            <rFont val="宋体"/>
            <charset val="134"/>
          </rPr>
          <t>Administrator:</t>
        </r>
        <r>
          <rPr>
            <sz val="9"/>
            <rFont val="宋体"/>
            <charset val="134"/>
          </rPr>
          <t xml:space="preserve">
5.3</t>
        </r>
      </text>
    </comment>
    <comment ref="Q193" authorId="0">
      <text>
        <r>
          <rPr>
            <b/>
            <sz val="9"/>
            <rFont val="宋体"/>
            <charset val="134"/>
          </rPr>
          <t>Administrator:</t>
        </r>
        <r>
          <rPr>
            <sz val="9"/>
            <rFont val="宋体"/>
            <charset val="134"/>
          </rPr>
          <t xml:space="preserve">
59250  5.27</t>
        </r>
      </text>
    </comment>
    <comment ref="Q194" authorId="0">
      <text>
        <r>
          <rPr>
            <b/>
            <sz val="9"/>
            <rFont val="宋体"/>
            <charset val="134"/>
          </rPr>
          <t>Administrator:</t>
        </r>
        <r>
          <rPr>
            <sz val="9"/>
            <rFont val="宋体"/>
            <charset val="134"/>
          </rPr>
          <t xml:space="preserve">
6.23</t>
        </r>
      </text>
    </comment>
    <comment ref="Q195" authorId="0">
      <text>
        <r>
          <rPr>
            <b/>
            <sz val="9"/>
            <rFont val="宋体"/>
            <charset val="134"/>
          </rPr>
          <t>Administrator:</t>
        </r>
        <r>
          <rPr>
            <sz val="9"/>
            <rFont val="宋体"/>
            <charset val="134"/>
          </rPr>
          <t xml:space="preserve">
4642</t>
        </r>
      </text>
    </comment>
    <comment ref="Q196" authorId="0">
      <text>
        <r>
          <rPr>
            <b/>
            <sz val="9"/>
            <rFont val="宋体"/>
            <charset val="134"/>
          </rPr>
          <t>Administrator:</t>
        </r>
        <r>
          <rPr>
            <sz val="9"/>
            <rFont val="宋体"/>
            <charset val="134"/>
          </rPr>
          <t xml:space="preserve">
6323</t>
        </r>
      </text>
    </comment>
    <comment ref="Q197" authorId="0">
      <text>
        <r>
          <rPr>
            <b/>
            <sz val="9"/>
            <rFont val="宋体"/>
            <charset val="134"/>
          </rPr>
          <t>Administrator:</t>
        </r>
        <r>
          <rPr>
            <sz val="9"/>
            <rFont val="宋体"/>
            <charset val="134"/>
          </rPr>
          <t xml:space="preserve">
4978</t>
        </r>
      </text>
    </comment>
    <comment ref="T203" authorId="0">
      <text>
        <r>
          <rPr>
            <b/>
            <sz val="9"/>
            <rFont val="宋体"/>
            <charset val="134"/>
          </rPr>
          <t>Administrator:</t>
        </r>
        <r>
          <rPr>
            <sz val="9"/>
            <rFont val="宋体"/>
            <charset val="134"/>
          </rPr>
          <t xml:space="preserve">
2019.10.17 收到16876.53 应付17061.1  184.57手续费
19.12.17 收到尾款4480.5</t>
        </r>
      </text>
    </comment>
    <comment ref="U213" authorId="0">
      <text>
        <r>
          <rPr>
            <b/>
            <sz val="9"/>
            <rFont val="宋体"/>
            <charset val="134"/>
          </rPr>
          <t>Administrator:</t>
        </r>
        <r>
          <rPr>
            <sz val="9"/>
            <rFont val="宋体"/>
            <charset val="134"/>
          </rPr>
          <t xml:space="preserve">
2019.9.25收到46450人民币 汇率7.1</t>
        </r>
      </text>
    </comment>
    <comment ref="T217" authorId="0">
      <text>
        <r>
          <rPr>
            <b/>
            <sz val="9"/>
            <rFont val="宋体"/>
            <charset val="134"/>
          </rPr>
          <t>Administrator:</t>
        </r>
        <r>
          <rPr>
            <sz val="9"/>
            <rFont val="宋体"/>
            <charset val="134"/>
          </rPr>
          <t xml:space="preserve">
银行费用USD375</t>
        </r>
      </text>
    </comment>
    <comment ref="Q222" authorId="0">
      <text>
        <r>
          <rPr>
            <b/>
            <sz val="9"/>
            <rFont val="宋体"/>
            <charset val="134"/>
          </rPr>
          <t>Administrator:</t>
        </r>
        <r>
          <rPr>
            <sz val="9"/>
            <rFont val="宋体"/>
            <charset val="134"/>
          </rPr>
          <t xml:space="preserve">
定金五千美金转到其他单子上了
J3603付的全款</t>
        </r>
      </text>
    </comment>
    <comment ref="T222" authorId="0">
      <text>
        <r>
          <rPr>
            <b/>
            <sz val="9"/>
            <rFont val="宋体"/>
            <charset val="134"/>
          </rPr>
          <t>Administrator:</t>
        </r>
        <r>
          <rPr>
            <sz val="9"/>
            <rFont val="宋体"/>
            <charset val="134"/>
          </rPr>
          <t xml:space="preserve">
打到金凯账户</t>
        </r>
      </text>
    </comment>
    <comment ref="Q224" authorId="0">
      <text>
        <r>
          <rPr>
            <b/>
            <sz val="9"/>
            <rFont val="宋体"/>
            <charset val="134"/>
          </rPr>
          <t>Administrator:</t>
        </r>
        <r>
          <rPr>
            <sz val="9"/>
            <rFont val="宋体"/>
            <charset val="134"/>
          </rPr>
          <t xml:space="preserve">
实收5784</t>
        </r>
      </text>
    </comment>
    <comment ref="T226" authorId="0">
      <text>
        <r>
          <rPr>
            <b/>
            <sz val="9"/>
            <rFont val="宋体"/>
            <charset val="134"/>
          </rPr>
          <t>Administrator:</t>
        </r>
        <r>
          <rPr>
            <sz val="9"/>
            <rFont val="宋体"/>
            <charset val="134"/>
          </rPr>
          <t xml:space="preserve">
应付12756.66</t>
        </r>
      </text>
    </comment>
    <comment ref="T227" authorId="0">
      <text>
        <r>
          <rPr>
            <b/>
            <sz val="9"/>
            <rFont val="宋体"/>
            <charset val="134"/>
          </rPr>
          <t>Administrator:</t>
        </r>
        <r>
          <rPr>
            <sz val="9"/>
            <rFont val="宋体"/>
            <charset val="134"/>
          </rPr>
          <t xml:space="preserve">
2019.12.3 
付了15035.75
12.6号付RMB41350（应付USD5872.25）</t>
        </r>
      </text>
    </comment>
    <comment ref="T228" authorId="0">
      <text>
        <r>
          <rPr>
            <b/>
            <sz val="9"/>
            <rFont val="宋体"/>
            <charset val="134"/>
          </rPr>
          <t>Administrator:应付17496.88</t>
        </r>
      </text>
    </comment>
    <comment ref="T229" authorId="0">
      <text>
        <r>
          <rPr>
            <b/>
            <sz val="9"/>
            <rFont val="宋体"/>
            <charset val="134"/>
          </rPr>
          <t>Administrator:</t>
        </r>
        <r>
          <rPr>
            <sz val="9"/>
            <rFont val="宋体"/>
            <charset val="134"/>
          </rPr>
          <t xml:space="preserve">
应付14654</t>
        </r>
      </text>
    </comment>
    <comment ref="T231" authorId="0">
      <text>
        <r>
          <rPr>
            <b/>
            <sz val="9"/>
            <rFont val="宋体"/>
            <charset val="134"/>
          </rPr>
          <t>Administrator:</t>
        </r>
        <r>
          <rPr>
            <sz val="9"/>
            <rFont val="宋体"/>
            <charset val="134"/>
          </rPr>
          <t xml:space="preserve">
手续费 286</t>
        </r>
      </text>
    </comment>
    <comment ref="T232" authorId="0">
      <text>
        <r>
          <rPr>
            <b/>
            <sz val="9"/>
            <rFont val="宋体"/>
            <charset val="134"/>
          </rPr>
          <t>Administrator:</t>
        </r>
        <r>
          <rPr>
            <sz val="9"/>
            <rFont val="宋体"/>
            <charset val="134"/>
          </rPr>
          <t xml:space="preserve">
银行扣费428 usd</t>
        </r>
      </text>
    </comment>
    <comment ref="T233" authorId="0">
      <text>
        <r>
          <rPr>
            <b/>
            <sz val="9"/>
            <rFont val="宋体"/>
            <charset val="134"/>
          </rPr>
          <t>Administrator:</t>
        </r>
        <r>
          <rPr>
            <sz val="9"/>
            <rFont val="宋体"/>
            <charset val="134"/>
          </rPr>
          <t xml:space="preserve">
银行托收费用108</t>
        </r>
      </text>
    </comment>
    <comment ref="T234" authorId="0">
      <text>
        <r>
          <rPr>
            <b/>
            <sz val="9"/>
            <rFont val="宋体"/>
            <charset val="134"/>
          </rPr>
          <t>Administrator:</t>
        </r>
        <r>
          <rPr>
            <sz val="9"/>
            <rFont val="宋体"/>
            <charset val="134"/>
          </rPr>
          <t xml:space="preserve">
手续费USD428</t>
        </r>
      </text>
    </comment>
    <comment ref="T238" authorId="0">
      <text>
        <r>
          <rPr>
            <b/>
            <sz val="9"/>
            <rFont val="宋体"/>
            <charset val="134"/>
          </rPr>
          <t>Administrator:</t>
        </r>
        <r>
          <rPr>
            <sz val="9"/>
            <rFont val="宋体"/>
            <charset val="134"/>
          </rPr>
          <t xml:space="preserve">
实收USD37210-扣掉改付款人的费用71USD</t>
        </r>
      </text>
    </comment>
    <comment ref="T239" authorId="0">
      <text>
        <r>
          <rPr>
            <b/>
            <sz val="9"/>
            <rFont val="宋体"/>
            <charset val="134"/>
          </rPr>
          <t>Administrator:</t>
        </r>
        <r>
          <rPr>
            <sz val="9"/>
            <rFont val="宋体"/>
            <charset val="134"/>
          </rPr>
          <t xml:space="preserve">
扣银行费用428USD</t>
        </r>
      </text>
    </comment>
    <comment ref="T240" authorId="0">
      <text>
        <r>
          <rPr>
            <b/>
            <sz val="9"/>
            <rFont val="宋体"/>
            <charset val="134"/>
          </rPr>
          <t>Administrator:</t>
        </r>
        <r>
          <rPr>
            <sz val="9"/>
            <rFont val="宋体"/>
            <charset val="134"/>
          </rPr>
          <t xml:space="preserve">
托收手续费251</t>
        </r>
      </text>
    </comment>
    <comment ref="Q242" authorId="0">
      <text>
        <r>
          <rPr>
            <b/>
            <sz val="9"/>
            <rFont val="宋体"/>
            <charset val="134"/>
          </rPr>
          <t>Administrator:</t>
        </r>
        <r>
          <rPr>
            <sz val="9"/>
            <rFont val="宋体"/>
            <charset val="134"/>
          </rPr>
          <t xml:space="preserve">
RMB70850 汇率7.044</t>
        </r>
      </text>
    </comment>
    <comment ref="T242" authorId="0">
      <text>
        <r>
          <rPr>
            <b/>
            <sz val="9"/>
            <rFont val="宋体"/>
            <charset val="134"/>
          </rPr>
          <t>Administrator:</t>
        </r>
        <r>
          <rPr>
            <sz val="9"/>
            <rFont val="宋体"/>
            <charset val="134"/>
          </rPr>
          <t xml:space="preserve">
应收款15541.78美金 客户实际打款15500美金收到15472.97</t>
        </r>
      </text>
    </comment>
    <comment ref="T243" authorId="0">
      <text>
        <r>
          <rPr>
            <b/>
            <sz val="9"/>
            <rFont val="宋体"/>
            <charset val="134"/>
          </rPr>
          <t>Administrator:</t>
        </r>
        <r>
          <rPr>
            <sz val="9"/>
            <rFont val="宋体"/>
            <charset val="134"/>
          </rPr>
          <t xml:space="preserve">
2020.1.20打人民币25600  汇率6.847 折合3739美金
2020.1.21打RMB30075 折合美金4392.4</t>
        </r>
      </text>
    </comment>
    <comment ref="Q244" authorId="0">
      <text>
        <r>
          <rPr>
            <b/>
            <sz val="9"/>
            <rFont val="宋体"/>
            <charset val="134"/>
          </rPr>
          <t>Administrator:</t>
        </r>
        <r>
          <rPr>
            <sz val="9"/>
            <rFont val="宋体"/>
            <charset val="134"/>
          </rPr>
          <t xml:space="preserve">
11.1付的</t>
        </r>
      </text>
    </comment>
    <comment ref="T244" authorId="0">
      <text>
        <r>
          <rPr>
            <b/>
            <sz val="9"/>
            <rFont val="宋体"/>
            <charset val="134"/>
          </rPr>
          <t>Administrator:</t>
        </r>
        <r>
          <rPr>
            <sz val="9"/>
            <rFont val="宋体"/>
            <charset val="134"/>
          </rPr>
          <t xml:space="preserve">
2019.12.16 付的人民币
2020.1.3付的20728.4</t>
        </r>
      </text>
    </comment>
    <comment ref="T245" authorId="0">
      <text>
        <r>
          <rPr>
            <b/>
            <sz val="9"/>
            <rFont val="宋体"/>
            <charset val="134"/>
          </rPr>
          <t>Administrator:</t>
        </r>
        <r>
          <rPr>
            <sz val="9"/>
            <rFont val="宋体"/>
            <charset val="134"/>
          </rPr>
          <t xml:space="preserve">
应付16175.15</t>
        </r>
      </text>
    </comment>
    <comment ref="T247" authorId="0">
      <text>
        <r>
          <rPr>
            <b/>
            <sz val="9"/>
            <rFont val="宋体"/>
            <charset val="134"/>
          </rPr>
          <t>Administrator:</t>
        </r>
        <r>
          <rPr>
            <sz val="9"/>
            <rFont val="宋体"/>
            <charset val="134"/>
          </rPr>
          <t xml:space="preserve">
2020.4.7收</t>
        </r>
      </text>
    </comment>
    <comment ref="T261" authorId="0">
      <text>
        <r>
          <rPr>
            <b/>
            <sz val="9"/>
            <rFont val="宋体"/>
            <charset val="134"/>
          </rPr>
          <t>Administrator:</t>
        </r>
        <r>
          <rPr>
            <sz val="9"/>
            <rFont val="宋体"/>
            <charset val="134"/>
          </rPr>
          <t xml:space="preserve">
托收手续费  198</t>
        </r>
      </text>
    </comment>
    <comment ref="R262" authorId="0">
      <text>
        <r>
          <rPr>
            <b/>
            <sz val="9"/>
            <rFont val="宋体"/>
            <charset val="134"/>
          </rPr>
          <t>Administrator:</t>
        </r>
        <r>
          <rPr>
            <sz val="9"/>
            <rFont val="宋体"/>
            <charset val="134"/>
          </rPr>
          <t xml:space="preserve">
Invoice16960$
-custom16566.95
-paid before47$
Rest =346$</t>
        </r>
      </text>
    </comment>
    <comment ref="T262" authorId="0">
      <text>
        <r>
          <rPr>
            <b/>
            <sz val="9"/>
            <rFont val="宋体"/>
            <charset val="134"/>
          </rPr>
          <t>Administrator:</t>
        </r>
        <r>
          <rPr>
            <sz val="9"/>
            <rFont val="宋体"/>
            <charset val="134"/>
          </rPr>
          <t xml:space="preserve">
2020.2.20收16521.95</t>
        </r>
      </text>
    </comment>
    <comment ref="Q263" authorId="0">
      <text>
        <r>
          <rPr>
            <b/>
            <sz val="9"/>
            <rFont val="宋体"/>
            <charset val="134"/>
          </rPr>
          <t>Administrator:</t>
        </r>
        <r>
          <rPr>
            <sz val="9"/>
            <rFont val="宋体"/>
            <charset val="134"/>
          </rPr>
          <t xml:space="preserve">
2020.11.12收</t>
        </r>
      </text>
    </comment>
    <comment ref="T263" authorId="0">
      <text>
        <r>
          <rPr>
            <b/>
            <sz val="9"/>
            <rFont val="宋体"/>
            <charset val="134"/>
          </rPr>
          <t>Administrator:</t>
        </r>
        <r>
          <rPr>
            <sz val="9"/>
            <rFont val="宋体"/>
            <charset val="134"/>
          </rPr>
          <t xml:space="preserve">
应付13754.09</t>
        </r>
      </text>
    </comment>
    <comment ref="T264" authorId="0">
      <text>
        <r>
          <rPr>
            <b/>
            <sz val="9"/>
            <rFont val="宋体"/>
            <charset val="134"/>
          </rPr>
          <t>Administrator:</t>
        </r>
        <r>
          <rPr>
            <sz val="9"/>
            <rFont val="宋体"/>
            <charset val="134"/>
          </rPr>
          <t xml:space="preserve">
2020.2.1收到RMB44550
2020.1.30收到美金14976.75</t>
        </r>
      </text>
    </comment>
    <comment ref="T265" authorId="0">
      <text>
        <r>
          <rPr>
            <b/>
            <sz val="9"/>
            <rFont val="宋体"/>
            <charset val="134"/>
          </rPr>
          <t>Administrator:</t>
        </r>
        <r>
          <rPr>
            <sz val="9"/>
            <rFont val="宋体"/>
            <charset val="134"/>
          </rPr>
          <t xml:space="preserve">
2020.1.16收</t>
        </r>
      </text>
    </comment>
    <comment ref="Q267" authorId="0">
      <text>
        <r>
          <rPr>
            <b/>
            <sz val="9"/>
            <rFont val="宋体"/>
            <charset val="134"/>
          </rPr>
          <t>Administrator:</t>
        </r>
        <r>
          <rPr>
            <sz val="9"/>
            <rFont val="宋体"/>
            <charset val="134"/>
          </rPr>
          <t xml:space="preserve">
实收6494.58</t>
        </r>
      </text>
    </comment>
    <comment ref="T267" authorId="0">
      <text>
        <r>
          <rPr>
            <b/>
            <sz val="9"/>
            <rFont val="宋体"/>
            <charset val="134"/>
          </rPr>
          <t>Administrator:</t>
        </r>
        <r>
          <rPr>
            <sz val="9"/>
            <rFont val="宋体"/>
            <charset val="134"/>
          </rPr>
          <t xml:space="preserve">
2020/2/5收到</t>
        </r>
      </text>
    </comment>
    <comment ref="Q269" authorId="0">
      <text>
        <r>
          <rPr>
            <b/>
            <sz val="9"/>
            <rFont val="宋体"/>
            <charset val="134"/>
          </rPr>
          <t>Administrator:</t>
        </r>
        <r>
          <rPr>
            <sz val="9"/>
            <rFont val="宋体"/>
            <charset val="134"/>
          </rPr>
          <t xml:space="preserve">
2019.12.12 3590</t>
        </r>
      </text>
    </comment>
    <comment ref="T269" authorId="0">
      <text>
        <r>
          <rPr>
            <b/>
            <sz val="9"/>
            <rFont val="宋体"/>
            <charset val="134"/>
          </rPr>
          <t>Administrator:</t>
        </r>
        <r>
          <rPr>
            <sz val="9"/>
            <rFont val="宋体"/>
            <charset val="134"/>
          </rPr>
          <t xml:space="preserve">
2020.2.19收</t>
        </r>
      </text>
    </comment>
    <comment ref="T270" authorId="0">
      <text>
        <r>
          <rPr>
            <b/>
            <sz val="9"/>
            <rFont val="宋体"/>
            <charset val="134"/>
          </rPr>
          <t>Administrator:</t>
        </r>
        <r>
          <rPr>
            <sz val="9"/>
            <rFont val="宋体"/>
            <charset val="134"/>
          </rPr>
          <t xml:space="preserve">
2020.5.8收 19384.67 实付$19578</t>
        </r>
      </text>
    </comment>
    <comment ref="Q271" authorId="0">
      <text>
        <r>
          <rPr>
            <b/>
            <sz val="9"/>
            <rFont val="宋体"/>
            <charset val="134"/>
          </rPr>
          <t>Administrator:</t>
        </r>
        <r>
          <rPr>
            <sz val="9"/>
            <rFont val="宋体"/>
            <charset val="134"/>
          </rPr>
          <t xml:space="preserve">
实收7237.5</t>
        </r>
      </text>
    </comment>
    <comment ref="Q272" authorId="0">
      <text>
        <r>
          <rPr>
            <b/>
            <sz val="9"/>
            <rFont val="宋体"/>
            <charset val="134"/>
          </rPr>
          <t>Administrator:</t>
        </r>
        <r>
          <rPr>
            <sz val="9"/>
            <rFont val="宋体"/>
            <charset val="134"/>
          </rPr>
          <t xml:space="preserve">
2020.1.2 实收4586.82</t>
        </r>
      </text>
    </comment>
    <comment ref="T272" authorId="0">
      <text>
        <r>
          <rPr>
            <b/>
            <sz val="9"/>
            <rFont val="宋体"/>
            <charset val="134"/>
          </rPr>
          <t>Administrator:</t>
        </r>
        <r>
          <rPr>
            <sz val="9"/>
            <rFont val="宋体"/>
            <charset val="134"/>
          </rPr>
          <t xml:space="preserve">
2020.4.23</t>
        </r>
      </text>
    </comment>
    <comment ref="Q273" authorId="0">
      <text>
        <r>
          <rPr>
            <b/>
            <sz val="9"/>
            <rFont val="宋体"/>
            <charset val="134"/>
          </rPr>
          <t>Administrator:</t>
        </r>
        <r>
          <rPr>
            <sz val="9"/>
            <rFont val="宋体"/>
            <charset val="134"/>
          </rPr>
          <t xml:space="preserve">
2020.1.2 实收9968美金
2020.3.13 15000美金实收14968美金
定金一共25000美金 3705-1用掉15000美金 
还剩10000+500用于-2-3定金（汇率折扣500美金做定金）</t>
        </r>
      </text>
    </comment>
    <comment ref="T273" authorId="0">
      <text>
        <r>
          <rPr>
            <b/>
            <sz val="9"/>
            <rFont val="宋体"/>
            <charset val="134"/>
          </rPr>
          <t>Administrator:</t>
        </r>
        <r>
          <rPr>
            <sz val="9"/>
            <rFont val="宋体"/>
            <charset val="134"/>
          </rPr>
          <t xml:space="preserve">
2020.5.19收到60660美金 6000美金做J3810的定金</t>
        </r>
      </text>
    </comment>
    <comment ref="T274" authorId="0">
      <text>
        <r>
          <rPr>
            <b/>
            <sz val="9"/>
            <rFont val="宋体"/>
            <charset val="134"/>
          </rPr>
          <t>Administrator:</t>
        </r>
        <r>
          <rPr>
            <sz val="9"/>
            <rFont val="宋体"/>
            <charset val="134"/>
          </rPr>
          <t xml:space="preserve">
2020.3.26收</t>
        </r>
      </text>
    </comment>
    <comment ref="Q275" authorId="0">
      <text>
        <r>
          <rPr>
            <b/>
            <sz val="9"/>
            <rFont val="宋体"/>
            <charset val="134"/>
          </rPr>
          <t>Administrator:</t>
        </r>
        <r>
          <rPr>
            <sz val="9"/>
            <rFont val="宋体"/>
            <charset val="134"/>
          </rPr>
          <t xml:space="preserve">
来自J3705-1汇率折扣</t>
        </r>
      </text>
    </comment>
    <comment ref="T275" authorId="0">
      <text>
        <r>
          <rPr>
            <b/>
            <sz val="9"/>
            <rFont val="宋体"/>
            <charset val="134"/>
          </rPr>
          <t>Administrator:</t>
        </r>
        <r>
          <rPr>
            <sz val="9"/>
            <rFont val="宋体"/>
            <charset val="134"/>
          </rPr>
          <t xml:space="preserve">
2020.4.16</t>
        </r>
      </text>
    </comment>
    <comment ref="Q276" authorId="0">
      <text>
        <r>
          <rPr>
            <b/>
            <sz val="9"/>
            <rFont val="宋体"/>
            <charset val="134"/>
          </rPr>
          <t>Administrator:</t>
        </r>
        <r>
          <rPr>
            <sz val="9"/>
            <rFont val="宋体"/>
            <charset val="134"/>
          </rPr>
          <t xml:space="preserve">
2020.1.8收4883.95</t>
        </r>
      </text>
    </comment>
    <comment ref="T276" authorId="0">
      <text>
        <r>
          <rPr>
            <b/>
            <sz val="9"/>
            <rFont val="宋体"/>
            <charset val="134"/>
          </rPr>
          <t>Administrator:</t>
        </r>
        <r>
          <rPr>
            <sz val="9"/>
            <rFont val="宋体"/>
            <charset val="134"/>
          </rPr>
          <t xml:space="preserve">
2020.5.14收</t>
        </r>
      </text>
    </comment>
    <comment ref="T277" authorId="0">
      <text>
        <r>
          <rPr>
            <b/>
            <sz val="9"/>
            <rFont val="宋体"/>
            <charset val="134"/>
          </rPr>
          <t>Administrator:</t>
        </r>
        <r>
          <rPr>
            <sz val="9"/>
            <rFont val="宋体"/>
            <charset val="134"/>
          </rPr>
          <t xml:space="preserve">
2020.9.29收7628.89</t>
        </r>
      </text>
    </comment>
    <comment ref="T279" authorId="0">
      <text>
        <r>
          <rPr>
            <b/>
            <sz val="9"/>
            <rFont val="宋体"/>
            <charset val="134"/>
          </rPr>
          <t>Administrator:</t>
        </r>
        <r>
          <rPr>
            <sz val="9"/>
            <rFont val="宋体"/>
            <charset val="134"/>
          </rPr>
          <t xml:space="preserve">
2020.4.9收到RMB106000折合15000美金
扣掉8000USD作为J3791定金  还剩7000</t>
        </r>
      </text>
    </comment>
    <comment ref="U279" authorId="0">
      <text>
        <r>
          <rPr>
            <b/>
            <sz val="9"/>
            <rFont val="宋体"/>
            <charset val="134"/>
          </rPr>
          <t>Administrator:</t>
        </r>
        <r>
          <rPr>
            <sz val="9"/>
            <rFont val="宋体"/>
            <charset val="134"/>
          </rPr>
          <t xml:space="preserve">
2020.5.7收到RMB184000 汇率7.09 折合26000美金  3568美金转到J3791做定金</t>
        </r>
      </text>
    </comment>
    <comment ref="Q280" authorId="0">
      <text>
        <r>
          <rPr>
            <b/>
            <sz val="9"/>
            <rFont val="宋体"/>
            <charset val="134"/>
          </rPr>
          <t>Administrator:</t>
        </r>
        <r>
          <rPr>
            <sz val="9"/>
            <rFont val="宋体"/>
            <charset val="134"/>
          </rPr>
          <t xml:space="preserve">
2020.2.6收</t>
        </r>
      </text>
    </comment>
    <comment ref="T280" authorId="0">
      <text>
        <r>
          <rPr>
            <b/>
            <sz val="9"/>
            <rFont val="宋体"/>
            <charset val="134"/>
          </rPr>
          <t>Administrator:</t>
        </r>
        <r>
          <rPr>
            <sz val="9"/>
            <rFont val="宋体"/>
            <charset val="134"/>
          </rPr>
          <t xml:space="preserve">
2020.7.1收</t>
        </r>
      </text>
    </comment>
    <comment ref="T281" authorId="0">
      <text>
        <r>
          <rPr>
            <b/>
            <sz val="9"/>
            <rFont val="宋体"/>
            <charset val="134"/>
          </rPr>
          <t>Administrator:</t>
        </r>
        <r>
          <rPr>
            <sz val="9"/>
            <rFont val="宋体"/>
            <charset val="134"/>
          </rPr>
          <t xml:space="preserve">
2020.6.28收</t>
        </r>
      </text>
    </comment>
    <comment ref="T282" authorId="0">
      <text>
        <r>
          <rPr>
            <b/>
            <sz val="9"/>
            <rFont val="宋体"/>
            <charset val="134"/>
          </rPr>
          <t>Administrator:</t>
        </r>
        <r>
          <rPr>
            <sz val="9"/>
            <rFont val="宋体"/>
            <charset val="134"/>
          </rPr>
          <t xml:space="preserve">
2020.8.14收59642.28美金</t>
        </r>
      </text>
    </comment>
    <comment ref="T283" authorId="0">
      <text>
        <r>
          <rPr>
            <b/>
            <sz val="9"/>
            <rFont val="宋体"/>
            <charset val="134"/>
          </rPr>
          <t>Administrator:</t>
        </r>
        <r>
          <rPr>
            <sz val="9"/>
            <rFont val="宋体"/>
            <charset val="134"/>
          </rPr>
          <t xml:space="preserve">
2020.7.6收</t>
        </r>
      </text>
    </comment>
    <comment ref="T284" authorId="0">
      <text>
        <r>
          <rPr>
            <b/>
            <sz val="9"/>
            <rFont val="宋体"/>
            <charset val="134"/>
          </rPr>
          <t>Administrator:</t>
        </r>
        <r>
          <rPr>
            <sz val="9"/>
            <rFont val="宋体"/>
            <charset val="134"/>
          </rPr>
          <t xml:space="preserve">
2020.8.17收40493.55美金</t>
        </r>
      </text>
    </comment>
    <comment ref="Q285" authorId="0">
      <text>
        <r>
          <rPr>
            <b/>
            <sz val="9"/>
            <rFont val="宋体"/>
            <charset val="134"/>
          </rPr>
          <t>Administrator:</t>
        </r>
        <r>
          <rPr>
            <sz val="9"/>
            <rFont val="宋体"/>
            <charset val="134"/>
          </rPr>
          <t xml:space="preserve">
定金打的人民币 打到经理账户  折合一万美金</t>
        </r>
      </text>
    </comment>
    <comment ref="T285" authorId="0">
      <text>
        <r>
          <rPr>
            <b/>
            <sz val="9"/>
            <rFont val="宋体"/>
            <charset val="134"/>
          </rPr>
          <t>Administrator:</t>
        </r>
        <r>
          <rPr>
            <sz val="9"/>
            <rFont val="宋体"/>
            <charset val="134"/>
          </rPr>
          <t xml:space="preserve">
2021.1.30收10883.73</t>
        </r>
      </text>
    </comment>
    <comment ref="U285" authorId="0">
      <text>
        <r>
          <rPr>
            <b/>
            <sz val="9"/>
            <rFont val="宋体"/>
            <charset val="134"/>
          </rPr>
          <t>Administrator:</t>
        </r>
        <r>
          <rPr>
            <sz val="9"/>
            <rFont val="宋体"/>
            <charset val="134"/>
          </rPr>
          <t xml:space="preserve">
2021.2.3收RMB29800</t>
        </r>
      </text>
    </comment>
    <comment ref="T286" authorId="0">
      <text>
        <r>
          <rPr>
            <b/>
            <sz val="9"/>
            <rFont val="宋体"/>
            <charset val="134"/>
          </rPr>
          <t>Administrator:</t>
        </r>
        <r>
          <rPr>
            <sz val="9"/>
            <rFont val="宋体"/>
            <charset val="134"/>
          </rPr>
          <t xml:space="preserve">
2020.7.13 收10719.75</t>
        </r>
      </text>
    </comment>
    <comment ref="U286" authorId="0">
      <text>
        <r>
          <rPr>
            <b/>
            <sz val="9"/>
            <rFont val="宋体"/>
            <charset val="134"/>
          </rPr>
          <t>Administrator:</t>
        </r>
        <r>
          <rPr>
            <sz val="9"/>
            <rFont val="宋体"/>
            <charset val="134"/>
          </rPr>
          <t xml:space="preserve">
2020.12.10收RMB9779 汇率6.54</t>
        </r>
      </text>
    </comment>
    <comment ref="T287" authorId="0">
      <text>
        <r>
          <rPr>
            <b/>
            <sz val="9"/>
            <rFont val="宋体"/>
            <charset val="134"/>
          </rPr>
          <t>Administrator:</t>
        </r>
        <r>
          <rPr>
            <sz val="9"/>
            <rFont val="宋体"/>
            <charset val="134"/>
          </rPr>
          <t xml:space="preserve">
2020.9.24收62082.23</t>
        </r>
      </text>
    </comment>
    <comment ref="T288" authorId="0">
      <text>
        <r>
          <rPr>
            <b/>
            <sz val="9"/>
            <rFont val="宋体"/>
            <charset val="134"/>
          </rPr>
          <t>Administrator:</t>
        </r>
        <r>
          <rPr>
            <sz val="9"/>
            <rFont val="宋体"/>
            <charset val="134"/>
          </rPr>
          <t xml:space="preserve">
2020.11.10收81654.66</t>
        </r>
      </text>
    </comment>
    <comment ref="T289" authorId="0">
      <text>
        <r>
          <rPr>
            <b/>
            <sz val="9"/>
            <rFont val="宋体"/>
            <charset val="134"/>
          </rPr>
          <t>Administrator:</t>
        </r>
        <r>
          <rPr>
            <sz val="9"/>
            <rFont val="宋体"/>
            <charset val="134"/>
          </rPr>
          <t xml:space="preserve">
2020.12.1收42148.8</t>
        </r>
      </text>
    </comment>
    <comment ref="T290" authorId="0">
      <text>
        <r>
          <rPr>
            <b/>
            <sz val="9"/>
            <rFont val="宋体"/>
            <charset val="134"/>
          </rPr>
          <t>Administrator:</t>
        </r>
        <r>
          <rPr>
            <sz val="9"/>
            <rFont val="宋体"/>
            <charset val="134"/>
          </rPr>
          <t xml:space="preserve">
2020.8.17收42390美金</t>
        </r>
      </text>
    </comment>
    <comment ref="U291" authorId="2">
      <text>
        <r>
          <rPr>
            <b/>
            <sz val="9"/>
            <rFont val="方正书宋_GBK"/>
            <charset val="134"/>
          </rPr>
          <t>brank:</t>
        </r>
        <r>
          <rPr>
            <sz val="9"/>
            <rFont val="方正书宋_GBK"/>
            <charset val="134"/>
          </rPr>
          <t xml:space="preserve">
2020.3.27 人民币王总农行</t>
        </r>
      </text>
    </comment>
    <comment ref="T292" authorId="0">
      <text>
        <r>
          <rPr>
            <b/>
            <sz val="9"/>
            <rFont val="宋体"/>
            <charset val="134"/>
          </rPr>
          <t>Administrator:</t>
        </r>
        <r>
          <rPr>
            <sz val="9"/>
            <rFont val="宋体"/>
            <charset val="134"/>
          </rPr>
          <t xml:space="preserve">
2020.7.14收</t>
        </r>
      </text>
    </comment>
    <comment ref="U292" authorId="0">
      <text>
        <r>
          <rPr>
            <b/>
            <sz val="9"/>
            <rFont val="宋体"/>
            <charset val="134"/>
          </rPr>
          <t>Administrator:</t>
        </r>
        <r>
          <rPr>
            <sz val="9"/>
            <rFont val="宋体"/>
            <charset val="134"/>
          </rPr>
          <t xml:space="preserve">
2020.7.16收 29490RMB 汇率6.97</t>
        </r>
      </text>
    </comment>
    <comment ref="T293" authorId="0">
      <text>
        <r>
          <rPr>
            <b/>
            <sz val="9"/>
            <rFont val="宋体"/>
            <charset val="134"/>
          </rPr>
          <t>Administrator:</t>
        </r>
        <r>
          <rPr>
            <sz val="9"/>
            <rFont val="宋体"/>
            <charset val="134"/>
          </rPr>
          <t xml:space="preserve">
2020.9.1收15799.38</t>
        </r>
      </text>
    </comment>
    <comment ref="U293" authorId="0">
      <text>
        <r>
          <rPr>
            <b/>
            <sz val="9"/>
            <rFont val="宋体"/>
            <charset val="134"/>
          </rPr>
          <t>Administrator:</t>
        </r>
        <r>
          <rPr>
            <sz val="9"/>
            <rFont val="宋体"/>
            <charset val="134"/>
          </rPr>
          <t xml:space="preserve">
尾款美金5140.25 2020.9.3收34950RMB</t>
        </r>
      </text>
    </comment>
    <comment ref="Q294" authorId="0">
      <text>
        <r>
          <rPr>
            <b/>
            <sz val="9"/>
            <rFont val="宋体"/>
            <charset val="134"/>
          </rPr>
          <t>Administrator:</t>
        </r>
        <r>
          <rPr>
            <sz val="9"/>
            <rFont val="宋体"/>
            <charset val="134"/>
          </rPr>
          <t xml:space="preserve">
2020.3.6</t>
        </r>
      </text>
    </comment>
    <comment ref="T294" authorId="0">
      <text>
        <r>
          <rPr>
            <b/>
            <sz val="9"/>
            <rFont val="宋体"/>
            <charset val="134"/>
          </rPr>
          <t>Administrator:</t>
        </r>
        <r>
          <rPr>
            <sz val="9"/>
            <rFont val="宋体"/>
            <charset val="134"/>
          </rPr>
          <t xml:space="preserve">
2020.8.11收</t>
        </r>
      </text>
    </comment>
    <comment ref="U294" authorId="0">
      <text>
        <r>
          <rPr>
            <b/>
            <sz val="9"/>
            <rFont val="宋体"/>
            <charset val="134"/>
          </rPr>
          <t>Administrator:</t>
        </r>
        <r>
          <rPr>
            <sz val="9"/>
            <rFont val="宋体"/>
            <charset val="134"/>
          </rPr>
          <t xml:space="preserve">
2020.8.17收5835.63美金</t>
        </r>
      </text>
    </comment>
    <comment ref="Q295" authorId="0">
      <text>
        <r>
          <rPr>
            <b/>
            <sz val="9"/>
            <rFont val="宋体"/>
            <charset val="134"/>
          </rPr>
          <t>Administrator:</t>
        </r>
        <r>
          <rPr>
            <sz val="9"/>
            <rFont val="宋体"/>
            <charset val="134"/>
          </rPr>
          <t xml:space="preserve">
2020.3.9收RMB50000
2020.3.5收5000
2020.3.16收RMB30000
共八万五千 J3769 J3770 J3772三单定金</t>
        </r>
      </text>
    </comment>
    <comment ref="T295" authorId="0">
      <text>
        <r>
          <rPr>
            <b/>
            <sz val="9"/>
            <rFont val="宋体"/>
            <charset val="134"/>
          </rPr>
          <t>Administrator:</t>
        </r>
        <r>
          <rPr>
            <sz val="9"/>
            <rFont val="宋体"/>
            <charset val="134"/>
          </rPr>
          <t xml:space="preserve">
2020.9.10收</t>
        </r>
      </text>
    </comment>
    <comment ref="U295" authorId="0">
      <text>
        <r>
          <rPr>
            <b/>
            <sz val="9"/>
            <rFont val="宋体"/>
            <charset val="134"/>
          </rPr>
          <t>Administrator:</t>
        </r>
        <r>
          <rPr>
            <sz val="9"/>
            <rFont val="宋体"/>
            <charset val="134"/>
          </rPr>
          <t xml:space="preserve">
2020.9.10收</t>
        </r>
      </text>
    </comment>
    <comment ref="T296" authorId="0">
      <text>
        <r>
          <rPr>
            <b/>
            <sz val="9"/>
            <rFont val="宋体"/>
            <charset val="134"/>
          </rPr>
          <t>Administrator:</t>
        </r>
        <r>
          <rPr>
            <sz val="9"/>
            <rFont val="宋体"/>
            <charset val="134"/>
          </rPr>
          <t xml:space="preserve">
2020.5.20收</t>
        </r>
      </text>
    </comment>
    <comment ref="T297" authorId="0">
      <text>
        <r>
          <rPr>
            <b/>
            <sz val="9"/>
            <rFont val="宋体"/>
            <charset val="134"/>
          </rPr>
          <t>Administrator:</t>
        </r>
        <r>
          <rPr>
            <sz val="9"/>
            <rFont val="宋体"/>
            <charset val="134"/>
          </rPr>
          <t xml:space="preserve">
2020.6.10收</t>
        </r>
      </text>
    </comment>
    <comment ref="T298" authorId="0">
      <text>
        <r>
          <rPr>
            <b/>
            <sz val="9"/>
            <rFont val="宋体"/>
            <charset val="134"/>
          </rPr>
          <t>Administrator:</t>
        </r>
        <r>
          <rPr>
            <sz val="9"/>
            <rFont val="宋体"/>
            <charset val="134"/>
          </rPr>
          <t xml:space="preserve">
2020.6.10收
</t>
        </r>
      </text>
    </comment>
    <comment ref="T299" authorId="0">
      <text>
        <r>
          <rPr>
            <b/>
            <sz val="9"/>
            <rFont val="宋体"/>
            <charset val="134"/>
          </rPr>
          <t>Administrator:</t>
        </r>
        <r>
          <rPr>
            <sz val="9"/>
            <rFont val="宋体"/>
            <charset val="134"/>
          </rPr>
          <t xml:space="preserve">
2020.8.14收56777.68美金 手续费234USD</t>
        </r>
      </text>
    </comment>
    <comment ref="T300" authorId="0">
      <text>
        <r>
          <rPr>
            <b/>
            <sz val="9"/>
            <rFont val="宋体"/>
            <charset val="134"/>
          </rPr>
          <t>Administrator:</t>
        </r>
        <r>
          <rPr>
            <sz val="9"/>
            <rFont val="宋体"/>
            <charset val="134"/>
          </rPr>
          <t xml:space="preserve">
2020.8.20收56819.6</t>
        </r>
      </text>
    </comment>
    <comment ref="Q301" authorId="0">
      <text>
        <r>
          <rPr>
            <b/>
            <sz val="9"/>
            <rFont val="宋体"/>
            <charset val="134"/>
          </rPr>
          <t>Administrator:</t>
        </r>
        <r>
          <rPr>
            <sz val="9"/>
            <rFont val="宋体"/>
            <charset val="134"/>
          </rPr>
          <t xml:space="preserve">
2020.3.16收到</t>
        </r>
      </text>
    </comment>
    <comment ref="T301" authorId="0">
      <text>
        <r>
          <rPr>
            <b/>
            <sz val="9"/>
            <rFont val="宋体"/>
            <charset val="134"/>
          </rPr>
          <t>Administrator:</t>
        </r>
        <r>
          <rPr>
            <sz val="9"/>
            <rFont val="宋体"/>
            <charset val="134"/>
          </rPr>
          <t xml:space="preserve">
2020.7.3收</t>
        </r>
      </text>
    </comment>
    <comment ref="U301" authorId="0">
      <text>
        <r>
          <rPr>
            <b/>
            <sz val="9"/>
            <rFont val="宋体"/>
            <charset val="134"/>
          </rPr>
          <t>Administrator:</t>
        </r>
        <r>
          <rPr>
            <sz val="9"/>
            <rFont val="宋体"/>
            <charset val="134"/>
          </rPr>
          <t xml:space="preserve">
2020.7.3收
</t>
        </r>
      </text>
    </comment>
    <comment ref="T302" authorId="0">
      <text>
        <r>
          <rPr>
            <b/>
            <sz val="9"/>
            <rFont val="宋体"/>
            <charset val="134"/>
          </rPr>
          <t>Administrator:</t>
        </r>
        <r>
          <rPr>
            <sz val="9"/>
            <rFont val="宋体"/>
            <charset val="134"/>
          </rPr>
          <t xml:space="preserve">
2020.4.22收</t>
        </r>
      </text>
    </comment>
    <comment ref="Q303" authorId="0">
      <text>
        <r>
          <rPr>
            <b/>
            <sz val="9"/>
            <rFont val="宋体"/>
            <charset val="134"/>
          </rPr>
          <t>Administrator:</t>
        </r>
        <r>
          <rPr>
            <sz val="9"/>
            <rFont val="宋体"/>
            <charset val="134"/>
          </rPr>
          <t xml:space="preserve">
2020.3.31收6602.31美金</t>
        </r>
      </text>
    </comment>
    <comment ref="T303" authorId="0">
      <text>
        <r>
          <rPr>
            <b/>
            <sz val="9"/>
            <rFont val="宋体"/>
            <charset val="134"/>
          </rPr>
          <t>Administrator:</t>
        </r>
        <r>
          <rPr>
            <sz val="9"/>
            <rFont val="宋体"/>
            <charset val="134"/>
          </rPr>
          <t xml:space="preserve">
2020.6.4收</t>
        </r>
      </text>
    </comment>
    <comment ref="Q304" authorId="0">
      <text>
        <r>
          <rPr>
            <b/>
            <sz val="9"/>
            <rFont val="宋体"/>
            <charset val="134"/>
          </rPr>
          <t>Administrator:</t>
        </r>
        <r>
          <rPr>
            <sz val="9"/>
            <rFont val="宋体"/>
            <charset val="134"/>
          </rPr>
          <t xml:space="preserve">
2020.4.7实收4969.5美金</t>
        </r>
      </text>
    </comment>
    <comment ref="T304" authorId="0">
      <text>
        <r>
          <rPr>
            <b/>
            <sz val="9"/>
            <rFont val="宋体"/>
            <charset val="134"/>
          </rPr>
          <t>Administrator:</t>
        </r>
        <r>
          <rPr>
            <sz val="9"/>
            <rFont val="宋体"/>
            <charset val="134"/>
          </rPr>
          <t xml:space="preserve">
2020.6.29收</t>
        </r>
      </text>
    </comment>
    <comment ref="P305" authorId="0">
      <text>
        <r>
          <rPr>
            <b/>
            <sz val="9"/>
            <rFont val="宋体"/>
            <charset val="134"/>
          </rPr>
          <t>Administrator:</t>
        </r>
        <r>
          <rPr>
            <sz val="9"/>
            <rFont val="宋体"/>
            <charset val="134"/>
          </rPr>
          <t xml:space="preserve">
3789-1发票值$69683.66加上之前欠款1126.59</t>
        </r>
      </text>
    </comment>
    <comment ref="Q305" authorId="0">
      <text>
        <r>
          <rPr>
            <b/>
            <sz val="9"/>
            <rFont val="宋体"/>
            <charset val="134"/>
          </rPr>
          <t>Administrator:</t>
        </r>
        <r>
          <rPr>
            <sz val="9"/>
            <rFont val="宋体"/>
            <charset val="134"/>
          </rPr>
          <t xml:space="preserve">
2020.4.9收到83150人民币折合美金11784 作为M3789-1-2定金</t>
        </r>
      </text>
    </comment>
    <comment ref="T305" authorId="0">
      <text>
        <r>
          <rPr>
            <b/>
            <sz val="9"/>
            <rFont val="宋体"/>
            <charset val="134"/>
          </rPr>
          <t>Administrator:</t>
        </r>
        <r>
          <rPr>
            <sz val="9"/>
            <rFont val="宋体"/>
            <charset val="134"/>
          </rPr>
          <t xml:space="preserve">
2020.7.2收46328.39
2020.7.17收12958
水单上13000美金</t>
        </r>
      </text>
    </comment>
    <comment ref="U305" authorId="0">
      <text>
        <r>
          <rPr>
            <b/>
            <sz val="9"/>
            <rFont val="宋体"/>
            <charset val="134"/>
          </rPr>
          <t>Administrator:</t>
        </r>
        <r>
          <rPr>
            <sz val="9"/>
            <rFont val="宋体"/>
            <charset val="134"/>
          </rPr>
          <t xml:space="preserve">
2020.7.27收10650RMB</t>
        </r>
      </text>
    </comment>
    <comment ref="T306" authorId="0">
      <text>
        <r>
          <rPr>
            <b/>
            <sz val="9"/>
            <rFont val="宋体"/>
            <charset val="134"/>
          </rPr>
          <t>Administrator:</t>
        </r>
        <r>
          <rPr>
            <sz val="9"/>
            <rFont val="宋体"/>
            <charset val="134"/>
          </rPr>
          <t xml:space="preserve">
2020.7.30收22701美金</t>
        </r>
      </text>
    </comment>
    <comment ref="Q307" authorId="0">
      <text>
        <r>
          <rPr>
            <b/>
            <sz val="9"/>
            <rFont val="宋体"/>
            <charset val="134"/>
          </rPr>
          <t>Administrator:</t>
        </r>
        <r>
          <rPr>
            <sz val="9"/>
            <rFont val="宋体"/>
            <charset val="134"/>
          </rPr>
          <t xml:space="preserve">
八千美金来自J3633
3568美金见J3633</t>
        </r>
      </text>
    </comment>
    <comment ref="T307" authorId="0">
      <text>
        <r>
          <rPr>
            <b/>
            <sz val="9"/>
            <rFont val="宋体"/>
            <charset val="134"/>
          </rPr>
          <t>Administrator:</t>
        </r>
        <r>
          <rPr>
            <sz val="9"/>
            <rFont val="宋体"/>
            <charset val="134"/>
          </rPr>
          <t xml:space="preserve">
2020.9.23收RMB183560
折合美金27194</t>
        </r>
      </text>
    </comment>
    <comment ref="T308" authorId="0">
      <text>
        <r>
          <rPr>
            <b/>
            <sz val="9"/>
            <rFont val="宋体"/>
            <charset val="134"/>
          </rPr>
          <t>Administrator:</t>
        </r>
        <r>
          <rPr>
            <sz val="9"/>
            <rFont val="宋体"/>
            <charset val="134"/>
          </rPr>
          <t xml:space="preserve">
2020.5.9</t>
        </r>
      </text>
    </comment>
    <comment ref="Q309" authorId="0">
      <text>
        <r>
          <rPr>
            <b/>
            <sz val="9"/>
            <rFont val="宋体"/>
            <charset val="134"/>
          </rPr>
          <t>Administrator:</t>
        </r>
        <r>
          <rPr>
            <sz val="9"/>
            <rFont val="宋体"/>
            <charset val="134"/>
          </rPr>
          <t xml:space="preserve">
2020.5.19收 和J3705-3尾款一起安排的
2020.5.27收</t>
        </r>
      </text>
    </comment>
    <comment ref="T309" authorId="0">
      <text>
        <r>
          <rPr>
            <b/>
            <sz val="9"/>
            <rFont val="宋体"/>
            <charset val="134"/>
          </rPr>
          <t>Administrator:</t>
        </r>
        <r>
          <rPr>
            <sz val="9"/>
            <rFont val="宋体"/>
            <charset val="134"/>
          </rPr>
          <t xml:space="preserve">
2020.7.3收</t>
        </r>
      </text>
    </comment>
    <comment ref="Q310" authorId="0">
      <text>
        <r>
          <rPr>
            <b/>
            <sz val="9"/>
            <rFont val="宋体"/>
            <charset val="134"/>
          </rPr>
          <t>Administrator:</t>
        </r>
        <r>
          <rPr>
            <sz val="9"/>
            <rFont val="宋体"/>
            <charset val="134"/>
          </rPr>
          <t xml:space="preserve">
2020.6.2实际到账7060美金</t>
        </r>
      </text>
    </comment>
    <comment ref="T310" authorId="0">
      <text>
        <r>
          <rPr>
            <b/>
            <sz val="9"/>
            <rFont val="宋体"/>
            <charset val="134"/>
          </rPr>
          <t>Administrator:</t>
        </r>
        <r>
          <rPr>
            <sz val="9"/>
            <rFont val="宋体"/>
            <charset val="134"/>
          </rPr>
          <t xml:space="preserve">
2020.8.21收28311.07</t>
        </r>
      </text>
    </comment>
    <comment ref="Q311" authorId="0">
      <text>
        <r>
          <rPr>
            <b/>
            <sz val="9"/>
            <rFont val="宋体"/>
            <charset val="134"/>
          </rPr>
          <t>Administrator:</t>
        </r>
        <r>
          <rPr>
            <sz val="9"/>
            <rFont val="宋体"/>
            <charset val="134"/>
          </rPr>
          <t xml:space="preserve">
2020.6.3收</t>
        </r>
      </text>
    </comment>
    <comment ref="T311" authorId="0">
      <text>
        <r>
          <rPr>
            <b/>
            <sz val="9"/>
            <rFont val="宋体"/>
            <charset val="134"/>
          </rPr>
          <t>Administrator:</t>
        </r>
        <r>
          <rPr>
            <sz val="9"/>
            <rFont val="宋体"/>
            <charset val="134"/>
          </rPr>
          <t xml:space="preserve">
2020.7.7收</t>
        </r>
      </text>
    </comment>
    <comment ref="Q312" authorId="0">
      <text>
        <r>
          <rPr>
            <b/>
            <sz val="9"/>
            <rFont val="宋体"/>
            <charset val="134"/>
          </rPr>
          <t>Administrator:</t>
        </r>
        <r>
          <rPr>
            <sz val="9"/>
            <rFont val="宋体"/>
            <charset val="134"/>
          </rPr>
          <t xml:space="preserve">
2020.6.12收</t>
        </r>
      </text>
    </comment>
    <comment ref="T312" authorId="0">
      <text>
        <r>
          <rPr>
            <b/>
            <sz val="9"/>
            <rFont val="宋体"/>
            <charset val="134"/>
          </rPr>
          <t>Administrator:</t>
        </r>
        <r>
          <rPr>
            <sz val="9"/>
            <rFont val="宋体"/>
            <charset val="134"/>
          </rPr>
          <t xml:space="preserve">
2020.8.7收</t>
        </r>
      </text>
    </comment>
    <comment ref="Q313" authorId="0">
      <text>
        <r>
          <rPr>
            <b/>
            <sz val="9"/>
            <rFont val="宋体"/>
            <charset val="134"/>
          </rPr>
          <t>Administrator:</t>
        </r>
        <r>
          <rPr>
            <sz val="9"/>
            <rFont val="宋体"/>
            <charset val="134"/>
          </rPr>
          <t xml:space="preserve">
2020.6.12收
2020.6.22收</t>
        </r>
      </text>
    </comment>
    <comment ref="T313" authorId="0">
      <text>
        <r>
          <rPr>
            <b/>
            <sz val="9"/>
            <rFont val="宋体"/>
            <charset val="134"/>
          </rPr>
          <t>Administrator:</t>
        </r>
        <r>
          <rPr>
            <sz val="9"/>
            <rFont val="宋体"/>
            <charset val="134"/>
          </rPr>
          <t xml:space="preserve">
2020.7.31收60489.6美金</t>
        </r>
      </text>
    </comment>
    <comment ref="Q314" authorId="0">
      <text>
        <r>
          <rPr>
            <b/>
            <sz val="9"/>
            <rFont val="宋体"/>
            <charset val="134"/>
          </rPr>
          <t>Administrator:</t>
        </r>
        <r>
          <rPr>
            <sz val="9"/>
            <rFont val="宋体"/>
            <charset val="134"/>
          </rPr>
          <t xml:space="preserve">
2020.6.19收3980</t>
        </r>
      </text>
    </comment>
    <comment ref="T314" authorId="0">
      <text>
        <r>
          <rPr>
            <b/>
            <sz val="9"/>
            <rFont val="宋体"/>
            <charset val="134"/>
          </rPr>
          <t>Administrator:</t>
        </r>
        <r>
          <rPr>
            <sz val="9"/>
            <rFont val="宋体"/>
            <charset val="134"/>
          </rPr>
          <t xml:space="preserve">
2020.8.27收16375.75</t>
        </r>
      </text>
    </comment>
    <comment ref="Q315" authorId="0">
      <text>
        <r>
          <rPr>
            <b/>
            <sz val="9"/>
            <rFont val="宋体"/>
            <charset val="134"/>
          </rPr>
          <t>Administrator:</t>
        </r>
        <r>
          <rPr>
            <sz val="9"/>
            <rFont val="宋体"/>
            <charset val="134"/>
          </rPr>
          <t xml:space="preserve">
2020.6.22收</t>
        </r>
      </text>
    </comment>
    <comment ref="T315" authorId="0">
      <text>
        <r>
          <rPr>
            <b/>
            <sz val="9"/>
            <rFont val="宋体"/>
            <charset val="134"/>
          </rPr>
          <t>Administrator:</t>
        </r>
        <r>
          <rPr>
            <sz val="9"/>
            <rFont val="宋体"/>
            <charset val="134"/>
          </rPr>
          <t xml:space="preserve">
2020.9.9收14996.08</t>
        </r>
      </text>
    </comment>
    <comment ref="T316" authorId="0">
      <text>
        <r>
          <rPr>
            <b/>
            <sz val="9"/>
            <rFont val="宋体"/>
            <charset val="134"/>
          </rPr>
          <t>Administrator:</t>
        </r>
        <r>
          <rPr>
            <sz val="9"/>
            <rFont val="宋体"/>
            <charset val="134"/>
          </rPr>
          <t xml:space="preserve">
2020.9.14收38160.98
手续费219USD</t>
        </r>
      </text>
    </comment>
    <comment ref="T317" authorId="0">
      <text>
        <r>
          <rPr>
            <b/>
            <sz val="9"/>
            <rFont val="宋体"/>
            <charset val="134"/>
          </rPr>
          <t>Administrator:</t>
        </r>
        <r>
          <rPr>
            <sz val="9"/>
            <rFont val="宋体"/>
            <charset val="134"/>
          </rPr>
          <t xml:space="preserve">
2020.10.9收57326.53</t>
        </r>
      </text>
    </comment>
    <comment ref="T318" authorId="0">
      <text>
        <r>
          <rPr>
            <b/>
            <sz val="9"/>
            <rFont val="宋体"/>
            <charset val="134"/>
          </rPr>
          <t>Administrator:</t>
        </r>
        <r>
          <rPr>
            <sz val="9"/>
            <rFont val="宋体"/>
            <charset val="134"/>
          </rPr>
          <t xml:space="preserve">
2020.8.28收38519.66</t>
        </r>
      </text>
    </comment>
    <comment ref="Q319" authorId="0">
      <text>
        <r>
          <rPr>
            <b/>
            <sz val="9"/>
            <rFont val="宋体"/>
            <charset val="134"/>
          </rPr>
          <t>Administrator:</t>
        </r>
        <r>
          <rPr>
            <sz val="9"/>
            <rFont val="宋体"/>
            <charset val="134"/>
          </rPr>
          <t xml:space="preserve">
2020.7.8收7122美金</t>
        </r>
      </text>
    </comment>
    <comment ref="T319" authorId="0">
      <text>
        <r>
          <rPr>
            <b/>
            <sz val="9"/>
            <rFont val="宋体"/>
            <charset val="134"/>
          </rPr>
          <t>Administrator:</t>
        </r>
        <r>
          <rPr>
            <sz val="9"/>
            <rFont val="宋体"/>
            <charset val="134"/>
          </rPr>
          <t xml:space="preserve">
2020.9.3收15719.99美金</t>
        </r>
      </text>
    </comment>
    <comment ref="Q320" authorId="0">
      <text>
        <r>
          <rPr>
            <b/>
            <sz val="9"/>
            <rFont val="宋体"/>
            <charset val="134"/>
          </rPr>
          <t>Administrator:</t>
        </r>
        <r>
          <rPr>
            <sz val="9"/>
            <rFont val="宋体"/>
            <charset val="134"/>
          </rPr>
          <t xml:space="preserve">
2020.7.16收</t>
        </r>
      </text>
    </comment>
    <comment ref="T320" authorId="0">
      <text>
        <r>
          <rPr>
            <b/>
            <sz val="9"/>
            <rFont val="宋体"/>
            <charset val="134"/>
          </rPr>
          <t>Administrator:</t>
        </r>
        <r>
          <rPr>
            <sz val="9"/>
            <rFont val="宋体"/>
            <charset val="134"/>
          </rPr>
          <t xml:space="preserve">
2020.9.9收到两笔</t>
        </r>
      </text>
    </comment>
    <comment ref="Q321" authorId="0">
      <text>
        <r>
          <rPr>
            <b/>
            <sz val="9"/>
            <rFont val="宋体"/>
            <charset val="134"/>
          </rPr>
          <t>Administrator:</t>
        </r>
        <r>
          <rPr>
            <sz val="9"/>
            <rFont val="宋体"/>
            <charset val="134"/>
          </rPr>
          <t xml:space="preserve">
2020.7.31收5843.6美金</t>
        </r>
      </text>
    </comment>
    <comment ref="T321" authorId="0">
      <text>
        <r>
          <rPr>
            <b/>
            <sz val="9"/>
            <rFont val="宋体"/>
            <charset val="134"/>
          </rPr>
          <t>Administrator:</t>
        </r>
        <r>
          <rPr>
            <sz val="9"/>
            <rFont val="宋体"/>
            <charset val="134"/>
          </rPr>
          <t xml:space="preserve">
2020.9.10收</t>
        </r>
      </text>
    </comment>
    <comment ref="Q322" authorId="0">
      <text>
        <r>
          <rPr>
            <b/>
            <sz val="9"/>
            <rFont val="宋体"/>
            <charset val="134"/>
          </rPr>
          <t>Administrator:</t>
        </r>
        <r>
          <rPr>
            <sz val="9"/>
            <rFont val="宋体"/>
            <charset val="134"/>
          </rPr>
          <t xml:space="preserve">
2020.7.28收6526.83美金</t>
        </r>
      </text>
    </comment>
    <comment ref="T322" authorId="0">
      <text>
        <r>
          <rPr>
            <b/>
            <sz val="9"/>
            <rFont val="宋体"/>
            <charset val="134"/>
          </rPr>
          <t>Administrator:</t>
        </r>
        <r>
          <rPr>
            <sz val="9"/>
            <rFont val="宋体"/>
            <charset val="134"/>
          </rPr>
          <t xml:space="preserve">
2020.9.16收15227.92</t>
        </r>
      </text>
    </comment>
    <comment ref="Q323" authorId="0">
      <text>
        <r>
          <rPr>
            <b/>
            <sz val="9"/>
            <rFont val="宋体"/>
            <charset val="134"/>
          </rPr>
          <t>Administrator:</t>
        </r>
        <r>
          <rPr>
            <sz val="9"/>
            <rFont val="宋体"/>
            <charset val="134"/>
          </rPr>
          <t xml:space="preserve">
2020.8.7收</t>
        </r>
      </text>
    </comment>
    <comment ref="T323" authorId="0">
      <text>
        <r>
          <rPr>
            <b/>
            <sz val="9"/>
            <rFont val="宋体"/>
            <charset val="134"/>
          </rPr>
          <t>Administrator:</t>
        </r>
        <r>
          <rPr>
            <sz val="9"/>
            <rFont val="宋体"/>
            <charset val="134"/>
          </rPr>
          <t xml:space="preserve">
2020.9.9收42860.6美金</t>
        </r>
      </text>
    </comment>
    <comment ref="T324" authorId="0">
      <text>
        <r>
          <rPr>
            <b/>
            <sz val="9"/>
            <rFont val="宋体"/>
            <charset val="134"/>
          </rPr>
          <t>Administrator:</t>
        </r>
        <r>
          <rPr>
            <sz val="9"/>
            <rFont val="宋体"/>
            <charset val="134"/>
          </rPr>
          <t xml:space="preserve">
2020.9.30收39395.61</t>
        </r>
      </text>
    </comment>
    <comment ref="T325" authorId="0">
      <text>
        <r>
          <rPr>
            <b/>
            <sz val="9"/>
            <rFont val="宋体"/>
            <charset val="134"/>
          </rPr>
          <t>Administrator:</t>
        </r>
        <r>
          <rPr>
            <sz val="9"/>
            <rFont val="宋体"/>
            <charset val="134"/>
          </rPr>
          <t xml:space="preserve">
2020.10.10收15828.38</t>
        </r>
      </text>
    </comment>
    <comment ref="U325" authorId="0">
      <text>
        <r>
          <rPr>
            <b/>
            <sz val="9"/>
            <rFont val="宋体"/>
            <charset val="134"/>
          </rPr>
          <t>Administrator:</t>
        </r>
        <r>
          <rPr>
            <sz val="9"/>
            <rFont val="宋体"/>
            <charset val="134"/>
          </rPr>
          <t xml:space="preserve">
4450 + 10100 + 5075 + 18925 = 38550RMB
汇率6.708</t>
        </r>
      </text>
    </comment>
    <comment ref="Q326" authorId="0">
      <text>
        <r>
          <rPr>
            <b/>
            <sz val="9"/>
            <rFont val="宋体"/>
            <charset val="134"/>
          </rPr>
          <t>Administrator:</t>
        </r>
        <r>
          <rPr>
            <sz val="9"/>
            <rFont val="宋体"/>
            <charset val="134"/>
          </rPr>
          <t xml:space="preserve">
2020.8.13收5962美金</t>
        </r>
      </text>
    </comment>
    <comment ref="T326" authorId="0">
      <text>
        <r>
          <rPr>
            <b/>
            <sz val="9"/>
            <rFont val="宋体"/>
            <charset val="134"/>
          </rPr>
          <t>Administrator:</t>
        </r>
        <r>
          <rPr>
            <sz val="9"/>
            <rFont val="宋体"/>
            <charset val="134"/>
          </rPr>
          <t xml:space="preserve">
2020.10.26收</t>
        </r>
      </text>
    </comment>
    <comment ref="Q327" authorId="0">
      <text>
        <r>
          <rPr>
            <b/>
            <sz val="9"/>
            <rFont val="宋体"/>
            <charset val="134"/>
          </rPr>
          <t>Administrator:</t>
        </r>
        <r>
          <rPr>
            <sz val="9"/>
            <rFont val="宋体"/>
            <charset val="134"/>
          </rPr>
          <t xml:space="preserve">
2020.8.14收6956美金</t>
        </r>
      </text>
    </comment>
    <comment ref="T327" authorId="0">
      <text>
        <r>
          <rPr>
            <b/>
            <sz val="9"/>
            <rFont val="宋体"/>
            <charset val="134"/>
          </rPr>
          <t>Administrator:</t>
        </r>
        <r>
          <rPr>
            <sz val="9"/>
            <rFont val="宋体"/>
            <charset val="134"/>
          </rPr>
          <t xml:space="preserve">
2020.9.18收15448.25</t>
        </r>
      </text>
    </comment>
    <comment ref="Q328" authorId="0">
      <text>
        <r>
          <rPr>
            <b/>
            <sz val="9"/>
            <rFont val="宋体"/>
            <charset val="134"/>
          </rPr>
          <t>Administrator:</t>
        </r>
        <r>
          <rPr>
            <sz val="9"/>
            <rFont val="宋体"/>
            <charset val="134"/>
          </rPr>
          <t xml:space="preserve">
2020.8.18收7700美金</t>
        </r>
      </text>
    </comment>
    <comment ref="T328" authorId="0">
      <text>
        <r>
          <rPr>
            <b/>
            <sz val="9"/>
            <rFont val="宋体"/>
            <charset val="134"/>
          </rPr>
          <t>Administrator:</t>
        </r>
        <r>
          <rPr>
            <sz val="9"/>
            <rFont val="宋体"/>
            <charset val="134"/>
          </rPr>
          <t xml:space="preserve">
2020.10.13收</t>
        </r>
      </text>
    </comment>
    <comment ref="Q329" authorId="0">
      <text>
        <r>
          <rPr>
            <b/>
            <sz val="9"/>
            <rFont val="宋体"/>
            <charset val="134"/>
          </rPr>
          <t>Administrator:</t>
        </r>
        <r>
          <rPr>
            <sz val="9"/>
            <rFont val="宋体"/>
            <charset val="134"/>
          </rPr>
          <t xml:space="preserve">
2020.8.25收17262RMB 汇率6.9048
2020.9.9收17085RMB 汇率6.834 折合2500美金</t>
        </r>
      </text>
    </comment>
    <comment ref="T329" authorId="0">
      <text>
        <r>
          <rPr>
            <b/>
            <sz val="9"/>
            <rFont val="宋体"/>
            <charset val="134"/>
          </rPr>
          <t>Administrator:</t>
        </r>
        <r>
          <rPr>
            <sz val="9"/>
            <rFont val="宋体"/>
            <charset val="134"/>
          </rPr>
          <t xml:space="preserve">
2020.9.28收34050RMB
折合5000美金</t>
        </r>
      </text>
    </comment>
    <comment ref="U329" authorId="0">
      <text>
        <r>
          <rPr>
            <b/>
            <sz val="9"/>
            <rFont val="宋体"/>
            <charset val="134"/>
          </rPr>
          <t>Administrator:</t>
        </r>
        <r>
          <rPr>
            <sz val="9"/>
            <rFont val="宋体"/>
            <charset val="134"/>
          </rPr>
          <t xml:space="preserve">
2020.9.29收RMB34035
折合5000美金
2020.9.29收RMB16806
折合2469美金
2020.10.13收RMB33540
折合美金5000</t>
        </r>
      </text>
    </comment>
    <comment ref="T330" authorId="0">
      <text>
        <r>
          <rPr>
            <b/>
            <sz val="9"/>
            <rFont val="宋体"/>
            <charset val="134"/>
          </rPr>
          <t>Administrator:</t>
        </r>
        <r>
          <rPr>
            <sz val="9"/>
            <rFont val="宋体"/>
            <charset val="134"/>
          </rPr>
          <t xml:space="preserve">
2020.12.18收18478美金</t>
        </r>
      </text>
    </comment>
    <comment ref="U330" authorId="0">
      <text>
        <r>
          <rPr>
            <b/>
            <sz val="9"/>
            <rFont val="宋体"/>
            <charset val="134"/>
          </rPr>
          <t>Administrator:</t>
        </r>
        <r>
          <rPr>
            <sz val="9"/>
            <rFont val="宋体"/>
            <charset val="134"/>
          </rPr>
          <t xml:space="preserve">
2021.2.16收RMB26090 折合美金4048是J3656 J3699 J3871尾款</t>
        </r>
      </text>
    </comment>
    <comment ref="Q331" authorId="0">
      <text>
        <r>
          <rPr>
            <b/>
            <sz val="9"/>
            <rFont val="宋体"/>
            <charset val="134"/>
          </rPr>
          <t>Administrator:</t>
        </r>
        <r>
          <rPr>
            <sz val="9"/>
            <rFont val="宋体"/>
            <charset val="134"/>
          </rPr>
          <t xml:space="preserve">
2020.9.15收9956.6
2020.9.29收9956.6
2020.10.9收9956.6</t>
        </r>
      </text>
    </comment>
    <comment ref="T331" authorId="0">
      <text>
        <r>
          <rPr>
            <b/>
            <sz val="9"/>
            <rFont val="宋体"/>
            <charset val="134"/>
          </rPr>
          <t>Administrator:</t>
        </r>
        <r>
          <rPr>
            <sz val="9"/>
            <rFont val="宋体"/>
            <charset val="134"/>
          </rPr>
          <t xml:space="preserve">
2020.10.27收57758.6</t>
        </r>
      </text>
    </comment>
    <comment ref="T332" authorId="0">
      <text>
        <r>
          <rPr>
            <b/>
            <sz val="9"/>
            <rFont val="宋体"/>
            <charset val="134"/>
          </rPr>
          <t>Administrator:</t>
        </r>
        <r>
          <rPr>
            <sz val="9"/>
            <rFont val="宋体"/>
            <charset val="134"/>
          </rPr>
          <t xml:space="preserve">
2020.12.8收60137</t>
        </r>
      </text>
    </comment>
    <comment ref="T333" authorId="0">
      <text>
        <r>
          <rPr>
            <b/>
            <sz val="9"/>
            <rFont val="宋体"/>
            <charset val="134"/>
          </rPr>
          <t>Administrator:</t>
        </r>
        <r>
          <rPr>
            <sz val="9"/>
            <rFont val="宋体"/>
            <charset val="134"/>
          </rPr>
          <t xml:space="preserve">
2020.11.20收40053.18</t>
        </r>
      </text>
    </comment>
    <comment ref="Q334" authorId="0">
      <text>
        <r>
          <rPr>
            <b/>
            <sz val="9"/>
            <rFont val="宋体"/>
            <charset val="134"/>
          </rPr>
          <t>Administrator:</t>
        </r>
        <r>
          <rPr>
            <sz val="9"/>
            <rFont val="宋体"/>
            <charset val="134"/>
          </rPr>
          <t xml:space="preserve">
2020.9.18收</t>
        </r>
      </text>
    </comment>
    <comment ref="T334" authorId="0">
      <text>
        <r>
          <rPr>
            <b/>
            <sz val="9"/>
            <rFont val="宋体"/>
            <charset val="134"/>
          </rPr>
          <t>Administrator:</t>
        </r>
        <r>
          <rPr>
            <sz val="9"/>
            <rFont val="宋体"/>
            <charset val="134"/>
          </rPr>
          <t xml:space="preserve">
2020.11.11收20241.87</t>
        </r>
      </text>
    </comment>
    <comment ref="T335" authorId="0">
      <text>
        <r>
          <rPr>
            <b/>
            <sz val="9"/>
            <rFont val="宋体"/>
            <charset val="134"/>
          </rPr>
          <t>Administrator:</t>
        </r>
        <r>
          <rPr>
            <sz val="9"/>
            <rFont val="宋体"/>
            <charset val="134"/>
          </rPr>
          <t xml:space="preserve">
年度返款4129.44
固定定金扣2433.27</t>
        </r>
      </text>
    </comment>
    <comment ref="U335" authorId="0">
      <text>
        <r>
          <rPr>
            <b/>
            <sz val="9"/>
            <rFont val="宋体"/>
            <charset val="134"/>
          </rPr>
          <t>Administrator:</t>
        </r>
        <r>
          <rPr>
            <sz val="9"/>
            <rFont val="宋体"/>
            <charset val="134"/>
          </rPr>
          <t xml:space="preserve">
2020.12.3收15096.75</t>
        </r>
      </text>
    </comment>
    <comment ref="Q336" authorId="0">
      <text>
        <r>
          <rPr>
            <b/>
            <sz val="9"/>
            <rFont val="宋体"/>
            <charset val="134"/>
          </rPr>
          <t>Administrator:</t>
        </r>
        <r>
          <rPr>
            <sz val="9"/>
            <rFont val="宋体"/>
            <charset val="134"/>
          </rPr>
          <t xml:space="preserve">
2020.9.20收RMB23650 
折合美金3500</t>
        </r>
      </text>
    </comment>
    <comment ref="T336" authorId="0">
      <text>
        <r>
          <rPr>
            <b/>
            <sz val="9"/>
            <rFont val="宋体"/>
            <charset val="134"/>
          </rPr>
          <t>Administrator:</t>
        </r>
        <r>
          <rPr>
            <sz val="9"/>
            <rFont val="宋体"/>
            <charset val="134"/>
          </rPr>
          <t xml:space="preserve">
2020.12.29收17357.99</t>
        </r>
      </text>
    </comment>
    <comment ref="Q337" authorId="0">
      <text>
        <r>
          <rPr>
            <b/>
            <sz val="9"/>
            <rFont val="宋体"/>
            <charset val="134"/>
          </rPr>
          <t>Administrator:</t>
        </r>
        <r>
          <rPr>
            <sz val="9"/>
            <rFont val="宋体"/>
            <charset val="134"/>
          </rPr>
          <t xml:space="preserve">
2020.9.22收</t>
        </r>
      </text>
    </comment>
    <comment ref="T337" authorId="0">
      <text>
        <r>
          <rPr>
            <b/>
            <sz val="9"/>
            <rFont val="宋体"/>
            <charset val="134"/>
          </rPr>
          <t>Administrator:</t>
        </r>
        <r>
          <rPr>
            <sz val="9"/>
            <rFont val="宋体"/>
            <charset val="134"/>
          </rPr>
          <t xml:space="preserve">
2020.10.9收</t>
        </r>
      </text>
    </comment>
    <comment ref="Q338" authorId="0">
      <text>
        <r>
          <rPr>
            <b/>
            <sz val="9"/>
            <rFont val="宋体"/>
            <charset val="134"/>
          </rPr>
          <t>Administrator:</t>
        </r>
        <r>
          <rPr>
            <sz val="9"/>
            <rFont val="宋体"/>
            <charset val="134"/>
          </rPr>
          <t xml:space="preserve">
2020.9.27收6112.9</t>
        </r>
      </text>
    </comment>
    <comment ref="T338" authorId="0">
      <text>
        <r>
          <rPr>
            <b/>
            <sz val="9"/>
            <rFont val="宋体"/>
            <charset val="134"/>
          </rPr>
          <t>Administrator:</t>
        </r>
        <r>
          <rPr>
            <sz val="9"/>
            <rFont val="宋体"/>
            <charset val="134"/>
          </rPr>
          <t xml:space="preserve">
2021.1.15收14556.4</t>
        </r>
      </text>
    </comment>
    <comment ref="Q339" authorId="0">
      <text>
        <r>
          <rPr>
            <b/>
            <sz val="9"/>
            <rFont val="宋体"/>
            <charset val="134"/>
          </rPr>
          <t>Administrator:</t>
        </r>
        <r>
          <rPr>
            <sz val="9"/>
            <rFont val="宋体"/>
            <charset val="134"/>
          </rPr>
          <t xml:space="preserve">
2020.10.1收6595.82</t>
        </r>
      </text>
    </comment>
    <comment ref="T339" authorId="0">
      <text>
        <r>
          <rPr>
            <b/>
            <sz val="9"/>
            <rFont val="宋体"/>
            <charset val="134"/>
          </rPr>
          <t>Administrator:</t>
        </r>
        <r>
          <rPr>
            <sz val="9"/>
            <rFont val="宋体"/>
            <charset val="134"/>
          </rPr>
          <t xml:space="preserve">
2020.11.23收15153.61</t>
        </r>
      </text>
    </comment>
    <comment ref="Q340" authorId="0">
      <text>
        <r>
          <rPr>
            <b/>
            <sz val="9"/>
            <rFont val="宋体"/>
            <charset val="134"/>
          </rPr>
          <t>Administrator:</t>
        </r>
        <r>
          <rPr>
            <sz val="9"/>
            <rFont val="宋体"/>
            <charset val="134"/>
          </rPr>
          <t xml:space="preserve">
2020.10.10收4815.05</t>
        </r>
      </text>
    </comment>
    <comment ref="T340" authorId="0">
      <text>
        <r>
          <rPr>
            <b/>
            <sz val="9"/>
            <rFont val="宋体"/>
            <charset val="134"/>
          </rPr>
          <t>Administrator:</t>
        </r>
        <r>
          <rPr>
            <sz val="9"/>
            <rFont val="宋体"/>
            <charset val="134"/>
          </rPr>
          <t xml:space="preserve">
2021.1.12收18812.85</t>
        </r>
      </text>
    </comment>
    <comment ref="Q341" authorId="0">
      <text>
        <r>
          <rPr>
            <b/>
            <sz val="9"/>
            <rFont val="宋体"/>
            <charset val="134"/>
          </rPr>
          <t>Administrator:</t>
        </r>
        <r>
          <rPr>
            <sz val="9"/>
            <rFont val="宋体"/>
            <charset val="134"/>
          </rPr>
          <t xml:space="preserve">
2020.10.9收</t>
        </r>
      </text>
    </comment>
    <comment ref="T341" authorId="0">
      <text>
        <r>
          <rPr>
            <b/>
            <sz val="9"/>
            <rFont val="宋体"/>
            <charset val="134"/>
          </rPr>
          <t>Administrator:</t>
        </r>
        <r>
          <rPr>
            <sz val="9"/>
            <rFont val="宋体"/>
            <charset val="134"/>
          </rPr>
          <t xml:space="preserve">
2020.12.4收18675.05</t>
        </r>
      </text>
    </comment>
    <comment ref="T342" authorId="0">
      <text>
        <r>
          <rPr>
            <b/>
            <sz val="9"/>
            <rFont val="宋体"/>
            <charset val="134"/>
          </rPr>
          <t>Administrator:</t>
        </r>
        <r>
          <rPr>
            <sz val="9"/>
            <rFont val="宋体"/>
            <charset val="134"/>
          </rPr>
          <t xml:space="preserve">
2021.1.6收65402.99</t>
        </r>
      </text>
    </comment>
    <comment ref="T343" authorId="0">
      <text>
        <r>
          <rPr>
            <b/>
            <sz val="9"/>
            <rFont val="宋体"/>
            <charset val="134"/>
          </rPr>
          <t>Administrator:</t>
        </r>
        <r>
          <rPr>
            <sz val="9"/>
            <rFont val="宋体"/>
            <charset val="134"/>
          </rPr>
          <t xml:space="preserve">
2021.3.24收89939.5</t>
        </r>
      </text>
    </comment>
    <comment ref="Q344" authorId="0">
      <text>
        <r>
          <rPr>
            <b/>
            <sz val="9"/>
            <rFont val="宋体"/>
            <charset val="134"/>
          </rPr>
          <t>Administrator:</t>
        </r>
        <r>
          <rPr>
            <sz val="9"/>
            <rFont val="宋体"/>
            <charset val="134"/>
          </rPr>
          <t xml:space="preserve">
2020.10.21收9499.1</t>
        </r>
      </text>
    </comment>
    <comment ref="T344" authorId="0">
      <text>
        <r>
          <rPr>
            <b/>
            <sz val="9"/>
            <rFont val="宋体"/>
            <charset val="134"/>
          </rPr>
          <t>Administrator:</t>
        </r>
        <r>
          <rPr>
            <sz val="9"/>
            <rFont val="宋体"/>
            <charset val="134"/>
          </rPr>
          <t xml:space="preserve">
2021.1.29收28590.69</t>
        </r>
      </text>
    </comment>
    <comment ref="T345" authorId="0">
      <text>
        <r>
          <rPr>
            <b/>
            <sz val="9"/>
            <rFont val="宋体"/>
            <charset val="134"/>
          </rPr>
          <t>Administrator:</t>
        </r>
        <r>
          <rPr>
            <sz val="9"/>
            <rFont val="宋体"/>
            <charset val="134"/>
          </rPr>
          <t xml:space="preserve">
2021.1.21收59818.69</t>
        </r>
      </text>
    </comment>
    <comment ref="T346" authorId="0">
      <text>
        <r>
          <rPr>
            <b/>
            <sz val="9"/>
            <rFont val="宋体"/>
            <charset val="134"/>
          </rPr>
          <t>Administrator:</t>
        </r>
        <r>
          <rPr>
            <sz val="9"/>
            <rFont val="宋体"/>
            <charset val="134"/>
          </rPr>
          <t xml:space="preserve">
2021.1.14收62232.21</t>
        </r>
      </text>
    </comment>
    <comment ref="T347" authorId="0">
      <text>
        <r>
          <rPr>
            <b/>
            <sz val="9"/>
            <rFont val="宋体"/>
            <charset val="134"/>
          </rPr>
          <t>Administrator:</t>
        </r>
        <r>
          <rPr>
            <sz val="9"/>
            <rFont val="宋体"/>
            <charset val="134"/>
          </rPr>
          <t xml:space="preserve">
2021.1.20收41596.17</t>
        </r>
      </text>
    </comment>
    <comment ref="T348" authorId="0">
      <text>
        <r>
          <rPr>
            <b/>
            <sz val="9"/>
            <rFont val="宋体"/>
            <charset val="134"/>
          </rPr>
          <t>Administrator:</t>
        </r>
        <r>
          <rPr>
            <sz val="9"/>
            <rFont val="宋体"/>
            <charset val="134"/>
          </rPr>
          <t xml:space="preserve">
2021.1.21收61713.62</t>
        </r>
      </text>
    </comment>
    <comment ref="T349" authorId="0">
      <text>
        <r>
          <rPr>
            <b/>
            <sz val="9"/>
            <rFont val="宋体"/>
            <charset val="134"/>
          </rPr>
          <t>Administrator:</t>
        </r>
        <r>
          <rPr>
            <sz val="9"/>
            <rFont val="宋体"/>
            <charset val="134"/>
          </rPr>
          <t xml:space="preserve">
2020.12.17收122321.68</t>
        </r>
      </text>
    </comment>
    <comment ref="T350" authorId="0">
      <text>
        <r>
          <rPr>
            <b/>
            <sz val="9"/>
            <rFont val="宋体"/>
            <charset val="134"/>
          </rPr>
          <t>Administrator:</t>
        </r>
        <r>
          <rPr>
            <sz val="9"/>
            <rFont val="宋体"/>
            <charset val="134"/>
          </rPr>
          <t xml:space="preserve">
2021.1.26收41122.95</t>
        </r>
      </text>
    </comment>
    <comment ref="T351" authorId="0">
      <text>
        <r>
          <rPr>
            <b/>
            <sz val="9"/>
            <rFont val="宋体"/>
            <charset val="134"/>
          </rPr>
          <t>Administrator:</t>
        </r>
        <r>
          <rPr>
            <sz val="9"/>
            <rFont val="宋体"/>
            <charset val="134"/>
          </rPr>
          <t xml:space="preserve">
2021.2.9收41328.03</t>
        </r>
      </text>
    </comment>
    <comment ref="T352" authorId="0">
      <text>
        <r>
          <rPr>
            <b/>
            <sz val="9"/>
            <rFont val="宋体"/>
            <charset val="134"/>
          </rPr>
          <t>Administrator:</t>
        </r>
        <r>
          <rPr>
            <sz val="9"/>
            <rFont val="宋体"/>
            <charset val="134"/>
          </rPr>
          <t xml:space="preserve">
2021.2.19收62434.77</t>
        </r>
      </text>
    </comment>
    <comment ref="Q353" authorId="0">
      <text>
        <r>
          <rPr>
            <b/>
            <sz val="9"/>
            <rFont val="宋体"/>
            <charset val="134"/>
          </rPr>
          <t>Administrator:</t>
        </r>
        <r>
          <rPr>
            <sz val="9"/>
            <rFont val="宋体"/>
            <charset val="134"/>
          </rPr>
          <t xml:space="preserve">
2020.11.5收</t>
        </r>
      </text>
    </comment>
    <comment ref="T353" authorId="0">
      <text>
        <r>
          <rPr>
            <b/>
            <sz val="9"/>
            <rFont val="宋体"/>
            <charset val="134"/>
          </rPr>
          <t>Administrator:</t>
        </r>
        <r>
          <rPr>
            <sz val="9"/>
            <rFont val="宋体"/>
            <charset val="134"/>
          </rPr>
          <t xml:space="preserve">
2020.11.27收367235人民币</t>
        </r>
      </text>
    </comment>
    <comment ref="Q354" authorId="0">
      <text>
        <r>
          <rPr>
            <b/>
            <sz val="9"/>
            <rFont val="宋体"/>
            <charset val="134"/>
          </rPr>
          <t>Administrator:</t>
        </r>
        <r>
          <rPr>
            <sz val="9"/>
            <rFont val="宋体"/>
            <charset val="134"/>
          </rPr>
          <t xml:space="preserve">
2020.11.13收16200
水单16200</t>
        </r>
      </text>
    </comment>
    <comment ref="T354" authorId="0">
      <text>
        <r>
          <rPr>
            <b/>
            <sz val="9"/>
            <rFont val="宋体"/>
            <charset val="134"/>
          </rPr>
          <t>Administrator:</t>
        </r>
        <r>
          <rPr>
            <sz val="9"/>
            <rFont val="宋体"/>
            <charset val="134"/>
          </rPr>
          <t xml:space="preserve">
2021.1.13收21491.02+19370</t>
        </r>
      </text>
    </comment>
    <comment ref="Q355" authorId="0">
      <text>
        <r>
          <rPr>
            <b/>
            <sz val="9"/>
            <rFont val="宋体"/>
            <charset val="134"/>
          </rPr>
          <t>Administrator:</t>
        </r>
        <r>
          <rPr>
            <sz val="9"/>
            <rFont val="宋体"/>
            <charset val="134"/>
          </rPr>
          <t xml:space="preserve">
2020.11.20收99940RMB</t>
        </r>
      </text>
    </comment>
    <comment ref="T355" authorId="0">
      <text>
        <r>
          <rPr>
            <b/>
            <sz val="9"/>
            <rFont val="宋体"/>
            <charset val="134"/>
          </rPr>
          <t>Administrator:</t>
        </r>
        <r>
          <rPr>
            <sz val="9"/>
            <rFont val="宋体"/>
            <charset val="134"/>
          </rPr>
          <t xml:space="preserve">
2020.12.22收376746.28RMB</t>
        </r>
      </text>
    </comment>
    <comment ref="T356" authorId="0">
      <text>
        <r>
          <rPr>
            <b/>
            <sz val="9"/>
            <rFont val="宋体"/>
            <charset val="134"/>
          </rPr>
          <t>Administrator:</t>
        </r>
        <r>
          <rPr>
            <sz val="9"/>
            <rFont val="宋体"/>
            <charset val="134"/>
          </rPr>
          <t xml:space="preserve">
2021.1.11收RMB330493.42</t>
        </r>
      </text>
    </comment>
    <comment ref="Q357" authorId="0">
      <text>
        <r>
          <rPr>
            <b/>
            <sz val="9"/>
            <rFont val="宋体"/>
            <charset val="134"/>
          </rPr>
          <t>Administrator:</t>
        </r>
        <r>
          <rPr>
            <sz val="9"/>
            <rFont val="宋体"/>
            <charset val="134"/>
          </rPr>
          <t xml:space="preserve">
2020.11.13收6413.48</t>
        </r>
      </text>
    </comment>
    <comment ref="T357" authorId="0">
      <text>
        <r>
          <rPr>
            <b/>
            <sz val="9"/>
            <rFont val="宋体"/>
            <charset val="134"/>
          </rPr>
          <t>Administrator:</t>
        </r>
        <r>
          <rPr>
            <sz val="9"/>
            <rFont val="宋体"/>
            <charset val="134"/>
          </rPr>
          <t xml:space="preserve">
2021.1.25收15867.42</t>
        </r>
      </text>
    </comment>
    <comment ref="Q358" authorId="0">
      <text>
        <r>
          <rPr>
            <b/>
            <sz val="9"/>
            <rFont val="宋体"/>
            <charset val="134"/>
          </rPr>
          <t>Administrator:</t>
        </r>
        <r>
          <rPr>
            <sz val="9"/>
            <rFont val="宋体"/>
            <charset val="134"/>
          </rPr>
          <t xml:space="preserve">
2020.11.16收6923.4</t>
        </r>
      </text>
    </comment>
    <comment ref="T358" authorId="0">
      <text>
        <r>
          <rPr>
            <b/>
            <sz val="9"/>
            <rFont val="宋体"/>
            <charset val="134"/>
          </rPr>
          <t>Administrator:</t>
        </r>
        <r>
          <rPr>
            <sz val="9"/>
            <rFont val="宋体"/>
            <charset val="134"/>
          </rPr>
          <t xml:space="preserve">
2021.2.19收16189.6</t>
        </r>
      </text>
    </comment>
    <comment ref="T359" authorId="0">
      <text>
        <r>
          <rPr>
            <b/>
            <sz val="9"/>
            <rFont val="宋体"/>
            <charset val="134"/>
          </rPr>
          <t>Administrator:</t>
        </r>
        <r>
          <rPr>
            <sz val="9"/>
            <rFont val="宋体"/>
            <charset val="134"/>
          </rPr>
          <t xml:space="preserve">
2021.3.18收85148.16</t>
        </r>
      </text>
    </comment>
    <comment ref="T360" authorId="0">
      <text>
        <r>
          <rPr>
            <b/>
            <sz val="9"/>
            <rFont val="宋体"/>
            <charset val="134"/>
          </rPr>
          <t>Administrator:</t>
        </r>
        <r>
          <rPr>
            <sz val="9"/>
            <rFont val="宋体"/>
            <charset val="134"/>
          </rPr>
          <t xml:space="preserve">
2020.12.14收15638.65RMB  </t>
        </r>
      </text>
    </comment>
    <comment ref="Q361" authorId="0">
      <text>
        <r>
          <rPr>
            <b/>
            <sz val="9"/>
            <rFont val="宋体"/>
            <charset val="134"/>
          </rPr>
          <t>Administrator:</t>
        </r>
        <r>
          <rPr>
            <sz val="9"/>
            <rFont val="宋体"/>
            <charset val="134"/>
          </rPr>
          <t xml:space="preserve">
2020.12.4收7047.14</t>
        </r>
      </text>
    </comment>
    <comment ref="T361" authorId="0">
      <text>
        <r>
          <rPr>
            <b/>
            <sz val="9"/>
            <rFont val="宋体"/>
            <charset val="134"/>
          </rPr>
          <t>Administrator:</t>
        </r>
        <r>
          <rPr>
            <sz val="9"/>
            <rFont val="宋体"/>
            <charset val="134"/>
          </rPr>
          <t xml:space="preserve">
2021.1.22收16992.57</t>
        </r>
      </text>
    </comment>
    <comment ref="T362" authorId="0">
      <text>
        <r>
          <rPr>
            <b/>
            <sz val="9"/>
            <rFont val="宋体"/>
            <charset val="134"/>
          </rPr>
          <t>Administrator:</t>
        </r>
        <r>
          <rPr>
            <sz val="9"/>
            <rFont val="宋体"/>
            <charset val="134"/>
          </rPr>
          <t xml:space="preserve">
2021.3.18收16557.5</t>
        </r>
      </text>
    </comment>
    <comment ref="U362" authorId="0">
      <text>
        <r>
          <rPr>
            <b/>
            <sz val="9"/>
            <rFont val="宋体"/>
            <charset val="134"/>
          </rPr>
          <t>Administrator:</t>
        </r>
        <r>
          <rPr>
            <sz val="9"/>
            <rFont val="宋体"/>
            <charset val="134"/>
          </rPr>
          <t xml:space="preserve">
2021.4.12收10855
水单10900包括J3952尾款 和补齐固定定金2430.34</t>
        </r>
      </text>
    </comment>
    <comment ref="Q363" authorId="0">
      <text>
        <r>
          <rPr>
            <b/>
            <sz val="9"/>
            <rFont val="宋体"/>
            <charset val="134"/>
          </rPr>
          <t>Administrator:</t>
        </r>
        <r>
          <rPr>
            <sz val="9"/>
            <rFont val="宋体"/>
            <charset val="134"/>
          </rPr>
          <t xml:space="preserve">
2020.12.17收14956.61</t>
        </r>
      </text>
    </comment>
    <comment ref="T363" authorId="0">
      <text>
        <r>
          <rPr>
            <b/>
            <sz val="9"/>
            <rFont val="宋体"/>
            <charset val="134"/>
          </rPr>
          <t>Administrator:</t>
        </r>
        <r>
          <rPr>
            <sz val="9"/>
            <rFont val="宋体"/>
            <charset val="134"/>
          </rPr>
          <t xml:space="preserve">
2021.2.9收62622.61</t>
        </r>
      </text>
    </comment>
    <comment ref="T364" authorId="0">
      <text>
        <r>
          <rPr>
            <b/>
            <sz val="9"/>
            <rFont val="宋体"/>
            <charset val="134"/>
          </rPr>
          <t>Administrator:</t>
        </r>
        <r>
          <rPr>
            <sz val="9"/>
            <rFont val="宋体"/>
            <charset val="134"/>
          </rPr>
          <t xml:space="preserve">
2021.6.1收46514.84</t>
        </r>
      </text>
    </comment>
    <comment ref="T365" authorId="0">
      <text>
        <r>
          <rPr>
            <b/>
            <sz val="9"/>
            <rFont val="宋体"/>
            <charset val="134"/>
          </rPr>
          <t>Administrator:</t>
        </r>
        <r>
          <rPr>
            <sz val="9"/>
            <rFont val="宋体"/>
            <charset val="134"/>
          </rPr>
          <t xml:space="preserve">
2021.6.16收49537.04
J3959-2+J4009</t>
        </r>
      </text>
    </comment>
    <comment ref="T366" authorId="0">
      <text>
        <r>
          <rPr>
            <b/>
            <sz val="9"/>
            <rFont val="宋体"/>
            <charset val="134"/>
          </rPr>
          <t>Administrator:</t>
        </r>
        <r>
          <rPr>
            <sz val="9"/>
            <rFont val="宋体"/>
            <charset val="134"/>
          </rPr>
          <t xml:space="preserve">
2021.6.9收101120.44</t>
        </r>
      </text>
    </comment>
    <comment ref="Q367" authorId="0">
      <text>
        <r>
          <rPr>
            <b/>
            <sz val="9"/>
            <rFont val="宋体"/>
            <charset val="134"/>
          </rPr>
          <t>Administrator:</t>
        </r>
        <r>
          <rPr>
            <sz val="9"/>
            <rFont val="宋体"/>
            <charset val="134"/>
          </rPr>
          <t xml:space="preserve">
2021.1.5收11200</t>
        </r>
      </text>
    </comment>
    <comment ref="T367" authorId="0">
      <text>
        <r>
          <rPr>
            <b/>
            <sz val="9"/>
            <rFont val="宋体"/>
            <charset val="134"/>
          </rPr>
          <t>Administrator:</t>
        </r>
        <r>
          <rPr>
            <sz val="9"/>
            <rFont val="宋体"/>
            <charset val="134"/>
          </rPr>
          <t xml:space="preserve">
2021.2.18收</t>
        </r>
      </text>
    </comment>
    <comment ref="Q368" authorId="0">
      <text>
        <r>
          <rPr>
            <b/>
            <sz val="9"/>
            <rFont val="宋体"/>
            <charset val="134"/>
          </rPr>
          <t>Administrator:</t>
        </r>
        <r>
          <rPr>
            <sz val="9"/>
            <rFont val="宋体"/>
            <charset val="134"/>
          </rPr>
          <t xml:space="preserve">
2021.1.5收</t>
        </r>
      </text>
    </comment>
    <comment ref="T368" authorId="0">
      <text>
        <r>
          <rPr>
            <b/>
            <sz val="9"/>
            <rFont val="宋体"/>
            <charset val="134"/>
          </rPr>
          <t>Administrator:</t>
        </r>
        <r>
          <rPr>
            <sz val="9"/>
            <rFont val="宋体"/>
            <charset val="134"/>
          </rPr>
          <t xml:space="preserve">
2021.1.19收</t>
        </r>
      </text>
    </comment>
    <comment ref="Q369" authorId="0">
      <text>
        <r>
          <rPr>
            <b/>
            <sz val="9"/>
            <rFont val="宋体"/>
            <charset val="134"/>
          </rPr>
          <t>Administrator:</t>
        </r>
        <r>
          <rPr>
            <sz val="9"/>
            <rFont val="宋体"/>
            <charset val="134"/>
          </rPr>
          <t xml:space="preserve">
2021.1.8收3965</t>
        </r>
      </text>
    </comment>
    <comment ref="T369" authorId="0">
      <text>
        <r>
          <rPr>
            <b/>
            <sz val="9"/>
            <rFont val="宋体"/>
            <charset val="134"/>
          </rPr>
          <t>Administrator:</t>
        </r>
        <r>
          <rPr>
            <sz val="9"/>
            <rFont val="宋体"/>
            <charset val="134"/>
          </rPr>
          <t xml:space="preserve">
2021.6.1收21010.15</t>
        </r>
      </text>
    </comment>
    <comment ref="Q370" authorId="0">
      <text>
        <r>
          <rPr>
            <b/>
            <sz val="9"/>
            <rFont val="宋体"/>
            <charset val="134"/>
          </rPr>
          <t>Administrator:</t>
        </r>
        <r>
          <rPr>
            <sz val="9"/>
            <rFont val="宋体"/>
            <charset val="134"/>
          </rPr>
          <t xml:space="preserve">
2021.1.12收RMB64700折合1万美金</t>
        </r>
      </text>
    </comment>
    <comment ref="T370" authorId="0">
      <text>
        <r>
          <rPr>
            <b/>
            <sz val="9"/>
            <rFont val="宋体"/>
            <charset val="134"/>
          </rPr>
          <t>Administrator:</t>
        </r>
        <r>
          <rPr>
            <sz val="9"/>
            <rFont val="宋体"/>
            <charset val="134"/>
          </rPr>
          <t xml:space="preserve">
2021.5.18收RMB115920折合美金18000</t>
        </r>
      </text>
    </comment>
    <comment ref="U370" authorId="0">
      <text>
        <r>
          <rPr>
            <b/>
            <sz val="9"/>
            <rFont val="宋体"/>
            <charset val="134"/>
          </rPr>
          <t>Administrator:</t>
        </r>
        <r>
          <rPr>
            <sz val="9"/>
            <rFont val="宋体"/>
            <charset val="134"/>
          </rPr>
          <t xml:space="preserve">
2021.8.25收RMB185438
汇率6.47</t>
        </r>
      </text>
    </comment>
    <comment ref="Q371" authorId="0">
      <text>
        <r>
          <rPr>
            <b/>
            <sz val="9"/>
            <rFont val="宋体"/>
            <charset val="134"/>
          </rPr>
          <t>Administrator:</t>
        </r>
        <r>
          <rPr>
            <sz val="9"/>
            <rFont val="宋体"/>
            <charset val="134"/>
          </rPr>
          <t xml:space="preserve">
2021.1.23收5025.17</t>
        </r>
      </text>
    </comment>
    <comment ref="T371" authorId="0">
      <text>
        <r>
          <rPr>
            <b/>
            <sz val="9"/>
            <rFont val="宋体"/>
            <charset val="134"/>
          </rPr>
          <t>Administrator:</t>
        </r>
        <r>
          <rPr>
            <sz val="9"/>
            <rFont val="宋体"/>
            <charset val="134"/>
          </rPr>
          <t xml:space="preserve">
2021.4.22收22161.55</t>
        </r>
      </text>
    </comment>
    <comment ref="P372" authorId="0">
      <text>
        <r>
          <rPr>
            <b/>
            <sz val="9"/>
            <rFont val="宋体"/>
            <charset val="134"/>
          </rPr>
          <t>Administrator:</t>
        </r>
        <r>
          <rPr>
            <sz val="9"/>
            <rFont val="宋体"/>
            <charset val="134"/>
          </rPr>
          <t xml:space="preserve">
发票值15290.15 客户把甩的货也付款了</t>
        </r>
      </text>
    </comment>
    <comment ref="Q372" authorId="0">
      <text>
        <r>
          <rPr>
            <b/>
            <sz val="9"/>
            <rFont val="宋体"/>
            <charset val="134"/>
          </rPr>
          <t>Administrator:</t>
        </r>
        <r>
          <rPr>
            <sz val="9"/>
            <rFont val="宋体"/>
            <charset val="134"/>
          </rPr>
          <t xml:space="preserve">
2021.2.2收5435.61</t>
        </r>
      </text>
    </comment>
    <comment ref="T372" authorId="0">
      <text>
        <r>
          <rPr>
            <b/>
            <sz val="9"/>
            <rFont val="宋体"/>
            <charset val="134"/>
          </rPr>
          <t>Administrator:</t>
        </r>
        <r>
          <rPr>
            <sz val="9"/>
            <rFont val="宋体"/>
            <charset val="134"/>
          </rPr>
          <t xml:space="preserve">
2021.5.2收9773.77</t>
        </r>
      </text>
    </comment>
    <comment ref="U372" authorId="0">
      <text>
        <r>
          <rPr>
            <b/>
            <sz val="9"/>
            <rFont val="宋体"/>
            <charset val="134"/>
          </rPr>
          <t>Administrator:</t>
        </r>
        <r>
          <rPr>
            <sz val="9"/>
            <rFont val="宋体"/>
            <charset val="134"/>
          </rPr>
          <t xml:space="preserve">
2021.5.2收2922.8</t>
        </r>
      </text>
    </comment>
    <comment ref="T373" authorId="0">
      <text>
        <r>
          <rPr>
            <b/>
            <sz val="9"/>
            <rFont val="宋体"/>
            <charset val="134"/>
          </rPr>
          <t>Administrator:</t>
        </r>
        <r>
          <rPr>
            <sz val="9"/>
            <rFont val="宋体"/>
            <charset val="134"/>
          </rPr>
          <t xml:space="preserve">
2021.6.28收104498.39</t>
        </r>
      </text>
    </comment>
    <comment ref="Q375" authorId="0">
      <text>
        <r>
          <rPr>
            <b/>
            <sz val="9"/>
            <rFont val="宋体"/>
            <charset val="134"/>
          </rPr>
          <t>Administrator:</t>
        </r>
        <r>
          <rPr>
            <sz val="9"/>
            <rFont val="宋体"/>
            <charset val="134"/>
          </rPr>
          <t xml:space="preserve">
2021.5.24收75000
2021.4.6收59027
共134027美金 平均到J3978-2+J3976+J4016-1  14个柜子上 每个柜子减掉定金9574美金</t>
        </r>
      </text>
    </comment>
    <comment ref="T375" authorId="0">
      <text>
        <r>
          <rPr>
            <b/>
            <sz val="9"/>
            <rFont val="宋体"/>
            <charset val="134"/>
          </rPr>
          <t>Administrator:</t>
        </r>
        <r>
          <rPr>
            <sz val="9"/>
            <rFont val="宋体"/>
            <charset val="134"/>
          </rPr>
          <t xml:space="preserve">
2021.8.6收J3978-2+J4016-1 55872.52</t>
        </r>
      </text>
    </comment>
    <comment ref="T376" authorId="0">
      <text>
        <r>
          <rPr>
            <b/>
            <sz val="9"/>
            <rFont val="宋体"/>
            <charset val="134"/>
          </rPr>
          <t>Administrator:</t>
        </r>
        <r>
          <rPr>
            <sz val="9"/>
            <rFont val="宋体"/>
            <charset val="134"/>
          </rPr>
          <t xml:space="preserve">
2021.6.24收53747.46</t>
        </r>
      </text>
    </comment>
    <comment ref="Q377" authorId="0">
      <text>
        <r>
          <rPr>
            <b/>
            <sz val="9"/>
            <rFont val="宋体"/>
            <charset val="134"/>
          </rPr>
          <t>Administrator:</t>
        </r>
        <r>
          <rPr>
            <sz val="9"/>
            <rFont val="宋体"/>
            <charset val="134"/>
          </rPr>
          <t xml:space="preserve">
2021.2.5收4731</t>
        </r>
      </text>
    </comment>
    <comment ref="T377" authorId="0">
      <text>
        <r>
          <rPr>
            <b/>
            <sz val="9"/>
            <rFont val="宋体"/>
            <charset val="134"/>
          </rPr>
          <t>Administrator:</t>
        </r>
        <r>
          <rPr>
            <sz val="9"/>
            <rFont val="宋体"/>
            <charset val="134"/>
          </rPr>
          <t xml:space="preserve">
2021.6.15收24635.4
J4060定金USD5646+J3973尾款19024</t>
        </r>
      </text>
    </comment>
    <comment ref="T378" authorId="0">
      <text>
        <r>
          <rPr>
            <b/>
            <sz val="9"/>
            <rFont val="宋体"/>
            <charset val="134"/>
          </rPr>
          <t>Administrator:</t>
        </r>
        <r>
          <rPr>
            <sz val="9"/>
            <rFont val="宋体"/>
            <charset val="134"/>
          </rPr>
          <t xml:space="preserve">
2021.4.25收24366.3</t>
        </r>
      </text>
    </comment>
    <comment ref="Q379" authorId="0">
      <text>
        <r>
          <rPr>
            <b/>
            <sz val="9"/>
            <rFont val="宋体"/>
            <charset val="134"/>
          </rPr>
          <t>Administrator:</t>
        </r>
        <r>
          <rPr>
            <sz val="9"/>
            <rFont val="宋体"/>
            <charset val="134"/>
          </rPr>
          <t xml:space="preserve">
2021.3.3收7956</t>
        </r>
      </text>
    </comment>
    <comment ref="T379" authorId="0">
      <text>
        <r>
          <rPr>
            <b/>
            <sz val="9"/>
            <rFont val="宋体"/>
            <charset val="134"/>
          </rPr>
          <t>Administrator:</t>
        </r>
        <r>
          <rPr>
            <sz val="9"/>
            <rFont val="宋体"/>
            <charset val="134"/>
          </rPr>
          <t xml:space="preserve">
2021.5.5收20122.95</t>
        </r>
      </text>
    </comment>
    <comment ref="T380" authorId="0">
      <text>
        <r>
          <rPr>
            <b/>
            <sz val="9"/>
            <rFont val="宋体"/>
            <charset val="134"/>
          </rPr>
          <t>Administrator:</t>
        </r>
        <r>
          <rPr>
            <sz val="9"/>
            <rFont val="宋体"/>
            <charset val="134"/>
          </rPr>
          <t xml:space="preserve">
2021.4.9收48856.57</t>
        </r>
      </text>
    </comment>
    <comment ref="Q381" authorId="0">
      <text>
        <r>
          <rPr>
            <b/>
            <sz val="9"/>
            <rFont val="宋体"/>
            <charset val="134"/>
          </rPr>
          <t>Administrator:</t>
        </r>
        <r>
          <rPr>
            <sz val="9"/>
            <rFont val="宋体"/>
            <charset val="134"/>
          </rPr>
          <t xml:space="preserve">
2021.3.11收14956.62</t>
        </r>
      </text>
    </comment>
    <comment ref="T381" authorId="0">
      <text>
        <r>
          <rPr>
            <b/>
            <sz val="9"/>
            <rFont val="宋体"/>
            <charset val="134"/>
          </rPr>
          <t>Administrator:</t>
        </r>
        <r>
          <rPr>
            <sz val="9"/>
            <rFont val="宋体"/>
            <charset val="134"/>
          </rPr>
          <t xml:space="preserve">
2021.4.28收67955</t>
        </r>
      </text>
    </comment>
    <comment ref="Q382" authorId="0">
      <text>
        <r>
          <rPr>
            <b/>
            <sz val="9"/>
            <rFont val="宋体"/>
            <charset val="134"/>
          </rPr>
          <t>Administrator:</t>
        </r>
        <r>
          <rPr>
            <sz val="9"/>
            <rFont val="宋体"/>
            <charset val="134"/>
          </rPr>
          <t xml:space="preserve">
2021.3.3收10208.98</t>
        </r>
      </text>
    </comment>
    <comment ref="T382" authorId="0">
      <text>
        <r>
          <rPr>
            <b/>
            <sz val="9"/>
            <rFont val="宋体"/>
            <charset val="134"/>
          </rPr>
          <t>Administrator:</t>
        </r>
        <r>
          <rPr>
            <sz val="9"/>
            <rFont val="宋体"/>
            <charset val="134"/>
          </rPr>
          <t xml:space="preserve">
2021.4.9收</t>
        </r>
      </text>
    </comment>
    <comment ref="Q383" authorId="0">
      <text>
        <r>
          <rPr>
            <b/>
            <sz val="9"/>
            <rFont val="宋体"/>
            <charset val="134"/>
          </rPr>
          <t>Administrator:</t>
        </r>
        <r>
          <rPr>
            <sz val="9"/>
            <rFont val="宋体"/>
            <charset val="134"/>
          </rPr>
          <t xml:space="preserve">
J3762定金移到J3873</t>
        </r>
      </text>
    </comment>
    <comment ref="T383" authorId="0">
      <text>
        <r>
          <rPr>
            <b/>
            <sz val="9"/>
            <rFont val="宋体"/>
            <charset val="134"/>
          </rPr>
          <t>Administrator:</t>
        </r>
        <r>
          <rPr>
            <sz val="9"/>
            <rFont val="宋体"/>
            <charset val="134"/>
          </rPr>
          <t xml:space="preserve">
2021.7.5收98647
</t>
        </r>
      </text>
    </comment>
    <comment ref="Q384" authorId="0">
      <text>
        <r>
          <rPr>
            <b/>
            <sz val="9"/>
            <rFont val="宋体"/>
            <charset val="134"/>
          </rPr>
          <t>Administrator:</t>
        </r>
        <r>
          <rPr>
            <sz val="9"/>
            <rFont val="宋体"/>
            <charset val="134"/>
          </rPr>
          <t xml:space="preserve">
2021.3.10收6645</t>
        </r>
      </text>
    </comment>
    <comment ref="T384" authorId="0">
      <text>
        <r>
          <rPr>
            <b/>
            <sz val="9"/>
            <rFont val="宋体"/>
            <charset val="134"/>
          </rPr>
          <t>Administrator:</t>
        </r>
        <r>
          <rPr>
            <sz val="9"/>
            <rFont val="宋体"/>
            <charset val="134"/>
          </rPr>
          <t xml:space="preserve">
2021.6.15收15518.65</t>
        </r>
      </text>
    </comment>
    <comment ref="T385" authorId="0">
      <text>
        <r>
          <rPr>
            <b/>
            <sz val="9"/>
            <rFont val="宋体"/>
            <charset val="134"/>
          </rPr>
          <t>Administrator:</t>
        </r>
        <r>
          <rPr>
            <sz val="9"/>
            <rFont val="宋体"/>
            <charset val="134"/>
          </rPr>
          <t xml:space="preserve">
2021.5.6收14990.98</t>
        </r>
      </text>
    </comment>
    <comment ref="U385" authorId="0">
      <text>
        <r>
          <rPr>
            <b/>
            <sz val="9"/>
            <rFont val="宋体"/>
            <charset val="134"/>
          </rPr>
          <t>Administrator:</t>
        </r>
        <r>
          <rPr>
            <sz val="9"/>
            <rFont val="宋体"/>
            <charset val="134"/>
          </rPr>
          <t xml:space="preserve">
2021.5.7付16500
12270用于J3995尾款
4229.41用于J4035</t>
        </r>
      </text>
    </comment>
    <comment ref="Q387" authorId="0">
      <text>
        <r>
          <rPr>
            <b/>
            <sz val="9"/>
            <rFont val="宋体"/>
            <charset val="134"/>
          </rPr>
          <t>Administrator:</t>
        </r>
        <r>
          <rPr>
            <sz val="9"/>
            <rFont val="宋体"/>
            <charset val="134"/>
          </rPr>
          <t xml:space="preserve">
2021.3.25收5638.56</t>
        </r>
      </text>
    </comment>
    <comment ref="T387" authorId="0">
      <text>
        <r>
          <rPr>
            <b/>
            <sz val="9"/>
            <rFont val="宋体"/>
            <charset val="134"/>
          </rPr>
          <t>Administrator:</t>
        </r>
        <r>
          <rPr>
            <sz val="9"/>
            <rFont val="宋体"/>
            <charset val="134"/>
          </rPr>
          <t xml:space="preserve">
2021.9.28收26627.87</t>
        </r>
      </text>
    </comment>
    <comment ref="Q388" authorId="0">
      <text>
        <r>
          <rPr>
            <b/>
            <sz val="9"/>
            <rFont val="宋体"/>
            <charset val="134"/>
          </rPr>
          <t>Administrator:</t>
        </r>
        <r>
          <rPr>
            <sz val="9"/>
            <rFont val="宋体"/>
            <charset val="134"/>
          </rPr>
          <t xml:space="preserve">
2021.3.19收7832.82</t>
        </r>
      </text>
    </comment>
    <comment ref="T388" authorId="0">
      <text>
        <r>
          <rPr>
            <b/>
            <sz val="9"/>
            <rFont val="宋体"/>
            <charset val="134"/>
          </rPr>
          <t>Administrator:</t>
        </r>
        <r>
          <rPr>
            <sz val="9"/>
            <rFont val="宋体"/>
            <charset val="134"/>
          </rPr>
          <t xml:space="preserve">
2021.5.12收18564.91</t>
        </r>
      </text>
    </comment>
    <comment ref="T389" authorId="0">
      <text>
        <r>
          <rPr>
            <b/>
            <sz val="9"/>
            <rFont val="宋体"/>
            <charset val="134"/>
          </rPr>
          <t>Administrator:</t>
        </r>
        <r>
          <rPr>
            <sz val="9"/>
            <rFont val="宋体"/>
            <charset val="134"/>
          </rPr>
          <t xml:space="preserve">
2021.9.9收78412.53</t>
        </r>
      </text>
    </comment>
    <comment ref="T390" authorId="0">
      <text>
        <r>
          <rPr>
            <b/>
            <sz val="9"/>
            <rFont val="宋体"/>
            <charset val="134"/>
          </rPr>
          <t>Administrator:</t>
        </r>
        <r>
          <rPr>
            <sz val="9"/>
            <rFont val="宋体"/>
            <charset val="134"/>
          </rPr>
          <t xml:space="preserve">
2021.8.12收52219.05</t>
        </r>
      </text>
    </comment>
    <comment ref="Q392" authorId="0">
      <text>
        <r>
          <rPr>
            <b/>
            <sz val="9"/>
            <rFont val="宋体"/>
            <charset val="134"/>
          </rPr>
          <t>Administrator:</t>
        </r>
        <r>
          <rPr>
            <sz val="9"/>
            <rFont val="宋体"/>
            <charset val="134"/>
          </rPr>
          <t xml:space="preserve">
2021.4.7收7457</t>
        </r>
      </text>
    </comment>
    <comment ref="T392" authorId="0">
      <text>
        <r>
          <rPr>
            <b/>
            <sz val="9"/>
            <rFont val="宋体"/>
            <charset val="134"/>
          </rPr>
          <t>Administrator:</t>
        </r>
        <r>
          <rPr>
            <sz val="9"/>
            <rFont val="宋体"/>
            <charset val="134"/>
          </rPr>
          <t xml:space="preserve">
2021.6.23收17111.99</t>
        </r>
      </text>
    </comment>
    <comment ref="T393" authorId="0">
      <text>
        <r>
          <rPr>
            <b/>
            <sz val="9"/>
            <rFont val="宋体"/>
            <charset val="134"/>
          </rPr>
          <t>Administrator:</t>
        </r>
        <r>
          <rPr>
            <sz val="9"/>
            <rFont val="宋体"/>
            <charset val="134"/>
          </rPr>
          <t xml:space="preserve">
2021.4.13收</t>
        </r>
      </text>
    </comment>
    <comment ref="Q394" authorId="0">
      <text>
        <r>
          <rPr>
            <b/>
            <sz val="9"/>
            <rFont val="宋体"/>
            <charset val="134"/>
          </rPr>
          <t>Administrator:</t>
        </r>
        <r>
          <rPr>
            <sz val="9"/>
            <rFont val="宋体"/>
            <charset val="134"/>
          </rPr>
          <t xml:space="preserve">
2021.3.30收4993.91</t>
        </r>
      </text>
    </comment>
    <comment ref="T394" authorId="0">
      <text>
        <r>
          <rPr>
            <b/>
            <sz val="9"/>
            <rFont val="宋体"/>
            <charset val="134"/>
          </rPr>
          <t>Administrator:</t>
        </r>
        <r>
          <rPr>
            <sz val="9"/>
            <rFont val="宋体"/>
            <charset val="134"/>
          </rPr>
          <t xml:space="preserve">
总尾款J4014-13524.33+J3431-7429.25+J4054-13991.55
账目明细见J3431-4备注</t>
        </r>
      </text>
    </comment>
    <comment ref="Q395" authorId="0">
      <text>
        <r>
          <rPr>
            <b/>
            <sz val="9"/>
            <rFont val="宋体"/>
            <charset val="134"/>
          </rPr>
          <t>Administrator:</t>
        </r>
        <r>
          <rPr>
            <sz val="9"/>
            <rFont val="宋体"/>
            <charset val="134"/>
          </rPr>
          <t xml:space="preserve">
2021.4.6收59027
</t>
        </r>
      </text>
    </comment>
    <comment ref="T395" authorId="0">
      <text>
        <r>
          <rPr>
            <b/>
            <sz val="9"/>
            <rFont val="宋体"/>
            <charset val="134"/>
          </rPr>
          <t>Administrator:</t>
        </r>
        <r>
          <rPr>
            <sz val="9"/>
            <rFont val="宋体"/>
            <charset val="134"/>
          </rPr>
          <t xml:space="preserve">
2021.11.29收88364.47</t>
        </r>
      </text>
    </comment>
    <comment ref="T396" authorId="0">
      <text>
        <r>
          <rPr>
            <b/>
            <sz val="9"/>
            <rFont val="宋体"/>
            <charset val="134"/>
          </rPr>
          <t>Administrator:</t>
        </r>
        <r>
          <rPr>
            <sz val="9"/>
            <rFont val="宋体"/>
            <charset val="134"/>
          </rPr>
          <t xml:space="preserve">
2021.8.6收J3978-2+J4016-1 55872.52</t>
        </r>
      </text>
    </comment>
    <comment ref="T397" authorId="0">
      <text>
        <r>
          <rPr>
            <b/>
            <sz val="9"/>
            <rFont val="宋体"/>
            <charset val="134"/>
          </rPr>
          <t>Administrator:</t>
        </r>
        <r>
          <rPr>
            <sz val="9"/>
            <rFont val="宋体"/>
            <charset val="134"/>
          </rPr>
          <t xml:space="preserve">
2021.8.6收64099.22</t>
        </r>
      </text>
    </comment>
    <comment ref="T398" authorId="0">
      <text>
        <r>
          <rPr>
            <b/>
            <sz val="9"/>
            <rFont val="宋体"/>
            <charset val="134"/>
          </rPr>
          <t>Administrator:</t>
        </r>
        <r>
          <rPr>
            <sz val="9"/>
            <rFont val="宋体"/>
            <charset val="134"/>
          </rPr>
          <t xml:space="preserve">
2021.11.4收87734.07</t>
        </r>
      </text>
    </comment>
    <comment ref="Q399" authorId="0">
      <text>
        <r>
          <rPr>
            <b/>
            <sz val="9"/>
            <rFont val="宋体"/>
            <charset val="134"/>
          </rPr>
          <t>Administrator:</t>
        </r>
        <r>
          <rPr>
            <sz val="9"/>
            <rFont val="宋体"/>
            <charset val="134"/>
          </rPr>
          <t xml:space="preserve">
2021.4.12收10800</t>
        </r>
      </text>
    </comment>
    <comment ref="T399" authorId="0">
      <text>
        <r>
          <rPr>
            <b/>
            <sz val="9"/>
            <rFont val="宋体"/>
            <charset val="134"/>
          </rPr>
          <t>Administrator:</t>
        </r>
        <r>
          <rPr>
            <sz val="9"/>
            <rFont val="宋体"/>
            <charset val="134"/>
          </rPr>
          <t xml:space="preserve">
2021.6.3收25384.76</t>
        </r>
      </text>
    </comment>
    <comment ref="Q400" authorId="0">
      <text>
        <r>
          <rPr>
            <b/>
            <sz val="9"/>
            <rFont val="宋体"/>
            <charset val="134"/>
          </rPr>
          <t>Administrator:</t>
        </r>
        <r>
          <rPr>
            <sz val="9"/>
            <rFont val="宋体"/>
            <charset val="134"/>
          </rPr>
          <t xml:space="preserve">
2021.4.14收9956.63</t>
        </r>
      </text>
    </comment>
    <comment ref="T400" authorId="0">
      <text>
        <r>
          <rPr>
            <b/>
            <sz val="9"/>
            <rFont val="宋体"/>
            <charset val="134"/>
          </rPr>
          <t>Administrator:</t>
        </r>
        <r>
          <rPr>
            <sz val="9"/>
            <rFont val="宋体"/>
            <charset val="134"/>
          </rPr>
          <t xml:space="preserve">
2021.5.18收79157.62</t>
        </r>
      </text>
    </comment>
    <comment ref="Q401" authorId="0">
      <text>
        <r>
          <rPr>
            <b/>
            <sz val="9"/>
            <rFont val="宋体"/>
            <charset val="134"/>
          </rPr>
          <t>Administrator:</t>
        </r>
        <r>
          <rPr>
            <sz val="9"/>
            <rFont val="宋体"/>
            <charset val="134"/>
          </rPr>
          <t xml:space="preserve">
2021.4.27收7495</t>
        </r>
      </text>
    </comment>
    <comment ref="T401" authorId="0">
      <text>
        <r>
          <rPr>
            <b/>
            <sz val="9"/>
            <rFont val="宋体"/>
            <charset val="134"/>
          </rPr>
          <t>Administrator:</t>
        </r>
        <r>
          <rPr>
            <sz val="9"/>
            <rFont val="宋体"/>
            <charset val="134"/>
          </rPr>
          <t xml:space="preserve">
2021.8.13收61819.5美金J4033+J4046+J4051
</t>
        </r>
      </text>
    </comment>
    <comment ref="Q402" authorId="0">
      <text>
        <r>
          <rPr>
            <b/>
            <sz val="9"/>
            <rFont val="宋体"/>
            <charset val="134"/>
          </rPr>
          <t>Administrator:</t>
        </r>
        <r>
          <rPr>
            <sz val="9"/>
            <rFont val="宋体"/>
            <charset val="134"/>
          </rPr>
          <t xml:space="preserve">
2021.5.7收  来自J3995</t>
        </r>
      </text>
    </comment>
    <comment ref="T402" authorId="0">
      <text>
        <r>
          <rPr>
            <b/>
            <sz val="9"/>
            <rFont val="宋体"/>
            <charset val="134"/>
          </rPr>
          <t>Administrator:</t>
        </r>
        <r>
          <rPr>
            <sz val="9"/>
            <rFont val="宋体"/>
            <charset val="134"/>
          </rPr>
          <t xml:space="preserve">
2021.6.22收15954.13</t>
        </r>
      </text>
    </comment>
    <comment ref="U402" authorId="0">
      <text>
        <r>
          <rPr>
            <b/>
            <sz val="9"/>
            <rFont val="宋体"/>
            <charset val="134"/>
          </rPr>
          <t>Administrator:</t>
        </r>
        <r>
          <rPr>
            <sz val="9"/>
            <rFont val="宋体"/>
            <charset val="134"/>
          </rPr>
          <t xml:space="preserve">
2021.6.24收13490.97 水单13492.9</t>
        </r>
      </text>
    </comment>
    <comment ref="Q403" authorId="0">
      <text>
        <r>
          <rPr>
            <b/>
            <sz val="9"/>
            <rFont val="宋体"/>
            <charset val="134"/>
          </rPr>
          <t>Administrator:</t>
        </r>
        <r>
          <rPr>
            <sz val="9"/>
            <rFont val="宋体"/>
            <charset val="134"/>
          </rPr>
          <t xml:space="preserve">
2021.4.25收7589</t>
        </r>
      </text>
    </comment>
    <comment ref="T403" authorId="0">
      <text>
        <r>
          <rPr>
            <b/>
            <sz val="9"/>
            <rFont val="宋体"/>
            <charset val="134"/>
          </rPr>
          <t>Administrator:</t>
        </r>
        <r>
          <rPr>
            <sz val="9"/>
            <rFont val="宋体"/>
            <charset val="134"/>
          </rPr>
          <t xml:space="preserve">
2021.7.14收17470.25</t>
        </r>
      </text>
    </comment>
    <comment ref="Q405" authorId="0">
      <text>
        <r>
          <rPr>
            <b/>
            <sz val="9"/>
            <rFont val="宋体"/>
            <charset val="134"/>
          </rPr>
          <t>Administrator:</t>
        </r>
        <r>
          <rPr>
            <sz val="9"/>
            <rFont val="宋体"/>
            <charset val="134"/>
          </rPr>
          <t xml:space="preserve">
2021.4.27收7959</t>
        </r>
      </text>
    </comment>
    <comment ref="T405" authorId="0">
      <text>
        <r>
          <rPr>
            <b/>
            <sz val="9"/>
            <rFont val="宋体"/>
            <charset val="134"/>
          </rPr>
          <t>Administrator:</t>
        </r>
        <r>
          <rPr>
            <sz val="9"/>
            <rFont val="宋体"/>
            <charset val="134"/>
          </rPr>
          <t xml:space="preserve">
2021.7.15收43911
J4040+4062一起付的</t>
        </r>
      </text>
    </comment>
    <comment ref="T406" authorId="0">
      <text>
        <r>
          <rPr>
            <b/>
            <sz val="9"/>
            <rFont val="宋体"/>
            <charset val="134"/>
          </rPr>
          <t>Administrator:</t>
        </r>
        <r>
          <rPr>
            <sz val="9"/>
            <rFont val="宋体"/>
            <charset val="134"/>
          </rPr>
          <t xml:space="preserve">
2021.6.7收17500</t>
        </r>
      </text>
    </comment>
    <comment ref="Q407" authorId="0">
      <text>
        <r>
          <rPr>
            <b/>
            <sz val="9"/>
            <rFont val="宋体"/>
            <charset val="134"/>
          </rPr>
          <t>Administrator:</t>
        </r>
        <r>
          <rPr>
            <sz val="9"/>
            <rFont val="宋体"/>
            <charset val="134"/>
          </rPr>
          <t xml:space="preserve">
2021.5.18收10105.25</t>
        </r>
      </text>
    </comment>
    <comment ref="Q409" authorId="0">
      <text>
        <r>
          <rPr>
            <b/>
            <sz val="9"/>
            <rFont val="宋体"/>
            <charset val="134"/>
          </rPr>
          <t>Administrator:</t>
        </r>
        <r>
          <rPr>
            <sz val="9"/>
            <rFont val="宋体"/>
            <charset val="134"/>
          </rPr>
          <t xml:space="preserve">
2021.5.27收9336.25</t>
        </r>
      </text>
    </comment>
    <comment ref="T409" authorId="0">
      <text>
        <r>
          <rPr>
            <b/>
            <sz val="9"/>
            <rFont val="宋体"/>
            <charset val="134"/>
          </rPr>
          <t>Administrator:</t>
        </r>
        <r>
          <rPr>
            <sz val="9"/>
            <rFont val="宋体"/>
            <charset val="134"/>
          </rPr>
          <t xml:space="preserve">
2021.7.7收22296.67</t>
        </r>
      </text>
    </comment>
    <comment ref="Q410" authorId="0">
      <text>
        <r>
          <rPr>
            <b/>
            <sz val="9"/>
            <rFont val="宋体"/>
            <charset val="134"/>
          </rPr>
          <t>Administrator:</t>
        </r>
        <r>
          <rPr>
            <sz val="9"/>
            <rFont val="宋体"/>
            <charset val="134"/>
          </rPr>
          <t xml:space="preserve">
2021.5.24收12500</t>
        </r>
      </text>
    </comment>
    <comment ref="Q411" authorId="0">
      <text>
        <r>
          <rPr>
            <b/>
            <sz val="9"/>
            <rFont val="宋体"/>
            <charset val="134"/>
          </rPr>
          <t>Administrator:</t>
        </r>
        <r>
          <rPr>
            <sz val="9"/>
            <rFont val="宋体"/>
            <charset val="134"/>
          </rPr>
          <t xml:space="preserve">
2021.5.25收8865.8</t>
        </r>
      </text>
    </comment>
    <comment ref="Q412" authorId="0">
      <text>
        <r>
          <rPr>
            <b/>
            <sz val="9"/>
            <rFont val="宋体"/>
            <charset val="134"/>
          </rPr>
          <t>Administrator:</t>
        </r>
        <r>
          <rPr>
            <sz val="9"/>
            <rFont val="宋体"/>
            <charset val="134"/>
          </rPr>
          <t xml:space="preserve">
2021.5.26收4993.76</t>
        </r>
      </text>
    </comment>
    <comment ref="Q413" authorId="0">
      <text>
        <r>
          <rPr>
            <b/>
            <sz val="9"/>
            <rFont val="宋体"/>
            <charset val="134"/>
          </rPr>
          <t>Administrator:</t>
        </r>
        <r>
          <rPr>
            <sz val="9"/>
            <rFont val="宋体"/>
            <charset val="134"/>
          </rPr>
          <t xml:space="preserve">
来J4035多付的$4216.1
J4057用掉1251</t>
        </r>
      </text>
    </comment>
    <comment ref="T413" authorId="0">
      <text>
        <r>
          <rPr>
            <b/>
            <sz val="9"/>
            <rFont val="宋体"/>
            <charset val="134"/>
          </rPr>
          <t>Administrator:</t>
        </r>
        <r>
          <rPr>
            <sz val="9"/>
            <rFont val="宋体"/>
            <charset val="134"/>
          </rPr>
          <t xml:space="preserve">
2021.8.4收18422.5</t>
        </r>
      </text>
    </comment>
    <comment ref="U413" authorId="0">
      <text>
        <r>
          <rPr>
            <b/>
            <sz val="9"/>
            <rFont val="宋体"/>
            <charset val="134"/>
          </rPr>
          <t>Administrator:</t>
        </r>
        <r>
          <rPr>
            <sz val="9"/>
            <rFont val="宋体"/>
            <charset val="134"/>
          </rPr>
          <t xml:space="preserve">
2021.8.4收9898.63</t>
        </r>
      </text>
    </comment>
    <comment ref="T414" authorId="0">
      <text>
        <r>
          <rPr>
            <b/>
            <sz val="9"/>
            <rFont val="宋体"/>
            <charset val="134"/>
          </rPr>
          <t>Administrator:</t>
        </r>
        <r>
          <rPr>
            <sz val="9"/>
            <rFont val="宋体"/>
            <charset val="134"/>
          </rPr>
          <t xml:space="preserve">
2021.7.6收60824.46</t>
        </r>
      </text>
    </comment>
    <comment ref="Q415" authorId="0">
      <text>
        <r>
          <rPr>
            <b/>
            <sz val="9"/>
            <rFont val="宋体"/>
            <charset val="134"/>
          </rPr>
          <t>Administrator:</t>
        </r>
        <r>
          <rPr>
            <sz val="9"/>
            <rFont val="宋体"/>
            <charset val="134"/>
          </rPr>
          <t xml:space="preserve">
2021.6.4收9956.61</t>
        </r>
      </text>
    </comment>
    <comment ref="T415" authorId="0">
      <text>
        <r>
          <rPr>
            <b/>
            <sz val="9"/>
            <rFont val="宋体"/>
            <charset val="134"/>
          </rPr>
          <t>Administrator:</t>
        </r>
        <r>
          <rPr>
            <sz val="9"/>
            <rFont val="宋体"/>
            <charset val="134"/>
          </rPr>
          <t xml:space="preserve">
2021.7.16收 47474.62</t>
        </r>
      </text>
    </comment>
    <comment ref="Q416" authorId="0">
      <text>
        <r>
          <rPr>
            <b/>
            <sz val="9"/>
            <rFont val="宋体"/>
            <charset val="134"/>
          </rPr>
          <t>Administrator:</t>
        </r>
        <r>
          <rPr>
            <sz val="9"/>
            <rFont val="宋体"/>
            <charset val="134"/>
          </rPr>
          <t xml:space="preserve">
2021.6.8收15966
J4061+J4062定金各8千</t>
        </r>
      </text>
    </comment>
    <comment ref="T416" authorId="0">
      <text>
        <r>
          <rPr>
            <b/>
            <sz val="9"/>
            <rFont val="宋体"/>
            <charset val="134"/>
          </rPr>
          <t>Administrator:</t>
        </r>
        <r>
          <rPr>
            <sz val="9"/>
            <rFont val="宋体"/>
            <charset val="134"/>
          </rPr>
          <t xml:space="preserve">
2021.9.9收23087.8</t>
        </r>
      </text>
    </comment>
    <comment ref="Q417" authorId="0">
      <text>
        <r>
          <rPr>
            <b/>
            <sz val="9"/>
            <rFont val="宋体"/>
            <charset val="134"/>
          </rPr>
          <t>Administrator:</t>
        </r>
        <r>
          <rPr>
            <sz val="9"/>
            <rFont val="宋体"/>
            <charset val="134"/>
          </rPr>
          <t xml:space="preserve">
2021.6.8收15966
J4061+J4062定金各8千</t>
        </r>
      </text>
    </comment>
    <comment ref="T417" authorId="0">
      <text>
        <r>
          <rPr>
            <b/>
            <sz val="9"/>
            <rFont val="宋体"/>
            <charset val="134"/>
          </rPr>
          <t>Administrator:</t>
        </r>
        <r>
          <rPr>
            <sz val="9"/>
            <rFont val="宋体"/>
            <charset val="134"/>
          </rPr>
          <t xml:space="preserve">
2021.7.15收43911
J4040+4062一起付的</t>
        </r>
      </text>
    </comment>
    <comment ref="T418" authorId="0">
      <text>
        <r>
          <rPr>
            <b/>
            <sz val="9"/>
            <rFont val="宋体"/>
            <charset val="134"/>
          </rPr>
          <t>Administrator:</t>
        </r>
        <r>
          <rPr>
            <sz val="9"/>
            <rFont val="宋体"/>
            <charset val="134"/>
          </rPr>
          <t xml:space="preserve">
2021.8.30收97283.26</t>
        </r>
      </text>
    </comment>
    <comment ref="T419" authorId="0">
      <text>
        <r>
          <rPr>
            <b/>
            <sz val="9"/>
            <rFont val="宋体"/>
            <charset val="134"/>
          </rPr>
          <t>Administrator:</t>
        </r>
        <r>
          <rPr>
            <sz val="9"/>
            <rFont val="宋体"/>
            <charset val="134"/>
          </rPr>
          <t xml:space="preserve">
2021.9.9收98092.5</t>
        </r>
      </text>
    </comment>
    <comment ref="Q420" authorId="0">
      <text>
        <r>
          <rPr>
            <b/>
            <sz val="9"/>
            <rFont val="宋体"/>
            <charset val="134"/>
          </rPr>
          <t>Administrator:</t>
        </r>
        <r>
          <rPr>
            <sz val="9"/>
            <rFont val="宋体"/>
            <charset val="134"/>
          </rPr>
          <t xml:space="preserve">
2021.6.9收10300</t>
        </r>
      </text>
    </comment>
    <comment ref="T420" authorId="0">
      <text>
        <r>
          <rPr>
            <b/>
            <sz val="9"/>
            <rFont val="宋体"/>
            <charset val="134"/>
          </rPr>
          <t>Administrator:</t>
        </r>
        <r>
          <rPr>
            <sz val="9"/>
            <rFont val="宋体"/>
            <charset val="134"/>
          </rPr>
          <t xml:space="preserve">
2021.8.20收24597.39</t>
        </r>
      </text>
    </comment>
    <comment ref="Q421" authorId="0">
      <text>
        <r>
          <rPr>
            <b/>
            <sz val="9"/>
            <rFont val="宋体"/>
            <charset val="134"/>
          </rPr>
          <t>Administrator:</t>
        </r>
        <r>
          <rPr>
            <sz val="9"/>
            <rFont val="宋体"/>
            <charset val="134"/>
          </rPr>
          <t xml:space="preserve">
2021.6.15收 和J3973尾款一起付的</t>
        </r>
      </text>
    </comment>
    <comment ref="T421" authorId="0">
      <text>
        <r>
          <rPr>
            <b/>
            <sz val="9"/>
            <rFont val="宋体"/>
            <charset val="134"/>
          </rPr>
          <t>Administrator:</t>
        </r>
        <r>
          <rPr>
            <sz val="9"/>
            <rFont val="宋体"/>
            <charset val="134"/>
          </rPr>
          <t xml:space="preserve">
2021.10.14收22585.6</t>
        </r>
      </text>
    </comment>
    <comment ref="T422" authorId="0">
      <text>
        <r>
          <rPr>
            <b/>
            <sz val="9"/>
            <rFont val="宋体"/>
            <charset val="134"/>
          </rPr>
          <t>Administrator:</t>
        </r>
        <r>
          <rPr>
            <sz val="9"/>
            <rFont val="宋体"/>
            <charset val="134"/>
          </rPr>
          <t xml:space="preserve">
2021.9.13收22367</t>
        </r>
      </text>
    </comment>
    <comment ref="T423" authorId="0">
      <text>
        <r>
          <rPr>
            <b/>
            <sz val="9"/>
            <rFont val="宋体"/>
            <charset val="134"/>
          </rPr>
          <t>Administrator:</t>
        </r>
        <r>
          <rPr>
            <sz val="9"/>
            <rFont val="宋体"/>
            <charset val="134"/>
          </rPr>
          <t xml:space="preserve">
2021.8.6收58364.63</t>
        </r>
      </text>
    </comment>
    <comment ref="Q424" authorId="0">
      <text>
        <r>
          <rPr>
            <b/>
            <sz val="9"/>
            <rFont val="宋体"/>
            <charset val="134"/>
          </rPr>
          <t>Administrator:</t>
        </r>
        <r>
          <rPr>
            <sz val="9"/>
            <rFont val="宋体"/>
            <charset val="134"/>
          </rPr>
          <t xml:space="preserve">
2021.6.23收9956.62</t>
        </r>
      </text>
    </comment>
    <comment ref="T424" authorId="0">
      <text>
        <r>
          <rPr>
            <b/>
            <sz val="9"/>
            <rFont val="宋体"/>
            <charset val="134"/>
          </rPr>
          <t>Administrator:</t>
        </r>
        <r>
          <rPr>
            <sz val="9"/>
            <rFont val="宋体"/>
            <charset val="134"/>
          </rPr>
          <t xml:space="preserve">
2021.8.23收51335.65</t>
        </r>
      </text>
    </comment>
    <comment ref="T425" authorId="0">
      <text>
        <r>
          <rPr>
            <b/>
            <sz val="9"/>
            <rFont val="宋体"/>
            <charset val="134"/>
          </rPr>
          <t>Administrator:</t>
        </r>
        <r>
          <rPr>
            <sz val="9"/>
            <rFont val="宋体"/>
            <charset val="134"/>
          </rPr>
          <t xml:space="preserve">
2021.9.2收16014.63</t>
        </r>
      </text>
    </comment>
    <comment ref="U425" authorId="0">
      <text>
        <r>
          <rPr>
            <b/>
            <sz val="9"/>
            <rFont val="宋体"/>
            <charset val="134"/>
          </rPr>
          <t>Administrator:</t>
        </r>
        <r>
          <rPr>
            <sz val="9"/>
            <rFont val="宋体"/>
            <charset val="134"/>
          </rPr>
          <t xml:space="preserve">
2021.9.2收13326.63</t>
        </r>
      </text>
    </comment>
    <comment ref="Q426" authorId="0">
      <text>
        <r>
          <rPr>
            <b/>
            <sz val="9"/>
            <rFont val="宋体"/>
            <charset val="134"/>
          </rPr>
          <t>Administrator:</t>
        </r>
        <r>
          <rPr>
            <sz val="9"/>
            <rFont val="宋体"/>
            <charset val="134"/>
          </rPr>
          <t xml:space="preserve">
2021.6.28收</t>
        </r>
      </text>
    </comment>
    <comment ref="T426" authorId="0">
      <text>
        <r>
          <rPr>
            <b/>
            <sz val="9"/>
            <rFont val="宋体"/>
            <charset val="134"/>
          </rPr>
          <t>Administrator:</t>
        </r>
        <r>
          <rPr>
            <sz val="9"/>
            <rFont val="宋体"/>
            <charset val="134"/>
          </rPr>
          <t xml:space="preserve">
2021.7.15收
含装卸费400</t>
        </r>
      </text>
    </comment>
    <comment ref="T427" authorId="0">
      <text>
        <r>
          <rPr>
            <b/>
            <sz val="9"/>
            <rFont val="宋体"/>
            <charset val="134"/>
          </rPr>
          <t>Administrator:</t>
        </r>
        <r>
          <rPr>
            <sz val="9"/>
            <rFont val="宋体"/>
            <charset val="134"/>
          </rPr>
          <t xml:space="preserve">
2021.9.29收16589.25</t>
        </r>
      </text>
    </comment>
    <comment ref="U427" authorId="0">
      <text>
        <r>
          <rPr>
            <b/>
            <sz val="9"/>
            <rFont val="宋体"/>
            <charset val="134"/>
          </rPr>
          <t>Administrator:</t>
        </r>
        <r>
          <rPr>
            <sz val="9"/>
            <rFont val="宋体"/>
            <charset val="134"/>
          </rPr>
          <t xml:space="preserve">
2021.10.7收17960  水单18010</t>
        </r>
      </text>
    </comment>
    <comment ref="Q428" authorId="0">
      <text>
        <r>
          <rPr>
            <b/>
            <sz val="9"/>
            <rFont val="宋体"/>
            <charset val="134"/>
          </rPr>
          <t>Administrator:</t>
        </r>
        <r>
          <rPr>
            <sz val="9"/>
            <rFont val="宋体"/>
            <charset val="134"/>
          </rPr>
          <t xml:space="preserve">
2021.7.6收10900</t>
        </r>
      </text>
    </comment>
    <comment ref="T428" authorId="0">
      <text>
        <r>
          <rPr>
            <b/>
            <sz val="9"/>
            <rFont val="宋体"/>
            <charset val="134"/>
          </rPr>
          <t>Administrator:</t>
        </r>
        <r>
          <rPr>
            <sz val="9"/>
            <rFont val="宋体"/>
            <charset val="134"/>
          </rPr>
          <t xml:space="preserve">
2021.9.8收23885.44</t>
        </r>
      </text>
    </comment>
    <comment ref="T429" authorId="0">
      <text>
        <r>
          <rPr>
            <b/>
            <sz val="9"/>
            <rFont val="宋体"/>
            <charset val="134"/>
          </rPr>
          <t>Administrator:</t>
        </r>
        <r>
          <rPr>
            <sz val="9"/>
            <rFont val="宋体"/>
            <charset val="134"/>
          </rPr>
          <t xml:space="preserve">
2021.7.7收17750 包含J4054叉车费350</t>
        </r>
      </text>
    </comment>
    <comment ref="T430" authorId="0">
      <text>
        <r>
          <rPr>
            <b/>
            <sz val="9"/>
            <rFont val="宋体"/>
            <charset val="134"/>
          </rPr>
          <t>Administrator:</t>
        </r>
        <r>
          <rPr>
            <sz val="9"/>
            <rFont val="宋体"/>
            <charset val="134"/>
          </rPr>
          <t xml:space="preserve">
2021.9.10收61019.84</t>
        </r>
      </text>
    </comment>
    <comment ref="Q431" authorId="0">
      <text>
        <r>
          <rPr>
            <b/>
            <sz val="9"/>
            <rFont val="宋体"/>
            <charset val="134"/>
          </rPr>
          <t>Administrator:</t>
        </r>
        <r>
          <rPr>
            <sz val="9"/>
            <rFont val="宋体"/>
            <charset val="134"/>
          </rPr>
          <t xml:space="preserve">
2021.7.28收9956.64</t>
        </r>
      </text>
    </comment>
    <comment ref="T431" authorId="0">
      <text>
        <r>
          <rPr>
            <b/>
            <sz val="9"/>
            <rFont val="宋体"/>
            <charset val="134"/>
          </rPr>
          <t>Administrator:</t>
        </r>
        <r>
          <rPr>
            <sz val="9"/>
            <rFont val="宋体"/>
            <charset val="134"/>
          </rPr>
          <t xml:space="preserve">
2021.9.21收51520.64</t>
        </r>
      </text>
    </comment>
    <comment ref="P432" authorId="0">
      <text>
        <r>
          <rPr>
            <b/>
            <sz val="9"/>
            <rFont val="宋体"/>
            <charset val="134"/>
          </rPr>
          <t>Administrator:</t>
        </r>
        <r>
          <rPr>
            <sz val="9"/>
            <rFont val="宋体"/>
            <charset val="134"/>
          </rPr>
          <t xml:space="preserve">
库存上单付款了J3972</t>
        </r>
      </text>
    </comment>
    <comment ref="Q432" authorId="0">
      <text>
        <r>
          <rPr>
            <b/>
            <sz val="9"/>
            <rFont val="宋体"/>
            <charset val="134"/>
          </rPr>
          <t>Administrator:</t>
        </r>
        <r>
          <rPr>
            <sz val="9"/>
            <rFont val="宋体"/>
            <charset val="134"/>
          </rPr>
          <t xml:space="preserve">
2021.7.16收9399.82</t>
        </r>
      </text>
    </comment>
    <comment ref="T432" authorId="0">
      <text>
        <r>
          <rPr>
            <b/>
            <sz val="9"/>
            <rFont val="宋体"/>
            <charset val="134"/>
          </rPr>
          <t>Administrator:</t>
        </r>
        <r>
          <rPr>
            <sz val="9"/>
            <rFont val="宋体"/>
            <charset val="134"/>
          </rPr>
          <t xml:space="preserve">
2021.8.27收18654.05</t>
        </r>
      </text>
    </comment>
    <comment ref="T433" authorId="0">
      <text>
        <r>
          <rPr>
            <b/>
            <sz val="9"/>
            <rFont val="宋体"/>
            <charset val="134"/>
          </rPr>
          <t>Administrator:</t>
        </r>
        <r>
          <rPr>
            <sz val="9"/>
            <rFont val="宋体"/>
            <charset val="134"/>
          </rPr>
          <t xml:space="preserve">
2021.12.29收72889.78</t>
        </r>
      </text>
    </comment>
    <comment ref="T434" authorId="0">
      <text>
        <r>
          <rPr>
            <b/>
            <sz val="9"/>
            <rFont val="宋体"/>
            <charset val="134"/>
          </rPr>
          <t>Administrator:</t>
        </r>
        <r>
          <rPr>
            <sz val="9"/>
            <rFont val="宋体"/>
            <charset val="134"/>
          </rPr>
          <t xml:space="preserve">
2021.7.27收3006.63</t>
        </r>
      </text>
    </comment>
    <comment ref="U434" authorId="0">
      <text>
        <r>
          <rPr>
            <b/>
            <sz val="9"/>
            <rFont val="宋体"/>
            <charset val="134"/>
          </rPr>
          <t>Administrator:</t>
        </r>
        <r>
          <rPr>
            <sz val="9"/>
            <rFont val="宋体"/>
            <charset val="134"/>
          </rPr>
          <t xml:space="preserve">
J4121付的</t>
        </r>
      </text>
    </comment>
    <comment ref="P435" authorId="0">
      <text>
        <r>
          <rPr>
            <b/>
            <sz val="9"/>
            <rFont val="宋体"/>
            <charset val="134"/>
          </rPr>
          <t>Administrator:</t>
        </r>
        <r>
          <rPr>
            <sz val="9"/>
            <rFont val="宋体"/>
            <charset val="134"/>
          </rPr>
          <t xml:space="preserve">
含运费600</t>
        </r>
      </text>
    </comment>
    <comment ref="Q435" authorId="0">
      <text>
        <r>
          <rPr>
            <b/>
            <sz val="9"/>
            <rFont val="宋体"/>
            <charset val="134"/>
          </rPr>
          <t>Administrator:</t>
        </r>
        <r>
          <rPr>
            <sz val="9"/>
            <rFont val="宋体"/>
            <charset val="134"/>
          </rPr>
          <t xml:space="preserve">
2021.7.28</t>
        </r>
      </text>
    </comment>
    <comment ref="T435" authorId="0">
      <text>
        <r>
          <rPr>
            <b/>
            <sz val="9"/>
            <rFont val="宋体"/>
            <charset val="134"/>
          </rPr>
          <t>Administrator:</t>
        </r>
        <r>
          <rPr>
            <sz val="9"/>
            <rFont val="宋体"/>
            <charset val="134"/>
          </rPr>
          <t xml:space="preserve">
2021.9.9收</t>
        </r>
      </text>
    </comment>
    <comment ref="U435" authorId="0">
      <text>
        <r>
          <rPr>
            <b/>
            <sz val="9"/>
            <rFont val="宋体"/>
            <charset val="134"/>
          </rPr>
          <t>Administrator:</t>
        </r>
        <r>
          <rPr>
            <sz val="9"/>
            <rFont val="宋体"/>
            <charset val="134"/>
          </rPr>
          <t xml:space="preserve">
2021.9.14收</t>
        </r>
      </text>
    </comment>
    <comment ref="T436" authorId="0">
      <text>
        <r>
          <rPr>
            <b/>
            <sz val="9"/>
            <rFont val="宋体"/>
            <charset val="134"/>
          </rPr>
          <t>Administrator:</t>
        </r>
        <r>
          <rPr>
            <sz val="9"/>
            <rFont val="宋体"/>
            <charset val="134"/>
          </rPr>
          <t xml:space="preserve">
2021.10.19收21978.82</t>
        </r>
      </text>
    </comment>
    <comment ref="U436" authorId="0">
      <text>
        <r>
          <rPr>
            <b/>
            <sz val="9"/>
            <rFont val="宋体"/>
            <charset val="134"/>
          </rPr>
          <t>Administrator:</t>
        </r>
        <r>
          <rPr>
            <sz val="9"/>
            <rFont val="宋体"/>
            <charset val="134"/>
          </rPr>
          <t xml:space="preserve">
4682.05来自J4078
5313.89来自J4093-2</t>
        </r>
      </text>
    </comment>
    <comment ref="T437" authorId="0">
      <text>
        <r>
          <rPr>
            <b/>
            <sz val="9"/>
            <rFont val="宋体"/>
            <charset val="134"/>
          </rPr>
          <t>Administrator:</t>
        </r>
        <r>
          <rPr>
            <sz val="9"/>
            <rFont val="宋体"/>
            <charset val="134"/>
          </rPr>
          <t xml:space="preserve">
2021.10.21收18087.13</t>
        </r>
      </text>
    </comment>
    <comment ref="U437" authorId="0">
      <text>
        <r>
          <rPr>
            <b/>
            <sz val="9"/>
            <rFont val="宋体"/>
            <charset val="134"/>
          </rPr>
          <t>Administrator:</t>
        </r>
        <r>
          <rPr>
            <sz val="9"/>
            <rFont val="宋体"/>
            <charset val="134"/>
          </rPr>
          <t xml:space="preserve">
2021.10.21收19978.78 水单2万美金
J4093-1用5313.89
J4093-2用14658.15
还剩27.96</t>
        </r>
      </text>
    </comment>
    <comment ref="Q438" authorId="0">
      <text>
        <r>
          <rPr>
            <b/>
            <sz val="9"/>
            <rFont val="宋体"/>
            <charset val="134"/>
          </rPr>
          <t>Administrator:</t>
        </r>
        <r>
          <rPr>
            <sz val="9"/>
            <rFont val="宋体"/>
            <charset val="134"/>
          </rPr>
          <t xml:space="preserve">
2021.8.12收2965</t>
        </r>
      </text>
    </comment>
    <comment ref="T438" authorId="0">
      <text>
        <r>
          <rPr>
            <b/>
            <sz val="9"/>
            <rFont val="宋体"/>
            <charset val="134"/>
          </rPr>
          <t>Administrator:</t>
        </r>
        <r>
          <rPr>
            <sz val="9"/>
            <rFont val="宋体"/>
            <charset val="134"/>
          </rPr>
          <t xml:space="preserve">
2021.10.27收34280.45</t>
        </r>
      </text>
    </comment>
    <comment ref="Q439" authorId="0">
      <text>
        <r>
          <rPr>
            <b/>
            <sz val="9"/>
            <rFont val="宋体"/>
            <charset val="134"/>
          </rPr>
          <t>Administrator:</t>
        </r>
        <r>
          <rPr>
            <sz val="9"/>
            <rFont val="宋体"/>
            <charset val="134"/>
          </rPr>
          <t xml:space="preserve">
2021.8.12收5782</t>
        </r>
      </text>
    </comment>
    <comment ref="T439" authorId="0">
      <text>
        <r>
          <rPr>
            <b/>
            <sz val="9"/>
            <rFont val="宋体"/>
            <charset val="134"/>
          </rPr>
          <t>Administrator:</t>
        </r>
        <r>
          <rPr>
            <sz val="9"/>
            <rFont val="宋体"/>
            <charset val="134"/>
          </rPr>
          <t xml:space="preserve">
2021.10.21收26847.27</t>
        </r>
      </text>
    </comment>
    <comment ref="Q440" authorId="0">
      <text>
        <r>
          <rPr>
            <b/>
            <sz val="9"/>
            <rFont val="宋体"/>
            <charset val="134"/>
          </rPr>
          <t>Administrator:</t>
        </r>
        <r>
          <rPr>
            <sz val="9"/>
            <rFont val="宋体"/>
            <charset val="134"/>
          </rPr>
          <t xml:space="preserve">
2021.8.13收6600+5100</t>
        </r>
      </text>
    </comment>
    <comment ref="T440" authorId="0">
      <text>
        <r>
          <rPr>
            <b/>
            <sz val="9"/>
            <rFont val="宋体"/>
            <charset val="134"/>
          </rPr>
          <t>Administrator:</t>
        </r>
        <r>
          <rPr>
            <sz val="9"/>
            <rFont val="宋体"/>
            <charset val="134"/>
          </rPr>
          <t xml:space="preserve">
2021.10.7收25699.07</t>
        </r>
      </text>
    </comment>
    <comment ref="T441" authorId="0">
      <text>
        <r>
          <rPr>
            <b/>
            <sz val="9"/>
            <rFont val="宋体"/>
            <charset val="134"/>
          </rPr>
          <t>Administrator:</t>
        </r>
        <r>
          <rPr>
            <sz val="9"/>
            <rFont val="宋体"/>
            <charset val="134"/>
          </rPr>
          <t xml:space="preserve">
2021.12.7收24547</t>
        </r>
      </text>
    </comment>
    <comment ref="T442" authorId="0">
      <text>
        <r>
          <rPr>
            <b/>
            <sz val="9"/>
            <rFont val="宋体"/>
            <charset val="134"/>
          </rPr>
          <t>Administrator:</t>
        </r>
        <r>
          <rPr>
            <sz val="9"/>
            <rFont val="宋体"/>
            <charset val="134"/>
          </rPr>
          <t xml:space="preserve">
2021.8.25收</t>
        </r>
      </text>
    </comment>
    <comment ref="Q443" authorId="0">
      <text>
        <r>
          <rPr>
            <b/>
            <sz val="9"/>
            <rFont val="宋体"/>
            <charset val="134"/>
          </rPr>
          <t>Administrator:</t>
        </r>
        <r>
          <rPr>
            <sz val="9"/>
            <rFont val="宋体"/>
            <charset val="134"/>
          </rPr>
          <t xml:space="preserve">
2021.8.26收10400</t>
        </r>
      </text>
    </comment>
    <comment ref="T443" authorId="0">
      <text>
        <r>
          <rPr>
            <b/>
            <sz val="9"/>
            <rFont val="宋体"/>
            <charset val="134"/>
          </rPr>
          <t>Administrator:</t>
        </r>
        <r>
          <rPr>
            <sz val="9"/>
            <rFont val="宋体"/>
            <charset val="134"/>
          </rPr>
          <t xml:space="preserve">
2021.11.3收24202.13</t>
        </r>
      </text>
    </comment>
    <comment ref="T444" authorId="0">
      <text>
        <r>
          <rPr>
            <b/>
            <sz val="9"/>
            <rFont val="宋体"/>
            <charset val="134"/>
          </rPr>
          <t>Administrator:</t>
        </r>
        <r>
          <rPr>
            <sz val="9"/>
            <rFont val="宋体"/>
            <charset val="134"/>
          </rPr>
          <t xml:space="preserve">
2021.10.18收61408.27</t>
        </r>
      </text>
    </comment>
    <comment ref="Q445" authorId="0">
      <text>
        <r>
          <rPr>
            <b/>
            <sz val="9"/>
            <rFont val="宋体"/>
            <charset val="134"/>
          </rPr>
          <t>Administrator:</t>
        </r>
        <r>
          <rPr>
            <sz val="9"/>
            <rFont val="宋体"/>
            <charset val="134"/>
          </rPr>
          <t xml:space="preserve">
2021.9.1收9956.64</t>
        </r>
      </text>
    </comment>
    <comment ref="T445" authorId="0">
      <text>
        <r>
          <rPr>
            <b/>
            <sz val="9"/>
            <rFont val="宋体"/>
            <charset val="134"/>
          </rPr>
          <t>Administrator:</t>
        </r>
        <r>
          <rPr>
            <sz val="9"/>
            <rFont val="宋体"/>
            <charset val="134"/>
          </rPr>
          <t xml:space="preserve">
2021.11.2收50897</t>
        </r>
      </text>
    </comment>
    <comment ref="Q446" authorId="0">
      <text>
        <r>
          <rPr>
            <b/>
            <sz val="9"/>
            <rFont val="宋体"/>
            <charset val="134"/>
          </rPr>
          <t>Administrator:</t>
        </r>
        <r>
          <rPr>
            <sz val="9"/>
            <rFont val="宋体"/>
            <charset val="134"/>
          </rPr>
          <t xml:space="preserve">
2021.8.27收7177</t>
        </r>
      </text>
    </comment>
    <comment ref="T446" authorId="0">
      <text>
        <r>
          <rPr>
            <b/>
            <sz val="9"/>
            <rFont val="宋体"/>
            <charset val="134"/>
          </rPr>
          <t>Administrator:</t>
        </r>
        <r>
          <rPr>
            <sz val="9"/>
            <rFont val="宋体"/>
            <charset val="134"/>
          </rPr>
          <t xml:space="preserve">
2021.11.4收16801.93</t>
        </r>
      </text>
    </comment>
    <comment ref="P447" authorId="0">
      <text>
        <r>
          <rPr>
            <b/>
            <sz val="9"/>
            <rFont val="宋体"/>
            <charset val="134"/>
          </rPr>
          <t>Administrator:</t>
        </r>
        <r>
          <rPr>
            <sz val="9"/>
            <rFont val="宋体"/>
            <charset val="134"/>
          </rPr>
          <t xml:space="preserve">
含J4014甩货和库存边角（之前已付清）</t>
        </r>
      </text>
    </comment>
    <comment ref="T447" authorId="0">
      <text>
        <r>
          <rPr>
            <b/>
            <sz val="9"/>
            <rFont val="宋体"/>
            <charset val="134"/>
          </rPr>
          <t>Administrator:</t>
        </r>
        <r>
          <rPr>
            <sz val="9"/>
            <rFont val="宋体"/>
            <charset val="134"/>
          </rPr>
          <t xml:space="preserve">
2021.10.13收16182.04 用于J4124尾款13395+J4147定金2800</t>
        </r>
      </text>
    </comment>
    <comment ref="T448" authorId="0">
      <text>
        <r>
          <rPr>
            <b/>
            <sz val="9"/>
            <rFont val="宋体"/>
            <charset val="134"/>
          </rPr>
          <t>Administrator:</t>
        </r>
        <r>
          <rPr>
            <sz val="9"/>
            <rFont val="宋体"/>
            <charset val="134"/>
          </rPr>
          <t xml:space="preserve">
2021.9.9收4475.63 客户付4515 包含上单J4086增加600个弹簧片18.42美金</t>
        </r>
      </text>
    </comment>
    <comment ref="T449" authorId="0">
      <text>
        <r>
          <rPr>
            <b/>
            <sz val="9"/>
            <rFont val="宋体"/>
            <charset val="134"/>
          </rPr>
          <t>Administrator:</t>
        </r>
        <r>
          <rPr>
            <sz val="9"/>
            <rFont val="宋体"/>
            <charset val="134"/>
          </rPr>
          <t xml:space="preserve">
2021.12.9收22952</t>
        </r>
      </text>
    </comment>
    <comment ref="U449" authorId="0">
      <text>
        <r>
          <rPr>
            <b/>
            <sz val="9"/>
            <rFont val="宋体"/>
            <charset val="134"/>
          </rPr>
          <t>Administrator:</t>
        </r>
        <r>
          <rPr>
            <sz val="9"/>
            <rFont val="宋体"/>
            <charset val="134"/>
          </rPr>
          <t xml:space="preserve">
2021.12.15收19115.66</t>
        </r>
      </text>
    </comment>
    <comment ref="T450" authorId="0">
      <text>
        <r>
          <rPr>
            <b/>
            <sz val="9"/>
            <rFont val="宋体"/>
            <charset val="134"/>
          </rPr>
          <t>Administrator:</t>
        </r>
        <r>
          <rPr>
            <sz val="9"/>
            <rFont val="宋体"/>
            <charset val="134"/>
          </rPr>
          <t xml:space="preserve">
2021.12.30收21772.73</t>
        </r>
      </text>
    </comment>
    <comment ref="U450" authorId="0">
      <text>
        <r>
          <rPr>
            <b/>
            <sz val="9"/>
            <rFont val="宋体"/>
            <charset val="134"/>
          </rPr>
          <t>Administrator:</t>
        </r>
        <r>
          <rPr>
            <sz val="9"/>
            <rFont val="宋体"/>
            <charset val="134"/>
          </rPr>
          <t xml:space="preserve">
来自J4127-1</t>
        </r>
      </text>
    </comment>
    <comment ref="T451" authorId="0">
      <text>
        <r>
          <rPr>
            <b/>
            <sz val="9"/>
            <rFont val="宋体"/>
            <charset val="134"/>
          </rPr>
          <t>Administrator:</t>
        </r>
        <r>
          <rPr>
            <sz val="9"/>
            <rFont val="宋体"/>
            <charset val="134"/>
          </rPr>
          <t xml:space="preserve">
2021.9.13收1440+3559.68</t>
        </r>
      </text>
    </comment>
    <comment ref="Q452" authorId="0">
      <text>
        <r>
          <rPr>
            <b/>
            <sz val="9"/>
            <rFont val="宋体"/>
            <charset val="134"/>
          </rPr>
          <t>Administrator:</t>
        </r>
        <r>
          <rPr>
            <sz val="9"/>
            <rFont val="宋体"/>
            <charset val="134"/>
          </rPr>
          <t xml:space="preserve">
2021.9.16收10300</t>
        </r>
      </text>
    </comment>
    <comment ref="T452" authorId="0">
      <text>
        <r>
          <rPr>
            <b/>
            <sz val="9"/>
            <rFont val="宋体"/>
            <charset val="134"/>
          </rPr>
          <t>Administrator:</t>
        </r>
        <r>
          <rPr>
            <sz val="9"/>
            <rFont val="宋体"/>
            <charset val="134"/>
          </rPr>
          <t xml:space="preserve">
2021.12.30收24664.34</t>
        </r>
      </text>
    </comment>
    <comment ref="Q453" authorId="0">
      <text>
        <r>
          <rPr>
            <b/>
            <sz val="9"/>
            <rFont val="宋体"/>
            <charset val="134"/>
          </rPr>
          <t>Administrator:</t>
        </r>
        <r>
          <rPr>
            <sz val="9"/>
            <rFont val="宋体"/>
            <charset val="134"/>
          </rPr>
          <t xml:space="preserve">
2021.9.22收5959</t>
        </r>
      </text>
    </comment>
    <comment ref="T453" authorId="0">
      <text>
        <r>
          <rPr>
            <b/>
            <sz val="9"/>
            <rFont val="宋体"/>
            <charset val="134"/>
          </rPr>
          <t>Administrator:</t>
        </r>
        <r>
          <rPr>
            <sz val="9"/>
            <rFont val="宋体"/>
            <charset val="134"/>
          </rPr>
          <t xml:space="preserve">
2021.12.10收31314</t>
        </r>
      </text>
    </comment>
    <comment ref="Q454" authorId="0">
      <text>
        <r>
          <rPr>
            <b/>
            <sz val="9"/>
            <rFont val="宋体"/>
            <charset val="134"/>
          </rPr>
          <t>Administrator:</t>
        </r>
        <r>
          <rPr>
            <sz val="9"/>
            <rFont val="宋体"/>
            <charset val="134"/>
          </rPr>
          <t xml:space="preserve">
2021.9.27收26971
用于J4139定金18000 J4140定金</t>
        </r>
      </text>
    </comment>
    <comment ref="T454" authorId="0">
      <text>
        <r>
          <rPr>
            <b/>
            <sz val="9"/>
            <rFont val="宋体"/>
            <charset val="134"/>
          </rPr>
          <t>Administrator:</t>
        </r>
        <r>
          <rPr>
            <sz val="9"/>
            <rFont val="宋体"/>
            <charset val="134"/>
          </rPr>
          <t xml:space="preserve">
2021.12.28收23146.8</t>
        </r>
      </text>
    </comment>
    <comment ref="T455" authorId="0">
      <text>
        <r>
          <rPr>
            <b/>
            <sz val="9"/>
            <rFont val="宋体"/>
            <charset val="134"/>
          </rPr>
          <t>Administrator:</t>
        </r>
        <r>
          <rPr>
            <sz val="9"/>
            <rFont val="宋体"/>
            <charset val="134"/>
          </rPr>
          <t xml:space="preserve">
2022.1.4收22486</t>
        </r>
      </text>
    </comment>
    <comment ref="Q456" authorId="0">
      <text>
        <r>
          <rPr>
            <b/>
            <sz val="9"/>
            <rFont val="宋体"/>
            <charset val="134"/>
          </rPr>
          <t>Administrator:</t>
        </r>
        <r>
          <rPr>
            <sz val="9"/>
            <rFont val="宋体"/>
            <charset val="134"/>
          </rPr>
          <t xml:space="preserve">
2021.9.27收26971
用于J4139 J4140定金</t>
        </r>
      </text>
    </comment>
    <comment ref="T456" authorId="0">
      <text>
        <r>
          <rPr>
            <b/>
            <sz val="9"/>
            <rFont val="宋体"/>
            <charset val="134"/>
          </rPr>
          <t>Administrator:</t>
        </r>
        <r>
          <rPr>
            <sz val="9"/>
            <rFont val="宋体"/>
            <charset val="134"/>
          </rPr>
          <t xml:space="preserve">
2022.1.18收23146.8</t>
        </r>
      </text>
    </comment>
    <comment ref="Q457" authorId="0">
      <text>
        <r>
          <rPr>
            <b/>
            <sz val="9"/>
            <rFont val="宋体"/>
            <charset val="134"/>
          </rPr>
          <t>Administrator:</t>
        </r>
        <r>
          <rPr>
            <sz val="9"/>
            <rFont val="宋体"/>
            <charset val="134"/>
          </rPr>
          <t xml:space="preserve">
2021.9.23收5674</t>
        </r>
      </text>
    </comment>
    <comment ref="T457" authorId="0">
      <text>
        <r>
          <rPr>
            <b/>
            <sz val="9"/>
            <rFont val="宋体"/>
            <charset val="134"/>
          </rPr>
          <t>Administrator:</t>
        </r>
        <r>
          <rPr>
            <sz val="9"/>
            <rFont val="宋体"/>
            <charset val="134"/>
          </rPr>
          <t xml:space="preserve">
2021.12.30收22697</t>
        </r>
      </text>
    </comment>
    <comment ref="T458" authorId="0">
      <text>
        <r>
          <rPr>
            <b/>
            <sz val="9"/>
            <rFont val="宋体"/>
            <charset val="134"/>
          </rPr>
          <t>Administrator:</t>
        </r>
        <r>
          <rPr>
            <sz val="9"/>
            <rFont val="宋体"/>
            <charset val="134"/>
          </rPr>
          <t xml:space="preserve">
2021.12.28收101152.92</t>
        </r>
      </text>
    </comment>
    <comment ref="T459" authorId="0">
      <text>
        <r>
          <rPr>
            <b/>
            <sz val="9"/>
            <rFont val="宋体"/>
            <charset val="134"/>
          </rPr>
          <t>Administrator:</t>
        </r>
        <r>
          <rPr>
            <sz val="9"/>
            <rFont val="宋体"/>
            <charset val="134"/>
          </rPr>
          <t xml:space="preserve">
2022.2.18收104751.28</t>
        </r>
      </text>
    </comment>
    <comment ref="T460" authorId="0">
      <text>
        <r>
          <rPr>
            <b/>
            <sz val="9"/>
            <rFont val="宋体"/>
            <charset val="134"/>
          </rPr>
          <t>Administrator:</t>
        </r>
        <r>
          <rPr>
            <sz val="9"/>
            <rFont val="宋体"/>
            <charset val="134"/>
          </rPr>
          <t xml:space="preserve">
2022.1.25收168490.48</t>
        </r>
      </text>
    </comment>
    <comment ref="T461" authorId="0">
      <text>
        <r>
          <rPr>
            <b/>
            <sz val="9"/>
            <rFont val="宋体"/>
            <charset val="134"/>
          </rPr>
          <t>Administrator:</t>
        </r>
        <r>
          <rPr>
            <sz val="9"/>
            <rFont val="宋体"/>
            <charset val="134"/>
          </rPr>
          <t xml:space="preserve">
2022.2.17收103776.16</t>
        </r>
      </text>
    </comment>
    <comment ref="T462" authorId="0">
      <text>
        <r>
          <rPr>
            <b/>
            <sz val="9"/>
            <rFont val="宋体"/>
            <charset val="134"/>
          </rPr>
          <t>Administrator:</t>
        </r>
        <r>
          <rPr>
            <sz val="9"/>
            <rFont val="宋体"/>
            <charset val="134"/>
          </rPr>
          <t xml:space="preserve">
2022.3.14收69214.52</t>
        </r>
      </text>
    </comment>
    <comment ref="Q463" authorId="0">
      <text>
        <r>
          <rPr>
            <b/>
            <sz val="9"/>
            <rFont val="宋体"/>
            <charset val="134"/>
          </rPr>
          <t>Administrator:</t>
        </r>
        <r>
          <rPr>
            <sz val="9"/>
            <rFont val="宋体"/>
            <charset val="134"/>
          </rPr>
          <t xml:space="preserve">
2021.9.29收8981.85</t>
        </r>
      </text>
    </comment>
    <comment ref="T463" authorId="0">
      <text>
        <r>
          <rPr>
            <b/>
            <sz val="9"/>
            <rFont val="宋体"/>
            <charset val="134"/>
          </rPr>
          <t>Administrator:</t>
        </r>
        <r>
          <rPr>
            <sz val="9"/>
            <rFont val="宋体"/>
            <charset val="134"/>
          </rPr>
          <t xml:space="preserve">
2021.12.17收22524</t>
        </r>
      </text>
    </comment>
    <comment ref="Q464" authorId="0">
      <text>
        <r>
          <rPr>
            <b/>
            <sz val="9"/>
            <rFont val="宋体"/>
            <charset val="134"/>
          </rPr>
          <t>Administrator:</t>
        </r>
        <r>
          <rPr>
            <sz val="9"/>
            <rFont val="宋体"/>
            <charset val="134"/>
          </rPr>
          <t xml:space="preserve">
2021.9.29收12767</t>
        </r>
      </text>
    </comment>
    <comment ref="T464" authorId="0">
      <text>
        <r>
          <rPr>
            <b/>
            <sz val="9"/>
            <rFont val="宋体"/>
            <charset val="134"/>
          </rPr>
          <t>Administrator:</t>
        </r>
        <r>
          <rPr>
            <sz val="9"/>
            <rFont val="宋体"/>
            <charset val="134"/>
          </rPr>
          <t xml:space="preserve">
2021.12.14收5371+23324</t>
        </r>
      </text>
    </comment>
    <comment ref="T465" authorId="0">
      <text>
        <r>
          <rPr>
            <b/>
            <sz val="9"/>
            <rFont val="宋体"/>
            <charset val="134"/>
          </rPr>
          <t>Administrator:</t>
        </r>
        <r>
          <rPr>
            <sz val="9"/>
            <rFont val="宋体"/>
            <charset val="134"/>
          </rPr>
          <t xml:space="preserve">
2021.12.29收24100</t>
        </r>
      </text>
    </comment>
    <comment ref="U465" authorId="0">
      <text>
        <r>
          <rPr>
            <b/>
            <sz val="9"/>
            <rFont val="宋体"/>
            <charset val="134"/>
          </rPr>
          <t>Administrator:</t>
        </r>
        <r>
          <rPr>
            <sz val="9"/>
            <rFont val="宋体"/>
            <charset val="134"/>
          </rPr>
          <t xml:space="preserve">
来自J4204</t>
        </r>
      </text>
    </comment>
    <comment ref="Q466" authorId="0">
      <text>
        <r>
          <rPr>
            <b/>
            <sz val="9"/>
            <rFont val="宋体"/>
            <charset val="134"/>
          </rPr>
          <t>Administrator:</t>
        </r>
        <r>
          <rPr>
            <sz val="9"/>
            <rFont val="宋体"/>
            <charset val="134"/>
          </rPr>
          <t xml:space="preserve">
2021.10.7收9339.85</t>
        </r>
      </text>
    </comment>
    <comment ref="T466" authorId="0">
      <text>
        <r>
          <rPr>
            <b/>
            <sz val="9"/>
            <rFont val="宋体"/>
            <charset val="134"/>
          </rPr>
          <t>Administrator:</t>
        </r>
        <r>
          <rPr>
            <sz val="9"/>
            <rFont val="宋体"/>
            <charset val="134"/>
          </rPr>
          <t xml:space="preserve">
2021.12.29收23332.26</t>
        </r>
      </text>
    </comment>
    <comment ref="Q467" authorId="0">
      <text>
        <r>
          <rPr>
            <b/>
            <sz val="9"/>
            <rFont val="宋体"/>
            <charset val="134"/>
          </rPr>
          <t>Administrator:</t>
        </r>
        <r>
          <rPr>
            <sz val="9"/>
            <rFont val="宋体"/>
            <charset val="134"/>
          </rPr>
          <t xml:space="preserve">
2021.10.13收5982</t>
        </r>
      </text>
    </comment>
    <comment ref="T467" authorId="0">
      <text>
        <r>
          <rPr>
            <b/>
            <sz val="9"/>
            <rFont val="宋体"/>
            <charset val="134"/>
          </rPr>
          <t>Administrator:</t>
        </r>
        <r>
          <rPr>
            <sz val="9"/>
            <rFont val="宋体"/>
            <charset val="134"/>
          </rPr>
          <t xml:space="preserve">
2022.1.20收28889.49</t>
        </r>
      </text>
    </comment>
    <comment ref="T468" authorId="0">
      <text>
        <r>
          <rPr>
            <b/>
            <sz val="9"/>
            <rFont val="宋体"/>
            <charset val="134"/>
          </rPr>
          <t>Administrator:</t>
        </r>
        <r>
          <rPr>
            <sz val="9"/>
            <rFont val="宋体"/>
            <charset val="134"/>
          </rPr>
          <t xml:space="preserve">
2021.11.30收63346.47</t>
        </r>
      </text>
    </comment>
    <comment ref="Q469" authorId="0">
      <text>
        <r>
          <rPr>
            <b/>
            <sz val="9"/>
            <rFont val="宋体"/>
            <charset val="134"/>
          </rPr>
          <t>Administrator:</t>
        </r>
        <r>
          <rPr>
            <sz val="9"/>
            <rFont val="宋体"/>
            <charset val="134"/>
          </rPr>
          <t xml:space="preserve">
2021.10.18收9956.63</t>
        </r>
      </text>
    </comment>
    <comment ref="T469" authorId="0">
      <text>
        <r>
          <rPr>
            <b/>
            <sz val="9"/>
            <rFont val="宋体"/>
            <charset val="134"/>
          </rPr>
          <t>Administrator:</t>
        </r>
        <r>
          <rPr>
            <sz val="9"/>
            <rFont val="宋体"/>
            <charset val="134"/>
          </rPr>
          <t xml:space="preserve">
2021.12.20收62063.59</t>
        </r>
      </text>
    </comment>
    <comment ref="Q470" authorId="0">
      <text>
        <r>
          <rPr>
            <b/>
            <sz val="9"/>
            <rFont val="宋体"/>
            <charset val="134"/>
          </rPr>
          <t>Administrator:</t>
        </r>
        <r>
          <rPr>
            <sz val="9"/>
            <rFont val="宋体"/>
            <charset val="134"/>
          </rPr>
          <t xml:space="preserve">
2021.10.9收</t>
        </r>
      </text>
    </comment>
    <comment ref="T470" authorId="0">
      <text>
        <r>
          <rPr>
            <b/>
            <sz val="9"/>
            <rFont val="宋体"/>
            <charset val="134"/>
          </rPr>
          <t>Administrator:</t>
        </r>
        <r>
          <rPr>
            <sz val="9"/>
            <rFont val="宋体"/>
            <charset val="134"/>
          </rPr>
          <t xml:space="preserve">
2021.11.3收RMB120600
含1000外送运费垫付</t>
        </r>
      </text>
    </comment>
    <comment ref="P471" authorId="0">
      <text>
        <r>
          <rPr>
            <b/>
            <sz val="9"/>
            <rFont val="宋体"/>
            <charset val="134"/>
          </rPr>
          <t>Administrator:</t>
        </r>
        <r>
          <rPr>
            <sz val="9"/>
            <rFont val="宋体"/>
            <charset val="134"/>
          </rPr>
          <t xml:space="preserve">
库存之前付款了</t>
        </r>
      </text>
    </comment>
    <comment ref="Q471" authorId="0">
      <text>
        <r>
          <rPr>
            <b/>
            <sz val="9"/>
            <rFont val="宋体"/>
            <charset val="134"/>
          </rPr>
          <t>Administrator:</t>
        </r>
        <r>
          <rPr>
            <sz val="9"/>
            <rFont val="宋体"/>
            <charset val="134"/>
          </rPr>
          <t xml:space="preserve">
2021.10.15收16182.04 用于J4124尾款13395+J4147定金2800</t>
        </r>
      </text>
    </comment>
    <comment ref="T471" authorId="0">
      <text>
        <r>
          <rPr>
            <b/>
            <sz val="9"/>
            <rFont val="宋体"/>
            <charset val="134"/>
          </rPr>
          <t>Administrator:</t>
        </r>
        <r>
          <rPr>
            <sz val="9"/>
            <rFont val="宋体"/>
            <charset val="134"/>
          </rPr>
          <t xml:space="preserve">
2021.11.8收4128.66</t>
        </r>
      </text>
    </comment>
    <comment ref="T472" authorId="0">
      <text>
        <r>
          <rPr>
            <b/>
            <sz val="9"/>
            <rFont val="宋体"/>
            <charset val="134"/>
          </rPr>
          <t>Administrator:</t>
        </r>
        <r>
          <rPr>
            <sz val="9"/>
            <rFont val="宋体"/>
            <charset val="134"/>
          </rPr>
          <t xml:space="preserve">
2022.1.4收63732.4</t>
        </r>
      </text>
    </comment>
    <comment ref="Q473" authorId="0">
      <text>
        <r>
          <rPr>
            <b/>
            <sz val="9"/>
            <rFont val="宋体"/>
            <charset val="134"/>
          </rPr>
          <t>Administrator:</t>
        </r>
        <r>
          <rPr>
            <sz val="9"/>
            <rFont val="宋体"/>
            <charset val="134"/>
          </rPr>
          <t xml:space="preserve">
2021.11.8收9970</t>
        </r>
      </text>
    </comment>
    <comment ref="T473" authorId="0">
      <text>
        <r>
          <rPr>
            <b/>
            <sz val="9"/>
            <rFont val="宋体"/>
            <charset val="134"/>
          </rPr>
          <t>Administrator:</t>
        </r>
        <r>
          <rPr>
            <sz val="9"/>
            <rFont val="宋体"/>
            <charset val="134"/>
          </rPr>
          <t xml:space="preserve">
2022.1.14收56243.5</t>
        </r>
      </text>
    </comment>
    <comment ref="T475" authorId="0">
      <text>
        <r>
          <rPr>
            <b/>
            <sz val="9"/>
            <rFont val="宋体"/>
            <charset val="134"/>
          </rPr>
          <t>Administrator:</t>
        </r>
        <r>
          <rPr>
            <sz val="9"/>
            <rFont val="宋体"/>
            <charset val="134"/>
          </rPr>
          <t xml:space="preserve">
2021.11.1收6649.35</t>
        </r>
      </text>
    </comment>
    <comment ref="Q476" authorId="0">
      <text>
        <r>
          <rPr>
            <b/>
            <sz val="9"/>
            <rFont val="宋体"/>
            <charset val="134"/>
          </rPr>
          <t>Administrator:</t>
        </r>
        <r>
          <rPr>
            <sz val="9"/>
            <rFont val="宋体"/>
            <charset val="134"/>
          </rPr>
          <t xml:space="preserve">
2021.11.8收19094.57</t>
        </r>
      </text>
    </comment>
    <comment ref="T476" authorId="0">
      <text>
        <r>
          <rPr>
            <b/>
            <sz val="9"/>
            <rFont val="宋体"/>
            <charset val="134"/>
          </rPr>
          <t>Administrator:</t>
        </r>
        <r>
          <rPr>
            <sz val="9"/>
            <rFont val="宋体"/>
            <charset val="134"/>
          </rPr>
          <t xml:space="preserve">
2022.1.21收15625.41</t>
        </r>
      </text>
    </comment>
    <comment ref="Q477" authorId="0">
      <text>
        <r>
          <rPr>
            <b/>
            <sz val="9"/>
            <rFont val="宋体"/>
            <charset val="134"/>
          </rPr>
          <t>Administrator:</t>
        </r>
        <r>
          <rPr>
            <sz val="9"/>
            <rFont val="宋体"/>
            <charset val="134"/>
          </rPr>
          <t xml:space="preserve">
2021.11.10收7963</t>
        </r>
      </text>
    </comment>
    <comment ref="T477" authorId="0">
      <text>
        <r>
          <rPr>
            <b/>
            <sz val="9"/>
            <rFont val="宋体"/>
            <charset val="134"/>
          </rPr>
          <t>Administrator:</t>
        </r>
        <r>
          <rPr>
            <sz val="9"/>
            <rFont val="宋体"/>
            <charset val="134"/>
          </rPr>
          <t xml:space="preserve">
2022.1.25收23752</t>
        </r>
      </text>
    </comment>
    <comment ref="T478" authorId="0">
      <text>
        <r>
          <rPr>
            <b/>
            <sz val="9"/>
            <rFont val="宋体"/>
            <charset val="134"/>
          </rPr>
          <t>Administrator:</t>
        </r>
        <r>
          <rPr>
            <sz val="9"/>
            <rFont val="宋体"/>
            <charset val="134"/>
          </rPr>
          <t xml:space="preserve">
2022.1.7收29294</t>
        </r>
      </text>
    </comment>
    <comment ref="Q479" authorId="0">
      <text>
        <r>
          <rPr>
            <b/>
            <sz val="9"/>
            <rFont val="宋体"/>
            <charset val="134"/>
          </rPr>
          <t>Administrator:</t>
        </r>
        <r>
          <rPr>
            <sz val="9"/>
            <rFont val="宋体"/>
            <charset val="134"/>
          </rPr>
          <t xml:space="preserve">
2021.11.10收5758.46</t>
        </r>
      </text>
    </comment>
    <comment ref="T479" authorId="0">
      <text>
        <r>
          <rPr>
            <b/>
            <sz val="9"/>
            <rFont val="宋体"/>
            <charset val="134"/>
          </rPr>
          <t>Administrator:</t>
        </r>
        <r>
          <rPr>
            <sz val="9"/>
            <rFont val="宋体"/>
            <charset val="134"/>
          </rPr>
          <t xml:space="preserve">
2022.1.19收23026.84</t>
        </r>
      </text>
    </comment>
    <comment ref="Q480" authorId="0">
      <text>
        <r>
          <rPr>
            <b/>
            <sz val="9"/>
            <rFont val="宋体"/>
            <charset val="134"/>
          </rPr>
          <t>Administrator:</t>
        </r>
        <r>
          <rPr>
            <sz val="9"/>
            <rFont val="宋体"/>
            <charset val="134"/>
          </rPr>
          <t xml:space="preserve">
2021.11.18收9400</t>
        </r>
      </text>
    </comment>
    <comment ref="T480" authorId="0">
      <text>
        <r>
          <rPr>
            <b/>
            <sz val="9"/>
            <rFont val="宋体"/>
            <charset val="134"/>
          </rPr>
          <t>Administrator:</t>
        </r>
        <r>
          <rPr>
            <sz val="9"/>
            <rFont val="宋体"/>
            <charset val="134"/>
          </rPr>
          <t xml:space="preserve">
2022.1.25收24382.44</t>
        </r>
      </text>
    </comment>
    <comment ref="T481" authorId="0">
      <text>
        <r>
          <rPr>
            <b/>
            <sz val="9"/>
            <rFont val="宋体"/>
            <charset val="134"/>
          </rPr>
          <t>Administrator:</t>
        </r>
        <r>
          <rPr>
            <sz val="9"/>
            <rFont val="宋体"/>
            <charset val="134"/>
          </rPr>
          <t xml:space="preserve">
2022.2.11收20685</t>
        </r>
      </text>
    </comment>
    <comment ref="U481" authorId="0">
      <text>
        <r>
          <rPr>
            <b/>
            <sz val="9"/>
            <rFont val="宋体"/>
            <charset val="134"/>
          </rPr>
          <t>Administrator:</t>
        </r>
        <r>
          <rPr>
            <sz val="9"/>
            <rFont val="宋体"/>
            <charset val="134"/>
          </rPr>
          <t xml:space="preserve">
4560.62=31146.62-20735-5800-51
2990(之前多付的)+4000(固定定金)-4560.62=2429
J4127-2多付51美金 返点5800  用掉一部分固定定金和之前多付的  固定定金还剩2429</t>
        </r>
      </text>
    </comment>
    <comment ref="Q482" authorId="0">
      <text>
        <r>
          <rPr>
            <b/>
            <sz val="9"/>
            <rFont val="宋体"/>
            <charset val="134"/>
          </rPr>
          <t>Administrator:</t>
        </r>
        <r>
          <rPr>
            <sz val="9"/>
            <rFont val="宋体"/>
            <charset val="134"/>
          </rPr>
          <t xml:space="preserve">
2021.11.18收5403.15</t>
        </r>
      </text>
    </comment>
    <comment ref="T482" authorId="0">
      <text>
        <r>
          <rPr>
            <b/>
            <sz val="9"/>
            <rFont val="宋体"/>
            <charset val="134"/>
          </rPr>
          <t>Administrator:</t>
        </r>
        <r>
          <rPr>
            <sz val="9"/>
            <rFont val="宋体"/>
            <charset val="134"/>
          </rPr>
          <t xml:space="preserve">
2022.3.9收21612.5</t>
        </r>
      </text>
    </comment>
    <comment ref="T483" authorId="0">
      <text>
        <r>
          <rPr>
            <b/>
            <sz val="9"/>
            <rFont val="宋体"/>
            <charset val="134"/>
          </rPr>
          <t>Administrator:</t>
        </r>
        <r>
          <rPr>
            <sz val="9"/>
            <rFont val="宋体"/>
            <charset val="134"/>
          </rPr>
          <t xml:space="preserve">
2022.5.12收125033.17</t>
        </r>
      </text>
    </comment>
    <comment ref="T486" authorId="0">
      <text>
        <r>
          <rPr>
            <b/>
            <sz val="9"/>
            <rFont val="宋体"/>
            <charset val="134"/>
          </rPr>
          <t>Administrator:</t>
        </r>
        <r>
          <rPr>
            <sz val="9"/>
            <rFont val="宋体"/>
            <charset val="134"/>
          </rPr>
          <t xml:space="preserve">
2021.12.7收229.6</t>
        </r>
      </text>
    </comment>
    <comment ref="Q487" authorId="0">
      <text>
        <r>
          <rPr>
            <b/>
            <sz val="9"/>
            <rFont val="宋体"/>
            <charset val="134"/>
          </rPr>
          <t>Administrator:</t>
        </r>
        <r>
          <rPr>
            <sz val="9"/>
            <rFont val="宋体"/>
            <charset val="134"/>
          </rPr>
          <t xml:space="preserve">
2021.12.7收</t>
        </r>
      </text>
    </comment>
    <comment ref="T487" authorId="0">
      <text>
        <r>
          <rPr>
            <b/>
            <sz val="9"/>
            <rFont val="宋体"/>
            <charset val="134"/>
          </rPr>
          <t>Administrator:</t>
        </r>
        <r>
          <rPr>
            <sz val="9"/>
            <rFont val="宋体"/>
            <charset val="134"/>
          </rPr>
          <t xml:space="preserve">
2021.12.20收</t>
        </r>
      </text>
    </comment>
    <comment ref="Q488" authorId="0">
      <text>
        <r>
          <rPr>
            <b/>
            <sz val="9"/>
            <rFont val="宋体"/>
            <charset val="134"/>
          </rPr>
          <t>Administrator:</t>
        </r>
        <r>
          <rPr>
            <sz val="9"/>
            <rFont val="宋体"/>
            <charset val="134"/>
          </rPr>
          <t xml:space="preserve">
2021.12.9收6294.64</t>
        </r>
      </text>
    </comment>
    <comment ref="T488" authorId="0">
      <text>
        <r>
          <rPr>
            <b/>
            <sz val="9"/>
            <rFont val="宋体"/>
            <charset val="134"/>
          </rPr>
          <t>Administrator:</t>
        </r>
        <r>
          <rPr>
            <sz val="9"/>
            <rFont val="宋体"/>
            <charset val="134"/>
          </rPr>
          <t xml:space="preserve">
2022.2.23收14079.3</t>
        </r>
      </text>
    </comment>
    <comment ref="Q489" authorId="0">
      <text>
        <r>
          <rPr>
            <b/>
            <sz val="9"/>
            <rFont val="宋体"/>
            <charset val="134"/>
          </rPr>
          <t>Administrator:</t>
        </r>
        <r>
          <rPr>
            <sz val="9"/>
            <rFont val="宋体"/>
            <charset val="134"/>
          </rPr>
          <t xml:space="preserve">
2021.12.21收5356</t>
        </r>
      </text>
    </comment>
    <comment ref="T489" authorId="0">
      <text>
        <r>
          <rPr>
            <b/>
            <sz val="9"/>
            <rFont val="宋体"/>
            <charset val="134"/>
          </rPr>
          <t>Administrator:</t>
        </r>
        <r>
          <rPr>
            <sz val="9"/>
            <rFont val="宋体"/>
            <charset val="134"/>
          </rPr>
          <t xml:space="preserve">
2022.2.23收26714.23</t>
        </r>
      </text>
    </comment>
    <comment ref="P490" authorId="0">
      <text>
        <r>
          <rPr>
            <b/>
            <sz val="9"/>
            <rFont val="宋体"/>
            <charset val="134"/>
          </rPr>
          <t>Administrator:</t>
        </r>
        <r>
          <rPr>
            <sz val="9"/>
            <rFont val="宋体"/>
            <charset val="134"/>
          </rPr>
          <t xml:space="preserve">
按26333付款  多付324.8 实际发货26008.2
甩货已付</t>
        </r>
      </text>
    </comment>
    <comment ref="Q490" authorId="0">
      <text>
        <r>
          <rPr>
            <b/>
            <sz val="9"/>
            <rFont val="宋体"/>
            <charset val="134"/>
          </rPr>
          <t>Administrator:</t>
        </r>
        <r>
          <rPr>
            <sz val="9"/>
            <rFont val="宋体"/>
            <charset val="134"/>
          </rPr>
          <t xml:space="preserve">
2021.12.13收9992</t>
        </r>
      </text>
    </comment>
    <comment ref="T490" authorId="0">
      <text>
        <r>
          <rPr>
            <b/>
            <sz val="9"/>
            <rFont val="宋体"/>
            <charset val="134"/>
          </rPr>
          <t>Administrator:</t>
        </r>
        <r>
          <rPr>
            <sz val="9"/>
            <rFont val="宋体"/>
            <charset val="134"/>
          </rPr>
          <t xml:space="preserve">
2022.1.20收16319.93</t>
        </r>
      </text>
    </comment>
    <comment ref="Q491" authorId="0">
      <text>
        <r>
          <rPr>
            <b/>
            <sz val="9"/>
            <rFont val="宋体"/>
            <charset val="134"/>
          </rPr>
          <t>Administrator:</t>
        </r>
        <r>
          <rPr>
            <sz val="9"/>
            <rFont val="宋体"/>
            <charset val="134"/>
          </rPr>
          <t xml:space="preserve">
2021.12.17收19800美金作为J4195 J4196定金</t>
        </r>
      </text>
    </comment>
    <comment ref="T491" authorId="0">
      <text>
        <r>
          <rPr>
            <b/>
            <sz val="9"/>
            <rFont val="宋体"/>
            <charset val="134"/>
          </rPr>
          <t>Administrator:</t>
        </r>
        <r>
          <rPr>
            <sz val="9"/>
            <rFont val="宋体"/>
            <charset val="134"/>
          </rPr>
          <t xml:space="preserve">
2022.3.7收23780.6</t>
        </r>
      </text>
    </comment>
    <comment ref="T492" authorId="0">
      <text>
        <r>
          <rPr>
            <b/>
            <sz val="9"/>
            <rFont val="宋体"/>
            <charset val="134"/>
          </rPr>
          <t>Administrator:</t>
        </r>
        <r>
          <rPr>
            <sz val="9"/>
            <rFont val="宋体"/>
            <charset val="134"/>
          </rPr>
          <t xml:space="preserve">
2022.3.15收23685.9</t>
        </r>
      </text>
    </comment>
    <comment ref="T493" authorId="0">
      <text>
        <r>
          <rPr>
            <b/>
            <sz val="9"/>
            <rFont val="宋体"/>
            <charset val="134"/>
          </rPr>
          <t>Administrator:</t>
        </r>
        <r>
          <rPr>
            <sz val="9"/>
            <rFont val="宋体"/>
            <charset val="134"/>
          </rPr>
          <t xml:space="preserve">
2022.1.26收32545.16</t>
        </r>
      </text>
    </comment>
    <comment ref="Q494" authorId="0">
      <text>
        <r>
          <rPr>
            <b/>
            <sz val="9"/>
            <rFont val="宋体"/>
            <charset val="134"/>
          </rPr>
          <t>Administrator:</t>
        </r>
        <r>
          <rPr>
            <sz val="9"/>
            <rFont val="宋体"/>
            <charset val="134"/>
          </rPr>
          <t xml:space="preserve">
2021.12.24收9992
J4190多付324.8美金</t>
        </r>
      </text>
    </comment>
    <comment ref="T494" authorId="0">
      <text>
        <r>
          <rPr>
            <b/>
            <sz val="9"/>
            <rFont val="宋体"/>
            <charset val="134"/>
          </rPr>
          <t>Administrator:</t>
        </r>
        <r>
          <rPr>
            <sz val="9"/>
            <rFont val="宋体"/>
            <charset val="134"/>
          </rPr>
          <t xml:space="preserve">
2022.4.12收24452.67
包含J4252定金1万美金</t>
        </r>
      </text>
    </comment>
    <comment ref="Q495" authorId="0">
      <text>
        <r>
          <rPr>
            <b/>
            <sz val="9"/>
            <rFont val="宋体"/>
            <charset val="134"/>
          </rPr>
          <t>Administrator:</t>
        </r>
        <r>
          <rPr>
            <sz val="9"/>
            <rFont val="宋体"/>
            <charset val="134"/>
          </rPr>
          <t xml:space="preserve">
2021.12.29收24780
水单24780 4054.94用于J4137-2尾款
2022.1.11收5055
25780.06=24780-4054.94+5055</t>
        </r>
      </text>
    </comment>
    <comment ref="T495" authorId="0">
      <text>
        <r>
          <rPr>
            <b/>
            <sz val="9"/>
            <rFont val="宋体"/>
            <charset val="134"/>
          </rPr>
          <t>Administrator:</t>
        </r>
        <r>
          <rPr>
            <sz val="9"/>
            <rFont val="宋体"/>
            <charset val="134"/>
          </rPr>
          <t xml:space="preserve">
2022.4.1收20797.41</t>
        </r>
      </text>
    </comment>
    <comment ref="T496" authorId="0">
      <text>
        <r>
          <rPr>
            <b/>
            <sz val="9"/>
            <rFont val="宋体"/>
            <charset val="134"/>
          </rPr>
          <t>Administrator:</t>
        </r>
        <r>
          <rPr>
            <sz val="9"/>
            <rFont val="宋体"/>
            <charset val="134"/>
          </rPr>
          <t xml:space="preserve">
2022.4.26收20836.41</t>
        </r>
      </text>
    </comment>
    <comment ref="Q498" authorId="0">
      <text>
        <r>
          <rPr>
            <b/>
            <sz val="9"/>
            <rFont val="宋体"/>
            <charset val="134"/>
          </rPr>
          <t>Administrator:</t>
        </r>
        <r>
          <rPr>
            <sz val="9"/>
            <rFont val="宋体"/>
            <charset val="134"/>
          </rPr>
          <t xml:space="preserve">
2022.1.19收6500</t>
        </r>
      </text>
    </comment>
    <comment ref="T498" authorId="0">
      <text>
        <r>
          <rPr>
            <b/>
            <sz val="9"/>
            <rFont val="宋体"/>
            <charset val="134"/>
          </rPr>
          <t>Administrator:</t>
        </r>
        <r>
          <rPr>
            <sz val="9"/>
            <rFont val="宋体"/>
            <charset val="134"/>
          </rPr>
          <t xml:space="preserve">
2022.4.19收15162.8</t>
        </r>
      </text>
    </comment>
    <comment ref="Q499" authorId="0">
      <text>
        <r>
          <rPr>
            <b/>
            <sz val="9"/>
            <rFont val="宋体"/>
            <charset val="134"/>
          </rPr>
          <t>Administrator:</t>
        </r>
        <r>
          <rPr>
            <sz val="9"/>
            <rFont val="宋体"/>
            <charset val="134"/>
          </rPr>
          <t xml:space="preserve">
2022.2.11收10300</t>
        </r>
      </text>
    </comment>
    <comment ref="T499" authorId="0">
      <text>
        <r>
          <rPr>
            <b/>
            <sz val="9"/>
            <rFont val="宋体"/>
            <charset val="134"/>
          </rPr>
          <t>Administrator:</t>
        </r>
        <r>
          <rPr>
            <sz val="9"/>
            <rFont val="宋体"/>
            <charset val="134"/>
          </rPr>
          <t xml:space="preserve">
2022.4.1收9900</t>
        </r>
      </text>
    </comment>
    <comment ref="U499" authorId="0">
      <text>
        <r>
          <rPr>
            <b/>
            <sz val="9"/>
            <rFont val="宋体"/>
            <charset val="134"/>
          </rPr>
          <t>Administrator:</t>
        </r>
        <r>
          <rPr>
            <sz val="9"/>
            <rFont val="宋体"/>
            <charset val="134"/>
          </rPr>
          <t xml:space="preserve">
2022.4.1收14064.64  多一百美金转移到J4227</t>
        </r>
      </text>
    </comment>
    <comment ref="Q500" authorId="0">
      <text>
        <r>
          <rPr>
            <b/>
            <sz val="9"/>
            <rFont val="宋体"/>
            <charset val="134"/>
          </rPr>
          <t>Administrator:</t>
        </r>
        <r>
          <rPr>
            <sz val="9"/>
            <rFont val="宋体"/>
            <charset val="134"/>
          </rPr>
          <t xml:space="preserve">
2022.1.25收4995</t>
        </r>
      </text>
    </comment>
    <comment ref="Q501" authorId="0">
      <text>
        <r>
          <rPr>
            <b/>
            <sz val="9"/>
            <rFont val="宋体"/>
            <charset val="134"/>
          </rPr>
          <t>Administrator:</t>
        </r>
        <r>
          <rPr>
            <sz val="9"/>
            <rFont val="宋体"/>
            <charset val="134"/>
          </rPr>
          <t xml:space="preserve">
2022.2.14收5674.3</t>
        </r>
      </text>
    </comment>
    <comment ref="T501" authorId="0">
      <text>
        <r>
          <rPr>
            <b/>
            <sz val="9"/>
            <rFont val="宋体"/>
            <charset val="134"/>
          </rPr>
          <t>Administrator:</t>
        </r>
        <r>
          <rPr>
            <sz val="9"/>
            <rFont val="宋体"/>
            <charset val="134"/>
          </rPr>
          <t xml:space="preserve">
2022.4.20收28689.49</t>
        </r>
      </text>
    </comment>
    <comment ref="Q502" authorId="0">
      <text>
        <r>
          <rPr>
            <b/>
            <sz val="9"/>
            <rFont val="宋体"/>
            <charset val="134"/>
          </rPr>
          <t>Administrator:</t>
        </r>
        <r>
          <rPr>
            <sz val="9"/>
            <rFont val="宋体"/>
            <charset val="134"/>
          </rPr>
          <t xml:space="preserve">
2022.2.28收9951.67</t>
        </r>
      </text>
    </comment>
    <comment ref="T503" authorId="0">
      <text>
        <r>
          <rPr>
            <b/>
            <sz val="9"/>
            <rFont val="宋体"/>
            <charset val="134"/>
          </rPr>
          <t>Administrator:</t>
        </r>
        <r>
          <rPr>
            <sz val="9"/>
            <rFont val="宋体"/>
            <charset val="134"/>
          </rPr>
          <t xml:space="preserve">
2022.6.13收62667</t>
        </r>
      </text>
    </comment>
    <comment ref="Q504" authorId="0">
      <text>
        <r>
          <rPr>
            <b/>
            <sz val="9"/>
            <rFont val="宋体"/>
            <charset val="134"/>
          </rPr>
          <t>Administrator:</t>
        </r>
        <r>
          <rPr>
            <sz val="9"/>
            <rFont val="宋体"/>
            <charset val="134"/>
          </rPr>
          <t xml:space="preserve">
2022.2.10收</t>
        </r>
      </text>
    </comment>
    <comment ref="Q505" authorId="0">
      <text>
        <r>
          <rPr>
            <b/>
            <sz val="9"/>
            <rFont val="宋体"/>
            <charset val="134"/>
          </rPr>
          <t>Administrator:</t>
        </r>
        <r>
          <rPr>
            <sz val="9"/>
            <rFont val="宋体"/>
            <charset val="134"/>
          </rPr>
          <t xml:space="preserve">
2022.2.18收9419</t>
        </r>
      </text>
    </comment>
    <comment ref="Q506" authorId="0">
      <text>
        <r>
          <rPr>
            <b/>
            <sz val="9"/>
            <rFont val="宋体"/>
            <charset val="134"/>
          </rPr>
          <t>Administrator:</t>
        </r>
        <r>
          <rPr>
            <sz val="9"/>
            <rFont val="宋体"/>
            <charset val="134"/>
          </rPr>
          <t xml:space="preserve">
2022.2.16收7956</t>
        </r>
      </text>
    </comment>
    <comment ref="T506" authorId="0">
      <text>
        <r>
          <rPr>
            <b/>
            <sz val="9"/>
            <rFont val="宋体"/>
            <charset val="134"/>
          </rPr>
          <t>Administrator:</t>
        </r>
        <r>
          <rPr>
            <sz val="9"/>
            <rFont val="宋体"/>
            <charset val="134"/>
          </rPr>
          <t xml:space="preserve">
2022.6.21收24205.9</t>
        </r>
      </text>
    </comment>
    <comment ref="T507" authorId="0">
      <text>
        <r>
          <rPr>
            <b/>
            <sz val="9"/>
            <rFont val="宋体"/>
            <charset val="134"/>
          </rPr>
          <t>Administrator:</t>
        </r>
        <r>
          <rPr>
            <sz val="9"/>
            <rFont val="宋体"/>
            <charset val="134"/>
          </rPr>
          <t xml:space="preserve">
2022.5.17收28446.53
水单28480.53  多付112美金转到J4308</t>
        </r>
      </text>
    </comment>
    <comment ref="T508" authorId="0">
      <text>
        <r>
          <rPr>
            <b/>
            <sz val="9"/>
            <rFont val="宋体"/>
            <charset val="134"/>
          </rPr>
          <t>Administrator:</t>
        </r>
        <r>
          <rPr>
            <sz val="9"/>
            <rFont val="宋体"/>
            <charset val="134"/>
          </rPr>
          <t xml:space="preserve">
2022.4.29收28884</t>
        </r>
      </text>
    </comment>
    <comment ref="Q509" authorId="0">
      <text>
        <r>
          <rPr>
            <b/>
            <sz val="9"/>
            <rFont val="宋体"/>
            <charset val="134"/>
          </rPr>
          <t>Administrator:</t>
        </r>
        <r>
          <rPr>
            <sz val="9"/>
            <rFont val="宋体"/>
            <charset val="134"/>
          </rPr>
          <t xml:space="preserve">
2022.2.23收10400
100美金来自J4214
</t>
        </r>
      </text>
    </comment>
    <comment ref="T509" authorId="0">
      <text>
        <r>
          <rPr>
            <b/>
            <sz val="9"/>
            <rFont val="宋体"/>
            <charset val="134"/>
          </rPr>
          <t>Administrator:</t>
        </r>
        <r>
          <rPr>
            <sz val="9"/>
            <rFont val="宋体"/>
            <charset val="134"/>
          </rPr>
          <t xml:space="preserve">
2022.5.3收27442.17</t>
        </r>
      </text>
    </comment>
    <comment ref="Q510" authorId="0">
      <text>
        <r>
          <rPr>
            <b/>
            <sz val="9"/>
            <rFont val="宋体"/>
            <charset val="134"/>
          </rPr>
          <t>Administrator:</t>
        </r>
        <r>
          <rPr>
            <sz val="9"/>
            <rFont val="宋体"/>
            <charset val="134"/>
          </rPr>
          <t xml:space="preserve">
来自J3762</t>
        </r>
      </text>
    </comment>
    <comment ref="Q511" authorId="0">
      <text>
        <r>
          <rPr>
            <b/>
            <sz val="9"/>
            <rFont val="宋体"/>
            <charset val="134"/>
          </rPr>
          <t>Administrator:</t>
        </r>
        <r>
          <rPr>
            <sz val="9"/>
            <rFont val="宋体"/>
            <charset val="134"/>
          </rPr>
          <t xml:space="preserve">
2022.3.1收9971</t>
        </r>
      </text>
    </comment>
    <comment ref="T511" authorId="0">
      <text>
        <r>
          <rPr>
            <b/>
            <sz val="9"/>
            <rFont val="宋体"/>
            <charset val="134"/>
          </rPr>
          <t>Administrator:</t>
        </r>
        <r>
          <rPr>
            <sz val="9"/>
            <rFont val="宋体"/>
            <charset val="134"/>
          </rPr>
          <t xml:space="preserve">
2022.6.7收19557.8</t>
        </r>
      </text>
    </comment>
    <comment ref="Q512" authorId="0">
      <text>
        <r>
          <rPr>
            <b/>
            <sz val="9"/>
            <rFont val="宋体"/>
            <charset val="134"/>
          </rPr>
          <t>Administrator:</t>
        </r>
        <r>
          <rPr>
            <sz val="9"/>
            <rFont val="宋体"/>
            <charset val="134"/>
          </rPr>
          <t xml:space="preserve">
2022.2.24收</t>
        </r>
      </text>
    </comment>
    <comment ref="T512" authorId="0">
      <text>
        <r>
          <rPr>
            <b/>
            <sz val="9"/>
            <rFont val="宋体"/>
            <charset val="134"/>
          </rPr>
          <t>Administrator:</t>
        </r>
        <r>
          <rPr>
            <sz val="9"/>
            <rFont val="宋体"/>
            <charset val="134"/>
          </rPr>
          <t xml:space="preserve">
2022.5.31收24216</t>
        </r>
      </text>
    </comment>
    <comment ref="Q513" authorId="0">
      <text>
        <r>
          <rPr>
            <b/>
            <sz val="9"/>
            <rFont val="宋体"/>
            <charset val="134"/>
          </rPr>
          <t>Administrator:</t>
        </r>
        <r>
          <rPr>
            <sz val="9"/>
            <rFont val="宋体"/>
            <charset val="134"/>
          </rPr>
          <t xml:space="preserve">
2022.3.4收28260</t>
        </r>
      </text>
    </comment>
    <comment ref="T514" authorId="0">
      <text>
        <r>
          <rPr>
            <b/>
            <sz val="9"/>
            <rFont val="宋体"/>
            <charset val="134"/>
          </rPr>
          <t>Administrator:</t>
        </r>
        <r>
          <rPr>
            <sz val="9"/>
            <rFont val="宋体"/>
            <charset val="134"/>
          </rPr>
          <t xml:space="preserve">
2022.6.8收13984.8+14345.2</t>
        </r>
      </text>
    </comment>
    <comment ref="U514" authorId="0">
      <text>
        <r>
          <rPr>
            <b/>
            <sz val="9"/>
            <rFont val="宋体"/>
            <charset val="134"/>
          </rPr>
          <t>Administrator:</t>
        </r>
        <r>
          <rPr>
            <sz val="9"/>
            <rFont val="宋体"/>
            <charset val="134"/>
          </rPr>
          <t xml:space="preserve">
2022.6.8收21068</t>
        </r>
      </text>
    </comment>
    <comment ref="Q516" authorId="0">
      <text>
        <r>
          <rPr>
            <b/>
            <sz val="9"/>
            <rFont val="宋体"/>
            <charset val="134"/>
          </rPr>
          <t>Administrator:</t>
        </r>
        <r>
          <rPr>
            <sz val="9"/>
            <rFont val="宋体"/>
            <charset val="134"/>
          </rPr>
          <t xml:space="preserve">
2022.4.29收4972水单5千 2571用于J4823 2429用于J4236
</t>
        </r>
      </text>
    </comment>
    <comment ref="T516" authorId="0">
      <text>
        <r>
          <rPr>
            <b/>
            <sz val="9"/>
            <rFont val="宋体"/>
            <charset val="134"/>
          </rPr>
          <t>Administrator:</t>
        </r>
        <r>
          <rPr>
            <sz val="9"/>
            <rFont val="宋体"/>
            <charset val="134"/>
          </rPr>
          <t xml:space="preserve">
2022.6.22收22040</t>
        </r>
      </text>
    </comment>
    <comment ref="U516" authorId="0">
      <text>
        <r>
          <rPr>
            <b/>
            <sz val="9"/>
            <rFont val="宋体"/>
            <charset val="134"/>
          </rPr>
          <t>Administrator:</t>
        </r>
        <r>
          <rPr>
            <sz val="9"/>
            <rFont val="宋体"/>
            <charset val="134"/>
          </rPr>
          <t xml:space="preserve">
2022.6.23收4249</t>
        </r>
      </text>
    </comment>
    <comment ref="Q517" authorId="0">
      <text>
        <r>
          <rPr>
            <b/>
            <sz val="9"/>
            <rFont val="宋体"/>
            <charset val="134"/>
          </rPr>
          <t>Administrator:</t>
        </r>
        <r>
          <rPr>
            <sz val="9"/>
            <rFont val="宋体"/>
            <charset val="134"/>
          </rPr>
          <t xml:space="preserve">
2022.3.10收20500作为J4243 J4244定金</t>
        </r>
      </text>
    </comment>
    <comment ref="T517" authorId="0">
      <text>
        <r>
          <rPr>
            <b/>
            <sz val="9"/>
            <rFont val="宋体"/>
            <charset val="134"/>
          </rPr>
          <t>Administrator:</t>
        </r>
        <r>
          <rPr>
            <sz val="9"/>
            <rFont val="宋体"/>
            <charset val="134"/>
          </rPr>
          <t xml:space="preserve">
2022.6.9收27780.12</t>
        </r>
      </text>
    </comment>
    <comment ref="T518" authorId="0">
      <text>
        <r>
          <rPr>
            <b/>
            <sz val="9"/>
            <rFont val="宋体"/>
            <charset val="134"/>
          </rPr>
          <t>Administrator:</t>
        </r>
        <r>
          <rPr>
            <sz val="9"/>
            <rFont val="宋体"/>
            <charset val="134"/>
          </rPr>
          <t xml:space="preserve">
2022.6.17收24871.68</t>
        </r>
      </text>
    </comment>
    <comment ref="Q519" authorId="0">
      <text>
        <r>
          <rPr>
            <b/>
            <sz val="9"/>
            <rFont val="宋体"/>
            <charset val="134"/>
          </rPr>
          <t>Administrator:</t>
        </r>
        <r>
          <rPr>
            <sz val="9"/>
            <rFont val="宋体"/>
            <charset val="134"/>
          </rPr>
          <t xml:space="preserve">
2022.3.2收17953</t>
        </r>
      </text>
    </comment>
    <comment ref="Q520" authorId="0">
      <text>
        <r>
          <rPr>
            <b/>
            <sz val="9"/>
            <rFont val="宋体"/>
            <charset val="134"/>
          </rPr>
          <t>Administrator:</t>
        </r>
        <r>
          <rPr>
            <sz val="9"/>
            <rFont val="宋体"/>
            <charset val="134"/>
          </rPr>
          <t xml:space="preserve">
2022.4.12收
和J4203尾款一起付的</t>
        </r>
      </text>
    </comment>
    <comment ref="Q521" authorId="0">
      <text>
        <r>
          <rPr>
            <b/>
            <sz val="9"/>
            <rFont val="宋体"/>
            <charset val="134"/>
          </rPr>
          <t>Administrator:</t>
        </r>
        <r>
          <rPr>
            <sz val="9"/>
            <rFont val="宋体"/>
            <charset val="134"/>
          </rPr>
          <t xml:space="preserve">
2022.3.22收9981.8</t>
        </r>
      </text>
    </comment>
    <comment ref="Q522" authorId="0">
      <text>
        <r>
          <rPr>
            <b/>
            <sz val="9"/>
            <rFont val="宋体"/>
            <charset val="134"/>
          </rPr>
          <t>Administrator:</t>
        </r>
        <r>
          <rPr>
            <sz val="9"/>
            <rFont val="宋体"/>
            <charset val="134"/>
          </rPr>
          <t xml:space="preserve">
2022.3.28收10751.19</t>
        </r>
      </text>
    </comment>
    <comment ref="T522" authorId="0">
      <text>
        <r>
          <rPr>
            <b/>
            <sz val="9"/>
            <rFont val="宋体"/>
            <charset val="134"/>
          </rPr>
          <t>Administrator:</t>
        </r>
        <r>
          <rPr>
            <sz val="9"/>
            <rFont val="宋体"/>
            <charset val="134"/>
          </rPr>
          <t xml:space="preserve">
2022.5.31收77246.61</t>
        </r>
      </text>
    </comment>
    <comment ref="Q523" authorId="0">
      <text>
        <r>
          <rPr>
            <b/>
            <sz val="9"/>
            <rFont val="宋体"/>
            <charset val="134"/>
          </rPr>
          <t>Administrator:</t>
        </r>
        <r>
          <rPr>
            <sz val="9"/>
            <rFont val="宋体"/>
            <charset val="134"/>
          </rPr>
          <t xml:space="preserve">
2022.6.6收5547.98</t>
        </r>
      </text>
    </comment>
    <comment ref="Q524" authorId="0">
      <text>
        <r>
          <rPr>
            <b/>
            <sz val="9"/>
            <rFont val="宋体"/>
            <charset val="134"/>
          </rPr>
          <t>Administrator:</t>
        </r>
        <r>
          <rPr>
            <sz val="9"/>
            <rFont val="宋体"/>
            <charset val="134"/>
          </rPr>
          <t xml:space="preserve">
2022.3.28收5737</t>
        </r>
      </text>
    </comment>
    <comment ref="Q525" authorId="0">
      <text>
        <r>
          <rPr>
            <b/>
            <sz val="9"/>
            <rFont val="宋体"/>
            <charset val="134"/>
          </rPr>
          <t>Administrator:</t>
        </r>
        <r>
          <rPr>
            <sz val="9"/>
            <rFont val="宋体"/>
            <charset val="134"/>
          </rPr>
          <t xml:space="preserve">
2022.3.29收9710.28</t>
        </r>
      </text>
    </comment>
    <comment ref="Q527" authorId="0">
      <text>
        <r>
          <rPr>
            <b/>
            <sz val="9"/>
            <rFont val="宋体"/>
            <charset val="134"/>
          </rPr>
          <t>Administrator:</t>
        </r>
        <r>
          <rPr>
            <sz val="9"/>
            <rFont val="宋体"/>
            <charset val="134"/>
          </rPr>
          <t xml:space="preserve">
2022.6.6收3869.72</t>
        </r>
      </text>
    </comment>
    <comment ref="T527" authorId="0">
      <text>
        <r>
          <rPr>
            <b/>
            <sz val="9"/>
            <rFont val="宋体"/>
            <charset val="134"/>
          </rPr>
          <t>Administrator:</t>
        </r>
        <r>
          <rPr>
            <sz val="9"/>
            <rFont val="宋体"/>
            <charset val="134"/>
          </rPr>
          <t xml:space="preserve">
见J4255尾款一起付了77246</t>
        </r>
      </text>
    </comment>
    <comment ref="U527" authorId="0">
      <text>
        <r>
          <rPr>
            <b/>
            <sz val="9"/>
            <rFont val="宋体"/>
            <charset val="134"/>
          </rPr>
          <t>Administrator:</t>
        </r>
        <r>
          <rPr>
            <sz val="9"/>
            <rFont val="宋体"/>
            <charset val="134"/>
          </rPr>
          <t xml:space="preserve">
2022.6.9收1046.71
定金退回收取手续费CAD25 咱们付</t>
        </r>
      </text>
    </comment>
    <comment ref="Q528" authorId="0">
      <text>
        <r>
          <rPr>
            <b/>
            <sz val="9"/>
            <rFont val="宋体"/>
            <charset val="134"/>
          </rPr>
          <t>Administrator:</t>
        </r>
        <r>
          <rPr>
            <sz val="9"/>
            <rFont val="宋体"/>
            <charset val="134"/>
          </rPr>
          <t xml:space="preserve">
2022.4.20收14951.7
2022.4.27收14951.7
</t>
        </r>
      </text>
    </comment>
    <comment ref="T528" authorId="0">
      <text>
        <r>
          <rPr>
            <b/>
            <sz val="9"/>
            <rFont val="宋体"/>
            <charset val="134"/>
          </rPr>
          <t>Administrator:</t>
        </r>
        <r>
          <rPr>
            <sz val="9"/>
            <rFont val="宋体"/>
            <charset val="134"/>
          </rPr>
          <t xml:space="preserve">
2022.5.17收RMB251819 汇率6.715 折合$37500</t>
        </r>
      </text>
    </comment>
    <comment ref="Q529" authorId="0">
      <text>
        <r>
          <rPr>
            <b/>
            <sz val="9"/>
            <rFont val="宋体"/>
            <charset val="134"/>
          </rPr>
          <t>Administrator:</t>
        </r>
        <r>
          <rPr>
            <sz val="9"/>
            <rFont val="宋体"/>
            <charset val="134"/>
          </rPr>
          <t xml:space="preserve">
2022.4.19收24980</t>
        </r>
      </text>
    </comment>
    <comment ref="Q530" authorId="0">
      <text>
        <r>
          <rPr>
            <b/>
            <sz val="9"/>
            <rFont val="宋体"/>
            <charset val="134"/>
          </rPr>
          <t>Administrator:</t>
        </r>
        <r>
          <rPr>
            <sz val="9"/>
            <rFont val="宋体"/>
            <charset val="134"/>
          </rPr>
          <t xml:space="preserve">
2022.4.19收</t>
        </r>
      </text>
    </comment>
    <comment ref="T530" authorId="0">
      <text>
        <r>
          <rPr>
            <b/>
            <sz val="9"/>
            <rFont val="宋体"/>
            <charset val="134"/>
          </rPr>
          <t>Administrator:</t>
        </r>
        <r>
          <rPr>
            <sz val="9"/>
            <rFont val="宋体"/>
            <charset val="134"/>
          </rPr>
          <t xml:space="preserve">
2022.4.27收</t>
        </r>
      </text>
    </comment>
    <comment ref="Q531" authorId="0">
      <text>
        <r>
          <rPr>
            <b/>
            <sz val="9"/>
            <rFont val="宋体"/>
            <charset val="134"/>
          </rPr>
          <t>Administrator:</t>
        </r>
        <r>
          <rPr>
            <sz val="9"/>
            <rFont val="宋体"/>
            <charset val="134"/>
          </rPr>
          <t xml:space="preserve">
2022.4.25收11740.05 作为J4277 4278 4279定金</t>
        </r>
      </text>
    </comment>
    <comment ref="Q534" authorId="0">
      <text>
        <r>
          <rPr>
            <b/>
            <sz val="9"/>
            <rFont val="宋体"/>
            <charset val="134"/>
          </rPr>
          <t>Administrator:</t>
        </r>
        <r>
          <rPr>
            <sz val="9"/>
            <rFont val="宋体"/>
            <charset val="134"/>
          </rPr>
          <t xml:space="preserve">
2022.4.20收</t>
        </r>
      </text>
    </comment>
    <comment ref="T534" authorId="0">
      <text>
        <r>
          <rPr>
            <b/>
            <sz val="9"/>
            <rFont val="宋体"/>
            <charset val="134"/>
          </rPr>
          <t>Administrator:</t>
        </r>
        <r>
          <rPr>
            <sz val="9"/>
            <rFont val="宋体"/>
            <charset val="134"/>
          </rPr>
          <t xml:space="preserve">
2022.5.26付款
含3825运费</t>
        </r>
      </text>
    </comment>
    <comment ref="Q536" authorId="0">
      <text>
        <r>
          <rPr>
            <b/>
            <sz val="9"/>
            <rFont val="宋体"/>
            <charset val="134"/>
          </rPr>
          <t>Administrator:</t>
        </r>
        <r>
          <rPr>
            <sz val="9"/>
            <rFont val="宋体"/>
            <charset val="134"/>
          </rPr>
          <t xml:space="preserve">
2022.4.29收4972水单5千 2571用于J4823 3429用于J4236
</t>
        </r>
      </text>
    </comment>
    <comment ref="Q537" authorId="0">
      <text>
        <r>
          <rPr>
            <b/>
            <sz val="9"/>
            <rFont val="宋体"/>
            <charset val="134"/>
          </rPr>
          <t>Administrator:</t>
        </r>
        <r>
          <rPr>
            <sz val="9"/>
            <rFont val="宋体"/>
            <charset val="134"/>
          </rPr>
          <t xml:space="preserve">
2022.5.5收14200</t>
        </r>
      </text>
    </comment>
    <comment ref="Q538" authorId="0">
      <text>
        <r>
          <rPr>
            <b/>
            <sz val="9"/>
            <rFont val="宋体"/>
            <charset val="134"/>
          </rPr>
          <t>Administrator:</t>
        </r>
        <r>
          <rPr>
            <sz val="9"/>
            <rFont val="宋体"/>
            <charset val="134"/>
          </rPr>
          <t xml:space="preserve">
2022.5.5收5856.36</t>
        </r>
      </text>
    </comment>
    <comment ref="Q539" authorId="0">
      <text>
        <r>
          <rPr>
            <b/>
            <sz val="9"/>
            <rFont val="宋体"/>
            <charset val="134"/>
          </rPr>
          <t>Administrator:</t>
        </r>
        <r>
          <rPr>
            <sz val="9"/>
            <rFont val="宋体"/>
            <charset val="134"/>
          </rPr>
          <t xml:space="preserve">
2022.5.6收11172.41作为J4288 4289定金</t>
        </r>
      </text>
    </comment>
    <comment ref="Q540" authorId="0">
      <text>
        <r>
          <rPr>
            <b/>
            <sz val="9"/>
            <rFont val="宋体"/>
            <charset val="134"/>
          </rPr>
          <t>Administrator:</t>
        </r>
        <r>
          <rPr>
            <sz val="9"/>
            <rFont val="宋体"/>
            <charset val="134"/>
          </rPr>
          <t xml:space="preserve">
2022.5.6收11172.41作为J4288 4289定金</t>
        </r>
      </text>
    </comment>
    <comment ref="Q541" authorId="0">
      <text>
        <r>
          <rPr>
            <b/>
            <sz val="9"/>
            <rFont val="宋体"/>
            <charset val="134"/>
          </rPr>
          <t>Administrator:</t>
        </r>
        <r>
          <rPr>
            <sz val="9"/>
            <rFont val="宋体"/>
            <charset val="134"/>
          </rPr>
          <t xml:space="preserve">
2022.5.18收20000</t>
        </r>
      </text>
    </comment>
    <comment ref="Q543" authorId="0">
      <text>
        <r>
          <rPr>
            <b/>
            <sz val="9"/>
            <rFont val="宋体"/>
            <charset val="134"/>
          </rPr>
          <t>Administrator:</t>
        </r>
        <r>
          <rPr>
            <sz val="9"/>
            <rFont val="宋体"/>
            <charset val="134"/>
          </rPr>
          <t xml:space="preserve">
2022.5.31收36626</t>
        </r>
      </text>
    </comment>
    <comment ref="Q544" authorId="0">
      <text>
        <r>
          <rPr>
            <b/>
            <sz val="9"/>
            <rFont val="宋体"/>
            <charset val="134"/>
          </rPr>
          <t>Administrator:</t>
        </r>
        <r>
          <rPr>
            <sz val="9"/>
            <rFont val="宋体"/>
            <charset val="134"/>
          </rPr>
          <t xml:space="preserve">
2022.5.28收7993.6</t>
        </r>
      </text>
    </comment>
    <comment ref="Q548" authorId="0">
      <text>
        <r>
          <rPr>
            <b/>
            <sz val="9"/>
            <rFont val="宋体"/>
            <charset val="134"/>
          </rPr>
          <t>Administrator:</t>
        </r>
        <r>
          <rPr>
            <sz val="9"/>
            <rFont val="宋体"/>
            <charset val="134"/>
          </rPr>
          <t xml:space="preserve">
2022.6.1收9400</t>
        </r>
      </text>
    </comment>
    <comment ref="Q549" authorId="0">
      <text>
        <r>
          <rPr>
            <b/>
            <sz val="9"/>
            <rFont val="宋体"/>
            <charset val="134"/>
          </rPr>
          <t>Administrator:</t>
        </r>
        <r>
          <rPr>
            <sz val="9"/>
            <rFont val="宋体"/>
            <charset val="134"/>
          </rPr>
          <t xml:space="preserve">
2022.6.6收7525</t>
        </r>
      </text>
    </comment>
    <comment ref="P550" authorId="0">
      <text>
        <r>
          <rPr>
            <b/>
            <sz val="9"/>
            <rFont val="宋体"/>
            <charset val="134"/>
          </rPr>
          <t>Administrator:</t>
        </r>
        <r>
          <rPr>
            <sz val="9"/>
            <rFont val="宋体"/>
            <charset val="134"/>
          </rPr>
          <t xml:space="preserve">
客户J4225多付的114美元从这里面已经扣掉，折到价格里面了。 实际订单金额 USD27296 </t>
        </r>
      </text>
    </comment>
    <comment ref="Q552" authorId="0">
      <text>
        <r>
          <rPr>
            <b/>
            <sz val="9"/>
            <rFont val="宋体"/>
            <charset val="134"/>
          </rPr>
          <t>Administrator:</t>
        </r>
        <r>
          <rPr>
            <sz val="9"/>
            <rFont val="宋体"/>
            <charset val="134"/>
          </rPr>
          <t xml:space="preserve">
2022.6.17收9091.5</t>
        </r>
      </text>
    </comment>
    <comment ref="T557" authorId="0">
      <text>
        <r>
          <rPr>
            <b/>
            <sz val="9"/>
            <rFont val="宋体"/>
            <charset val="134"/>
          </rPr>
          <t>Administrator:</t>
        </r>
        <r>
          <rPr>
            <sz val="9"/>
            <rFont val="宋体"/>
            <charset val="134"/>
          </rPr>
          <t xml:space="preserve">
19.12.17 J3552+X3558 应付4480.5+3034.84共收到7473.50</t>
        </r>
      </text>
    </comment>
    <comment ref="T562" authorId="0">
      <text>
        <r>
          <rPr>
            <b/>
            <sz val="9"/>
            <rFont val="宋体"/>
            <charset val="134"/>
          </rPr>
          <t>Administrator:</t>
        </r>
        <r>
          <rPr>
            <sz val="9"/>
            <rFont val="宋体"/>
            <charset val="134"/>
          </rPr>
          <t xml:space="preserve">
手续费134</t>
        </r>
      </text>
    </comment>
    <comment ref="Q564" authorId="0">
      <text>
        <r>
          <rPr>
            <b/>
            <sz val="9"/>
            <rFont val="宋体"/>
            <charset val="134"/>
          </rPr>
          <t>Administrator:</t>
        </r>
        <r>
          <rPr>
            <sz val="9"/>
            <rFont val="宋体"/>
            <charset val="134"/>
          </rPr>
          <t xml:space="preserve">
实收13151</t>
        </r>
      </text>
    </comment>
    <comment ref="T564" authorId="0">
      <text>
        <r>
          <rPr>
            <b/>
            <sz val="9"/>
            <rFont val="宋体"/>
            <charset val="134"/>
          </rPr>
          <t>Administrator:</t>
        </r>
        <r>
          <rPr>
            <sz val="9"/>
            <rFont val="宋体"/>
            <charset val="134"/>
          </rPr>
          <t xml:space="preserve">
应付32962.79</t>
        </r>
      </text>
    </comment>
    <comment ref="T565" authorId="0">
      <text>
        <r>
          <rPr>
            <b/>
            <sz val="9"/>
            <rFont val="宋体"/>
            <charset val="134"/>
          </rPr>
          <t xml:space="preserve">Administrator
</t>
        </r>
        <r>
          <rPr>
            <sz val="9"/>
            <rFont val="宋体"/>
            <charset val="134"/>
          </rPr>
          <t>手续费166</t>
        </r>
      </text>
    </comment>
    <comment ref="T566" authorId="0">
      <text>
        <r>
          <rPr>
            <b/>
            <sz val="9"/>
            <rFont val="宋体"/>
            <charset val="134"/>
          </rPr>
          <t>Administrator:</t>
        </r>
        <r>
          <rPr>
            <sz val="9"/>
            <rFont val="宋体"/>
            <charset val="134"/>
          </rPr>
          <t xml:space="preserve">
2020.4.1收到
银行托收手续费201美金</t>
        </r>
      </text>
    </comment>
    <comment ref="Q567" authorId="0">
      <text>
        <r>
          <rPr>
            <b/>
            <sz val="9"/>
            <rFont val="宋体"/>
            <charset val="134"/>
          </rPr>
          <t>Administrator:</t>
        </r>
        <r>
          <rPr>
            <sz val="9"/>
            <rFont val="宋体"/>
            <charset val="134"/>
          </rPr>
          <t xml:space="preserve">
付了13111收到13047.69</t>
        </r>
      </text>
    </comment>
    <comment ref="Q568" authorId="0">
      <text>
        <r>
          <rPr>
            <b/>
            <sz val="9"/>
            <rFont val="宋体"/>
            <charset val="134"/>
          </rPr>
          <t>Administrator:</t>
        </r>
        <r>
          <rPr>
            <sz val="9"/>
            <rFont val="宋体"/>
            <charset val="134"/>
          </rPr>
          <t xml:space="preserve">
2019.11.26 实收5075.5</t>
        </r>
      </text>
    </comment>
    <comment ref="T568" authorId="0">
      <text>
        <r>
          <rPr>
            <b/>
            <sz val="9"/>
            <rFont val="宋体"/>
            <charset val="134"/>
          </rPr>
          <t>Administrator:</t>
        </r>
        <r>
          <rPr>
            <sz val="9"/>
            <rFont val="宋体"/>
            <charset val="134"/>
          </rPr>
          <t xml:space="preserve">
X3634-1 -2共收到33897美金</t>
        </r>
      </text>
    </comment>
    <comment ref="Q569" authorId="0">
      <text>
        <r>
          <rPr>
            <b/>
            <sz val="9"/>
            <rFont val="宋体"/>
            <charset val="134"/>
          </rPr>
          <t>Administrator:</t>
        </r>
        <r>
          <rPr>
            <sz val="9"/>
            <rFont val="宋体"/>
            <charset val="134"/>
          </rPr>
          <t xml:space="preserve">
2019.11.26 实收5075.5  -1和-2共收10151</t>
        </r>
      </text>
    </comment>
    <comment ref="T569" authorId="0">
      <text>
        <r>
          <rPr>
            <b/>
            <sz val="9"/>
            <rFont val="宋体"/>
            <charset val="134"/>
          </rPr>
          <t>Administrator:</t>
        </r>
        <r>
          <rPr>
            <sz val="9"/>
            <rFont val="宋体"/>
            <charset val="134"/>
          </rPr>
          <t xml:space="preserve">
X3634-1 -2共收到33897美金
</t>
        </r>
      </text>
    </comment>
    <comment ref="Q573" authorId="0">
      <text>
        <r>
          <rPr>
            <b/>
            <sz val="9"/>
            <rFont val="宋体"/>
            <charset val="134"/>
          </rPr>
          <t>Administrator:</t>
        </r>
        <r>
          <rPr>
            <sz val="9"/>
            <rFont val="宋体"/>
            <charset val="134"/>
          </rPr>
          <t xml:space="preserve">
2020.1.3 实收3446.65</t>
        </r>
      </text>
    </comment>
    <comment ref="T573" authorId="0">
      <text>
        <r>
          <rPr>
            <b/>
            <sz val="9"/>
            <rFont val="宋体"/>
            <charset val="134"/>
          </rPr>
          <t>Administrator:</t>
        </r>
        <r>
          <rPr>
            <sz val="9"/>
            <rFont val="宋体"/>
            <charset val="134"/>
          </rPr>
          <t xml:space="preserve">
2020.4.17收</t>
        </r>
      </text>
    </comment>
    <comment ref="T574" authorId="0">
      <text>
        <r>
          <rPr>
            <b/>
            <sz val="9"/>
            <rFont val="宋体"/>
            <charset val="134"/>
          </rPr>
          <t>Administrator:</t>
        </r>
        <r>
          <rPr>
            <sz val="9"/>
            <rFont val="宋体"/>
            <charset val="134"/>
          </rPr>
          <t xml:space="preserve">
2020.5.15收</t>
        </r>
      </text>
    </comment>
    <comment ref="Q575" authorId="0">
      <text>
        <r>
          <rPr>
            <b/>
            <sz val="9"/>
            <rFont val="宋体"/>
            <charset val="134"/>
          </rPr>
          <t>Administrator:</t>
        </r>
        <r>
          <rPr>
            <sz val="9"/>
            <rFont val="宋体"/>
            <charset val="134"/>
          </rPr>
          <t xml:space="preserve">
3764美金来自2020.3.16收到13925美金
2020.3.16收到9487.5美金
2020.3.10收到9930.19美金</t>
        </r>
      </text>
    </comment>
    <comment ref="Q576" authorId="0">
      <text>
        <r>
          <rPr>
            <b/>
            <sz val="9"/>
            <rFont val="宋体"/>
            <charset val="134"/>
          </rPr>
          <t>Administrator:</t>
        </r>
        <r>
          <rPr>
            <sz val="9"/>
            <rFont val="宋体"/>
            <charset val="134"/>
          </rPr>
          <t xml:space="preserve">
10161美金来自2020.3.16收到13925美金
2020.3.24日收到19936.61美金</t>
        </r>
      </text>
    </comment>
    <comment ref="Q577" authorId="0">
      <text>
        <r>
          <rPr>
            <b/>
            <sz val="9"/>
            <rFont val="宋体"/>
            <charset val="134"/>
          </rPr>
          <t xml:space="preserve">Administrator:
</t>
        </r>
        <r>
          <rPr>
            <sz val="9"/>
            <rFont val="宋体"/>
            <charset val="134"/>
          </rPr>
          <t>水单10250美金2020.5.4 收$10204.61</t>
        </r>
      </text>
    </comment>
    <comment ref="T577" authorId="0">
      <text>
        <r>
          <rPr>
            <b/>
            <sz val="9"/>
            <rFont val="宋体"/>
            <charset val="134"/>
          </rPr>
          <t>Administrator:</t>
        </r>
        <r>
          <rPr>
            <sz val="9"/>
            <rFont val="宋体"/>
            <charset val="134"/>
          </rPr>
          <t xml:space="preserve">
2020.7.9收</t>
        </r>
      </text>
    </comment>
    <comment ref="Q582" authorId="0">
      <text>
        <r>
          <rPr>
            <b/>
            <sz val="9"/>
            <rFont val="宋体"/>
            <charset val="134"/>
          </rPr>
          <t>Administrator:</t>
        </r>
        <r>
          <rPr>
            <sz val="9"/>
            <rFont val="宋体"/>
            <charset val="134"/>
          </rPr>
          <t xml:space="preserve">
2020.10.7收4466.6</t>
        </r>
      </text>
    </comment>
    <comment ref="T582" authorId="0">
      <text>
        <r>
          <rPr>
            <b/>
            <sz val="9"/>
            <rFont val="宋体"/>
            <charset val="134"/>
          </rPr>
          <t>Administrator:</t>
        </r>
        <r>
          <rPr>
            <sz val="9"/>
            <rFont val="宋体"/>
            <charset val="134"/>
          </rPr>
          <t xml:space="preserve">
2020.11.27收14547美金</t>
        </r>
      </text>
    </comment>
    <comment ref="Q584" authorId="0">
      <text>
        <r>
          <rPr>
            <b/>
            <sz val="9"/>
            <rFont val="宋体"/>
            <charset val="134"/>
          </rPr>
          <t>Administrator:</t>
        </r>
        <r>
          <rPr>
            <sz val="9"/>
            <rFont val="宋体"/>
            <charset val="134"/>
          </rPr>
          <t xml:space="preserve">
2020.11.4收9981
2020.12.3收7981.61</t>
        </r>
      </text>
    </comment>
    <comment ref="T584" authorId="0">
      <text>
        <r>
          <rPr>
            <b/>
            <sz val="9"/>
            <rFont val="宋体"/>
            <charset val="134"/>
          </rPr>
          <t>Administrator:</t>
        </r>
        <r>
          <rPr>
            <sz val="9"/>
            <rFont val="宋体"/>
            <charset val="134"/>
          </rPr>
          <t xml:space="preserve">
2021.2.10收
2021.3.23收9966.62</t>
        </r>
      </text>
    </comment>
    <comment ref="U584" authorId="0">
      <text>
        <r>
          <rPr>
            <b/>
            <sz val="9"/>
            <rFont val="宋体"/>
            <charset val="134"/>
          </rPr>
          <t>Administrator:</t>
        </r>
        <r>
          <rPr>
            <sz val="9"/>
            <rFont val="宋体"/>
            <charset val="134"/>
          </rPr>
          <t xml:space="preserve">
2021.3.26收</t>
        </r>
      </text>
    </comment>
    <comment ref="Q585" authorId="0">
      <text>
        <r>
          <rPr>
            <b/>
            <sz val="9"/>
            <rFont val="宋体"/>
            <charset val="134"/>
          </rPr>
          <t>Administrator:</t>
        </r>
        <r>
          <rPr>
            <sz val="9"/>
            <rFont val="宋体"/>
            <charset val="134"/>
          </rPr>
          <t xml:space="preserve">
2020.12.1收2123</t>
        </r>
      </text>
    </comment>
    <comment ref="T585" authorId="0">
      <text>
        <r>
          <rPr>
            <b/>
            <sz val="9"/>
            <rFont val="宋体"/>
            <charset val="134"/>
          </rPr>
          <t>Administrator:</t>
        </r>
        <r>
          <rPr>
            <sz val="9"/>
            <rFont val="宋体"/>
            <charset val="134"/>
          </rPr>
          <t xml:space="preserve">
2021.1.8收5096.61</t>
        </r>
      </text>
    </comment>
    <comment ref="Q589" authorId="0">
      <text>
        <r>
          <rPr>
            <b/>
            <sz val="9"/>
            <rFont val="宋体"/>
            <charset val="134"/>
          </rPr>
          <t>Administrator:</t>
        </r>
        <r>
          <rPr>
            <sz val="9"/>
            <rFont val="宋体"/>
            <charset val="134"/>
          </rPr>
          <t xml:space="preserve">
2021.3.4收
折合美金3542</t>
        </r>
      </text>
    </comment>
    <comment ref="T589" authorId="0">
      <text>
        <r>
          <rPr>
            <b/>
            <sz val="9"/>
            <rFont val="宋体"/>
            <charset val="134"/>
          </rPr>
          <t>Administrator:</t>
        </r>
        <r>
          <rPr>
            <sz val="9"/>
            <rFont val="宋体"/>
            <charset val="134"/>
          </rPr>
          <t xml:space="preserve">
2021.5.2收11482.1</t>
        </r>
      </text>
    </comment>
    <comment ref="Q590" authorId="0">
      <text>
        <r>
          <rPr>
            <b/>
            <sz val="9"/>
            <rFont val="宋体"/>
            <charset val="134"/>
          </rPr>
          <t>Administrator:</t>
        </r>
        <r>
          <rPr>
            <sz val="9"/>
            <rFont val="宋体"/>
            <charset val="134"/>
          </rPr>
          <t xml:space="preserve">
2021.3.11收14958</t>
        </r>
      </text>
    </comment>
    <comment ref="T590" authorId="0">
      <text>
        <r>
          <rPr>
            <b/>
            <sz val="9"/>
            <rFont val="宋体"/>
            <charset val="134"/>
          </rPr>
          <t>Administrator:</t>
        </r>
        <r>
          <rPr>
            <sz val="9"/>
            <rFont val="宋体"/>
            <charset val="134"/>
          </rPr>
          <t xml:space="preserve">
2021.5.26收36503.45</t>
        </r>
      </text>
    </comment>
    <comment ref="Q591" authorId="0">
      <text>
        <r>
          <rPr>
            <b/>
            <sz val="9"/>
            <rFont val="宋体"/>
            <charset val="134"/>
          </rPr>
          <t>Administrator:</t>
        </r>
        <r>
          <rPr>
            <sz val="9"/>
            <rFont val="宋体"/>
            <charset val="134"/>
          </rPr>
          <t xml:space="preserve">
2021.4.8收9959.64
2021.4.22收9924.86
2021.4.29收9966.62
2021.6.5收19981.61
2021.5.7收9966.62
2021.5.18收8966.62
</t>
        </r>
      </text>
    </comment>
    <comment ref="T591" authorId="0">
      <text>
        <r>
          <rPr>
            <b/>
            <sz val="9"/>
            <rFont val="宋体"/>
            <charset val="134"/>
          </rPr>
          <t>Administrator:</t>
        </r>
        <r>
          <rPr>
            <sz val="9"/>
            <rFont val="宋体"/>
            <charset val="134"/>
          </rPr>
          <t xml:space="preserve">
2021.8.20收5800  X4004+X4053尾款</t>
        </r>
      </text>
    </comment>
    <comment ref="Q592" authorId="0">
      <text>
        <r>
          <rPr>
            <b/>
            <sz val="9"/>
            <rFont val="宋体"/>
            <charset val="134"/>
          </rPr>
          <t>Administrator:</t>
        </r>
        <r>
          <rPr>
            <sz val="9"/>
            <rFont val="宋体"/>
            <charset val="134"/>
          </rPr>
          <t xml:space="preserve">
2021.4.16收17251.62</t>
        </r>
      </text>
    </comment>
    <comment ref="T592" authorId="0">
      <text>
        <r>
          <rPr>
            <b/>
            <sz val="9"/>
            <rFont val="宋体"/>
            <charset val="134"/>
          </rPr>
          <t>Administrator:</t>
        </r>
        <r>
          <rPr>
            <sz val="9"/>
            <rFont val="宋体"/>
            <charset val="134"/>
          </rPr>
          <t xml:space="preserve">
2021.6.16收40251.62</t>
        </r>
      </text>
    </comment>
    <comment ref="Q594" authorId="0">
      <text>
        <r>
          <rPr>
            <b/>
            <sz val="9"/>
            <rFont val="宋体"/>
            <charset val="134"/>
          </rPr>
          <t>Administrator:</t>
        </r>
        <r>
          <rPr>
            <sz val="9"/>
            <rFont val="宋体"/>
            <charset val="134"/>
          </rPr>
          <t xml:space="preserve">
2021.4.21收6948.62</t>
        </r>
      </text>
    </comment>
    <comment ref="T594" authorId="0">
      <text>
        <r>
          <rPr>
            <b/>
            <sz val="9"/>
            <rFont val="宋体"/>
            <charset val="134"/>
          </rPr>
          <t>Administrator:</t>
        </r>
        <r>
          <rPr>
            <sz val="9"/>
            <rFont val="宋体"/>
            <charset val="134"/>
          </rPr>
          <t xml:space="preserve">
2021.7.21收16225.62</t>
        </r>
      </text>
    </comment>
    <comment ref="T595" authorId="0">
      <text>
        <r>
          <rPr>
            <b/>
            <sz val="9"/>
            <rFont val="宋体"/>
            <charset val="134"/>
          </rPr>
          <t>Administrator:</t>
        </r>
        <r>
          <rPr>
            <sz val="9"/>
            <rFont val="宋体"/>
            <charset val="134"/>
          </rPr>
          <t xml:space="preserve">
2021.7.12收15832</t>
        </r>
      </text>
    </comment>
    <comment ref="U595" authorId="0">
      <text>
        <r>
          <rPr>
            <b/>
            <sz val="9"/>
            <rFont val="宋体"/>
            <charset val="134"/>
          </rPr>
          <t>Administrator:</t>
        </r>
        <r>
          <rPr>
            <sz val="9"/>
            <rFont val="宋体"/>
            <charset val="134"/>
          </rPr>
          <t xml:space="preserve">
2021.7.28收</t>
        </r>
      </text>
    </comment>
    <comment ref="Q596" authorId="0">
      <text>
        <r>
          <rPr>
            <b/>
            <sz val="9"/>
            <rFont val="宋体"/>
            <charset val="134"/>
          </rPr>
          <t>Administrator:</t>
        </r>
        <r>
          <rPr>
            <sz val="9"/>
            <rFont val="宋体"/>
            <charset val="134"/>
          </rPr>
          <t xml:space="preserve">
X4215尾款付一万美金 剩下5140.36</t>
        </r>
      </text>
    </comment>
    <comment ref="Q597" authorId="0">
      <text>
        <r>
          <rPr>
            <b/>
            <sz val="9"/>
            <rFont val="宋体"/>
            <charset val="134"/>
          </rPr>
          <t>Administrator:</t>
        </r>
        <r>
          <rPr>
            <sz val="9"/>
            <rFont val="宋体"/>
            <charset val="134"/>
          </rPr>
          <t xml:space="preserve">
2021.5.27收9966.62</t>
        </r>
      </text>
    </comment>
    <comment ref="T597" authorId="0">
      <text>
        <r>
          <rPr>
            <b/>
            <sz val="9"/>
            <rFont val="宋体"/>
            <charset val="134"/>
          </rPr>
          <t>Administrator:</t>
        </r>
        <r>
          <rPr>
            <sz val="9"/>
            <rFont val="宋体"/>
            <charset val="134"/>
          </rPr>
          <t xml:space="preserve">
2021.8.13收9966.64</t>
        </r>
      </text>
    </comment>
    <comment ref="U597" authorId="0">
      <text>
        <r>
          <rPr>
            <b/>
            <sz val="9"/>
            <rFont val="宋体"/>
            <charset val="134"/>
          </rPr>
          <t>Administrator:</t>
        </r>
        <r>
          <rPr>
            <sz val="9"/>
            <rFont val="宋体"/>
            <charset val="134"/>
          </rPr>
          <t xml:space="preserve">
2021.8.20收</t>
        </r>
      </text>
    </comment>
    <comment ref="T600" authorId="0">
      <text>
        <r>
          <rPr>
            <b/>
            <sz val="9"/>
            <rFont val="宋体"/>
            <charset val="134"/>
          </rPr>
          <t>Administrator:</t>
        </r>
        <r>
          <rPr>
            <sz val="9"/>
            <rFont val="宋体"/>
            <charset val="134"/>
          </rPr>
          <t xml:space="preserve">
2021.9.2收19512.77</t>
        </r>
      </text>
    </comment>
    <comment ref="Q601" authorId="0">
      <text>
        <r>
          <rPr>
            <b/>
            <sz val="9"/>
            <rFont val="宋体"/>
            <charset val="134"/>
          </rPr>
          <t>Administrator:</t>
        </r>
        <r>
          <rPr>
            <sz val="9"/>
            <rFont val="宋体"/>
            <charset val="134"/>
          </rPr>
          <t xml:space="preserve">
2021.8.25收7921.64</t>
        </r>
      </text>
    </comment>
    <comment ref="T601" authorId="0">
      <text>
        <r>
          <rPr>
            <b/>
            <sz val="9"/>
            <rFont val="宋体"/>
            <charset val="134"/>
          </rPr>
          <t>Administrator:</t>
        </r>
        <r>
          <rPr>
            <sz val="9"/>
            <rFont val="宋体"/>
            <charset val="134"/>
          </rPr>
          <t xml:space="preserve">
2021.10.19收22225.45</t>
        </r>
      </text>
    </comment>
    <comment ref="Q605" authorId="0">
      <text>
        <r>
          <rPr>
            <b/>
            <sz val="9"/>
            <rFont val="宋体"/>
            <charset val="134"/>
          </rPr>
          <t>Administrator:</t>
        </r>
        <r>
          <rPr>
            <sz val="9"/>
            <rFont val="宋体"/>
            <charset val="134"/>
          </rPr>
          <t xml:space="preserve">
2022.4.21收9455.7</t>
        </r>
      </text>
    </comment>
    <comment ref="Q606" authorId="0">
      <text>
        <r>
          <rPr>
            <b/>
            <sz val="9"/>
            <rFont val="宋体"/>
            <charset val="134"/>
          </rPr>
          <t>Administrator:</t>
        </r>
        <r>
          <rPr>
            <sz val="9"/>
            <rFont val="宋体"/>
            <charset val="134"/>
          </rPr>
          <t xml:space="preserve">
2022.4.28收9976.71</t>
        </r>
      </text>
    </comment>
    <comment ref="T606" authorId="0">
      <text>
        <r>
          <rPr>
            <b/>
            <sz val="9"/>
            <rFont val="宋体"/>
            <charset val="134"/>
          </rPr>
          <t>Administrator:</t>
        </r>
        <r>
          <rPr>
            <sz val="9"/>
            <rFont val="宋体"/>
            <charset val="134"/>
          </rPr>
          <t xml:space="preserve">
2022.5.26收9966.71</t>
        </r>
      </text>
    </comment>
    <comment ref="U606" authorId="0">
      <text>
        <r>
          <rPr>
            <b/>
            <sz val="9"/>
            <rFont val="宋体"/>
            <charset val="134"/>
          </rPr>
          <t>Administrator:</t>
        </r>
        <r>
          <rPr>
            <sz val="9"/>
            <rFont val="宋体"/>
            <charset val="134"/>
          </rPr>
          <t xml:space="preserve">
2022.6.7收9966.7</t>
        </r>
      </text>
    </comment>
    <comment ref="Q610" authorId="0">
      <text>
        <r>
          <rPr>
            <b/>
            <sz val="9"/>
            <rFont val="宋体"/>
            <charset val="134"/>
          </rPr>
          <t>Administrator:</t>
        </r>
        <r>
          <rPr>
            <sz val="9"/>
            <rFont val="宋体"/>
            <charset val="134"/>
          </rPr>
          <t xml:space="preserve">
18.7.13</t>
        </r>
      </text>
    </comment>
    <comment ref="Q611" authorId="0">
      <text>
        <r>
          <rPr>
            <b/>
            <sz val="9"/>
            <rFont val="宋体"/>
            <charset val="134"/>
          </rPr>
          <t>Administrator:</t>
        </r>
        <r>
          <rPr>
            <sz val="9"/>
            <rFont val="宋体"/>
            <charset val="134"/>
          </rPr>
          <t xml:space="preserve">
18.7.13</t>
        </r>
      </text>
    </comment>
    <comment ref="Q612" authorId="0">
      <text>
        <r>
          <rPr>
            <b/>
            <sz val="9"/>
            <rFont val="宋体"/>
            <charset val="134"/>
          </rPr>
          <t>Administrator:</t>
        </r>
        <r>
          <rPr>
            <sz val="9"/>
            <rFont val="宋体"/>
            <charset val="134"/>
          </rPr>
          <t xml:space="preserve">
18.7.13</t>
        </r>
      </text>
    </comment>
    <comment ref="Q613" authorId="0">
      <text>
        <r>
          <rPr>
            <b/>
            <sz val="9"/>
            <rFont val="宋体"/>
            <charset val="134"/>
          </rPr>
          <t>Administrator:</t>
        </r>
        <r>
          <rPr>
            <sz val="9"/>
            <rFont val="宋体"/>
            <charset val="134"/>
          </rPr>
          <t xml:space="preserve">
18.7.20</t>
        </r>
      </text>
    </comment>
    <comment ref="Q614" authorId="0">
      <text>
        <r>
          <rPr>
            <b/>
            <sz val="9"/>
            <rFont val="宋体"/>
            <charset val="134"/>
          </rPr>
          <t>Administrator:</t>
        </r>
        <r>
          <rPr>
            <sz val="9"/>
            <rFont val="宋体"/>
            <charset val="134"/>
          </rPr>
          <t xml:space="preserve">
18.7.20</t>
        </r>
      </text>
    </comment>
    <comment ref="Q615" authorId="0">
      <text>
        <r>
          <rPr>
            <b/>
            <sz val="9"/>
            <rFont val="宋体"/>
            <charset val="134"/>
          </rPr>
          <t>Administrator:</t>
        </r>
        <r>
          <rPr>
            <sz val="9"/>
            <rFont val="宋体"/>
            <charset val="134"/>
          </rPr>
          <t xml:space="preserve">
18.8.1</t>
        </r>
      </text>
    </comment>
    <comment ref="Q616" authorId="0">
      <text>
        <r>
          <rPr>
            <b/>
            <sz val="9"/>
            <rFont val="宋体"/>
            <charset val="134"/>
          </rPr>
          <t>Administrator:</t>
        </r>
        <r>
          <rPr>
            <sz val="9"/>
            <rFont val="宋体"/>
            <charset val="134"/>
          </rPr>
          <t xml:space="preserve">
18.8.1</t>
        </r>
      </text>
    </comment>
    <comment ref="Q617" authorId="0">
      <text>
        <r>
          <rPr>
            <b/>
            <sz val="9"/>
            <rFont val="宋体"/>
            <charset val="134"/>
          </rPr>
          <t>Administrator:</t>
        </r>
        <r>
          <rPr>
            <sz val="9"/>
            <rFont val="宋体"/>
            <charset val="134"/>
          </rPr>
          <t xml:space="preserve">
18.8.1</t>
        </r>
      </text>
    </comment>
    <comment ref="Q618" authorId="0">
      <text>
        <r>
          <rPr>
            <b/>
            <sz val="9"/>
            <rFont val="宋体"/>
            <charset val="134"/>
          </rPr>
          <t>Administrator:</t>
        </r>
        <r>
          <rPr>
            <sz val="9"/>
            <rFont val="宋体"/>
            <charset val="134"/>
          </rPr>
          <t xml:space="preserve">
18.8.1</t>
        </r>
      </text>
    </comment>
    <comment ref="Q619" authorId="0">
      <text>
        <r>
          <rPr>
            <b/>
            <sz val="9"/>
            <rFont val="宋体"/>
            <charset val="134"/>
          </rPr>
          <t>Administrator:</t>
        </r>
        <r>
          <rPr>
            <sz val="9"/>
            <rFont val="宋体"/>
            <charset val="134"/>
          </rPr>
          <t xml:space="preserve">
18.8.1  3.6</t>
        </r>
      </text>
    </comment>
    <comment ref="Q620" authorId="0">
      <text>
        <r>
          <rPr>
            <b/>
            <sz val="9"/>
            <rFont val="宋体"/>
            <charset val="134"/>
          </rPr>
          <t>Administrator:</t>
        </r>
        <r>
          <rPr>
            <sz val="9"/>
            <rFont val="宋体"/>
            <charset val="134"/>
          </rPr>
          <t xml:space="preserve">
18.8.2 RMB 5000</t>
        </r>
      </text>
    </comment>
    <comment ref="R620" authorId="0">
      <text>
        <r>
          <rPr>
            <b/>
            <sz val="9"/>
            <rFont val="宋体"/>
            <charset val="134"/>
          </rPr>
          <t>Administrator:</t>
        </r>
        <r>
          <rPr>
            <sz val="9"/>
            <rFont val="宋体"/>
            <charset val="134"/>
          </rPr>
          <t xml:space="preserve">
王总农行18.8.2</t>
        </r>
      </text>
    </comment>
    <comment ref="U620" authorId="0">
      <text>
        <r>
          <rPr>
            <b/>
            <sz val="9"/>
            <rFont val="宋体"/>
            <charset val="134"/>
          </rPr>
          <t>Administrator:</t>
        </r>
        <r>
          <rPr>
            <sz val="9"/>
            <rFont val="宋体"/>
            <charset val="134"/>
          </rPr>
          <t xml:space="preserve">
王总农行18.8.2</t>
        </r>
      </text>
    </comment>
    <comment ref="Q621" authorId="0">
      <text>
        <r>
          <rPr>
            <b/>
            <sz val="9"/>
            <rFont val="宋体"/>
            <charset val="134"/>
          </rPr>
          <t>Administrator:</t>
        </r>
        <r>
          <rPr>
            <sz val="9"/>
            <rFont val="宋体"/>
            <charset val="134"/>
          </rPr>
          <t xml:space="preserve">
18.9.3 从19000 另6334分到J3308-2</t>
        </r>
      </text>
    </comment>
    <comment ref="Q622" authorId="0">
      <text>
        <r>
          <rPr>
            <b/>
            <sz val="9"/>
            <rFont val="宋体"/>
            <charset val="134"/>
          </rPr>
          <t>Administrator:</t>
        </r>
        <r>
          <rPr>
            <sz val="9"/>
            <rFont val="宋体"/>
            <charset val="134"/>
          </rPr>
          <t xml:space="preserve">
18.9.3 从19000
</t>
        </r>
      </text>
    </comment>
    <comment ref="Q623" authorId="0">
      <text>
        <r>
          <rPr>
            <b/>
            <sz val="9"/>
            <rFont val="宋体"/>
            <charset val="134"/>
          </rPr>
          <t>Administrator:</t>
        </r>
        <r>
          <rPr>
            <sz val="9"/>
            <rFont val="宋体"/>
            <charset val="134"/>
          </rPr>
          <t xml:space="preserve">
固定定金JK-2703这个订单当时多付了$4000.</t>
        </r>
      </text>
    </comment>
    <comment ref="Q624" authorId="0">
      <text>
        <r>
          <rPr>
            <b/>
            <sz val="9"/>
            <rFont val="宋体"/>
            <charset val="134"/>
          </rPr>
          <t>Administrator:</t>
        </r>
        <r>
          <rPr>
            <sz val="9"/>
            <rFont val="宋体"/>
            <charset val="134"/>
          </rPr>
          <t xml:space="preserve">
18.9.11</t>
        </r>
      </text>
    </comment>
    <comment ref="Q625" authorId="0">
      <text>
        <r>
          <rPr>
            <b/>
            <sz val="9"/>
            <rFont val="宋体"/>
            <charset val="134"/>
          </rPr>
          <t>Administrator:</t>
        </r>
        <r>
          <rPr>
            <sz val="9"/>
            <rFont val="宋体"/>
            <charset val="134"/>
          </rPr>
          <t xml:space="preserve">
18.9.25</t>
        </r>
      </text>
    </comment>
    <comment ref="Q626" authorId="0">
      <text>
        <r>
          <rPr>
            <b/>
            <sz val="9"/>
            <rFont val="宋体"/>
            <charset val="134"/>
          </rPr>
          <t>Administrator:</t>
        </r>
        <r>
          <rPr>
            <sz val="9"/>
            <rFont val="宋体"/>
            <charset val="134"/>
          </rPr>
          <t xml:space="preserve">
18.9.17 从水单USD13500中分9000 另4500分到X3321
</t>
        </r>
      </text>
    </comment>
    <comment ref="R627" authorId="0">
      <text>
        <r>
          <rPr>
            <b/>
            <sz val="9"/>
            <rFont val="宋体"/>
            <charset val="134"/>
          </rPr>
          <t>Administrator:</t>
        </r>
        <r>
          <rPr>
            <sz val="9"/>
            <rFont val="宋体"/>
            <charset val="134"/>
          </rPr>
          <t xml:space="preserve">
2018.12.28</t>
        </r>
      </text>
    </comment>
    <comment ref="T627" authorId="0">
      <text>
        <r>
          <rPr>
            <b/>
            <sz val="9"/>
            <rFont val="宋体"/>
            <charset val="134"/>
          </rPr>
          <t>Administrator:</t>
        </r>
        <r>
          <rPr>
            <sz val="9"/>
            <rFont val="宋体"/>
            <charset val="134"/>
          </rPr>
          <t xml:space="preserve">
2018.12.28</t>
        </r>
      </text>
    </comment>
    <comment ref="U627" authorId="0">
      <text>
        <r>
          <rPr>
            <b/>
            <sz val="9"/>
            <rFont val="宋体"/>
            <charset val="134"/>
          </rPr>
          <t>Administrator:</t>
        </r>
        <r>
          <rPr>
            <sz val="9"/>
            <rFont val="宋体"/>
            <charset val="134"/>
          </rPr>
          <t xml:space="preserve">
2018.12.28</t>
        </r>
      </text>
    </comment>
    <comment ref="Q628" authorId="1">
      <text>
        <r>
          <rPr>
            <b/>
            <sz val="11"/>
            <rFont val="MS PGothic"/>
            <charset val="134"/>
          </rPr>
          <t>Microsoft Office 用户:</t>
        </r>
        <r>
          <rPr>
            <sz val="11"/>
            <rFont val="MS PGothic"/>
            <charset val="134"/>
          </rPr>
          <t xml:space="preserve">
2018.9.25</t>
        </r>
      </text>
    </comment>
    <comment ref="Q629" authorId="1">
      <text>
        <r>
          <rPr>
            <b/>
            <sz val="11"/>
            <rFont val="MS PGothic"/>
            <charset val="134"/>
          </rPr>
          <t>Microsoft Office 用户:</t>
        </r>
        <r>
          <rPr>
            <sz val="11"/>
            <rFont val="MS PGothic"/>
            <charset val="134"/>
          </rPr>
          <t xml:space="preserve">
10.8 from USD19000
</t>
        </r>
      </text>
    </comment>
    <comment ref="Q630" authorId="1">
      <text>
        <r>
          <rPr>
            <b/>
            <sz val="11"/>
            <rFont val="MS PGothic"/>
            <charset val="134"/>
          </rPr>
          <t>Microsoft Office 用户:</t>
        </r>
        <r>
          <rPr>
            <sz val="11"/>
            <rFont val="MS PGothic"/>
            <charset val="134"/>
          </rPr>
          <t xml:space="preserve">
10.8 from USD19000. 
</t>
        </r>
      </text>
    </comment>
    <comment ref="Q631" authorId="1">
      <text>
        <r>
          <rPr>
            <b/>
            <sz val="11"/>
            <rFont val="MS PGothic"/>
            <charset val="134"/>
          </rPr>
          <t>Microsoft Office 用户:</t>
        </r>
        <r>
          <rPr>
            <sz val="11"/>
            <rFont val="MS PGothic"/>
            <charset val="134"/>
          </rPr>
          <t xml:space="preserve">
10.8 从 USD37818</t>
        </r>
      </text>
    </comment>
    <comment ref="Q637" authorId="0">
      <text>
        <r>
          <rPr>
            <b/>
            <sz val="9"/>
            <rFont val="宋体"/>
            <charset val="134"/>
          </rPr>
          <t>Administrator:</t>
        </r>
        <r>
          <rPr>
            <sz val="9"/>
            <rFont val="宋体"/>
            <charset val="134"/>
          </rPr>
          <t xml:space="preserve">
打了18000+20000</t>
        </r>
      </text>
    </comment>
    <comment ref="Q642" authorId="0">
      <text>
        <r>
          <rPr>
            <b/>
            <sz val="9"/>
            <rFont val="宋体"/>
            <charset val="134"/>
          </rPr>
          <t>Administrator:</t>
        </r>
        <r>
          <rPr>
            <sz val="9"/>
            <rFont val="宋体"/>
            <charset val="134"/>
          </rPr>
          <t xml:space="preserve">
收3019</t>
        </r>
      </text>
    </comment>
    <comment ref="Q643" authorId="0">
      <text>
        <r>
          <rPr>
            <b/>
            <sz val="9"/>
            <rFont val="宋体"/>
            <charset val="134"/>
          </rPr>
          <t>Administrator:</t>
        </r>
        <r>
          <rPr>
            <sz val="9"/>
            <rFont val="宋体"/>
            <charset val="134"/>
          </rPr>
          <t xml:space="preserve">
1/3</t>
        </r>
      </text>
    </comment>
    <comment ref="Q648" authorId="0">
      <text>
        <r>
          <rPr>
            <b/>
            <sz val="9"/>
            <rFont val="宋体"/>
            <charset val="134"/>
          </rPr>
          <t>Administrator:</t>
        </r>
        <r>
          <rPr>
            <sz val="9"/>
            <rFont val="宋体"/>
            <charset val="134"/>
          </rPr>
          <t xml:space="preserve">
10443 2.20</t>
        </r>
      </text>
    </comment>
    <comment ref="T650" authorId="0">
      <text>
        <r>
          <rPr>
            <b/>
            <sz val="9"/>
            <rFont val="宋体"/>
            <charset val="134"/>
          </rPr>
          <t>Administrator:</t>
        </r>
        <r>
          <rPr>
            <sz val="9"/>
            <rFont val="宋体"/>
            <charset val="134"/>
          </rPr>
          <t xml:space="preserve">
5.14</t>
        </r>
      </text>
    </comment>
    <comment ref="Q651" authorId="0">
      <text>
        <r>
          <rPr>
            <b/>
            <sz val="9"/>
            <rFont val="宋体"/>
            <charset val="134"/>
          </rPr>
          <t>Administrator:</t>
        </r>
        <r>
          <rPr>
            <sz val="9"/>
            <rFont val="宋体"/>
            <charset val="134"/>
          </rPr>
          <t xml:space="preserve">
2.25 收到29968</t>
        </r>
      </text>
    </comment>
    <comment ref="T652" authorId="0">
      <text>
        <r>
          <rPr>
            <b/>
            <sz val="9"/>
            <rFont val="宋体"/>
            <charset val="134"/>
          </rPr>
          <t>Administrator:</t>
        </r>
        <r>
          <rPr>
            <sz val="9"/>
            <rFont val="宋体"/>
            <charset val="134"/>
          </rPr>
          <t xml:space="preserve">
5.10 付的时候少了616上单少装的</t>
        </r>
      </text>
    </comment>
    <comment ref="Q655" authorId="0">
      <text>
        <r>
          <rPr>
            <b/>
            <sz val="9"/>
            <rFont val="宋体"/>
            <charset val="134"/>
          </rPr>
          <t>Administrator:</t>
        </r>
        <r>
          <rPr>
            <sz val="9"/>
            <rFont val="宋体"/>
            <charset val="134"/>
          </rPr>
          <t xml:space="preserve">
7831  2.28</t>
        </r>
      </text>
    </comment>
    <comment ref="Q656" authorId="0">
      <text>
        <r>
          <rPr>
            <b/>
            <sz val="9"/>
            <rFont val="宋体"/>
            <charset val="134"/>
          </rPr>
          <t>Administrator:</t>
        </r>
        <r>
          <rPr>
            <sz val="9"/>
            <rFont val="宋体"/>
            <charset val="134"/>
          </rPr>
          <t xml:space="preserve">
14849  3.8</t>
        </r>
      </text>
    </comment>
    <comment ref="Q657" authorId="0">
      <text>
        <r>
          <rPr>
            <b/>
            <sz val="9"/>
            <rFont val="宋体"/>
            <charset val="134"/>
          </rPr>
          <t>Administrator:</t>
        </r>
        <r>
          <rPr>
            <sz val="9"/>
            <rFont val="宋体"/>
            <charset val="134"/>
          </rPr>
          <t xml:space="preserve">
3.22 2914</t>
        </r>
      </text>
    </comment>
    <comment ref="Q658" authorId="0">
      <text>
        <r>
          <rPr>
            <b/>
            <sz val="9"/>
            <rFont val="宋体"/>
            <charset val="134"/>
          </rPr>
          <t>Administrator:</t>
        </r>
        <r>
          <rPr>
            <sz val="9"/>
            <rFont val="宋体"/>
            <charset val="134"/>
          </rPr>
          <t xml:space="preserve">
9948 11948</t>
        </r>
      </text>
    </comment>
    <comment ref="Q659" authorId="0">
      <text>
        <r>
          <rPr>
            <b/>
            <sz val="9"/>
            <rFont val="宋体"/>
            <charset val="134"/>
          </rPr>
          <t>Administrator:</t>
        </r>
        <r>
          <rPr>
            <sz val="9"/>
            <rFont val="宋体"/>
            <charset val="134"/>
          </rPr>
          <t xml:space="preserve">
9948</t>
        </r>
      </text>
    </comment>
    <comment ref="T659" authorId="0">
      <text>
        <r>
          <rPr>
            <b/>
            <sz val="9"/>
            <rFont val="宋体"/>
            <charset val="134"/>
          </rPr>
          <t>Administrator:</t>
        </r>
        <r>
          <rPr>
            <sz val="9"/>
            <rFont val="宋体"/>
            <charset val="134"/>
          </rPr>
          <t xml:space="preserve">
3474  3473. 尾款</t>
        </r>
      </text>
    </comment>
    <comment ref="Q660" authorId="0">
      <text>
        <r>
          <rPr>
            <b/>
            <sz val="9"/>
            <rFont val="宋体"/>
            <charset val="134"/>
          </rPr>
          <t>Administrator:</t>
        </r>
        <r>
          <rPr>
            <sz val="9"/>
            <rFont val="宋体"/>
            <charset val="134"/>
          </rPr>
          <t xml:space="preserve">
10943   4.1</t>
        </r>
      </text>
    </comment>
    <comment ref="Q661" authorId="0">
      <text>
        <r>
          <rPr>
            <b/>
            <sz val="9"/>
            <rFont val="宋体"/>
            <charset val="134"/>
          </rPr>
          <t>Administrator:</t>
        </r>
        <r>
          <rPr>
            <sz val="9"/>
            <rFont val="宋体"/>
            <charset val="134"/>
          </rPr>
          <t xml:space="preserve">
4.3  4.8 </t>
        </r>
      </text>
    </comment>
    <comment ref="Q663" authorId="0">
      <text>
        <r>
          <rPr>
            <b/>
            <sz val="9"/>
            <rFont val="宋体"/>
            <charset val="134"/>
          </rPr>
          <t>Administrator:</t>
        </r>
        <r>
          <rPr>
            <sz val="9"/>
            <rFont val="宋体"/>
            <charset val="134"/>
          </rPr>
          <t xml:space="preserve">
5.8</t>
        </r>
      </text>
    </comment>
    <comment ref="Q664" authorId="0">
      <text>
        <r>
          <rPr>
            <b/>
            <sz val="9"/>
            <rFont val="宋体"/>
            <charset val="134"/>
          </rPr>
          <t>Administrator:</t>
        </r>
        <r>
          <rPr>
            <sz val="9"/>
            <rFont val="宋体"/>
            <charset val="134"/>
          </rPr>
          <t xml:space="preserve">
4.25</t>
        </r>
      </text>
    </comment>
    <comment ref="Q667" authorId="0">
      <text>
        <r>
          <rPr>
            <b/>
            <sz val="9"/>
            <rFont val="宋体"/>
            <charset val="134"/>
          </rPr>
          <t>Administrator:</t>
        </r>
        <r>
          <rPr>
            <sz val="9"/>
            <rFont val="宋体"/>
            <charset val="134"/>
          </rPr>
          <t xml:space="preserve">
5.10 和3443-1尾款一起打来</t>
        </r>
      </text>
    </comment>
    <comment ref="Q669" authorId="0">
      <text>
        <r>
          <rPr>
            <b/>
            <sz val="9"/>
            <rFont val="宋体"/>
            <charset val="134"/>
          </rPr>
          <t>Administrator:</t>
        </r>
        <r>
          <rPr>
            <sz val="9"/>
            <rFont val="宋体"/>
            <charset val="134"/>
          </rPr>
          <t xml:space="preserve">
19968 5.17</t>
        </r>
      </text>
    </comment>
    <comment ref="Q672" authorId="0">
      <text>
        <r>
          <rPr>
            <b/>
            <sz val="9"/>
            <rFont val="宋体"/>
            <charset val="134"/>
          </rPr>
          <t>Administrator:</t>
        </r>
        <r>
          <rPr>
            <sz val="9"/>
            <rFont val="宋体"/>
            <charset val="134"/>
          </rPr>
          <t xml:space="preserve">
4948</t>
        </r>
      </text>
    </comment>
    <comment ref="Q673" authorId="0">
      <text>
        <r>
          <rPr>
            <b/>
            <sz val="9"/>
            <rFont val="宋体"/>
            <charset val="134"/>
          </rPr>
          <t>Administrator:</t>
        </r>
        <r>
          <rPr>
            <sz val="9"/>
            <rFont val="宋体"/>
            <charset val="134"/>
          </rPr>
          <t xml:space="preserve">
6978</t>
        </r>
      </text>
    </comment>
    <comment ref="Q679" authorId="0">
      <text>
        <r>
          <rPr>
            <b/>
            <sz val="9"/>
            <rFont val="宋体"/>
            <charset val="134"/>
          </rPr>
          <t>Administrator:</t>
        </r>
        <r>
          <rPr>
            <sz val="9"/>
            <rFont val="宋体"/>
            <charset val="134"/>
          </rPr>
          <t xml:space="preserve">
11943  6.27</t>
        </r>
      </text>
    </comment>
    <comment ref="T683" authorId="0">
      <text>
        <r>
          <rPr>
            <b/>
            <sz val="9"/>
            <rFont val="宋体"/>
            <charset val="134"/>
          </rPr>
          <t>Administrator:</t>
        </r>
        <r>
          <rPr>
            <sz val="9"/>
            <rFont val="宋体"/>
            <charset val="134"/>
          </rPr>
          <t xml:space="preserve">
应付15438.45</t>
        </r>
      </text>
    </comment>
    <comment ref="T685" authorId="0">
      <text>
        <r>
          <rPr>
            <b/>
            <sz val="9"/>
            <rFont val="宋体"/>
            <charset val="134"/>
          </rPr>
          <t>Administrator:</t>
        </r>
        <r>
          <rPr>
            <sz val="9"/>
            <rFont val="宋体"/>
            <charset val="134"/>
          </rPr>
          <t xml:space="preserve">
应付18555.68</t>
        </r>
      </text>
    </comment>
    <comment ref="T686" authorId="0">
      <text>
        <r>
          <rPr>
            <b/>
            <sz val="9"/>
            <rFont val="宋体"/>
            <charset val="134"/>
          </rPr>
          <t>Administrator:</t>
        </r>
        <r>
          <rPr>
            <sz val="9"/>
            <rFont val="宋体"/>
            <charset val="134"/>
          </rPr>
          <t xml:space="preserve">
应付16781</t>
        </r>
      </text>
    </comment>
    <comment ref="T689" authorId="0">
      <text>
        <r>
          <rPr>
            <b/>
            <sz val="9"/>
            <rFont val="宋体"/>
            <charset val="134"/>
          </rPr>
          <t>Administrator:</t>
        </r>
        <r>
          <rPr>
            <sz val="9"/>
            <rFont val="宋体"/>
            <charset val="134"/>
          </rPr>
          <t xml:space="preserve">
第一次打了5000美金
第二次打了4990美金 多了1833美金是别的款</t>
        </r>
      </text>
    </comment>
    <comment ref="Q691" authorId="0">
      <text>
        <r>
          <rPr>
            <b/>
            <sz val="9"/>
            <rFont val="宋体"/>
            <charset val="134"/>
          </rPr>
          <t>Administrator:</t>
        </r>
        <r>
          <rPr>
            <sz val="9"/>
            <rFont val="宋体"/>
            <charset val="134"/>
          </rPr>
          <t xml:space="preserve">
实收14962.5</t>
        </r>
      </text>
    </comment>
    <comment ref="T692" authorId="0">
      <text>
        <r>
          <rPr>
            <b/>
            <sz val="9"/>
            <rFont val="宋体"/>
            <charset val="134"/>
          </rPr>
          <t>Administrator:应付14020.58</t>
        </r>
      </text>
    </comment>
    <comment ref="Q693" authorId="0">
      <text>
        <r>
          <rPr>
            <b/>
            <sz val="9"/>
            <rFont val="宋体"/>
            <charset val="134"/>
          </rPr>
          <t>Administrator:</t>
        </r>
        <r>
          <rPr>
            <sz val="9"/>
            <rFont val="宋体"/>
            <charset val="134"/>
          </rPr>
          <t xml:space="preserve">
实收9962.5</t>
        </r>
      </text>
    </comment>
    <comment ref="T693" authorId="0">
      <text>
        <r>
          <rPr>
            <b/>
            <sz val="9"/>
            <rFont val="宋体"/>
            <charset val="134"/>
          </rPr>
          <t>Administrator:</t>
        </r>
        <r>
          <rPr>
            <sz val="9"/>
            <rFont val="宋体"/>
            <charset val="134"/>
          </rPr>
          <t xml:space="preserve">
J3651和J3668 共付款55,156.98</t>
        </r>
      </text>
    </comment>
    <comment ref="Q696" authorId="0">
      <text>
        <r>
          <rPr>
            <b/>
            <sz val="9"/>
            <rFont val="宋体"/>
            <charset val="134"/>
          </rPr>
          <t>Administrator:</t>
        </r>
        <r>
          <rPr>
            <sz val="9"/>
            <rFont val="宋体"/>
            <charset val="134"/>
          </rPr>
          <t xml:space="preserve">
7650.28</t>
        </r>
      </text>
    </comment>
    <comment ref="Q697" authorId="0">
      <text>
        <r>
          <rPr>
            <b/>
            <sz val="9"/>
            <rFont val="宋体"/>
            <charset val="134"/>
          </rPr>
          <t>Administrator:</t>
        </r>
        <r>
          <rPr>
            <sz val="9"/>
            <rFont val="宋体"/>
            <charset val="134"/>
          </rPr>
          <t xml:space="preserve">
2020.1.10 实收4973</t>
        </r>
      </text>
    </comment>
    <comment ref="T697" authorId="0">
      <text>
        <r>
          <rPr>
            <b/>
            <sz val="9"/>
            <rFont val="宋体"/>
            <charset val="134"/>
          </rPr>
          <t>Administrator:</t>
        </r>
        <r>
          <rPr>
            <sz val="9"/>
            <rFont val="宋体"/>
            <charset val="134"/>
          </rPr>
          <t xml:space="preserve">
2020.5.19收</t>
        </r>
      </text>
    </comment>
    <comment ref="T698" authorId="0">
      <text>
        <r>
          <rPr>
            <b/>
            <sz val="9"/>
            <rFont val="宋体"/>
            <charset val="134"/>
          </rPr>
          <t>Administrator:</t>
        </r>
        <r>
          <rPr>
            <sz val="9"/>
            <rFont val="宋体"/>
            <charset val="134"/>
          </rPr>
          <t xml:space="preserve">
2020.6.22收</t>
        </r>
      </text>
    </comment>
    <comment ref="Q699" authorId="0">
      <text>
        <r>
          <rPr>
            <b/>
            <sz val="9"/>
            <rFont val="宋体"/>
            <charset val="134"/>
          </rPr>
          <t>Administrator:</t>
        </r>
        <r>
          <rPr>
            <sz val="9"/>
            <rFont val="宋体"/>
            <charset val="134"/>
          </rPr>
          <t xml:space="preserve">
2020.2.10 到账2965美金</t>
        </r>
      </text>
    </comment>
    <comment ref="T699" authorId="0">
      <text>
        <r>
          <rPr>
            <b/>
            <sz val="9"/>
            <rFont val="宋体"/>
            <charset val="134"/>
          </rPr>
          <t>Administrator:</t>
        </r>
        <r>
          <rPr>
            <sz val="9"/>
            <rFont val="宋体"/>
            <charset val="134"/>
          </rPr>
          <t xml:space="preserve">
2020.4.3收到的</t>
        </r>
      </text>
    </comment>
    <comment ref="Q700" authorId="0">
      <text>
        <r>
          <rPr>
            <b/>
            <sz val="9"/>
            <rFont val="宋体"/>
            <charset val="134"/>
          </rPr>
          <t>Administrator:</t>
        </r>
        <r>
          <rPr>
            <sz val="9"/>
            <rFont val="宋体"/>
            <charset val="134"/>
          </rPr>
          <t xml:space="preserve">
2020.2.10 到账15968美金</t>
        </r>
      </text>
    </comment>
    <comment ref="T700" authorId="0">
      <text>
        <r>
          <rPr>
            <b/>
            <sz val="9"/>
            <rFont val="宋体"/>
            <charset val="134"/>
          </rPr>
          <t>Administrator:</t>
        </r>
        <r>
          <rPr>
            <sz val="9"/>
            <rFont val="宋体"/>
            <charset val="134"/>
          </rPr>
          <t xml:space="preserve">
2020.6.1收</t>
        </r>
      </text>
    </comment>
    <comment ref="Q701" authorId="0">
      <text>
        <r>
          <rPr>
            <b/>
            <sz val="9"/>
            <rFont val="宋体"/>
            <charset val="134"/>
          </rPr>
          <t>Administrator:</t>
        </r>
        <r>
          <rPr>
            <sz val="9"/>
            <rFont val="宋体"/>
            <charset val="134"/>
          </rPr>
          <t xml:space="preserve">
2020.2.25收5969.5美金 M3750 J3751个三千美金定金
</t>
        </r>
      </text>
    </comment>
    <comment ref="T701" authorId="0">
      <text>
        <r>
          <rPr>
            <b/>
            <sz val="9"/>
            <rFont val="宋体"/>
            <charset val="134"/>
          </rPr>
          <t>Administrator:</t>
        </r>
        <r>
          <rPr>
            <sz val="9"/>
            <rFont val="宋体"/>
            <charset val="134"/>
          </rPr>
          <t xml:space="preserve">
2020.5.26收</t>
        </r>
      </text>
    </comment>
    <comment ref="Q702" authorId="0">
      <text>
        <r>
          <rPr>
            <b/>
            <sz val="9"/>
            <rFont val="宋体"/>
            <charset val="134"/>
          </rPr>
          <t>Administrator:</t>
        </r>
        <r>
          <rPr>
            <sz val="9"/>
            <rFont val="宋体"/>
            <charset val="134"/>
          </rPr>
          <t xml:space="preserve">
2020.2.25收5969.5美金 M3750 J3751个三千美金定金</t>
        </r>
      </text>
    </comment>
    <comment ref="T702" authorId="0">
      <text>
        <r>
          <rPr>
            <b/>
            <sz val="9"/>
            <rFont val="宋体"/>
            <charset val="134"/>
          </rPr>
          <t>Administrator:</t>
        </r>
        <r>
          <rPr>
            <sz val="9"/>
            <rFont val="宋体"/>
            <charset val="134"/>
          </rPr>
          <t xml:space="preserve">
2020.6.16收</t>
        </r>
      </text>
    </comment>
    <comment ref="T703" authorId="0">
      <text>
        <r>
          <rPr>
            <b/>
            <sz val="9"/>
            <rFont val="宋体"/>
            <charset val="134"/>
          </rPr>
          <t>Administrator:</t>
        </r>
        <r>
          <rPr>
            <sz val="9"/>
            <rFont val="宋体"/>
            <charset val="134"/>
          </rPr>
          <t xml:space="preserve">
2020.5.7收</t>
        </r>
      </text>
    </comment>
    <comment ref="Q704" authorId="0">
      <text>
        <r>
          <rPr>
            <b/>
            <sz val="9"/>
            <rFont val="宋体"/>
            <charset val="134"/>
          </rPr>
          <t>Administrator:</t>
        </r>
        <r>
          <rPr>
            <sz val="9"/>
            <rFont val="宋体"/>
            <charset val="134"/>
          </rPr>
          <t xml:space="preserve">
2020.2.25收</t>
        </r>
      </text>
    </comment>
    <comment ref="T704" authorId="0">
      <text>
        <r>
          <rPr>
            <b/>
            <sz val="9"/>
            <rFont val="宋体"/>
            <charset val="134"/>
          </rPr>
          <t>Administrator:</t>
        </r>
        <r>
          <rPr>
            <sz val="9"/>
            <rFont val="宋体"/>
            <charset val="134"/>
          </rPr>
          <t xml:space="preserve">
2020.8.11收14042.1</t>
        </r>
      </text>
    </comment>
    <comment ref="Q705" authorId="0">
      <text>
        <r>
          <rPr>
            <b/>
            <sz val="9"/>
            <rFont val="宋体"/>
            <charset val="134"/>
          </rPr>
          <t>Administrator:</t>
        </r>
        <r>
          <rPr>
            <sz val="9"/>
            <rFont val="宋体"/>
            <charset val="134"/>
          </rPr>
          <t xml:space="preserve">
2020.3.6 到账3990
2020.5.6 到账4990
2020.5.7 到账4990
M3641客户多打1833美金转做M3761定金</t>
        </r>
      </text>
    </comment>
    <comment ref="T705" authorId="0">
      <text>
        <r>
          <rPr>
            <b/>
            <sz val="9"/>
            <rFont val="宋体"/>
            <charset val="134"/>
          </rPr>
          <t>Administrator:</t>
        </r>
        <r>
          <rPr>
            <sz val="9"/>
            <rFont val="宋体"/>
            <charset val="134"/>
          </rPr>
          <t xml:space="preserve">
2020.7.10收 RMB25246
汇率6.98</t>
        </r>
      </text>
    </comment>
    <comment ref="T706" authorId="0">
      <text>
        <r>
          <rPr>
            <b/>
            <sz val="9"/>
            <rFont val="宋体"/>
            <charset val="134"/>
          </rPr>
          <t>Administrator:</t>
        </r>
        <r>
          <rPr>
            <sz val="9"/>
            <rFont val="宋体"/>
            <charset val="134"/>
          </rPr>
          <t xml:space="preserve">
2020.9.1收76519.7美金</t>
        </r>
      </text>
    </comment>
    <comment ref="Q707" authorId="0">
      <text>
        <r>
          <rPr>
            <b/>
            <sz val="9"/>
            <rFont val="宋体"/>
            <charset val="134"/>
          </rPr>
          <t>Administrator:</t>
        </r>
        <r>
          <rPr>
            <sz val="9"/>
            <rFont val="宋体"/>
            <charset val="134"/>
          </rPr>
          <t xml:space="preserve">
2020.4.9实收4973美金</t>
        </r>
      </text>
    </comment>
    <comment ref="T707" authorId="0">
      <text>
        <r>
          <rPr>
            <b/>
            <sz val="9"/>
            <rFont val="宋体"/>
            <charset val="134"/>
          </rPr>
          <t>Administrator:</t>
        </r>
        <r>
          <rPr>
            <sz val="9"/>
            <rFont val="宋体"/>
            <charset val="134"/>
          </rPr>
          <t xml:space="preserve">
2020.5.19收</t>
        </r>
      </text>
    </comment>
    <comment ref="Q708" authorId="0">
      <text>
        <r>
          <rPr>
            <b/>
            <sz val="9"/>
            <rFont val="宋体"/>
            <charset val="134"/>
          </rPr>
          <t>Administrator:</t>
        </r>
        <r>
          <rPr>
            <sz val="9"/>
            <rFont val="宋体"/>
            <charset val="134"/>
          </rPr>
          <t xml:space="preserve">
定金水单30000美金2020.4.10收到29968美金
8600美金做-1定金</t>
        </r>
      </text>
    </comment>
    <comment ref="T708" authorId="0">
      <text>
        <r>
          <rPr>
            <b/>
            <sz val="9"/>
            <rFont val="宋体"/>
            <charset val="134"/>
          </rPr>
          <t>Administrator:</t>
        </r>
        <r>
          <rPr>
            <sz val="9"/>
            <rFont val="宋体"/>
            <charset val="134"/>
          </rPr>
          <t xml:space="preserve">
2020.7.10收</t>
        </r>
      </text>
    </comment>
    <comment ref="T709" authorId="0">
      <text>
        <r>
          <rPr>
            <b/>
            <sz val="9"/>
            <rFont val="宋体"/>
            <charset val="134"/>
          </rPr>
          <t>Administrator:</t>
        </r>
        <r>
          <rPr>
            <sz val="9"/>
            <rFont val="宋体"/>
            <charset val="134"/>
          </rPr>
          <t xml:space="preserve">
2020.7.17收</t>
        </r>
      </text>
    </comment>
    <comment ref="T710" authorId="0">
      <text>
        <r>
          <rPr>
            <b/>
            <sz val="9"/>
            <rFont val="宋体"/>
            <charset val="134"/>
          </rPr>
          <t>Administrator:</t>
        </r>
        <r>
          <rPr>
            <sz val="9"/>
            <rFont val="宋体"/>
            <charset val="134"/>
          </rPr>
          <t xml:space="preserve">
2020.6.30收</t>
        </r>
      </text>
    </comment>
    <comment ref="T711" authorId="0">
      <text>
        <r>
          <rPr>
            <b/>
            <sz val="9"/>
            <rFont val="宋体"/>
            <charset val="134"/>
          </rPr>
          <t>Administrator:</t>
        </r>
        <r>
          <rPr>
            <sz val="9"/>
            <rFont val="宋体"/>
            <charset val="134"/>
          </rPr>
          <t xml:space="preserve">
2020.6.19收</t>
        </r>
      </text>
    </comment>
    <comment ref="Q713" authorId="0">
      <text>
        <r>
          <rPr>
            <b/>
            <sz val="9"/>
            <rFont val="宋体"/>
            <charset val="134"/>
          </rPr>
          <t>Administrator:</t>
        </r>
        <r>
          <rPr>
            <sz val="9"/>
            <rFont val="宋体"/>
            <charset val="134"/>
          </rPr>
          <t xml:space="preserve">
2020.4.10收9962.5美金</t>
        </r>
      </text>
    </comment>
    <comment ref="T713" authorId="0">
      <text>
        <r>
          <rPr>
            <b/>
            <sz val="9"/>
            <rFont val="宋体"/>
            <charset val="134"/>
          </rPr>
          <t>Administrator:</t>
        </r>
        <r>
          <rPr>
            <sz val="9"/>
            <rFont val="宋体"/>
            <charset val="134"/>
          </rPr>
          <t xml:space="preserve">
2020.5.29收</t>
        </r>
      </text>
    </comment>
    <comment ref="Q714" authorId="0">
      <text>
        <r>
          <rPr>
            <b/>
            <sz val="9"/>
            <rFont val="宋体"/>
            <charset val="134"/>
          </rPr>
          <t>Administrator:</t>
        </r>
        <r>
          <rPr>
            <sz val="9"/>
            <rFont val="宋体"/>
            <charset val="134"/>
          </rPr>
          <t xml:space="preserve">
2020.5.18收</t>
        </r>
      </text>
    </comment>
    <comment ref="T714" authorId="0">
      <text>
        <r>
          <rPr>
            <b/>
            <sz val="9"/>
            <rFont val="宋体"/>
            <charset val="134"/>
          </rPr>
          <t>Administrator:</t>
        </r>
        <r>
          <rPr>
            <sz val="9"/>
            <rFont val="宋体"/>
            <charset val="134"/>
          </rPr>
          <t xml:space="preserve">
2020.6.8收</t>
        </r>
      </text>
    </comment>
    <comment ref="Q715" authorId="0">
      <text>
        <r>
          <rPr>
            <b/>
            <sz val="9"/>
            <rFont val="宋体"/>
            <charset val="134"/>
          </rPr>
          <t>Administrator:</t>
        </r>
        <r>
          <rPr>
            <sz val="9"/>
            <rFont val="宋体"/>
            <charset val="134"/>
          </rPr>
          <t xml:space="preserve">
2020.4.23收3000美金
2020.4.24收3257美金</t>
        </r>
      </text>
    </comment>
    <comment ref="T715" authorId="0">
      <text>
        <r>
          <rPr>
            <b/>
            <sz val="9"/>
            <rFont val="宋体"/>
            <charset val="134"/>
          </rPr>
          <t>Administrator:</t>
        </r>
        <r>
          <rPr>
            <sz val="9"/>
            <rFont val="宋体"/>
            <charset val="134"/>
          </rPr>
          <t xml:space="preserve">
2020.6.1收</t>
        </r>
      </text>
    </comment>
    <comment ref="Q716" authorId="0">
      <text>
        <r>
          <rPr>
            <b/>
            <sz val="9"/>
            <rFont val="宋体"/>
            <charset val="134"/>
          </rPr>
          <t>Administrator:</t>
        </r>
        <r>
          <rPr>
            <sz val="9"/>
            <rFont val="宋体"/>
            <charset val="134"/>
          </rPr>
          <t xml:space="preserve">
30429 2020.5.15收
五万2020.7.1收</t>
        </r>
      </text>
    </comment>
    <comment ref="T716" authorId="0">
      <text>
        <r>
          <rPr>
            <b/>
            <sz val="9"/>
            <rFont val="宋体"/>
            <charset val="134"/>
          </rPr>
          <t>Administrator:</t>
        </r>
        <r>
          <rPr>
            <sz val="9"/>
            <rFont val="宋体"/>
            <charset val="134"/>
          </rPr>
          <t xml:space="preserve">
2020.7.8收</t>
        </r>
      </text>
    </comment>
    <comment ref="Q717" authorId="0">
      <text>
        <r>
          <rPr>
            <b/>
            <sz val="9"/>
            <rFont val="宋体"/>
            <charset val="134"/>
          </rPr>
          <t>Administrator:</t>
        </r>
        <r>
          <rPr>
            <sz val="9"/>
            <rFont val="宋体"/>
            <charset val="134"/>
          </rPr>
          <t xml:space="preserve">
2020.6.1收6381.74美金</t>
        </r>
      </text>
    </comment>
    <comment ref="T717" authorId="0">
      <text>
        <r>
          <rPr>
            <b/>
            <sz val="9"/>
            <rFont val="宋体"/>
            <charset val="134"/>
          </rPr>
          <t>Administrator:</t>
        </r>
        <r>
          <rPr>
            <sz val="9"/>
            <rFont val="宋体"/>
            <charset val="134"/>
          </rPr>
          <t xml:space="preserve">
2020.7.8收</t>
        </r>
      </text>
    </comment>
    <comment ref="Q718" authorId="0">
      <text>
        <r>
          <rPr>
            <b/>
            <sz val="9"/>
            <rFont val="宋体"/>
            <charset val="134"/>
          </rPr>
          <t>Administrator:</t>
        </r>
        <r>
          <rPr>
            <sz val="9"/>
            <rFont val="宋体"/>
            <charset val="134"/>
          </rPr>
          <t xml:space="preserve">
12000定金 2020.6.30收</t>
        </r>
      </text>
    </comment>
    <comment ref="T718" authorId="0">
      <text>
        <r>
          <rPr>
            <b/>
            <sz val="9"/>
            <rFont val="宋体"/>
            <charset val="134"/>
          </rPr>
          <t>Administrator:</t>
        </r>
        <r>
          <rPr>
            <sz val="9"/>
            <rFont val="宋体"/>
            <charset val="134"/>
          </rPr>
          <t xml:space="preserve">
2020.8.14收14767美金</t>
        </r>
      </text>
    </comment>
    <comment ref="T719" authorId="0">
      <text>
        <r>
          <rPr>
            <b/>
            <sz val="9"/>
            <rFont val="宋体"/>
            <charset val="134"/>
          </rPr>
          <t>Administrator:</t>
        </r>
        <r>
          <rPr>
            <sz val="9"/>
            <rFont val="宋体"/>
            <charset val="134"/>
          </rPr>
          <t xml:space="preserve">
2020.9.23收</t>
        </r>
      </text>
    </comment>
    <comment ref="Q720" authorId="0">
      <text>
        <r>
          <rPr>
            <b/>
            <sz val="9"/>
            <rFont val="宋体"/>
            <charset val="134"/>
          </rPr>
          <t>Administrator:</t>
        </r>
        <r>
          <rPr>
            <sz val="9"/>
            <rFont val="宋体"/>
            <charset val="134"/>
          </rPr>
          <t xml:space="preserve">
2020.7.7收</t>
        </r>
      </text>
    </comment>
    <comment ref="T720" authorId="0">
      <text>
        <r>
          <rPr>
            <b/>
            <sz val="9"/>
            <rFont val="宋体"/>
            <charset val="134"/>
          </rPr>
          <t>Administrator:</t>
        </r>
        <r>
          <rPr>
            <sz val="9"/>
            <rFont val="宋体"/>
            <charset val="134"/>
          </rPr>
          <t xml:space="preserve">
2020.7.24收</t>
        </r>
      </text>
    </comment>
    <comment ref="P721" authorId="0">
      <text>
        <r>
          <rPr>
            <b/>
            <sz val="9"/>
            <rFont val="宋体"/>
            <charset val="134"/>
          </rPr>
          <t>Administrator:</t>
        </r>
        <r>
          <rPr>
            <sz val="9"/>
            <rFont val="宋体"/>
            <charset val="134"/>
          </rPr>
          <t xml:space="preserve">
1350是第一次运费
630第二次运费</t>
        </r>
      </text>
    </comment>
    <comment ref="Q721" authorId="0">
      <text>
        <r>
          <rPr>
            <b/>
            <sz val="9"/>
            <rFont val="宋体"/>
            <charset val="134"/>
          </rPr>
          <t>Administrator:</t>
        </r>
        <r>
          <rPr>
            <sz val="9"/>
            <rFont val="宋体"/>
            <charset val="134"/>
          </rPr>
          <t xml:space="preserve">
2020.7.7收</t>
        </r>
      </text>
    </comment>
    <comment ref="T721" authorId="0">
      <text>
        <r>
          <rPr>
            <b/>
            <sz val="9"/>
            <rFont val="宋体"/>
            <charset val="134"/>
          </rPr>
          <t>Administrator:</t>
        </r>
        <r>
          <rPr>
            <sz val="9"/>
            <rFont val="宋体"/>
            <charset val="134"/>
          </rPr>
          <t xml:space="preserve">
2020.8.11收</t>
        </r>
      </text>
    </comment>
    <comment ref="U721" authorId="0">
      <text>
        <r>
          <rPr>
            <b/>
            <sz val="9"/>
            <rFont val="宋体"/>
            <charset val="134"/>
          </rPr>
          <t>Administrator:</t>
        </r>
        <r>
          <rPr>
            <sz val="9"/>
            <rFont val="宋体"/>
            <charset val="134"/>
          </rPr>
          <t xml:space="preserve">
2020.10.26收
2020.12.5收64400RMB
2021.3.11收54630包括运费630</t>
        </r>
      </text>
    </comment>
    <comment ref="T722" authorId="0">
      <text>
        <r>
          <rPr>
            <b/>
            <sz val="9"/>
            <rFont val="宋体"/>
            <charset val="134"/>
          </rPr>
          <t>Administrator:</t>
        </r>
        <r>
          <rPr>
            <sz val="9"/>
            <rFont val="宋体"/>
            <charset val="134"/>
          </rPr>
          <t xml:space="preserve">
2020.8.12收36668</t>
        </r>
      </text>
    </comment>
    <comment ref="T723" authorId="0">
      <text>
        <r>
          <rPr>
            <b/>
            <sz val="9"/>
            <rFont val="宋体"/>
            <charset val="134"/>
          </rPr>
          <t>Administrator:</t>
        </r>
        <r>
          <rPr>
            <sz val="9"/>
            <rFont val="宋体"/>
            <charset val="134"/>
          </rPr>
          <t xml:space="preserve">
2020.7.28收1011.34美金</t>
        </r>
      </text>
    </comment>
    <comment ref="Q724" authorId="0">
      <text>
        <r>
          <rPr>
            <b/>
            <sz val="9"/>
            <rFont val="宋体"/>
            <charset val="134"/>
          </rPr>
          <t>Administrator:</t>
        </r>
        <r>
          <rPr>
            <sz val="9"/>
            <rFont val="宋体"/>
            <charset val="134"/>
          </rPr>
          <t xml:space="preserve">
2020.7.15收  J3843定金转到J3862  J3843付全款</t>
        </r>
      </text>
    </comment>
    <comment ref="T724" authorId="0">
      <text>
        <r>
          <rPr>
            <b/>
            <sz val="9"/>
            <rFont val="宋体"/>
            <charset val="134"/>
          </rPr>
          <t>Administrator:</t>
        </r>
        <r>
          <rPr>
            <sz val="9"/>
            <rFont val="宋体"/>
            <charset val="134"/>
          </rPr>
          <t xml:space="preserve">
2020.11.2收26182.5</t>
        </r>
      </text>
    </comment>
    <comment ref="Q725" authorId="0">
      <text>
        <r>
          <rPr>
            <b/>
            <sz val="9"/>
            <rFont val="宋体"/>
            <charset val="134"/>
          </rPr>
          <t>Administrator:</t>
        </r>
        <r>
          <rPr>
            <sz val="9"/>
            <rFont val="宋体"/>
            <charset val="134"/>
          </rPr>
          <t xml:space="preserve">
J3762定金移到J3873</t>
        </r>
      </text>
    </comment>
    <comment ref="T725" authorId="0">
      <text>
        <r>
          <rPr>
            <b/>
            <sz val="9"/>
            <rFont val="宋体"/>
            <charset val="134"/>
          </rPr>
          <t>Administrator:</t>
        </r>
        <r>
          <rPr>
            <sz val="9"/>
            <rFont val="宋体"/>
            <charset val="134"/>
          </rPr>
          <t xml:space="preserve">
2021.1.11收76663.85美金</t>
        </r>
      </text>
    </comment>
    <comment ref="Q726" authorId="0">
      <text>
        <r>
          <rPr>
            <b/>
            <sz val="9"/>
            <rFont val="宋体"/>
            <charset val="134"/>
          </rPr>
          <t>Administrator:</t>
        </r>
        <r>
          <rPr>
            <sz val="9"/>
            <rFont val="宋体"/>
            <charset val="134"/>
          </rPr>
          <t xml:space="preserve">
2020.9.16收</t>
        </r>
      </text>
    </comment>
    <comment ref="T726" authorId="0">
      <text>
        <r>
          <rPr>
            <b/>
            <sz val="9"/>
            <rFont val="宋体"/>
            <charset val="134"/>
          </rPr>
          <t>Administrator:</t>
        </r>
        <r>
          <rPr>
            <sz val="9"/>
            <rFont val="宋体"/>
            <charset val="134"/>
          </rPr>
          <t xml:space="preserve">
2020.11.24收15451.52</t>
        </r>
      </text>
    </comment>
    <comment ref="Q727" authorId="0">
      <text>
        <r>
          <rPr>
            <b/>
            <sz val="9"/>
            <rFont val="宋体"/>
            <charset val="134"/>
          </rPr>
          <t>Administrator:</t>
        </r>
        <r>
          <rPr>
            <sz val="9"/>
            <rFont val="宋体"/>
            <charset val="134"/>
          </rPr>
          <t xml:space="preserve">
2020.9.18收11453美金</t>
        </r>
      </text>
    </comment>
    <comment ref="T727" authorId="0">
      <text>
        <r>
          <rPr>
            <b/>
            <sz val="9"/>
            <rFont val="宋体"/>
            <charset val="134"/>
          </rPr>
          <t>Administrator:</t>
        </r>
        <r>
          <rPr>
            <sz val="9"/>
            <rFont val="宋体"/>
            <charset val="134"/>
          </rPr>
          <t xml:space="preserve">
2021.1.12收29169</t>
        </r>
      </text>
    </comment>
    <comment ref="Q728" authorId="0">
      <text>
        <r>
          <rPr>
            <b/>
            <sz val="9"/>
            <rFont val="宋体"/>
            <charset val="134"/>
          </rPr>
          <t>Administrator:</t>
        </r>
        <r>
          <rPr>
            <sz val="9"/>
            <rFont val="宋体"/>
            <charset val="134"/>
          </rPr>
          <t xml:space="preserve">
2020.9.23收</t>
        </r>
      </text>
    </comment>
    <comment ref="T728" authorId="0">
      <text>
        <r>
          <rPr>
            <b/>
            <sz val="9"/>
            <rFont val="宋体"/>
            <charset val="134"/>
          </rPr>
          <t>Administrator:</t>
        </r>
        <r>
          <rPr>
            <sz val="9"/>
            <rFont val="宋体"/>
            <charset val="134"/>
          </rPr>
          <t xml:space="preserve">
2020.12.14收</t>
        </r>
      </text>
    </comment>
    <comment ref="Q729" authorId="0">
      <text>
        <r>
          <rPr>
            <b/>
            <sz val="9"/>
            <rFont val="宋体"/>
            <charset val="134"/>
          </rPr>
          <t>Administrator:</t>
        </r>
        <r>
          <rPr>
            <sz val="9"/>
            <rFont val="宋体"/>
            <charset val="134"/>
          </rPr>
          <t xml:space="preserve">
2020.9.23收</t>
        </r>
      </text>
    </comment>
    <comment ref="T729" authorId="0">
      <text>
        <r>
          <rPr>
            <b/>
            <sz val="9"/>
            <rFont val="宋体"/>
            <charset val="134"/>
          </rPr>
          <t>Administrator:</t>
        </r>
        <r>
          <rPr>
            <sz val="9"/>
            <rFont val="宋体"/>
            <charset val="134"/>
          </rPr>
          <t xml:space="preserve">
2020.12.14收</t>
        </r>
      </text>
    </comment>
    <comment ref="Q730" authorId="0">
      <text>
        <r>
          <rPr>
            <b/>
            <sz val="9"/>
            <rFont val="宋体"/>
            <charset val="134"/>
          </rPr>
          <t>Administrator:</t>
        </r>
        <r>
          <rPr>
            <sz val="9"/>
            <rFont val="宋体"/>
            <charset val="134"/>
          </rPr>
          <t xml:space="preserve">
2020.9.30收9959美金</t>
        </r>
      </text>
    </comment>
    <comment ref="T730" authorId="0">
      <text>
        <r>
          <rPr>
            <b/>
            <sz val="9"/>
            <rFont val="宋体"/>
            <charset val="134"/>
          </rPr>
          <t>Administrator:</t>
        </r>
        <r>
          <rPr>
            <sz val="9"/>
            <rFont val="宋体"/>
            <charset val="134"/>
          </rPr>
          <t xml:space="preserve">
2020.12.14收</t>
        </r>
      </text>
    </comment>
    <comment ref="Q731" authorId="0">
      <text>
        <r>
          <rPr>
            <b/>
            <sz val="9"/>
            <rFont val="宋体"/>
            <charset val="134"/>
          </rPr>
          <t>Administrator:</t>
        </r>
        <r>
          <rPr>
            <sz val="9"/>
            <rFont val="宋体"/>
            <charset val="134"/>
          </rPr>
          <t xml:space="preserve">
2020.10.22收</t>
        </r>
      </text>
    </comment>
    <comment ref="T731" authorId="0">
      <text>
        <r>
          <rPr>
            <b/>
            <sz val="9"/>
            <rFont val="宋体"/>
            <charset val="134"/>
          </rPr>
          <t>Administrator:</t>
        </r>
        <r>
          <rPr>
            <sz val="9"/>
            <rFont val="宋体"/>
            <charset val="134"/>
          </rPr>
          <t xml:space="preserve">
2020.11.25收</t>
        </r>
      </text>
    </comment>
    <comment ref="Q732" authorId="0">
      <text>
        <r>
          <rPr>
            <b/>
            <sz val="9"/>
            <rFont val="宋体"/>
            <charset val="134"/>
          </rPr>
          <t>Administrator:</t>
        </r>
        <r>
          <rPr>
            <sz val="9"/>
            <rFont val="宋体"/>
            <charset val="134"/>
          </rPr>
          <t xml:space="preserve">
2020.11.2收4990美金</t>
        </r>
      </text>
    </comment>
    <comment ref="T732" authorId="0">
      <text>
        <r>
          <rPr>
            <b/>
            <sz val="9"/>
            <rFont val="宋体"/>
            <charset val="134"/>
          </rPr>
          <t>Administrator:</t>
        </r>
        <r>
          <rPr>
            <sz val="9"/>
            <rFont val="宋体"/>
            <charset val="134"/>
          </rPr>
          <t xml:space="preserve">
2020.11.30收4990
2020.12.10收4990</t>
        </r>
      </text>
    </comment>
    <comment ref="U732" authorId="0">
      <text>
        <r>
          <rPr>
            <b/>
            <sz val="9"/>
            <rFont val="宋体"/>
            <charset val="134"/>
          </rPr>
          <t>Administrator:</t>
        </r>
        <r>
          <rPr>
            <sz val="9"/>
            <rFont val="宋体"/>
            <charset val="134"/>
          </rPr>
          <t xml:space="preserve">
2021.3.3收4952</t>
        </r>
      </text>
    </comment>
    <comment ref="Q734" authorId="0">
      <text>
        <r>
          <rPr>
            <b/>
            <sz val="9"/>
            <rFont val="宋体"/>
            <charset val="134"/>
          </rPr>
          <t>Administrator:</t>
        </r>
        <r>
          <rPr>
            <sz val="9"/>
            <rFont val="宋体"/>
            <charset val="134"/>
          </rPr>
          <t xml:space="preserve">
18.7.11</t>
        </r>
      </text>
    </comment>
    <comment ref="R734" authorId="0">
      <text>
        <r>
          <rPr>
            <b/>
            <sz val="9"/>
            <rFont val="宋体"/>
            <charset val="134"/>
          </rPr>
          <t>Administrator:</t>
        </r>
        <r>
          <rPr>
            <sz val="9"/>
            <rFont val="宋体"/>
            <charset val="134"/>
          </rPr>
          <t xml:space="preserve">
18.9.15
</t>
        </r>
      </text>
    </comment>
    <comment ref="T734" authorId="0">
      <text>
        <r>
          <rPr>
            <b/>
            <sz val="9"/>
            <rFont val="宋体"/>
            <charset val="134"/>
          </rPr>
          <t>Administrator:</t>
        </r>
        <r>
          <rPr>
            <sz val="9"/>
            <rFont val="宋体"/>
            <charset val="134"/>
          </rPr>
          <t xml:space="preserve">
18.9.15
</t>
        </r>
      </text>
    </comment>
    <comment ref="U734" authorId="0">
      <text>
        <r>
          <rPr>
            <b/>
            <sz val="9"/>
            <rFont val="宋体"/>
            <charset val="134"/>
          </rPr>
          <t>Administrator:</t>
        </r>
        <r>
          <rPr>
            <sz val="9"/>
            <rFont val="宋体"/>
            <charset val="134"/>
          </rPr>
          <t xml:space="preserve">
18.9.15
</t>
        </r>
      </text>
    </comment>
    <comment ref="Q735" authorId="1">
      <text>
        <r>
          <rPr>
            <b/>
            <sz val="11"/>
            <rFont val="MS PGothic"/>
            <charset val="134"/>
          </rPr>
          <t>Microsoft Office 用户:</t>
        </r>
        <r>
          <rPr>
            <sz val="11"/>
            <rFont val="MS PGothic"/>
            <charset val="134"/>
          </rPr>
          <t xml:space="preserve">
从13500分 4500</t>
        </r>
      </text>
    </comment>
    <comment ref="Q738" authorId="0">
      <text>
        <r>
          <rPr>
            <b/>
            <sz val="9"/>
            <rFont val="宋体"/>
            <charset val="134"/>
          </rPr>
          <t>Administrator:</t>
        </r>
        <r>
          <rPr>
            <sz val="9"/>
            <rFont val="宋体"/>
            <charset val="134"/>
          </rPr>
          <t xml:space="preserve">
1.26 6978</t>
        </r>
      </text>
    </comment>
    <comment ref="Q739" authorId="0">
      <text>
        <r>
          <rPr>
            <b/>
            <sz val="9"/>
            <rFont val="宋体"/>
            <charset val="134"/>
          </rPr>
          <t>Administrator:</t>
        </r>
        <r>
          <rPr>
            <sz val="9"/>
            <rFont val="宋体"/>
            <charset val="134"/>
          </rPr>
          <t xml:space="preserve">
2.21  7478.74</t>
        </r>
      </text>
    </comment>
    <comment ref="Q741" authorId="0">
      <text>
        <r>
          <rPr>
            <b/>
            <sz val="9"/>
            <rFont val="宋体"/>
            <charset val="134"/>
          </rPr>
          <t>Administrator:</t>
        </r>
        <r>
          <rPr>
            <sz val="9"/>
            <rFont val="宋体"/>
            <charset val="134"/>
          </rPr>
          <t xml:space="preserve">
6.11</t>
        </r>
      </text>
    </comment>
    <comment ref="P742" authorId="0">
      <text>
        <r>
          <rPr>
            <b/>
            <sz val="9"/>
            <rFont val="宋体"/>
            <charset val="134"/>
          </rPr>
          <t>Administrator:</t>
        </r>
        <r>
          <rPr>
            <sz val="9"/>
            <rFont val="宋体"/>
            <charset val="134"/>
          </rPr>
          <t xml:space="preserve">
PC证书费减了300</t>
        </r>
      </text>
    </comment>
    <comment ref="T743" authorId="0">
      <text>
        <r>
          <rPr>
            <b/>
            <sz val="9"/>
            <rFont val="宋体"/>
            <charset val="134"/>
          </rPr>
          <t>Administrator:</t>
        </r>
        <r>
          <rPr>
            <sz val="9"/>
            <rFont val="宋体"/>
            <charset val="134"/>
          </rPr>
          <t xml:space="preserve">
应付9518.85</t>
        </r>
      </text>
    </comment>
    <comment ref="Q744" authorId="0">
      <text>
        <r>
          <rPr>
            <b/>
            <sz val="9"/>
            <rFont val="宋体"/>
            <charset val="134"/>
          </rPr>
          <t>Administrator:</t>
        </r>
        <r>
          <rPr>
            <sz val="9"/>
            <rFont val="宋体"/>
            <charset val="134"/>
          </rPr>
          <t xml:space="preserve">
收到4997.5</t>
        </r>
      </text>
    </comment>
    <comment ref="T744" authorId="0">
      <text>
        <r>
          <rPr>
            <b/>
            <sz val="9"/>
            <rFont val="宋体"/>
            <charset val="134"/>
          </rPr>
          <t>Administrator:</t>
        </r>
        <r>
          <rPr>
            <sz val="9"/>
            <rFont val="宋体"/>
            <charset val="134"/>
          </rPr>
          <t xml:space="preserve">
应付6517-481=6036</t>
        </r>
      </text>
    </comment>
    <comment ref="Q746" authorId="0">
      <text>
        <r>
          <rPr>
            <b/>
            <sz val="9"/>
            <rFont val="宋体"/>
            <charset val="134"/>
          </rPr>
          <t>Administrator:</t>
        </r>
        <r>
          <rPr>
            <sz val="9"/>
            <rFont val="宋体"/>
            <charset val="134"/>
          </rPr>
          <t xml:space="preserve">
2020.2.13 11570.42美金</t>
        </r>
      </text>
    </comment>
    <comment ref="T746" authorId="0">
      <text>
        <r>
          <rPr>
            <b/>
            <sz val="9"/>
            <rFont val="宋体"/>
            <charset val="134"/>
          </rPr>
          <t>Administrator:</t>
        </r>
        <r>
          <rPr>
            <sz val="9"/>
            <rFont val="宋体"/>
            <charset val="134"/>
          </rPr>
          <t xml:space="preserve">
2020.6.1收</t>
        </r>
      </text>
    </comment>
    <comment ref="U746" authorId="0">
      <text>
        <r>
          <rPr>
            <b/>
            <sz val="9"/>
            <rFont val="宋体"/>
            <charset val="134"/>
          </rPr>
          <t>Administrator:</t>
        </r>
        <r>
          <rPr>
            <sz val="9"/>
            <rFont val="宋体"/>
            <charset val="134"/>
          </rPr>
          <t xml:space="preserve">
2020.6.10收到两笔10000+1400美金</t>
        </r>
      </text>
    </comment>
    <comment ref="T748" authorId="0">
      <text>
        <r>
          <rPr>
            <b/>
            <sz val="9"/>
            <rFont val="宋体"/>
            <charset val="134"/>
          </rPr>
          <t>Administrator:</t>
        </r>
        <r>
          <rPr>
            <sz val="9"/>
            <rFont val="宋体"/>
            <charset val="134"/>
          </rPr>
          <t xml:space="preserve">
2020.7.2收</t>
        </r>
      </text>
    </comment>
    <comment ref="Q749" authorId="0">
      <text>
        <r>
          <rPr>
            <b/>
            <sz val="9"/>
            <rFont val="宋体"/>
            <charset val="134"/>
          </rPr>
          <t>Administrator:</t>
        </r>
        <r>
          <rPr>
            <sz val="9"/>
            <rFont val="宋体"/>
            <charset val="134"/>
          </rPr>
          <t xml:space="preserve">
2020.8.28收4988美金</t>
        </r>
      </text>
    </comment>
    <comment ref="T749" authorId="0">
      <text>
        <r>
          <rPr>
            <b/>
            <sz val="9"/>
            <rFont val="宋体"/>
            <charset val="134"/>
          </rPr>
          <t>Administrator:</t>
        </r>
        <r>
          <rPr>
            <sz val="9"/>
            <rFont val="宋体"/>
            <charset val="134"/>
          </rPr>
          <t xml:space="preserve">
2020.10.22收7728</t>
        </r>
      </text>
    </comment>
    <comment ref="Q754" authorId="0">
      <text>
        <r>
          <rPr>
            <b/>
            <sz val="9"/>
            <rFont val="Tahoma"/>
            <charset val="134"/>
          </rPr>
          <t>Administrator:</t>
        </r>
        <r>
          <rPr>
            <sz val="9"/>
            <rFont val="Tahoma"/>
            <charset val="134"/>
          </rPr>
          <t xml:space="preserve">
8.8</t>
        </r>
      </text>
    </comment>
    <comment ref="T754" authorId="1">
      <text>
        <r>
          <rPr>
            <b/>
            <sz val="11"/>
            <rFont val="MS PGothic"/>
            <charset val="134"/>
          </rPr>
          <t>Microsoft Office 用户:</t>
        </r>
        <r>
          <rPr>
            <sz val="11"/>
            <rFont val="MS PGothic"/>
            <charset val="134"/>
          </rPr>
          <t xml:space="preserve">
9.15 USD Hengseng 
</t>
        </r>
      </text>
    </comment>
    <comment ref="U754" authorId="1">
      <text>
        <r>
          <rPr>
            <b/>
            <sz val="11"/>
            <rFont val="MS PGothic"/>
            <charset val="134"/>
          </rPr>
          <t>Microsoft Office 用户:</t>
        </r>
        <r>
          <rPr>
            <sz val="11"/>
            <rFont val="MS PGothic"/>
            <charset val="134"/>
          </rPr>
          <t xml:space="preserve">
9.15 USD Hengseng 
</t>
        </r>
      </text>
    </comment>
    <comment ref="Q756" authorId="0">
      <text>
        <r>
          <rPr>
            <b/>
            <sz val="9"/>
            <rFont val="宋体"/>
            <charset val="134"/>
          </rPr>
          <t>Administrator:</t>
        </r>
        <r>
          <rPr>
            <sz val="9"/>
            <rFont val="宋体"/>
            <charset val="134"/>
          </rPr>
          <t xml:space="preserve">
7.18</t>
        </r>
      </text>
    </comment>
    <comment ref="Q757" authorId="0">
      <text>
        <r>
          <rPr>
            <b/>
            <sz val="9"/>
            <rFont val="宋体"/>
            <charset val="134"/>
          </rPr>
          <t>Administrator:</t>
        </r>
        <r>
          <rPr>
            <sz val="9"/>
            <rFont val="宋体"/>
            <charset val="134"/>
          </rPr>
          <t xml:space="preserve">
7.19</t>
        </r>
      </text>
    </comment>
    <comment ref="Q758" authorId="0">
      <text>
        <r>
          <rPr>
            <b/>
            <sz val="9"/>
            <rFont val="Tahoma"/>
            <charset val="134"/>
          </rPr>
          <t>Administrator:</t>
        </r>
        <r>
          <rPr>
            <sz val="9"/>
            <rFont val="Tahoma"/>
            <charset val="134"/>
          </rPr>
          <t xml:space="preserve">
8.6</t>
        </r>
      </text>
    </comment>
    <comment ref="Q760" authorId="1">
      <text>
        <r>
          <rPr>
            <b/>
            <sz val="11"/>
            <rFont val="MS PGothic"/>
            <charset val="134"/>
          </rPr>
          <t>Microsoft Office 用户:</t>
        </r>
        <r>
          <rPr>
            <sz val="11"/>
            <rFont val="MS PGothic"/>
            <charset val="134"/>
          </rPr>
          <t xml:space="preserve">
9.28</t>
        </r>
      </text>
    </comment>
    <comment ref="Q761" authorId="1">
      <text>
        <r>
          <rPr>
            <b/>
            <sz val="11"/>
            <rFont val="MS PGothic"/>
            <charset val="134"/>
          </rPr>
          <t>Microsoft Office 用户:</t>
        </r>
        <r>
          <rPr>
            <sz val="11"/>
            <rFont val="MS PGothic"/>
            <charset val="134"/>
          </rPr>
          <t xml:space="preserve">
10.8 
</t>
        </r>
      </text>
    </comment>
    <comment ref="R762" authorId="0">
      <text>
        <r>
          <rPr>
            <b/>
            <sz val="9"/>
            <rFont val="宋体"/>
            <charset val="134"/>
          </rPr>
          <t>Administrator:</t>
        </r>
        <r>
          <rPr>
            <sz val="9"/>
            <rFont val="宋体"/>
            <charset val="134"/>
          </rPr>
          <t xml:space="preserve">
客户打款多付了1860美金，下次可以少付这个金额。</t>
        </r>
      </text>
    </comment>
    <comment ref="U762" authorId="0">
      <text>
        <r>
          <rPr>
            <b/>
            <sz val="9"/>
            <rFont val="宋体"/>
            <charset val="134"/>
          </rPr>
          <t>Administrator:</t>
        </r>
        <r>
          <rPr>
            <sz val="9"/>
            <rFont val="宋体"/>
            <charset val="134"/>
          </rPr>
          <t xml:space="preserve">
客户打款多付了1860美金，下次可以少付这个金额。</t>
        </r>
      </text>
    </comment>
    <comment ref="R763" authorId="0">
      <text>
        <r>
          <rPr>
            <b/>
            <sz val="9"/>
            <rFont val="宋体"/>
            <charset val="134"/>
          </rPr>
          <t>Administrator:</t>
        </r>
        <r>
          <rPr>
            <sz val="9"/>
            <rFont val="宋体"/>
            <charset val="134"/>
          </rPr>
          <t xml:space="preserve">
12.28  实际收的</t>
        </r>
      </text>
    </comment>
    <comment ref="T763" authorId="0">
      <text>
        <r>
          <rPr>
            <b/>
            <sz val="9"/>
            <rFont val="宋体"/>
            <charset val="134"/>
          </rPr>
          <t>Administrator:</t>
        </r>
        <r>
          <rPr>
            <sz val="9"/>
            <rFont val="宋体"/>
            <charset val="134"/>
          </rPr>
          <t xml:space="preserve">
12.28  实际收的</t>
        </r>
      </text>
    </comment>
    <comment ref="U763" authorId="0">
      <text>
        <r>
          <rPr>
            <b/>
            <sz val="9"/>
            <rFont val="宋体"/>
            <charset val="134"/>
          </rPr>
          <t>Administrator:</t>
        </r>
        <r>
          <rPr>
            <sz val="9"/>
            <rFont val="宋体"/>
            <charset val="134"/>
          </rPr>
          <t xml:space="preserve">
12.28  实际收的</t>
        </r>
      </text>
    </comment>
    <comment ref="Q771" authorId="0">
      <text>
        <r>
          <rPr>
            <b/>
            <sz val="9"/>
            <rFont val="宋体"/>
            <charset val="134"/>
          </rPr>
          <t>Administrator:</t>
        </r>
        <r>
          <rPr>
            <sz val="9"/>
            <rFont val="宋体"/>
            <charset val="134"/>
          </rPr>
          <t xml:space="preserve">
2019.1.2 实际收到5370</t>
        </r>
      </text>
    </comment>
    <comment ref="U771" authorId="0">
      <text>
        <r>
          <rPr>
            <b/>
            <sz val="9"/>
            <rFont val="宋体"/>
            <charset val="134"/>
          </rPr>
          <t>Administrator:</t>
        </r>
        <r>
          <rPr>
            <sz val="9"/>
            <rFont val="宋体"/>
            <charset val="134"/>
          </rPr>
          <t xml:space="preserve">
2019.1.2 实际收到5370</t>
        </r>
      </text>
    </comment>
    <comment ref="Q773" authorId="0">
      <text>
        <r>
          <rPr>
            <b/>
            <sz val="9"/>
            <rFont val="宋体"/>
            <charset val="134"/>
          </rPr>
          <t>Administrator:</t>
        </r>
        <r>
          <rPr>
            <sz val="9"/>
            <rFont val="宋体"/>
            <charset val="134"/>
          </rPr>
          <t xml:space="preserve">
1.4</t>
        </r>
      </text>
    </comment>
    <comment ref="Q774" authorId="0">
      <text>
        <r>
          <rPr>
            <b/>
            <sz val="9"/>
            <rFont val="宋体"/>
            <charset val="134"/>
          </rPr>
          <t>Administrator:</t>
        </r>
        <r>
          <rPr>
            <sz val="9"/>
            <rFont val="宋体"/>
            <charset val="134"/>
          </rPr>
          <t xml:space="preserve">
1.4</t>
        </r>
      </text>
    </comment>
    <comment ref="Q775" authorId="0">
      <text>
        <r>
          <rPr>
            <b/>
            <sz val="9"/>
            <rFont val="宋体"/>
            <charset val="134"/>
          </rPr>
          <t>Administrator:</t>
        </r>
        <r>
          <rPr>
            <sz val="9"/>
            <rFont val="宋体"/>
            <charset val="134"/>
          </rPr>
          <t xml:space="preserve">
7705  1.8</t>
        </r>
      </text>
    </comment>
    <comment ref="Q776" authorId="0">
      <text>
        <r>
          <rPr>
            <b/>
            <sz val="9"/>
            <rFont val="宋体"/>
            <charset val="134"/>
          </rPr>
          <t>Administrator:</t>
        </r>
        <r>
          <rPr>
            <sz val="9"/>
            <rFont val="宋体"/>
            <charset val="134"/>
          </rPr>
          <t xml:space="preserve">
1.24</t>
        </r>
      </text>
    </comment>
    <comment ref="Q777" authorId="0">
      <text>
        <r>
          <rPr>
            <b/>
            <sz val="9"/>
            <rFont val="宋体"/>
            <charset val="134"/>
          </rPr>
          <t>Administrator:</t>
        </r>
        <r>
          <rPr>
            <sz val="9"/>
            <rFont val="宋体"/>
            <charset val="134"/>
          </rPr>
          <t xml:space="preserve">
5809  2.15</t>
        </r>
      </text>
    </comment>
    <comment ref="Q778" authorId="0">
      <text>
        <r>
          <rPr>
            <b/>
            <sz val="9"/>
            <rFont val="宋体"/>
            <charset val="134"/>
          </rPr>
          <t>Administrator:</t>
        </r>
        <r>
          <rPr>
            <sz val="9"/>
            <rFont val="宋体"/>
            <charset val="134"/>
          </rPr>
          <t xml:space="preserve">
4948.73  2.15</t>
        </r>
      </text>
    </comment>
    <comment ref="P779" authorId="0">
      <text>
        <r>
          <rPr>
            <b/>
            <sz val="9"/>
            <rFont val="宋体"/>
            <charset val="134"/>
          </rPr>
          <t>Administrator:</t>
        </r>
        <r>
          <rPr>
            <sz val="9"/>
            <rFont val="宋体"/>
            <charset val="134"/>
          </rPr>
          <t xml:space="preserve">
7499  3.1</t>
        </r>
      </text>
    </comment>
    <comment ref="Q779" authorId="0">
      <text>
        <r>
          <rPr>
            <b/>
            <sz val="9"/>
            <rFont val="宋体"/>
            <charset val="134"/>
          </rPr>
          <t>Administrator:</t>
        </r>
        <r>
          <rPr>
            <sz val="9"/>
            <rFont val="宋体"/>
            <charset val="134"/>
          </rPr>
          <t xml:space="preserve">
3.1 7499</t>
        </r>
      </text>
    </comment>
    <comment ref="Q780" authorId="0">
      <text>
        <r>
          <rPr>
            <b/>
            <sz val="9"/>
            <rFont val="宋体"/>
            <charset val="134"/>
          </rPr>
          <t>Administrator:</t>
        </r>
        <r>
          <rPr>
            <sz val="9"/>
            <rFont val="宋体"/>
            <charset val="134"/>
          </rPr>
          <t xml:space="preserve">
48058  3.12</t>
        </r>
      </text>
    </comment>
    <comment ref="Q781" authorId="0">
      <text>
        <r>
          <rPr>
            <b/>
            <sz val="9"/>
            <rFont val="宋体"/>
            <charset val="134"/>
          </rPr>
          <t>Administrator:</t>
        </r>
        <r>
          <rPr>
            <sz val="9"/>
            <rFont val="宋体"/>
            <charset val="134"/>
          </rPr>
          <t xml:space="preserve">
5915</t>
        </r>
      </text>
    </comment>
    <comment ref="Q782" authorId="0">
      <text>
        <r>
          <rPr>
            <b/>
            <sz val="9"/>
            <rFont val="宋体"/>
            <charset val="134"/>
          </rPr>
          <t>Administrator:</t>
        </r>
        <r>
          <rPr>
            <sz val="9"/>
            <rFont val="宋体"/>
            <charset val="134"/>
          </rPr>
          <t xml:space="preserve">
12130  3.29</t>
        </r>
      </text>
    </comment>
    <comment ref="Q783" authorId="0">
      <text>
        <r>
          <rPr>
            <b/>
            <sz val="9"/>
            <rFont val="宋体"/>
            <charset val="134"/>
          </rPr>
          <t>Administrator:</t>
        </r>
        <r>
          <rPr>
            <sz val="9"/>
            <rFont val="宋体"/>
            <charset val="134"/>
          </rPr>
          <t xml:space="preserve">
4170  4.1</t>
        </r>
      </text>
    </comment>
    <comment ref="Q784" authorId="0">
      <text>
        <r>
          <rPr>
            <b/>
            <sz val="9"/>
            <rFont val="宋体"/>
            <charset val="134"/>
          </rPr>
          <t>Administrator:</t>
        </r>
        <r>
          <rPr>
            <sz val="9"/>
            <rFont val="宋体"/>
            <charset val="134"/>
          </rPr>
          <t xml:space="preserve">
3519  4.2</t>
        </r>
      </text>
    </comment>
    <comment ref="Q785" authorId="0">
      <text>
        <r>
          <rPr>
            <b/>
            <sz val="9"/>
            <rFont val="宋体"/>
            <charset val="134"/>
          </rPr>
          <t>Administrator:</t>
        </r>
        <r>
          <rPr>
            <sz val="9"/>
            <rFont val="宋体"/>
            <charset val="134"/>
          </rPr>
          <t xml:space="preserve">
7089 4.2</t>
        </r>
      </text>
    </comment>
    <comment ref="Q786" authorId="0">
      <text>
        <r>
          <rPr>
            <b/>
            <sz val="9"/>
            <rFont val="宋体"/>
            <charset val="134"/>
          </rPr>
          <t>Administrator:</t>
        </r>
        <r>
          <rPr>
            <sz val="9"/>
            <rFont val="宋体"/>
            <charset val="134"/>
          </rPr>
          <t xml:space="preserve">
3135</t>
        </r>
      </text>
    </comment>
    <comment ref="Q787" authorId="0">
      <text>
        <r>
          <rPr>
            <b/>
            <sz val="9"/>
            <rFont val="宋体"/>
            <charset val="134"/>
          </rPr>
          <t>Administrator:</t>
        </r>
        <r>
          <rPr>
            <sz val="9"/>
            <rFont val="宋体"/>
            <charset val="134"/>
          </rPr>
          <t xml:space="preserve">
4.29</t>
        </r>
      </text>
    </comment>
    <comment ref="Q792" authorId="0">
      <text>
        <r>
          <rPr>
            <b/>
            <sz val="9"/>
            <rFont val="宋体"/>
            <charset val="134"/>
          </rPr>
          <t>Administrator:</t>
        </r>
        <r>
          <rPr>
            <sz val="9"/>
            <rFont val="宋体"/>
            <charset val="134"/>
          </rPr>
          <t xml:space="preserve">
5.30  16504</t>
        </r>
      </text>
    </comment>
    <comment ref="Q794" authorId="0">
      <text>
        <r>
          <rPr>
            <b/>
            <sz val="9"/>
            <rFont val="宋体"/>
            <charset val="134"/>
          </rPr>
          <t>Administrator:</t>
        </r>
        <r>
          <rPr>
            <sz val="9"/>
            <rFont val="宋体"/>
            <charset val="134"/>
          </rPr>
          <t xml:space="preserve">
5.28 4284</t>
        </r>
      </text>
    </comment>
    <comment ref="T796" authorId="0">
      <text>
        <r>
          <rPr>
            <b/>
            <sz val="9"/>
            <rFont val="宋体"/>
            <charset val="134"/>
          </rPr>
          <t>Administrator:</t>
        </r>
        <r>
          <rPr>
            <sz val="9"/>
            <rFont val="宋体"/>
            <charset val="134"/>
          </rPr>
          <t xml:space="preserve">
应付19427.8</t>
        </r>
      </text>
    </comment>
    <comment ref="T799" authorId="0">
      <text>
        <r>
          <rPr>
            <b/>
            <sz val="9"/>
            <rFont val="宋体"/>
            <charset val="134"/>
          </rPr>
          <t>Administrator:</t>
        </r>
        <r>
          <rPr>
            <sz val="9"/>
            <rFont val="宋体"/>
            <charset val="134"/>
          </rPr>
          <t xml:space="preserve">
应付19190.36</t>
        </r>
      </text>
    </comment>
    <comment ref="T800" authorId="0">
      <text>
        <r>
          <rPr>
            <b/>
            <sz val="9"/>
            <rFont val="宋体"/>
            <charset val="134"/>
          </rPr>
          <t>Administrator:</t>
        </r>
        <r>
          <rPr>
            <sz val="9"/>
            <rFont val="宋体"/>
            <charset val="134"/>
          </rPr>
          <t xml:space="preserve">
应付18350.5</t>
        </r>
      </text>
    </comment>
    <comment ref="Q804" authorId="0">
      <text>
        <r>
          <rPr>
            <b/>
            <sz val="9"/>
            <rFont val="宋体"/>
            <charset val="134"/>
          </rPr>
          <t>Administrator:</t>
        </r>
        <r>
          <rPr>
            <sz val="9"/>
            <rFont val="宋体"/>
            <charset val="134"/>
          </rPr>
          <t xml:space="preserve">
13851 7.31</t>
        </r>
      </text>
    </comment>
    <comment ref="T804" authorId="0">
      <text>
        <r>
          <rPr>
            <b/>
            <sz val="9"/>
            <rFont val="宋体"/>
            <charset val="134"/>
          </rPr>
          <t>Administrator:</t>
        </r>
        <r>
          <rPr>
            <sz val="9"/>
            <rFont val="宋体"/>
            <charset val="134"/>
          </rPr>
          <t xml:space="preserve">
客户扣去了卡塔尔展会样品的清关费和样品送到展馆的车费共：$87.67
</t>
        </r>
      </text>
    </comment>
    <comment ref="Q805" authorId="0">
      <text>
        <r>
          <rPr>
            <b/>
            <sz val="9"/>
            <rFont val="宋体"/>
            <charset val="134"/>
          </rPr>
          <t>Administrator:</t>
        </r>
        <r>
          <rPr>
            <sz val="9"/>
            <rFont val="宋体"/>
            <charset val="134"/>
          </rPr>
          <t xml:space="preserve">
实收4070</t>
        </r>
      </text>
    </comment>
    <comment ref="Q808" authorId="0">
      <text>
        <r>
          <rPr>
            <b/>
            <sz val="9"/>
            <rFont val="宋体"/>
            <charset val="134"/>
          </rPr>
          <t>Administrator:</t>
        </r>
        <r>
          <rPr>
            <sz val="9"/>
            <rFont val="宋体"/>
            <charset val="134"/>
          </rPr>
          <t xml:space="preserve">
RMB41000+RMB25000
汇率7.0782+7.1223</t>
        </r>
      </text>
    </comment>
    <comment ref="T808" authorId="0">
      <text>
        <r>
          <rPr>
            <b/>
            <sz val="9"/>
            <rFont val="宋体"/>
            <charset val="134"/>
          </rPr>
          <t>Administrator:</t>
        </r>
        <r>
          <rPr>
            <sz val="9"/>
            <rFont val="宋体"/>
            <charset val="134"/>
          </rPr>
          <t xml:space="preserve">
2019.12.25RMB144000汇率6.9993 折合20573.48美金
多了4570.39美金作为J3614-2定金</t>
        </r>
      </text>
    </comment>
    <comment ref="Q809" authorId="0">
      <text>
        <r>
          <rPr>
            <b/>
            <sz val="9"/>
            <rFont val="宋体"/>
            <charset val="134"/>
          </rPr>
          <t>Administrator:
J3614尾款多打4570.39 作为J3614-2定金</t>
        </r>
      </text>
    </comment>
    <comment ref="T809" authorId="0">
      <text>
        <r>
          <rPr>
            <b/>
            <sz val="9"/>
            <rFont val="宋体"/>
            <charset val="134"/>
          </rPr>
          <t>Administrator:</t>
        </r>
        <r>
          <rPr>
            <sz val="9"/>
            <rFont val="宋体"/>
            <charset val="134"/>
          </rPr>
          <t xml:space="preserve">
应付美金18964.09 2020.1.10 收RMB131000 汇率6.92</t>
        </r>
      </text>
    </comment>
    <comment ref="Q810" authorId="0">
      <text>
        <r>
          <rPr>
            <b/>
            <sz val="9"/>
            <rFont val="Tahoma"/>
            <charset val="134"/>
          </rPr>
          <t>Administrator:</t>
        </r>
        <r>
          <rPr>
            <sz val="9"/>
            <rFont val="Tahoma"/>
            <charset val="134"/>
          </rPr>
          <t xml:space="preserve">
2019.9.30</t>
        </r>
      </text>
    </comment>
    <comment ref="Q811" authorId="0">
      <text>
        <r>
          <rPr>
            <b/>
            <sz val="9"/>
            <rFont val="宋体"/>
            <charset val="134"/>
          </rPr>
          <t>Administrator:</t>
        </r>
        <r>
          <rPr>
            <sz val="9"/>
            <rFont val="宋体"/>
            <charset val="134"/>
          </rPr>
          <t xml:space="preserve">
实收6120.5</t>
        </r>
      </text>
    </comment>
    <comment ref="T811" authorId="0">
      <text>
        <r>
          <rPr>
            <b/>
            <sz val="9"/>
            <rFont val="宋体"/>
            <charset val="134"/>
          </rPr>
          <t>Administrator:</t>
        </r>
        <r>
          <rPr>
            <sz val="9"/>
            <rFont val="宋体"/>
            <charset val="134"/>
          </rPr>
          <t xml:space="preserve">
应付14360</t>
        </r>
      </text>
    </comment>
    <comment ref="Q814" authorId="0">
      <text>
        <r>
          <rPr>
            <b/>
            <sz val="9"/>
            <rFont val="宋体"/>
            <charset val="134"/>
          </rPr>
          <t>Administrator:</t>
        </r>
        <r>
          <rPr>
            <sz val="9"/>
            <rFont val="宋体"/>
            <charset val="134"/>
          </rPr>
          <t xml:space="preserve">
实收3135.5</t>
        </r>
      </text>
    </comment>
    <comment ref="T814" authorId="0">
      <text>
        <r>
          <rPr>
            <b/>
            <sz val="9"/>
            <rFont val="宋体"/>
            <charset val="134"/>
          </rPr>
          <t>Administrator:</t>
        </r>
        <r>
          <rPr>
            <sz val="9"/>
            <rFont val="宋体"/>
            <charset val="134"/>
          </rPr>
          <t xml:space="preserve">
J3629:  $17495.88
M3646: 应收$16653.77, 客户实际打了$16515.79. 客户算错了，少打了$136.98</t>
        </r>
      </text>
    </comment>
    <comment ref="Q816" authorId="0">
      <text>
        <r>
          <rPr>
            <b/>
            <sz val="9"/>
            <rFont val="宋体"/>
            <charset val="134"/>
          </rPr>
          <t>Administrator:</t>
        </r>
        <r>
          <rPr>
            <sz val="9"/>
            <rFont val="宋体"/>
            <charset val="134"/>
          </rPr>
          <t xml:space="preserve">
实收4308.7</t>
        </r>
      </text>
    </comment>
    <comment ref="Q817" authorId="0">
      <text>
        <r>
          <rPr>
            <b/>
            <sz val="9"/>
            <rFont val="宋体"/>
            <charset val="134"/>
          </rPr>
          <t>Administrator:</t>
        </r>
        <r>
          <rPr>
            <sz val="9"/>
            <rFont val="宋体"/>
            <charset val="134"/>
          </rPr>
          <t xml:space="preserve">
实收5910.5</t>
        </r>
      </text>
    </comment>
    <comment ref="T817" authorId="0">
      <text>
        <r>
          <rPr>
            <b/>
            <sz val="9"/>
            <rFont val="宋体"/>
            <charset val="134"/>
          </rPr>
          <t>Administrator:</t>
        </r>
        <r>
          <rPr>
            <sz val="9"/>
            <rFont val="宋体"/>
            <charset val="134"/>
          </rPr>
          <t xml:space="preserve">
实收13835.58</t>
        </r>
      </text>
    </comment>
    <comment ref="T820" authorId="0">
      <text>
        <r>
          <rPr>
            <b/>
            <sz val="9"/>
            <rFont val="宋体"/>
            <charset val="134"/>
          </rPr>
          <t>Administrator:</t>
        </r>
        <r>
          <rPr>
            <sz val="9"/>
            <rFont val="宋体"/>
            <charset val="134"/>
          </rPr>
          <t xml:space="preserve">
M3676和J3681共收到25448.1</t>
        </r>
      </text>
    </comment>
    <comment ref="Q823" authorId="0">
      <text>
        <r>
          <rPr>
            <b/>
            <sz val="9"/>
            <rFont val="宋体"/>
            <charset val="134"/>
          </rPr>
          <t>Administrator:</t>
        </r>
        <r>
          <rPr>
            <sz val="9"/>
            <rFont val="宋体"/>
            <charset val="134"/>
          </rPr>
          <t xml:space="preserve">
2020.1.9实收3157.07</t>
        </r>
      </text>
    </comment>
    <comment ref="T823" authorId="0">
      <text>
        <r>
          <rPr>
            <b/>
            <sz val="9"/>
            <rFont val="宋体"/>
            <charset val="134"/>
          </rPr>
          <t xml:space="preserve">Administrator:
</t>
        </r>
        <r>
          <rPr>
            <sz val="9"/>
            <rFont val="宋体"/>
            <charset val="134"/>
          </rPr>
          <t>2020.5.11收</t>
        </r>
      </text>
    </comment>
    <comment ref="U823" authorId="0">
      <text>
        <r>
          <rPr>
            <b/>
            <sz val="9"/>
            <rFont val="宋体"/>
            <charset val="134"/>
          </rPr>
          <t>Administrator:</t>
        </r>
        <r>
          <rPr>
            <sz val="9"/>
            <rFont val="宋体"/>
            <charset val="134"/>
          </rPr>
          <t xml:space="preserve">
2020.5.11收人民币2036  汇率7.0692</t>
        </r>
      </text>
    </comment>
    <comment ref="Q824" authorId="0">
      <text>
        <r>
          <rPr>
            <b/>
            <sz val="9"/>
            <rFont val="宋体"/>
            <charset val="134"/>
          </rPr>
          <t>Administrator:</t>
        </r>
        <r>
          <rPr>
            <sz val="9"/>
            <rFont val="宋体"/>
            <charset val="134"/>
          </rPr>
          <t xml:space="preserve">
水单20208.07美金2020.1.16实收20180.57美金</t>
        </r>
      </text>
    </comment>
    <comment ref="T824" authorId="0">
      <text>
        <r>
          <rPr>
            <b/>
            <sz val="9"/>
            <rFont val="宋体"/>
            <charset val="134"/>
          </rPr>
          <t>Administrator:</t>
        </r>
        <r>
          <rPr>
            <sz val="9"/>
            <rFont val="宋体"/>
            <charset val="134"/>
          </rPr>
          <t xml:space="preserve">
2020.6.28收</t>
        </r>
      </text>
    </comment>
    <comment ref="U824" authorId="0">
      <text>
        <r>
          <rPr>
            <b/>
            <sz val="9"/>
            <rFont val="宋体"/>
            <charset val="134"/>
          </rPr>
          <t>Administrator:</t>
        </r>
        <r>
          <rPr>
            <sz val="9"/>
            <rFont val="宋体"/>
            <charset val="134"/>
          </rPr>
          <t xml:space="preserve">
2020.7.1收</t>
        </r>
      </text>
    </comment>
    <comment ref="T825" authorId="0">
      <text>
        <r>
          <rPr>
            <b/>
            <sz val="9"/>
            <rFont val="宋体"/>
            <charset val="134"/>
          </rPr>
          <t>Administrator:</t>
        </r>
        <r>
          <rPr>
            <sz val="9"/>
            <rFont val="宋体"/>
            <charset val="134"/>
          </rPr>
          <t xml:space="preserve">
付欧元16269.24 2020.4.27收</t>
        </r>
      </text>
    </comment>
    <comment ref="T826" authorId="0">
      <text>
        <r>
          <rPr>
            <b/>
            <sz val="9"/>
            <rFont val="宋体"/>
            <charset val="134"/>
          </rPr>
          <t>Administrator:</t>
        </r>
        <r>
          <rPr>
            <sz val="9"/>
            <rFont val="宋体"/>
            <charset val="134"/>
          </rPr>
          <t xml:space="preserve">
2020.7.2收</t>
        </r>
      </text>
    </comment>
    <comment ref="Q827" authorId="0">
      <text>
        <r>
          <rPr>
            <b/>
            <sz val="9"/>
            <rFont val="宋体"/>
            <charset val="134"/>
          </rPr>
          <t>Administrator:</t>
        </r>
        <r>
          <rPr>
            <sz val="9"/>
            <rFont val="宋体"/>
            <charset val="134"/>
          </rPr>
          <t xml:space="preserve">
2020.2.10到账7095.5美金</t>
        </r>
      </text>
    </comment>
    <comment ref="T827" authorId="0">
      <text>
        <r>
          <rPr>
            <b/>
            <sz val="9"/>
            <rFont val="宋体"/>
            <charset val="134"/>
          </rPr>
          <t>Administrator:</t>
        </r>
        <r>
          <rPr>
            <sz val="9"/>
            <rFont val="宋体"/>
            <charset val="134"/>
          </rPr>
          <t xml:space="preserve">
2020.4.29收</t>
        </r>
      </text>
    </comment>
    <comment ref="T828" authorId="0">
      <text>
        <r>
          <rPr>
            <b/>
            <sz val="9"/>
            <rFont val="宋体"/>
            <charset val="134"/>
          </rPr>
          <t>Administrator:</t>
        </r>
        <r>
          <rPr>
            <sz val="9"/>
            <rFont val="宋体"/>
            <charset val="134"/>
          </rPr>
          <t xml:space="preserve">
2020.4.1</t>
        </r>
      </text>
    </comment>
    <comment ref="T829" authorId="0">
      <text>
        <r>
          <rPr>
            <b/>
            <sz val="9"/>
            <rFont val="宋体"/>
            <charset val="134"/>
          </rPr>
          <t>Administrator:</t>
        </r>
        <r>
          <rPr>
            <sz val="9"/>
            <rFont val="宋体"/>
            <charset val="134"/>
          </rPr>
          <t xml:space="preserve">
2020.7.31 收11816.57美金</t>
        </r>
      </text>
    </comment>
    <comment ref="T830" authorId="0">
      <text>
        <r>
          <rPr>
            <b/>
            <sz val="9"/>
            <rFont val="宋体"/>
            <charset val="134"/>
          </rPr>
          <t>Administrator:</t>
        </r>
        <r>
          <rPr>
            <sz val="9"/>
            <rFont val="宋体"/>
            <charset val="134"/>
          </rPr>
          <t xml:space="preserve">
2020.5.20收</t>
        </r>
      </text>
    </comment>
    <comment ref="T831" authorId="0">
      <text>
        <r>
          <rPr>
            <b/>
            <sz val="9"/>
            <rFont val="宋体"/>
            <charset val="134"/>
          </rPr>
          <t>Administrator:</t>
        </r>
        <r>
          <rPr>
            <sz val="9"/>
            <rFont val="宋体"/>
            <charset val="134"/>
          </rPr>
          <t xml:space="preserve">
水单11931.83美金2020.6.17收</t>
        </r>
      </text>
    </comment>
    <comment ref="Q832" authorId="0">
      <text>
        <r>
          <rPr>
            <b/>
            <sz val="9"/>
            <rFont val="宋体"/>
            <charset val="134"/>
          </rPr>
          <t>Administrator:</t>
        </r>
        <r>
          <rPr>
            <sz val="9"/>
            <rFont val="宋体"/>
            <charset val="134"/>
          </rPr>
          <t xml:space="preserve">
2020.2.18收到定金14150 用于M3743-1-2</t>
        </r>
      </text>
    </comment>
    <comment ref="T832" authorId="0">
      <text>
        <r>
          <rPr>
            <b/>
            <sz val="9"/>
            <rFont val="宋体"/>
            <charset val="134"/>
          </rPr>
          <t>Administrator:</t>
        </r>
        <r>
          <rPr>
            <sz val="9"/>
            <rFont val="宋体"/>
            <charset val="134"/>
          </rPr>
          <t xml:space="preserve">
2020.5.3收28848.5美金 -1-2尾款</t>
        </r>
      </text>
    </comment>
    <comment ref="Q833" authorId="0">
      <text>
        <r>
          <rPr>
            <b/>
            <sz val="9"/>
            <rFont val="宋体"/>
            <charset val="134"/>
          </rPr>
          <t>Administrator:</t>
        </r>
        <r>
          <rPr>
            <sz val="9"/>
            <rFont val="宋体"/>
            <charset val="134"/>
          </rPr>
          <t xml:space="preserve">
2020.2.18收到定金14150 用于M3743-1-2</t>
        </r>
      </text>
    </comment>
    <comment ref="T834" authorId="0">
      <text>
        <r>
          <rPr>
            <b/>
            <sz val="9"/>
            <rFont val="宋体"/>
            <charset val="134"/>
          </rPr>
          <t>Administrator:</t>
        </r>
        <r>
          <rPr>
            <sz val="9"/>
            <rFont val="宋体"/>
            <charset val="134"/>
          </rPr>
          <t xml:space="preserve">
2020.6.10收</t>
        </r>
      </text>
    </comment>
    <comment ref="Q836" authorId="0">
      <text>
        <r>
          <rPr>
            <b/>
            <sz val="9"/>
            <rFont val="宋体"/>
            <charset val="134"/>
          </rPr>
          <t>Administrator:</t>
        </r>
        <r>
          <rPr>
            <sz val="9"/>
            <rFont val="宋体"/>
            <charset val="134"/>
          </rPr>
          <t xml:space="preserve">
J3614（实际少发货了）客户多打了$1278作为这个单子定金，2020.3.26客户又转了￥25000到王总账号 汇率7.1 折合3521美金</t>
        </r>
      </text>
    </comment>
    <comment ref="T836" authorId="0">
      <text>
        <r>
          <rPr>
            <b/>
            <sz val="9"/>
            <rFont val="宋体"/>
            <charset val="134"/>
          </rPr>
          <t>Administrator:</t>
        </r>
        <r>
          <rPr>
            <sz val="9"/>
            <rFont val="宋体"/>
            <charset val="134"/>
          </rPr>
          <t xml:space="preserve">
2020.8.28收 汇率</t>
        </r>
      </text>
    </comment>
    <comment ref="U836" authorId="0">
      <text>
        <r>
          <rPr>
            <b/>
            <sz val="9"/>
            <rFont val="宋体"/>
            <charset val="134"/>
          </rPr>
          <t>Administrator:</t>
        </r>
        <r>
          <rPr>
            <sz val="9"/>
            <rFont val="宋体"/>
            <charset val="134"/>
          </rPr>
          <t xml:space="preserve">
2020.9.2收58000人民币 汇率6.8</t>
        </r>
      </text>
    </comment>
    <comment ref="Q837" authorId="0">
      <text>
        <r>
          <rPr>
            <b/>
            <sz val="9"/>
            <rFont val="宋体"/>
            <charset val="134"/>
          </rPr>
          <t>Administrator:</t>
        </r>
        <r>
          <rPr>
            <sz val="9"/>
            <rFont val="宋体"/>
            <charset val="134"/>
          </rPr>
          <t xml:space="preserve">
水单27071美金2020.4.23收27046.5美金</t>
        </r>
      </text>
    </comment>
    <comment ref="T838" authorId="0">
      <text>
        <r>
          <rPr>
            <b/>
            <sz val="9"/>
            <rFont val="宋体"/>
            <charset val="134"/>
          </rPr>
          <t>Administrator:</t>
        </r>
        <r>
          <rPr>
            <sz val="9"/>
            <rFont val="宋体"/>
            <charset val="134"/>
          </rPr>
          <t xml:space="preserve">
水单10040美金2020.5.20收</t>
        </r>
      </text>
    </comment>
    <comment ref="Q839" authorId="0">
      <text>
        <r>
          <rPr>
            <b/>
            <sz val="9"/>
            <rFont val="宋体"/>
            <charset val="134"/>
          </rPr>
          <t>Administrator:</t>
        </r>
        <r>
          <rPr>
            <sz val="9"/>
            <rFont val="宋体"/>
            <charset val="134"/>
          </rPr>
          <t xml:space="preserve">
2020.5.6 收$3928.6</t>
        </r>
      </text>
    </comment>
    <comment ref="T839" authorId="0">
      <text>
        <r>
          <rPr>
            <b/>
            <sz val="9"/>
            <rFont val="宋体"/>
            <charset val="134"/>
          </rPr>
          <t>Administrator:</t>
        </r>
        <r>
          <rPr>
            <sz val="9"/>
            <rFont val="宋体"/>
            <charset val="134"/>
          </rPr>
          <t xml:space="preserve">
2020.8.17收15822.2美金</t>
        </r>
      </text>
    </comment>
    <comment ref="Q840" authorId="0">
      <text>
        <r>
          <rPr>
            <b/>
            <sz val="9"/>
            <rFont val="宋体"/>
            <charset val="134"/>
          </rPr>
          <t>Administrator:</t>
        </r>
        <r>
          <rPr>
            <sz val="9"/>
            <rFont val="宋体"/>
            <charset val="134"/>
          </rPr>
          <t xml:space="preserve">
2020.5.7收5104美金</t>
        </r>
      </text>
    </comment>
    <comment ref="T840" authorId="0">
      <text>
        <r>
          <rPr>
            <b/>
            <sz val="9"/>
            <rFont val="宋体"/>
            <charset val="134"/>
          </rPr>
          <t>Administrator:</t>
        </r>
        <r>
          <rPr>
            <sz val="9"/>
            <rFont val="宋体"/>
            <charset val="134"/>
          </rPr>
          <t xml:space="preserve">
2020.6.9收</t>
        </r>
      </text>
    </comment>
    <comment ref="Q841" authorId="0">
      <text>
        <r>
          <rPr>
            <b/>
            <sz val="9"/>
            <rFont val="宋体"/>
            <charset val="134"/>
          </rPr>
          <t>Administrator:</t>
        </r>
        <r>
          <rPr>
            <sz val="9"/>
            <rFont val="宋体"/>
            <charset val="134"/>
          </rPr>
          <t xml:space="preserve">
水单23000美金 2020.5.14收$22967.5
减去1160美金 客户转给别处了</t>
        </r>
      </text>
    </comment>
    <comment ref="T841" authorId="0">
      <text>
        <r>
          <rPr>
            <b/>
            <sz val="9"/>
            <rFont val="宋体"/>
            <charset val="134"/>
          </rPr>
          <t>Administrator:</t>
        </r>
        <r>
          <rPr>
            <sz val="9"/>
            <rFont val="宋体"/>
            <charset val="134"/>
          </rPr>
          <t xml:space="preserve">
2020.8.17 收47558.8美金</t>
        </r>
      </text>
    </comment>
    <comment ref="Q842" authorId="0">
      <text>
        <r>
          <rPr>
            <b/>
            <sz val="9"/>
            <rFont val="宋体"/>
            <charset val="134"/>
          </rPr>
          <t>Administrator:</t>
        </r>
        <r>
          <rPr>
            <sz val="9"/>
            <rFont val="宋体"/>
            <charset val="134"/>
          </rPr>
          <t xml:space="preserve">
2020.5.19收$4866.5</t>
        </r>
      </text>
    </comment>
    <comment ref="T842" authorId="0">
      <text>
        <r>
          <rPr>
            <b/>
            <sz val="9"/>
            <rFont val="宋体"/>
            <charset val="134"/>
          </rPr>
          <t>Administrator:</t>
        </r>
        <r>
          <rPr>
            <sz val="9"/>
            <rFont val="宋体"/>
            <charset val="134"/>
          </rPr>
          <t xml:space="preserve">
2020.6.4收</t>
        </r>
      </text>
    </comment>
    <comment ref="Q843" authorId="0">
      <text>
        <r>
          <rPr>
            <b/>
            <sz val="9"/>
            <rFont val="宋体"/>
            <charset val="134"/>
          </rPr>
          <t>Administrator:</t>
        </r>
        <r>
          <rPr>
            <sz val="9"/>
            <rFont val="宋体"/>
            <charset val="134"/>
          </rPr>
          <t xml:space="preserve">
2020.6.2收$6339</t>
        </r>
      </text>
    </comment>
    <comment ref="T843" authorId="0">
      <text>
        <r>
          <rPr>
            <b/>
            <sz val="9"/>
            <rFont val="宋体"/>
            <charset val="134"/>
          </rPr>
          <t>Administrator:</t>
        </r>
        <r>
          <rPr>
            <sz val="9"/>
            <rFont val="宋体"/>
            <charset val="134"/>
          </rPr>
          <t xml:space="preserve">
2020.6.29收</t>
        </r>
      </text>
    </comment>
    <comment ref="Q844" authorId="0">
      <text>
        <r>
          <rPr>
            <b/>
            <sz val="9"/>
            <rFont val="宋体"/>
            <charset val="134"/>
          </rPr>
          <t>Administrator:</t>
        </r>
        <r>
          <rPr>
            <sz val="9"/>
            <rFont val="宋体"/>
            <charset val="134"/>
          </rPr>
          <t xml:space="preserve">
2020.6.24收7783.1美金</t>
        </r>
      </text>
    </comment>
    <comment ref="T844" authorId="0">
      <text>
        <r>
          <rPr>
            <b/>
            <sz val="9"/>
            <rFont val="宋体"/>
            <charset val="134"/>
          </rPr>
          <t>Administrator:</t>
        </r>
        <r>
          <rPr>
            <sz val="9"/>
            <rFont val="宋体"/>
            <charset val="134"/>
          </rPr>
          <t xml:space="preserve">
2020.9.4收31253美金</t>
        </r>
      </text>
    </comment>
    <comment ref="Q845" authorId="0">
      <text>
        <r>
          <rPr>
            <b/>
            <sz val="9"/>
            <rFont val="宋体"/>
            <charset val="134"/>
          </rPr>
          <t>Administrator:</t>
        </r>
        <r>
          <rPr>
            <sz val="9"/>
            <rFont val="宋体"/>
            <charset val="134"/>
          </rPr>
          <t xml:space="preserve">
水单29740美金2020.7.15收</t>
        </r>
      </text>
    </comment>
    <comment ref="T845" authorId="0">
      <text>
        <r>
          <rPr>
            <b/>
            <sz val="9"/>
            <rFont val="宋体"/>
            <charset val="134"/>
          </rPr>
          <t>Administrator:</t>
        </r>
        <r>
          <rPr>
            <sz val="9"/>
            <rFont val="宋体"/>
            <charset val="134"/>
          </rPr>
          <t xml:space="preserve">
2020.9.15收</t>
        </r>
      </text>
    </comment>
    <comment ref="T846" authorId="0">
      <text>
        <r>
          <rPr>
            <b/>
            <sz val="9"/>
            <rFont val="宋体"/>
            <charset val="134"/>
          </rPr>
          <t>Administrator:</t>
        </r>
        <r>
          <rPr>
            <sz val="9"/>
            <rFont val="宋体"/>
            <charset val="134"/>
          </rPr>
          <t xml:space="preserve">
2020.9.15收
</t>
        </r>
      </text>
    </comment>
    <comment ref="Q847" authorId="0">
      <text>
        <r>
          <rPr>
            <b/>
            <sz val="9"/>
            <rFont val="宋体"/>
            <charset val="134"/>
          </rPr>
          <t>Administrator:</t>
        </r>
        <r>
          <rPr>
            <sz val="9"/>
            <rFont val="宋体"/>
            <charset val="134"/>
          </rPr>
          <t xml:space="preserve">
2020.7.14收</t>
        </r>
      </text>
    </comment>
    <comment ref="T847" authorId="0">
      <text>
        <r>
          <rPr>
            <b/>
            <sz val="9"/>
            <rFont val="宋体"/>
            <charset val="134"/>
          </rPr>
          <t>Administrator:</t>
        </r>
        <r>
          <rPr>
            <sz val="9"/>
            <rFont val="宋体"/>
            <charset val="134"/>
          </rPr>
          <t xml:space="preserve">
2020.8.4收14420.95美金</t>
        </r>
      </text>
    </comment>
    <comment ref="Q848" authorId="0">
      <text>
        <r>
          <rPr>
            <b/>
            <sz val="9"/>
            <rFont val="宋体"/>
            <charset val="134"/>
          </rPr>
          <t>Administrator:</t>
        </r>
        <r>
          <rPr>
            <sz val="9"/>
            <rFont val="宋体"/>
            <charset val="134"/>
          </rPr>
          <t xml:space="preserve">
2020.7.29收到42728.47RMB 汇率6.99</t>
        </r>
      </text>
    </comment>
    <comment ref="T848" authorId="0">
      <text>
        <r>
          <rPr>
            <b/>
            <sz val="9"/>
            <rFont val="宋体"/>
            <charset val="134"/>
          </rPr>
          <t>Administrator:</t>
        </r>
        <r>
          <rPr>
            <sz val="9"/>
            <rFont val="宋体"/>
            <charset val="134"/>
          </rPr>
          <t xml:space="preserve">
2020.9.11收95885.38RMB 汇率6.82</t>
        </r>
      </text>
    </comment>
    <comment ref="U848" authorId="0">
      <text>
        <r>
          <rPr>
            <b/>
            <sz val="9"/>
            <rFont val="宋体"/>
            <charset val="134"/>
          </rPr>
          <t>Administrator:</t>
        </r>
        <r>
          <rPr>
            <sz val="9"/>
            <rFont val="宋体"/>
            <charset val="134"/>
          </rPr>
          <t xml:space="preserve">
2020.9.27收7590RMB
汇率6.9算给货代</t>
        </r>
      </text>
    </comment>
    <comment ref="Q849" authorId="0">
      <text>
        <r>
          <rPr>
            <b/>
            <sz val="9"/>
            <rFont val="宋体"/>
            <charset val="134"/>
          </rPr>
          <t>Administrator:</t>
        </r>
        <r>
          <rPr>
            <sz val="9"/>
            <rFont val="宋体"/>
            <charset val="134"/>
          </rPr>
          <t xml:space="preserve">
M3841客户多付了$35.4。算到这个单子里
2020.8.5收8482美金</t>
        </r>
      </text>
    </comment>
    <comment ref="T849" authorId="0">
      <text>
        <r>
          <rPr>
            <b/>
            <sz val="9"/>
            <rFont val="宋体"/>
            <charset val="134"/>
          </rPr>
          <t>Administrator:</t>
        </r>
        <r>
          <rPr>
            <sz val="9"/>
            <rFont val="宋体"/>
            <charset val="134"/>
          </rPr>
          <t xml:space="preserve">
2020.8.26收19797.9</t>
        </r>
      </text>
    </comment>
    <comment ref="Q850" authorId="0">
      <text>
        <r>
          <rPr>
            <b/>
            <sz val="9"/>
            <rFont val="宋体"/>
            <charset val="134"/>
          </rPr>
          <t>Administrator:</t>
        </r>
        <r>
          <rPr>
            <sz val="9"/>
            <rFont val="宋体"/>
            <charset val="134"/>
          </rPr>
          <t xml:space="preserve">
2020.8.25收5577</t>
        </r>
      </text>
    </comment>
    <comment ref="T850" authorId="0">
      <text>
        <r>
          <rPr>
            <b/>
            <sz val="9"/>
            <rFont val="宋体"/>
            <charset val="134"/>
          </rPr>
          <t>Administrator:</t>
        </r>
        <r>
          <rPr>
            <sz val="9"/>
            <rFont val="宋体"/>
            <charset val="134"/>
          </rPr>
          <t xml:space="preserve">
2020.9.17收13055.25</t>
        </r>
      </text>
    </comment>
    <comment ref="Q851" authorId="0">
      <text>
        <r>
          <rPr>
            <b/>
            <sz val="9"/>
            <rFont val="宋体"/>
            <charset val="134"/>
          </rPr>
          <t>Administrator:</t>
        </r>
        <r>
          <rPr>
            <sz val="9"/>
            <rFont val="宋体"/>
            <charset val="134"/>
          </rPr>
          <t xml:space="preserve">
2020.9.2收13129.3
水单13164.3</t>
        </r>
      </text>
    </comment>
    <comment ref="T851" authorId="0">
      <text>
        <r>
          <rPr>
            <b/>
            <sz val="9"/>
            <rFont val="宋体"/>
            <charset val="134"/>
          </rPr>
          <t>Administrator:</t>
        </r>
        <r>
          <rPr>
            <sz val="9"/>
            <rFont val="宋体"/>
            <charset val="134"/>
          </rPr>
          <t xml:space="preserve">
2020.11.12收31506.45</t>
        </r>
      </text>
    </comment>
    <comment ref="T852" authorId="0">
      <text>
        <r>
          <rPr>
            <b/>
            <sz val="9"/>
            <rFont val="宋体"/>
            <charset val="134"/>
          </rPr>
          <t>Administrator:</t>
        </r>
        <r>
          <rPr>
            <sz val="9"/>
            <rFont val="宋体"/>
            <charset val="134"/>
          </rPr>
          <t xml:space="preserve">
2020.12.1收19988</t>
        </r>
      </text>
    </comment>
    <comment ref="U852" authorId="0">
      <text>
        <r>
          <rPr>
            <b/>
            <sz val="9"/>
            <rFont val="宋体"/>
            <charset val="134"/>
          </rPr>
          <t>Administrator:</t>
        </r>
        <r>
          <rPr>
            <sz val="9"/>
            <rFont val="宋体"/>
            <charset val="134"/>
          </rPr>
          <t xml:space="preserve">
2020.12.3收14600.5</t>
        </r>
      </text>
    </comment>
    <comment ref="Q853" authorId="0">
      <text>
        <r>
          <rPr>
            <b/>
            <sz val="9"/>
            <rFont val="宋体"/>
            <charset val="134"/>
          </rPr>
          <t>Administrator:</t>
        </r>
        <r>
          <rPr>
            <sz val="9"/>
            <rFont val="宋体"/>
            <charset val="134"/>
          </rPr>
          <t xml:space="preserve">
2020.9.9收31176美金
水单31210</t>
        </r>
      </text>
    </comment>
    <comment ref="T853" authorId="0">
      <text>
        <r>
          <rPr>
            <b/>
            <sz val="9"/>
            <rFont val="宋体"/>
            <charset val="134"/>
          </rPr>
          <t>Administrator:</t>
        </r>
        <r>
          <rPr>
            <sz val="9"/>
            <rFont val="宋体"/>
            <charset val="134"/>
          </rPr>
          <t xml:space="preserve">
2020.11.4收29698</t>
        </r>
      </text>
    </comment>
    <comment ref="T854" authorId="0">
      <text>
        <r>
          <rPr>
            <b/>
            <sz val="9"/>
            <rFont val="宋体"/>
            <charset val="134"/>
          </rPr>
          <t>Administrator:</t>
        </r>
        <r>
          <rPr>
            <sz val="9"/>
            <rFont val="宋体"/>
            <charset val="134"/>
          </rPr>
          <t xml:space="preserve">
2020.11.18收33267.8</t>
        </r>
      </text>
    </comment>
    <comment ref="Q855" authorId="0">
      <text>
        <r>
          <rPr>
            <b/>
            <sz val="9"/>
            <rFont val="宋体"/>
            <charset val="134"/>
          </rPr>
          <t>Administrator:</t>
        </r>
        <r>
          <rPr>
            <sz val="9"/>
            <rFont val="宋体"/>
            <charset val="134"/>
          </rPr>
          <t xml:space="preserve">
2020.9.7收 25000+20000人民币 汇率6.82</t>
        </r>
      </text>
    </comment>
    <comment ref="T855" authorId="0">
      <text>
        <r>
          <rPr>
            <b/>
            <sz val="9"/>
            <rFont val="宋体"/>
            <charset val="134"/>
          </rPr>
          <t>Administrator:</t>
        </r>
        <r>
          <rPr>
            <sz val="9"/>
            <rFont val="宋体"/>
            <charset val="134"/>
          </rPr>
          <t xml:space="preserve">
2020.12.10收两万人民币
12.11收两万人民币
12.12收100000人民币
12.14收50000人民币</t>
        </r>
      </text>
    </comment>
    <comment ref="U855" authorId="0">
      <text>
        <r>
          <rPr>
            <b/>
            <sz val="9"/>
            <rFont val="宋体"/>
            <charset val="134"/>
          </rPr>
          <t>Administrator:</t>
        </r>
        <r>
          <rPr>
            <sz val="9"/>
            <rFont val="宋体"/>
            <charset val="134"/>
          </rPr>
          <t xml:space="preserve">
2020.12.18收RMB40896</t>
        </r>
      </text>
    </comment>
    <comment ref="Q856" authorId="0">
      <text>
        <r>
          <rPr>
            <b/>
            <sz val="9"/>
            <rFont val="宋体"/>
            <charset val="134"/>
          </rPr>
          <t>Administrator:</t>
        </r>
        <r>
          <rPr>
            <sz val="9"/>
            <rFont val="宋体"/>
            <charset val="134"/>
          </rPr>
          <t xml:space="preserve">
2020.9.14收</t>
        </r>
      </text>
    </comment>
    <comment ref="Q857" authorId="0">
      <text>
        <r>
          <rPr>
            <b/>
            <sz val="9"/>
            <rFont val="宋体"/>
            <charset val="134"/>
          </rPr>
          <t>Administrator:</t>
        </r>
        <r>
          <rPr>
            <sz val="9"/>
            <rFont val="宋体"/>
            <charset val="134"/>
          </rPr>
          <t xml:space="preserve">
2020.9.22收
收5000人民币定金，正式定金付美元，收到美元后退回5000人民币
2020.9.24收7583美金</t>
        </r>
      </text>
    </comment>
    <comment ref="T857" authorId="0">
      <text>
        <r>
          <rPr>
            <b/>
            <sz val="9"/>
            <rFont val="宋体"/>
            <charset val="134"/>
          </rPr>
          <t>Administrator:</t>
        </r>
        <r>
          <rPr>
            <sz val="9"/>
            <rFont val="宋体"/>
            <charset val="134"/>
          </rPr>
          <t xml:space="preserve">
2020.12.4收17586.1</t>
        </r>
      </text>
    </comment>
    <comment ref="Q858" authorId="0">
      <text>
        <r>
          <rPr>
            <b/>
            <sz val="9"/>
            <rFont val="宋体"/>
            <charset val="134"/>
          </rPr>
          <t>Administrator:</t>
        </r>
        <r>
          <rPr>
            <sz val="9"/>
            <rFont val="宋体"/>
            <charset val="134"/>
          </rPr>
          <t xml:space="preserve">
2020.9.30收RMB30000
2020.10.13收6000美金</t>
        </r>
      </text>
    </comment>
    <comment ref="T858" authorId="0">
      <text>
        <r>
          <rPr>
            <b/>
            <sz val="9"/>
            <rFont val="宋体"/>
            <charset val="134"/>
          </rPr>
          <t>Administrator:</t>
        </r>
        <r>
          <rPr>
            <sz val="9"/>
            <rFont val="宋体"/>
            <charset val="134"/>
          </rPr>
          <t xml:space="preserve">
2020.10.23收16148</t>
        </r>
      </text>
    </comment>
    <comment ref="Q859" authorId="0">
      <text>
        <r>
          <rPr>
            <b/>
            <sz val="9"/>
            <rFont val="宋体"/>
            <charset val="134"/>
          </rPr>
          <t>Administrator:</t>
        </r>
        <r>
          <rPr>
            <sz val="9"/>
            <rFont val="宋体"/>
            <charset val="134"/>
          </rPr>
          <t xml:space="preserve">
2020.10.13收4356</t>
        </r>
      </text>
    </comment>
    <comment ref="T859" authorId="0">
      <text>
        <r>
          <rPr>
            <b/>
            <sz val="9"/>
            <rFont val="宋体"/>
            <charset val="134"/>
          </rPr>
          <t>Administrator:</t>
        </r>
        <r>
          <rPr>
            <sz val="9"/>
            <rFont val="宋体"/>
            <charset val="134"/>
          </rPr>
          <t xml:space="preserve">
2021.1.4收17870</t>
        </r>
      </text>
    </comment>
    <comment ref="Q860" authorId="0">
      <text>
        <r>
          <rPr>
            <b/>
            <sz val="9"/>
            <rFont val="宋体"/>
            <charset val="134"/>
          </rPr>
          <t>Administrator:</t>
        </r>
        <r>
          <rPr>
            <sz val="9"/>
            <rFont val="宋体"/>
            <charset val="134"/>
          </rPr>
          <t xml:space="preserve">
2020.10.15收</t>
        </r>
      </text>
    </comment>
    <comment ref="T860" authorId="0">
      <text>
        <r>
          <rPr>
            <b/>
            <sz val="9"/>
            <rFont val="宋体"/>
            <charset val="134"/>
          </rPr>
          <t>Administrator:</t>
        </r>
        <r>
          <rPr>
            <sz val="9"/>
            <rFont val="宋体"/>
            <charset val="134"/>
          </rPr>
          <t xml:space="preserve">
2021.1.15收38089</t>
        </r>
      </text>
    </comment>
    <comment ref="Q861" authorId="0">
      <text>
        <r>
          <rPr>
            <b/>
            <sz val="9"/>
            <rFont val="宋体"/>
            <charset val="134"/>
          </rPr>
          <t>Administrator:</t>
        </r>
        <r>
          <rPr>
            <sz val="9"/>
            <rFont val="宋体"/>
            <charset val="134"/>
          </rPr>
          <t xml:space="preserve">
2020.11.4收
水单13269美金</t>
        </r>
      </text>
    </comment>
    <comment ref="T861" authorId="0">
      <text>
        <r>
          <rPr>
            <b/>
            <sz val="9"/>
            <rFont val="宋体"/>
            <charset val="134"/>
          </rPr>
          <t>Administrator:</t>
        </r>
        <r>
          <rPr>
            <sz val="9"/>
            <rFont val="宋体"/>
            <charset val="134"/>
          </rPr>
          <t xml:space="preserve">
2020.12.30收17571.7美金</t>
        </r>
      </text>
    </comment>
    <comment ref="U861" authorId="0">
      <text>
        <r>
          <rPr>
            <b/>
            <sz val="9"/>
            <rFont val="宋体"/>
            <charset val="134"/>
          </rPr>
          <t>Administrator:</t>
        </r>
        <r>
          <rPr>
            <sz val="9"/>
            <rFont val="宋体"/>
            <charset val="134"/>
          </rPr>
          <t xml:space="preserve">
2020.12.31收19953</t>
        </r>
      </text>
    </comment>
    <comment ref="T862" authorId="0">
      <text>
        <r>
          <rPr>
            <b/>
            <sz val="9"/>
            <rFont val="宋体"/>
            <charset val="134"/>
          </rPr>
          <t>Administrator:</t>
        </r>
        <r>
          <rPr>
            <sz val="9"/>
            <rFont val="宋体"/>
            <charset val="134"/>
          </rPr>
          <t xml:space="preserve">
2021.1.19收19953</t>
        </r>
      </text>
    </comment>
    <comment ref="U862" authorId="0">
      <text>
        <r>
          <rPr>
            <b/>
            <sz val="9"/>
            <rFont val="宋体"/>
            <charset val="134"/>
          </rPr>
          <t>Administrator:</t>
        </r>
        <r>
          <rPr>
            <sz val="9"/>
            <rFont val="宋体"/>
            <charset val="134"/>
          </rPr>
          <t xml:space="preserve">
2021.1.20收18227.3</t>
        </r>
      </text>
    </comment>
    <comment ref="Q863" authorId="0">
      <text>
        <r>
          <rPr>
            <b/>
            <sz val="9"/>
            <rFont val="宋体"/>
            <charset val="134"/>
          </rPr>
          <t>Administrator:</t>
        </r>
        <r>
          <rPr>
            <sz val="9"/>
            <rFont val="宋体"/>
            <charset val="134"/>
          </rPr>
          <t xml:space="preserve">
2020.11.16收</t>
        </r>
      </text>
    </comment>
    <comment ref="T863" authorId="0">
      <text>
        <r>
          <rPr>
            <b/>
            <sz val="9"/>
            <rFont val="宋体"/>
            <charset val="134"/>
          </rPr>
          <t>Administrator:</t>
        </r>
        <r>
          <rPr>
            <sz val="9"/>
            <rFont val="宋体"/>
            <charset val="134"/>
          </rPr>
          <t xml:space="preserve">
2021.1.6收27046.33
J3933+3941</t>
        </r>
      </text>
    </comment>
    <comment ref="Q864" authorId="0">
      <text>
        <r>
          <rPr>
            <b/>
            <sz val="9"/>
            <rFont val="宋体"/>
            <charset val="134"/>
          </rPr>
          <t>Administrator:</t>
        </r>
        <r>
          <rPr>
            <sz val="9"/>
            <rFont val="宋体"/>
            <charset val="134"/>
          </rPr>
          <t xml:space="preserve">
2020.11.16收</t>
        </r>
      </text>
    </comment>
    <comment ref="T864" authorId="0">
      <text>
        <r>
          <rPr>
            <b/>
            <sz val="9"/>
            <rFont val="宋体"/>
            <charset val="134"/>
          </rPr>
          <t>Administrator:</t>
        </r>
        <r>
          <rPr>
            <sz val="9"/>
            <rFont val="宋体"/>
            <charset val="134"/>
          </rPr>
          <t xml:space="preserve">
2020.12.15收13236</t>
        </r>
      </text>
    </comment>
    <comment ref="Q865" authorId="0">
      <text>
        <r>
          <rPr>
            <b/>
            <sz val="9"/>
            <rFont val="宋体"/>
            <charset val="134"/>
          </rPr>
          <t>Administrator:</t>
        </r>
        <r>
          <rPr>
            <sz val="9"/>
            <rFont val="宋体"/>
            <charset val="134"/>
          </rPr>
          <t xml:space="preserve">
2020.11.17收5269</t>
        </r>
      </text>
    </comment>
    <comment ref="Q866" authorId="0">
      <text>
        <r>
          <rPr>
            <b/>
            <sz val="9"/>
            <rFont val="宋体"/>
            <charset val="134"/>
          </rPr>
          <t>Administrator:</t>
        </r>
        <r>
          <rPr>
            <sz val="9"/>
            <rFont val="宋体"/>
            <charset val="134"/>
          </rPr>
          <t xml:space="preserve">
2020.12.1收4970</t>
        </r>
      </text>
    </comment>
    <comment ref="T866" authorId="0">
      <text>
        <r>
          <rPr>
            <b/>
            <sz val="9"/>
            <rFont val="宋体"/>
            <charset val="134"/>
          </rPr>
          <t>Administrator:</t>
        </r>
        <r>
          <rPr>
            <sz val="9"/>
            <rFont val="宋体"/>
            <charset val="134"/>
          </rPr>
          <t xml:space="preserve">
2021.3.15收9140.3</t>
        </r>
      </text>
    </comment>
    <comment ref="Q867" authorId="0">
      <text>
        <r>
          <rPr>
            <b/>
            <sz val="9"/>
            <rFont val="宋体"/>
            <charset val="134"/>
          </rPr>
          <t>Administrator:</t>
        </r>
        <r>
          <rPr>
            <sz val="9"/>
            <rFont val="宋体"/>
            <charset val="134"/>
          </rPr>
          <t xml:space="preserve">
2020.11.22收RMB43993
M3945定金，定金里包括J3878灯的装卸费1020和门的运费1400。门的运费是我个人垫付的。实际定金¥41573。汇率按照6.5522，折合美金$6344.89。定金比例22%。其中石膏板定金$2095,龙骨和配件定金$4249.89</t>
        </r>
      </text>
    </comment>
    <comment ref="T867" authorId="0">
      <text>
        <r>
          <rPr>
            <b/>
            <sz val="9"/>
            <rFont val="宋体"/>
            <charset val="134"/>
          </rPr>
          <t>Administrator:</t>
        </r>
        <r>
          <rPr>
            <sz val="9"/>
            <rFont val="宋体"/>
            <charset val="134"/>
          </rPr>
          <t xml:space="preserve">
2021.4.22收38235</t>
        </r>
      </text>
    </comment>
    <comment ref="Q868" authorId="0">
      <text>
        <r>
          <rPr>
            <b/>
            <sz val="9"/>
            <rFont val="宋体"/>
            <charset val="134"/>
          </rPr>
          <t>Administrator:</t>
        </r>
        <r>
          <rPr>
            <sz val="9"/>
            <rFont val="宋体"/>
            <charset val="134"/>
          </rPr>
          <t xml:space="preserve">
2021.1.8收6290
J3974多付514.28美金</t>
        </r>
      </text>
    </comment>
    <comment ref="T868" authorId="0">
      <text>
        <r>
          <rPr>
            <b/>
            <sz val="9"/>
            <rFont val="宋体"/>
            <charset val="134"/>
          </rPr>
          <t>Administrator:</t>
        </r>
        <r>
          <rPr>
            <sz val="9"/>
            <rFont val="宋体"/>
            <charset val="134"/>
          </rPr>
          <t xml:space="preserve">
2021.4.13收14204.72</t>
        </r>
      </text>
    </comment>
    <comment ref="Q869" authorId="0">
      <text>
        <r>
          <rPr>
            <b/>
            <sz val="9"/>
            <rFont val="宋体"/>
            <charset val="134"/>
          </rPr>
          <t>Administrator:</t>
        </r>
        <r>
          <rPr>
            <sz val="9"/>
            <rFont val="宋体"/>
            <charset val="134"/>
          </rPr>
          <t xml:space="preserve">
2021.1.27收6368</t>
        </r>
      </text>
    </comment>
    <comment ref="T869" authorId="0">
      <text>
        <r>
          <rPr>
            <b/>
            <sz val="9"/>
            <rFont val="宋体"/>
            <charset val="134"/>
          </rPr>
          <t>Administrator:</t>
        </r>
        <r>
          <rPr>
            <sz val="9"/>
            <rFont val="宋体"/>
            <charset val="134"/>
          </rPr>
          <t xml:space="preserve">
2021.3.30收14898.64</t>
        </r>
      </text>
    </comment>
    <comment ref="Q870" authorId="0">
      <text>
        <r>
          <rPr>
            <b/>
            <sz val="9"/>
            <rFont val="宋体"/>
            <charset val="134"/>
          </rPr>
          <t>Administrator:</t>
        </r>
        <r>
          <rPr>
            <sz val="9"/>
            <rFont val="宋体"/>
            <charset val="134"/>
          </rPr>
          <t xml:space="preserve">
2021.3.12收9425</t>
        </r>
      </text>
    </comment>
    <comment ref="T870" authorId="0">
      <text>
        <r>
          <rPr>
            <b/>
            <sz val="9"/>
            <rFont val="宋体"/>
            <charset val="134"/>
          </rPr>
          <t>Administrator:</t>
        </r>
        <r>
          <rPr>
            <sz val="9"/>
            <rFont val="宋体"/>
            <charset val="134"/>
          </rPr>
          <t xml:space="preserve">
2021.5.11收44104.3
J3992+J3998一起付的</t>
        </r>
      </text>
    </comment>
    <comment ref="Q871" authorId="0">
      <text>
        <r>
          <rPr>
            <b/>
            <sz val="9"/>
            <rFont val="宋体"/>
            <charset val="134"/>
          </rPr>
          <t>Administrator:</t>
        </r>
        <r>
          <rPr>
            <sz val="9"/>
            <rFont val="宋体"/>
            <charset val="134"/>
          </rPr>
          <t xml:space="preserve">
2021.3.4收¥55000(汇率6.46，折合美金$8512.93)--冻结中
2021.4.15打款RMB219924 汇率6.52</t>
        </r>
      </text>
    </comment>
    <comment ref="T871" authorId="0">
      <text>
        <r>
          <rPr>
            <b/>
            <sz val="9"/>
            <rFont val="宋体"/>
            <charset val="134"/>
          </rPr>
          <t>Administrator:</t>
        </r>
        <r>
          <rPr>
            <sz val="9"/>
            <rFont val="宋体"/>
            <charset val="134"/>
          </rPr>
          <t xml:space="preserve">
2021.8.5收RMB20万 汇率6.46  多打人民币24233</t>
        </r>
      </text>
    </comment>
    <comment ref="Q872" authorId="0">
      <text>
        <r>
          <rPr>
            <b/>
            <sz val="9"/>
            <rFont val="宋体"/>
            <charset val="134"/>
          </rPr>
          <t>Administrator:</t>
        </r>
        <r>
          <rPr>
            <sz val="9"/>
            <rFont val="宋体"/>
            <charset val="134"/>
          </rPr>
          <t xml:space="preserve">
2021.3.17收9441</t>
        </r>
      </text>
    </comment>
    <comment ref="T872" authorId="0">
      <text>
        <r>
          <rPr>
            <b/>
            <sz val="9"/>
            <rFont val="宋体"/>
            <charset val="134"/>
          </rPr>
          <t>Administrator:</t>
        </r>
        <r>
          <rPr>
            <sz val="9"/>
            <rFont val="宋体"/>
            <charset val="134"/>
          </rPr>
          <t xml:space="preserve">
2021.5.11收44104.3
J3992+J3998一起付的</t>
        </r>
      </text>
    </comment>
    <comment ref="Q873" authorId="0">
      <text>
        <r>
          <rPr>
            <b/>
            <sz val="9"/>
            <rFont val="宋体"/>
            <charset val="134"/>
          </rPr>
          <t>Administrator:</t>
        </r>
        <r>
          <rPr>
            <sz val="9"/>
            <rFont val="宋体"/>
            <charset val="134"/>
          </rPr>
          <t xml:space="preserve">
2021.3.24收</t>
        </r>
      </text>
    </comment>
    <comment ref="T873" authorId="0">
      <text>
        <r>
          <rPr>
            <b/>
            <sz val="9"/>
            <rFont val="宋体"/>
            <charset val="134"/>
          </rPr>
          <t>Administrator:</t>
        </r>
        <r>
          <rPr>
            <sz val="9"/>
            <rFont val="宋体"/>
            <charset val="134"/>
          </rPr>
          <t xml:space="preserve">
2021.5.6收32852.6
J4005 J4006一起付的</t>
        </r>
      </text>
    </comment>
    <comment ref="Q874" authorId="0">
      <text>
        <r>
          <rPr>
            <b/>
            <sz val="9"/>
            <rFont val="宋体"/>
            <charset val="134"/>
          </rPr>
          <t>Administrator:</t>
        </r>
        <r>
          <rPr>
            <sz val="9"/>
            <rFont val="宋体"/>
            <charset val="134"/>
          </rPr>
          <t xml:space="preserve">
2021.3.24收</t>
        </r>
      </text>
    </comment>
    <comment ref="T874" authorId="0">
      <text>
        <r>
          <rPr>
            <b/>
            <sz val="9"/>
            <rFont val="宋体"/>
            <charset val="134"/>
          </rPr>
          <t>Administrator:</t>
        </r>
        <r>
          <rPr>
            <sz val="9"/>
            <rFont val="宋体"/>
            <charset val="134"/>
          </rPr>
          <t xml:space="preserve">
2021.5.6收32852.6
J4005 J4006一起付的</t>
        </r>
      </text>
    </comment>
    <comment ref="Q875" authorId="0">
      <text>
        <r>
          <rPr>
            <b/>
            <sz val="9"/>
            <rFont val="宋体"/>
            <charset val="134"/>
          </rPr>
          <t>Administrator:</t>
        </r>
        <r>
          <rPr>
            <sz val="9"/>
            <rFont val="宋体"/>
            <charset val="134"/>
          </rPr>
          <t xml:space="preserve">
2021.3.25收19988水单2万美金</t>
        </r>
      </text>
    </comment>
    <comment ref="T875" authorId="0">
      <text>
        <r>
          <rPr>
            <b/>
            <sz val="9"/>
            <rFont val="宋体"/>
            <charset val="134"/>
          </rPr>
          <t>Administrator:</t>
        </r>
        <r>
          <rPr>
            <sz val="9"/>
            <rFont val="宋体"/>
            <charset val="134"/>
          </rPr>
          <t xml:space="preserve">
2021.7.29收$19988</t>
        </r>
      </text>
    </comment>
    <comment ref="T876" authorId="0">
      <text>
        <r>
          <rPr>
            <b/>
            <sz val="9"/>
            <rFont val="宋体"/>
            <charset val="134"/>
          </rPr>
          <t>Administrator:</t>
        </r>
        <r>
          <rPr>
            <sz val="9"/>
            <rFont val="宋体"/>
            <charset val="134"/>
          </rPr>
          <t xml:space="preserve">
2021.5.6收17779.6</t>
        </r>
      </text>
    </comment>
    <comment ref="T877" authorId="0">
      <text>
        <r>
          <rPr>
            <b/>
            <sz val="9"/>
            <rFont val="宋体"/>
            <charset val="134"/>
          </rPr>
          <t>Administrator:</t>
        </r>
        <r>
          <rPr>
            <sz val="9"/>
            <rFont val="宋体"/>
            <charset val="134"/>
          </rPr>
          <t xml:space="preserve">
2021.7.13收4036.4</t>
        </r>
      </text>
    </comment>
    <comment ref="U877" authorId="0">
      <text>
        <r>
          <rPr>
            <b/>
            <sz val="9"/>
            <rFont val="宋体"/>
            <charset val="134"/>
          </rPr>
          <t>Administrator:</t>
        </r>
        <r>
          <rPr>
            <sz val="9"/>
            <rFont val="宋体"/>
            <charset val="134"/>
          </rPr>
          <t xml:space="preserve">
2021.7.13收19988</t>
        </r>
      </text>
    </comment>
    <comment ref="T878" authorId="0">
      <text>
        <r>
          <rPr>
            <b/>
            <sz val="9"/>
            <rFont val="宋体"/>
            <charset val="134"/>
          </rPr>
          <t>Administrator:</t>
        </r>
        <r>
          <rPr>
            <sz val="9"/>
            <rFont val="宋体"/>
            <charset val="134"/>
          </rPr>
          <t xml:space="preserve">
2021.6.16收19988</t>
        </r>
      </text>
    </comment>
    <comment ref="U878" authorId="0">
      <text>
        <r>
          <rPr>
            <b/>
            <sz val="9"/>
            <rFont val="宋体"/>
            <charset val="134"/>
          </rPr>
          <t>Administrator:</t>
        </r>
        <r>
          <rPr>
            <sz val="9"/>
            <rFont val="宋体"/>
            <charset val="134"/>
          </rPr>
          <t xml:space="preserve">
2021.7.26收3980.86</t>
        </r>
      </text>
    </comment>
    <comment ref="T879" authorId="0">
      <text>
        <r>
          <rPr>
            <b/>
            <sz val="9"/>
            <rFont val="宋体"/>
            <charset val="134"/>
          </rPr>
          <t>Administrator:</t>
        </r>
        <r>
          <rPr>
            <sz val="9"/>
            <rFont val="宋体"/>
            <charset val="134"/>
          </rPr>
          <t xml:space="preserve">
2021.7.26收$19988</t>
        </r>
      </text>
    </comment>
    <comment ref="U879" authorId="0">
      <text>
        <r>
          <rPr>
            <b/>
            <sz val="9"/>
            <rFont val="宋体"/>
            <charset val="134"/>
          </rPr>
          <t>Administrator:</t>
        </r>
        <r>
          <rPr>
            <sz val="9"/>
            <rFont val="宋体"/>
            <charset val="134"/>
          </rPr>
          <t xml:space="preserve">
2021.7.30收9234.74</t>
        </r>
      </text>
    </comment>
    <comment ref="Q880" authorId="0">
      <text>
        <r>
          <rPr>
            <b/>
            <sz val="9"/>
            <rFont val="宋体"/>
            <charset val="134"/>
          </rPr>
          <t>Administrator:</t>
        </r>
        <r>
          <rPr>
            <sz val="9"/>
            <rFont val="宋体"/>
            <charset val="134"/>
          </rPr>
          <t xml:space="preserve">
2021.4.1收21962.8</t>
        </r>
      </text>
    </comment>
    <comment ref="T880" authorId="0">
      <text>
        <r>
          <rPr>
            <b/>
            <sz val="9"/>
            <rFont val="宋体"/>
            <charset val="134"/>
          </rPr>
          <t>Administrator:</t>
        </r>
        <r>
          <rPr>
            <sz val="9"/>
            <rFont val="宋体"/>
            <charset val="134"/>
          </rPr>
          <t xml:space="preserve">
2021.7.28收49132</t>
        </r>
      </text>
    </comment>
    <comment ref="Q881" authorId="0">
      <text>
        <r>
          <rPr>
            <b/>
            <sz val="9"/>
            <rFont val="宋体"/>
            <charset val="134"/>
          </rPr>
          <t>Administrator:</t>
        </r>
        <r>
          <rPr>
            <sz val="9"/>
            <rFont val="宋体"/>
            <charset val="134"/>
          </rPr>
          <t xml:space="preserve">
2021.4.27收4799</t>
        </r>
      </text>
    </comment>
    <comment ref="T881" authorId="0">
      <text>
        <r>
          <rPr>
            <b/>
            <sz val="9"/>
            <rFont val="宋体"/>
            <charset val="134"/>
          </rPr>
          <t>Administrator:</t>
        </r>
        <r>
          <rPr>
            <sz val="9"/>
            <rFont val="宋体"/>
            <charset val="134"/>
          </rPr>
          <t xml:space="preserve">
2021.6.10收27306</t>
        </r>
      </text>
    </comment>
    <comment ref="Q882" authorId="0">
      <text>
        <r>
          <rPr>
            <b/>
            <sz val="9"/>
            <rFont val="宋体"/>
            <charset val="134"/>
          </rPr>
          <t>Administrator:</t>
        </r>
        <r>
          <rPr>
            <sz val="9"/>
            <rFont val="宋体"/>
            <charset val="134"/>
          </rPr>
          <t xml:space="preserve">
2021.6.2收9966</t>
        </r>
      </text>
    </comment>
    <comment ref="T882" authorId="0">
      <text>
        <r>
          <rPr>
            <b/>
            <sz val="9"/>
            <rFont val="宋体"/>
            <charset val="134"/>
          </rPr>
          <t>Administrator:</t>
        </r>
        <r>
          <rPr>
            <sz val="9"/>
            <rFont val="宋体"/>
            <charset val="134"/>
          </rPr>
          <t xml:space="preserve">
2021.9.9收26966
2021.9.10收26966</t>
        </r>
      </text>
    </comment>
    <comment ref="U882" authorId="0">
      <text>
        <r>
          <rPr>
            <b/>
            <sz val="9"/>
            <rFont val="宋体"/>
            <charset val="134"/>
          </rPr>
          <t>Administrator:</t>
        </r>
        <r>
          <rPr>
            <sz val="9"/>
            <rFont val="宋体"/>
            <charset val="134"/>
          </rPr>
          <t xml:space="preserve">
2021.9.13收9630</t>
        </r>
      </text>
    </comment>
    <comment ref="Q883" authorId="0">
      <text>
        <r>
          <rPr>
            <b/>
            <sz val="9"/>
            <rFont val="宋体"/>
            <charset val="134"/>
          </rPr>
          <t>Administrator:</t>
        </r>
        <r>
          <rPr>
            <sz val="9"/>
            <rFont val="宋体"/>
            <charset val="134"/>
          </rPr>
          <t xml:space="preserve">
2021.6.9收8147</t>
        </r>
      </text>
    </comment>
    <comment ref="T883" authorId="0">
      <text>
        <r>
          <rPr>
            <b/>
            <sz val="9"/>
            <rFont val="宋体"/>
            <charset val="134"/>
          </rPr>
          <t>Administrator:</t>
        </r>
        <r>
          <rPr>
            <sz val="9"/>
            <rFont val="宋体"/>
            <charset val="134"/>
          </rPr>
          <t xml:space="preserve">
2021.6.29收19050.76</t>
        </r>
      </text>
    </comment>
    <comment ref="Q884" authorId="0">
      <text>
        <r>
          <rPr>
            <b/>
            <sz val="9"/>
            <rFont val="宋体"/>
            <charset val="134"/>
          </rPr>
          <t>Administrator:</t>
        </r>
        <r>
          <rPr>
            <sz val="9"/>
            <rFont val="宋体"/>
            <charset val="134"/>
          </rPr>
          <t xml:space="preserve">
2021.7.28收14008</t>
        </r>
      </text>
    </comment>
    <comment ref="T884" authorId="0">
      <text>
        <r>
          <rPr>
            <b/>
            <sz val="9"/>
            <rFont val="宋体"/>
            <charset val="134"/>
          </rPr>
          <t>Administrator:</t>
        </r>
        <r>
          <rPr>
            <sz val="9"/>
            <rFont val="宋体"/>
            <charset val="134"/>
          </rPr>
          <t xml:space="preserve">
2021.10.14收57895.7</t>
        </r>
      </text>
    </comment>
    <comment ref="T885" authorId="0">
      <text>
        <r>
          <rPr>
            <b/>
            <sz val="9"/>
            <rFont val="宋体"/>
            <charset val="134"/>
          </rPr>
          <t>Administrator:</t>
        </r>
        <r>
          <rPr>
            <sz val="9"/>
            <rFont val="宋体"/>
            <charset val="134"/>
          </rPr>
          <t xml:space="preserve">
2021.11.29收109860.81</t>
        </r>
      </text>
    </comment>
    <comment ref="T886" authorId="0">
      <text>
        <r>
          <rPr>
            <b/>
            <sz val="9"/>
            <rFont val="宋体"/>
            <charset val="134"/>
          </rPr>
          <t>Administrator:</t>
        </r>
        <r>
          <rPr>
            <sz val="9"/>
            <rFont val="宋体"/>
            <charset val="134"/>
          </rPr>
          <t xml:space="preserve">
2021.11.9收104969.61</t>
        </r>
      </text>
    </comment>
    <comment ref="Q887" authorId="0">
      <text>
        <r>
          <rPr>
            <b/>
            <sz val="9"/>
            <rFont val="宋体"/>
            <charset val="134"/>
          </rPr>
          <t>Administrator:</t>
        </r>
        <r>
          <rPr>
            <sz val="9"/>
            <rFont val="宋体"/>
            <charset val="134"/>
          </rPr>
          <t xml:space="preserve">
2021.9.2收16946</t>
        </r>
      </text>
    </comment>
    <comment ref="T887" authorId="0">
      <text>
        <r>
          <rPr>
            <b/>
            <sz val="9"/>
            <rFont val="宋体"/>
            <charset val="134"/>
          </rPr>
          <t>Administrator:</t>
        </r>
        <r>
          <rPr>
            <sz val="9"/>
            <rFont val="宋体"/>
            <charset val="134"/>
          </rPr>
          <t xml:space="preserve">
2021.10.8收39581.45</t>
        </r>
      </text>
    </comment>
    <comment ref="P888" authorId="0">
      <text>
        <r>
          <rPr>
            <b/>
            <sz val="9"/>
            <rFont val="宋体"/>
            <charset val="134"/>
          </rPr>
          <t>Administrator:</t>
        </r>
        <r>
          <rPr>
            <sz val="9"/>
            <rFont val="宋体"/>
            <charset val="134"/>
          </rPr>
          <t xml:space="preserve">
客户按发票值29776.45付款的</t>
        </r>
      </text>
    </comment>
    <comment ref="T888" authorId="0">
      <text>
        <r>
          <rPr>
            <b/>
            <sz val="9"/>
            <rFont val="宋体"/>
            <charset val="134"/>
          </rPr>
          <t>Administrator:</t>
        </r>
        <r>
          <rPr>
            <sz val="9"/>
            <rFont val="宋体"/>
            <charset val="134"/>
          </rPr>
          <t xml:space="preserve">
2021.10.8收39581.45
</t>
        </r>
      </text>
    </comment>
    <comment ref="Q889" authorId="0">
      <text>
        <r>
          <rPr>
            <b/>
            <sz val="9"/>
            <rFont val="宋体"/>
            <charset val="134"/>
          </rPr>
          <t>Administrator:</t>
        </r>
        <r>
          <rPr>
            <sz val="9"/>
            <rFont val="宋体"/>
            <charset val="134"/>
          </rPr>
          <t xml:space="preserve">
2021.9.6RMB3万+J3994多付的¥24233，一共¥54233，折合美金8408，汇率6.45
2021.10.21收RMB11万</t>
        </r>
      </text>
    </comment>
    <comment ref="T889" authorId="0">
      <text>
        <r>
          <rPr>
            <b/>
            <sz val="9"/>
            <rFont val="宋体"/>
            <charset val="134"/>
          </rPr>
          <t>Administrator:</t>
        </r>
        <r>
          <rPr>
            <sz val="9"/>
            <rFont val="宋体"/>
            <charset val="134"/>
          </rPr>
          <t xml:space="preserve">
2022.1.17收RMB368667 汇率6.3636</t>
        </r>
      </text>
    </comment>
    <comment ref="Q890" authorId="0">
      <text>
        <r>
          <rPr>
            <b/>
            <sz val="9"/>
            <rFont val="宋体"/>
            <charset val="134"/>
          </rPr>
          <t>Administrator:</t>
        </r>
        <r>
          <rPr>
            <sz val="9"/>
            <rFont val="宋体"/>
            <charset val="134"/>
          </rPr>
          <t xml:space="preserve">
2021.9.9收14491</t>
        </r>
      </text>
    </comment>
    <comment ref="T890" authorId="0">
      <text>
        <r>
          <rPr>
            <b/>
            <sz val="9"/>
            <rFont val="宋体"/>
            <charset val="134"/>
          </rPr>
          <t>Administrator:</t>
        </r>
        <r>
          <rPr>
            <sz val="9"/>
            <rFont val="宋体"/>
            <charset val="134"/>
          </rPr>
          <t xml:space="preserve">
2021.12.27收29261</t>
        </r>
      </text>
    </comment>
    <comment ref="T891" authorId="0">
      <text>
        <r>
          <rPr>
            <b/>
            <sz val="9"/>
            <rFont val="宋体"/>
            <charset val="134"/>
          </rPr>
          <t>Administrator:</t>
        </r>
        <r>
          <rPr>
            <sz val="9"/>
            <rFont val="宋体"/>
            <charset val="134"/>
          </rPr>
          <t xml:space="preserve">
2021.12.30收27997</t>
        </r>
      </text>
    </comment>
    <comment ref="Q892" authorId="0">
      <text>
        <r>
          <rPr>
            <b/>
            <sz val="9"/>
            <rFont val="宋体"/>
            <charset val="134"/>
          </rPr>
          <t>Administrator:</t>
        </r>
        <r>
          <rPr>
            <sz val="9"/>
            <rFont val="宋体"/>
            <charset val="134"/>
          </rPr>
          <t xml:space="preserve">
2021.9.15收8699</t>
        </r>
      </text>
    </comment>
    <comment ref="T892" authorId="0">
      <text>
        <r>
          <rPr>
            <b/>
            <sz val="9"/>
            <rFont val="宋体"/>
            <charset val="134"/>
          </rPr>
          <t>Administrator:</t>
        </r>
        <r>
          <rPr>
            <sz val="9"/>
            <rFont val="宋体"/>
            <charset val="134"/>
          </rPr>
          <t xml:space="preserve">
2021.10.28收19703.7 水单19723.7
少付了J4117甩货的款619.2美金</t>
        </r>
      </text>
    </comment>
    <comment ref="Q893" authorId="0">
      <text>
        <r>
          <rPr>
            <b/>
            <sz val="9"/>
            <rFont val="宋体"/>
            <charset val="134"/>
          </rPr>
          <t>Administrator:</t>
        </r>
        <r>
          <rPr>
            <sz val="9"/>
            <rFont val="宋体"/>
            <charset val="134"/>
          </rPr>
          <t xml:space="preserve">
2021.9.22收18421.06</t>
        </r>
      </text>
    </comment>
    <comment ref="T893" authorId="0">
      <text>
        <r>
          <rPr>
            <b/>
            <sz val="9"/>
            <rFont val="宋体"/>
            <charset val="134"/>
          </rPr>
          <t>Administrator:</t>
        </r>
        <r>
          <rPr>
            <sz val="9"/>
            <rFont val="宋体"/>
            <charset val="134"/>
          </rPr>
          <t xml:space="preserve">
2021.11.30收44185.9
J4135-1: $33430.26
J4174: $10787.64
</t>
        </r>
      </text>
    </comment>
    <comment ref="T894" authorId="0">
      <text>
        <r>
          <rPr>
            <b/>
            <sz val="9"/>
            <rFont val="宋体"/>
            <charset val="134"/>
          </rPr>
          <t>Administrator:</t>
        </r>
        <r>
          <rPr>
            <sz val="9"/>
            <rFont val="宋体"/>
            <charset val="134"/>
          </rPr>
          <t xml:space="preserve">
2021.12.10收68766.42</t>
        </r>
      </text>
    </comment>
    <comment ref="Q895" authorId="0">
      <text>
        <r>
          <rPr>
            <b/>
            <sz val="9"/>
            <rFont val="宋体"/>
            <charset val="134"/>
          </rPr>
          <t>Administrator:</t>
        </r>
        <r>
          <rPr>
            <sz val="9"/>
            <rFont val="宋体"/>
            <charset val="134"/>
          </rPr>
          <t xml:space="preserve">
定金一共49305=24305+25000
2021.9.22收24276
2021.9.27收24981.8</t>
        </r>
      </text>
    </comment>
    <comment ref="T895" authorId="0">
      <text>
        <r>
          <rPr>
            <b/>
            <sz val="9"/>
            <rFont val="宋体"/>
            <charset val="134"/>
          </rPr>
          <t>Administrator:</t>
        </r>
        <r>
          <rPr>
            <sz val="9"/>
            <rFont val="宋体"/>
            <charset val="134"/>
          </rPr>
          <t xml:space="preserve">
2021.12.21收19981.8+19981.8
2021.12.22收19981.8</t>
        </r>
      </text>
    </comment>
    <comment ref="U895" authorId="0">
      <text>
        <r>
          <rPr>
            <b/>
            <sz val="9"/>
            <rFont val="宋体"/>
            <charset val="134"/>
          </rPr>
          <t>Administrator:</t>
        </r>
        <r>
          <rPr>
            <sz val="9"/>
            <rFont val="宋体"/>
            <charset val="134"/>
          </rPr>
          <t xml:space="preserve">
18552.49来自J4136-1
15470.51来自J4136-3</t>
        </r>
      </text>
    </comment>
    <comment ref="T896" authorId="0">
      <text>
        <r>
          <rPr>
            <b/>
            <sz val="9"/>
            <rFont val="宋体"/>
            <charset val="134"/>
          </rPr>
          <t>Administrator:</t>
        </r>
        <r>
          <rPr>
            <sz val="9"/>
            <rFont val="宋体"/>
            <charset val="134"/>
          </rPr>
          <t xml:space="preserve">
2021.12.24收19981.8
水单两万 $15470.51用于J4136-2  $4529.49用于J4136-3
2021.12.28收19971</t>
        </r>
      </text>
    </comment>
    <comment ref="U896" authorId="0">
      <text>
        <r>
          <rPr>
            <b/>
            <sz val="9"/>
            <rFont val="宋体"/>
            <charset val="134"/>
          </rPr>
          <t>Administrator:</t>
        </r>
        <r>
          <rPr>
            <sz val="9"/>
            <rFont val="宋体"/>
            <charset val="134"/>
          </rPr>
          <t xml:space="preserve">
2021.12.30收200422021.12.14收19981.8</t>
        </r>
      </text>
    </comment>
    <comment ref="T897" authorId="0">
      <text>
        <r>
          <rPr>
            <b/>
            <sz val="9"/>
            <rFont val="宋体"/>
            <charset val="134"/>
          </rPr>
          <t>Administrator:</t>
        </r>
        <r>
          <rPr>
            <sz val="9"/>
            <rFont val="宋体"/>
            <charset val="134"/>
          </rPr>
          <t xml:space="preserve">
2021.12.15收19971+19971
2021.12.15收19971
2021.12.16收19971</t>
        </r>
      </text>
    </comment>
    <comment ref="U897" authorId="0">
      <text>
        <r>
          <rPr>
            <b/>
            <sz val="9"/>
            <rFont val="宋体"/>
            <charset val="134"/>
          </rPr>
          <t>Administrator:</t>
        </r>
        <r>
          <rPr>
            <sz val="9"/>
            <rFont val="宋体"/>
            <charset val="134"/>
          </rPr>
          <t xml:space="preserve">
2021.12.20收19971
水单2万 剩18552.4用于J4136-2</t>
        </r>
      </text>
    </comment>
    <comment ref="Q898" authorId="0">
      <text>
        <r>
          <rPr>
            <b/>
            <sz val="9"/>
            <rFont val="宋体"/>
            <charset val="134"/>
          </rPr>
          <t>Administrator:</t>
        </r>
        <r>
          <rPr>
            <sz val="9"/>
            <rFont val="宋体"/>
            <charset val="134"/>
          </rPr>
          <t xml:space="preserve">
2021.11.9收8031.45</t>
        </r>
      </text>
    </comment>
    <comment ref="T898" authorId="0">
      <text>
        <r>
          <rPr>
            <b/>
            <sz val="9"/>
            <rFont val="宋体"/>
            <charset val="134"/>
          </rPr>
          <t>Administrator:</t>
        </r>
        <r>
          <rPr>
            <sz val="9"/>
            <rFont val="宋体"/>
            <charset val="134"/>
          </rPr>
          <t xml:space="preserve">
2021.12.9收18759.73</t>
        </r>
      </text>
    </comment>
    <comment ref="Q899" authorId="0">
      <text>
        <r>
          <rPr>
            <b/>
            <sz val="9"/>
            <rFont val="宋体"/>
            <charset val="134"/>
          </rPr>
          <t>Administrator:</t>
        </r>
        <r>
          <rPr>
            <sz val="9"/>
            <rFont val="宋体"/>
            <charset val="134"/>
          </rPr>
          <t xml:space="preserve">
2021.11.15收21563
水单21600</t>
        </r>
      </text>
    </comment>
    <comment ref="T899" authorId="0">
      <text>
        <r>
          <rPr>
            <b/>
            <sz val="9"/>
            <rFont val="宋体"/>
            <charset val="134"/>
          </rPr>
          <t>Administrator:</t>
        </r>
        <r>
          <rPr>
            <sz val="9"/>
            <rFont val="宋体"/>
            <charset val="134"/>
          </rPr>
          <t xml:space="preserve">
2022.2.16收59083</t>
        </r>
      </text>
    </comment>
    <comment ref="T900" authorId="0">
      <text>
        <r>
          <rPr>
            <b/>
            <sz val="9"/>
            <rFont val="宋体"/>
            <charset val="134"/>
          </rPr>
          <t>Administrator:</t>
        </r>
        <r>
          <rPr>
            <sz val="9"/>
            <rFont val="宋体"/>
            <charset val="134"/>
          </rPr>
          <t xml:space="preserve">
2022.3.10收32109</t>
        </r>
      </text>
    </comment>
    <comment ref="Q901" authorId="0">
      <text>
        <r>
          <rPr>
            <b/>
            <sz val="9"/>
            <rFont val="宋体"/>
            <charset val="134"/>
          </rPr>
          <t>Administrator:</t>
        </r>
        <r>
          <rPr>
            <sz val="9"/>
            <rFont val="宋体"/>
            <charset val="134"/>
          </rPr>
          <t xml:space="preserve">
2021.11.30收</t>
        </r>
      </text>
    </comment>
    <comment ref="T901" authorId="0">
      <text>
        <r>
          <rPr>
            <b/>
            <sz val="9"/>
            <rFont val="宋体"/>
            <charset val="134"/>
          </rPr>
          <t>Administrator:</t>
        </r>
        <r>
          <rPr>
            <sz val="9"/>
            <rFont val="宋体"/>
            <charset val="134"/>
          </rPr>
          <t xml:space="preserve">
2022.2.14收62797.96</t>
        </r>
      </text>
    </comment>
    <comment ref="T902" authorId="0">
      <text>
        <r>
          <rPr>
            <b/>
            <sz val="9"/>
            <rFont val="宋体"/>
            <charset val="134"/>
          </rPr>
          <t>Administrator:</t>
        </r>
        <r>
          <rPr>
            <sz val="9"/>
            <rFont val="宋体"/>
            <charset val="134"/>
          </rPr>
          <t xml:space="preserve">
2021.12.3收32660</t>
        </r>
      </text>
    </comment>
    <comment ref="P903" authorId="0">
      <text>
        <r>
          <rPr>
            <b/>
            <sz val="9"/>
            <rFont val="宋体"/>
            <charset val="134"/>
          </rPr>
          <t>Administrator:</t>
        </r>
        <r>
          <rPr>
            <sz val="9"/>
            <rFont val="宋体"/>
            <charset val="134"/>
          </rPr>
          <t xml:space="preserve">
实际发货34355美金
甩货已付</t>
        </r>
      </text>
    </comment>
    <comment ref="Q903" authorId="0">
      <text>
        <r>
          <rPr>
            <b/>
            <sz val="9"/>
            <rFont val="宋体"/>
            <charset val="134"/>
          </rPr>
          <t>Administrator:</t>
        </r>
        <r>
          <rPr>
            <sz val="9"/>
            <rFont val="宋体"/>
            <charset val="134"/>
          </rPr>
          <t xml:space="preserve">
2021.12.7收9498.95</t>
        </r>
      </text>
    </comment>
    <comment ref="T903" authorId="0">
      <text>
        <r>
          <rPr>
            <b/>
            <sz val="9"/>
            <rFont val="宋体"/>
            <charset val="134"/>
          </rPr>
          <t>Administrator:</t>
        </r>
        <r>
          <rPr>
            <sz val="9"/>
            <rFont val="宋体"/>
            <charset val="134"/>
          </rPr>
          <t xml:space="preserve">
2022.1.13收11537.05
2022.1.14收9463</t>
        </r>
      </text>
    </comment>
    <comment ref="U903" authorId="0">
      <text>
        <r>
          <rPr>
            <b/>
            <sz val="9"/>
            <rFont val="宋体"/>
            <charset val="134"/>
          </rPr>
          <t>Administrator:</t>
        </r>
        <r>
          <rPr>
            <sz val="9"/>
            <rFont val="宋体"/>
            <charset val="134"/>
          </rPr>
          <t xml:space="preserve">
2022.1.19收4468</t>
        </r>
      </text>
    </comment>
    <comment ref="Q904" authorId="0">
      <text>
        <r>
          <rPr>
            <b/>
            <sz val="9"/>
            <rFont val="宋体"/>
            <charset val="134"/>
          </rPr>
          <t>Administrator:</t>
        </r>
        <r>
          <rPr>
            <sz val="9"/>
            <rFont val="宋体"/>
            <charset val="134"/>
          </rPr>
          <t xml:space="preserve">
2021.12.7收19981.8
2021.12.8收18981.8
2021.12.9收19981.8
2021.12.15收21598.8
80617=20000+19000+20000+21617</t>
        </r>
      </text>
    </comment>
    <comment ref="T904" authorId="0">
      <text>
        <r>
          <rPr>
            <b/>
            <sz val="9"/>
            <rFont val="宋体"/>
            <charset val="134"/>
          </rPr>
          <t>Administrator:</t>
        </r>
        <r>
          <rPr>
            <sz val="9"/>
            <rFont val="宋体"/>
            <charset val="134"/>
          </rPr>
          <t xml:space="preserve">
2022.5.19收24981.8
水单25000
J4237  $24807.44
J4185-4  $192.56</t>
        </r>
      </text>
    </comment>
    <comment ref="U904" authorId="0">
      <text>
        <r>
          <rPr>
            <b/>
            <sz val="9"/>
            <rFont val="宋体"/>
            <charset val="134"/>
          </rPr>
          <t>Administrator:</t>
        </r>
        <r>
          <rPr>
            <sz val="9"/>
            <rFont val="宋体"/>
            <charset val="134"/>
          </rPr>
          <t xml:space="preserve">
2022.5.26收25132</t>
        </r>
      </text>
    </comment>
    <comment ref="T905" authorId="0">
      <text>
        <r>
          <rPr>
            <b/>
            <sz val="9"/>
            <rFont val="宋体"/>
            <charset val="134"/>
          </rPr>
          <t>Administrator:</t>
        </r>
        <r>
          <rPr>
            <sz val="9"/>
            <rFont val="宋体"/>
            <charset val="134"/>
          </rPr>
          <t xml:space="preserve">
2022.5.11收24971
2022.5.12收24971</t>
        </r>
      </text>
    </comment>
    <comment ref="U905" authorId="0">
      <text>
        <r>
          <rPr>
            <b/>
            <sz val="9"/>
            <rFont val="宋体"/>
            <charset val="134"/>
          </rPr>
          <t>Administrator:</t>
        </r>
        <r>
          <rPr>
            <sz val="9"/>
            <rFont val="宋体"/>
            <charset val="134"/>
          </rPr>
          <t xml:space="preserve">
2022.5.18收24981.80
J4185-3  $19058.4
J4237  $5941.6</t>
        </r>
      </text>
    </comment>
    <comment ref="T906" authorId="0">
      <text>
        <r>
          <rPr>
            <b/>
            <sz val="9"/>
            <rFont val="宋体"/>
            <charset val="134"/>
          </rPr>
          <t>Administrator:</t>
        </r>
        <r>
          <rPr>
            <sz val="9"/>
            <rFont val="宋体"/>
            <charset val="134"/>
          </rPr>
          <t xml:space="preserve">
2022.2.15收19981.8
2022.2.15收19981.8</t>
        </r>
      </text>
    </comment>
    <comment ref="U906" authorId="0">
      <text>
        <r>
          <rPr>
            <b/>
            <sz val="9"/>
            <rFont val="宋体"/>
            <charset val="134"/>
          </rPr>
          <t>Administrator:</t>
        </r>
        <r>
          <rPr>
            <sz val="9"/>
            <rFont val="宋体"/>
            <charset val="134"/>
          </rPr>
          <t xml:space="preserve">
2022.2.16收19981.8+19981.8
多付7027.4用于J4237定金</t>
        </r>
      </text>
    </comment>
    <comment ref="T907" authorId="0">
      <text>
        <r>
          <rPr>
            <b/>
            <sz val="9"/>
            <rFont val="宋体"/>
            <charset val="134"/>
          </rPr>
          <t>Administrator:</t>
        </r>
        <r>
          <rPr>
            <sz val="9"/>
            <rFont val="宋体"/>
            <charset val="134"/>
          </rPr>
          <t xml:space="preserve">
2022.4.6收24981.8</t>
        </r>
      </text>
    </comment>
    <comment ref="U907" authorId="0">
      <text>
        <r>
          <rPr>
            <b/>
            <sz val="9"/>
            <rFont val="宋体"/>
            <charset val="134"/>
          </rPr>
          <t>Administrator:</t>
        </r>
        <r>
          <rPr>
            <sz val="9"/>
            <rFont val="宋体"/>
            <charset val="134"/>
          </rPr>
          <t xml:space="preserve">
2022.4.7收18061.8
2022.4.7收24981.8</t>
        </r>
      </text>
    </comment>
    <comment ref="Q908" authorId="0">
      <text>
        <r>
          <rPr>
            <b/>
            <sz val="9"/>
            <rFont val="宋体"/>
            <charset val="134"/>
          </rPr>
          <t>Administrator:</t>
        </r>
        <r>
          <rPr>
            <sz val="9"/>
            <rFont val="宋体"/>
            <charset val="134"/>
          </rPr>
          <t xml:space="preserve">
2021.12.22收19951
2021.12.30收26971
2022.1.19收10086</t>
        </r>
      </text>
    </comment>
    <comment ref="Q909" authorId="0">
      <text>
        <r>
          <rPr>
            <b/>
            <sz val="9"/>
            <rFont val="宋体"/>
            <charset val="134"/>
          </rPr>
          <t>Administrator:</t>
        </r>
        <r>
          <rPr>
            <sz val="9"/>
            <rFont val="宋体"/>
            <charset val="134"/>
          </rPr>
          <t xml:space="preserve">
2021.12.21收124256.91 作为J4197 4198定金</t>
        </r>
      </text>
    </comment>
    <comment ref="Q910" authorId="0">
      <text>
        <r>
          <rPr>
            <b/>
            <sz val="9"/>
            <rFont val="宋体"/>
            <charset val="134"/>
          </rPr>
          <t>Administrator:</t>
        </r>
        <r>
          <rPr>
            <sz val="9"/>
            <rFont val="宋体"/>
            <charset val="134"/>
          </rPr>
          <t xml:space="preserve">
$74661.01见J4197
2021.12.24收3481.34</t>
        </r>
      </text>
    </comment>
    <comment ref="Q911" authorId="0">
      <text>
        <r>
          <rPr>
            <b/>
            <sz val="9"/>
            <rFont val="宋体"/>
            <charset val="134"/>
          </rPr>
          <t>Administrator:</t>
        </r>
        <r>
          <rPr>
            <sz val="9"/>
            <rFont val="宋体"/>
            <charset val="134"/>
          </rPr>
          <t xml:space="preserve">
2022.1.25收7981.8</t>
        </r>
      </text>
    </comment>
    <comment ref="T911" authorId="0">
      <text>
        <r>
          <rPr>
            <b/>
            <sz val="9"/>
            <rFont val="宋体"/>
            <charset val="134"/>
          </rPr>
          <t>Administrator:</t>
        </r>
        <r>
          <rPr>
            <sz val="9"/>
            <rFont val="宋体"/>
            <charset val="134"/>
          </rPr>
          <t xml:space="preserve">
2022.4.7收23438.8</t>
        </r>
      </text>
    </comment>
    <comment ref="Q912" authorId="0">
      <text>
        <r>
          <rPr>
            <b/>
            <sz val="9"/>
            <rFont val="宋体"/>
            <charset val="134"/>
          </rPr>
          <t>Administrator:</t>
        </r>
        <r>
          <rPr>
            <sz val="9"/>
            <rFont val="宋体"/>
            <charset val="134"/>
          </rPr>
          <t xml:space="preserve">
来自J4185-1</t>
        </r>
      </text>
    </comment>
    <comment ref="T912" authorId="0">
      <text>
        <r>
          <rPr>
            <b/>
            <sz val="9"/>
            <rFont val="宋体"/>
            <charset val="134"/>
          </rPr>
          <t>Administrator:</t>
        </r>
        <r>
          <rPr>
            <sz val="9"/>
            <rFont val="宋体"/>
            <charset val="134"/>
          </rPr>
          <t xml:space="preserve">
2022.5.18收24981.80
J4185-3  $19058.4
J4237  $5941.6</t>
        </r>
      </text>
    </comment>
    <comment ref="U912" authorId="0">
      <text>
        <r>
          <rPr>
            <b/>
            <sz val="9"/>
            <rFont val="宋体"/>
            <charset val="134"/>
          </rPr>
          <t>Administrator:</t>
        </r>
        <r>
          <rPr>
            <sz val="9"/>
            <rFont val="宋体"/>
            <charset val="134"/>
          </rPr>
          <t xml:space="preserve">
2022.5.19收24981.8
水单25000
J4237  $24807.44
J4185-4  $192.56</t>
        </r>
      </text>
    </comment>
    <comment ref="Q913" authorId="0">
      <text>
        <r>
          <rPr>
            <b/>
            <sz val="9"/>
            <rFont val="宋体"/>
            <charset val="134"/>
          </rPr>
          <t>Administrator:</t>
        </r>
        <r>
          <rPr>
            <sz val="9"/>
            <rFont val="宋体"/>
            <charset val="134"/>
          </rPr>
          <t xml:space="preserve">
2022.3.8收19981.07</t>
        </r>
      </text>
    </comment>
    <comment ref="T915" authorId="0">
      <text>
        <r>
          <rPr>
            <b/>
            <sz val="9"/>
            <rFont val="宋体"/>
            <charset val="134"/>
          </rPr>
          <t>Administrator:</t>
        </r>
        <r>
          <rPr>
            <sz val="9"/>
            <rFont val="宋体"/>
            <charset val="134"/>
          </rPr>
          <t xml:space="preserve">
2022.6.8收28867.55</t>
        </r>
      </text>
    </comment>
    <comment ref="Q916" authorId="0">
      <text>
        <r>
          <rPr>
            <b/>
            <sz val="9"/>
            <rFont val="宋体"/>
            <charset val="134"/>
          </rPr>
          <t>Administrator:</t>
        </r>
        <r>
          <rPr>
            <sz val="9"/>
            <rFont val="宋体"/>
            <charset val="134"/>
          </rPr>
          <t xml:space="preserve">
2022.3.8收汇率6.3061，折合美金$6343.06</t>
        </r>
      </text>
    </comment>
    <comment ref="Q917" authorId="0">
      <text>
        <r>
          <rPr>
            <b/>
            <sz val="9"/>
            <rFont val="宋体"/>
            <charset val="134"/>
          </rPr>
          <t>Administrator:</t>
        </r>
        <r>
          <rPr>
            <sz val="9"/>
            <rFont val="宋体"/>
            <charset val="134"/>
          </rPr>
          <t xml:space="preserve">
2022.3.11收9635.5</t>
        </r>
      </text>
    </comment>
    <comment ref="T917" authorId="0">
      <text>
        <r>
          <rPr>
            <b/>
            <sz val="9"/>
            <rFont val="宋体"/>
            <charset val="134"/>
          </rPr>
          <t>Administrator:</t>
        </r>
        <r>
          <rPr>
            <sz val="9"/>
            <rFont val="宋体"/>
            <charset val="134"/>
          </rPr>
          <t xml:space="preserve">
2022.5.16收51950.5</t>
        </r>
      </text>
    </comment>
    <comment ref="P918" authorId="0">
      <text>
        <r>
          <rPr>
            <b/>
            <sz val="9"/>
            <rFont val="宋体"/>
            <charset val="134"/>
          </rPr>
          <t>Administrator:</t>
        </r>
        <r>
          <rPr>
            <sz val="9"/>
            <rFont val="宋体"/>
            <charset val="134"/>
          </rPr>
          <t xml:space="preserve">
实际发票值26483.69 甩货已付款</t>
        </r>
      </text>
    </comment>
    <comment ref="Q918" authorId="0">
      <text>
        <r>
          <rPr>
            <b/>
            <sz val="9"/>
            <rFont val="宋体"/>
            <charset val="134"/>
          </rPr>
          <t>Administrator:</t>
        </r>
        <r>
          <rPr>
            <sz val="9"/>
            <rFont val="宋体"/>
            <charset val="134"/>
          </rPr>
          <t xml:space="preserve">
2022.4.6收8350</t>
        </r>
      </text>
    </comment>
    <comment ref="T918" authorId="0">
      <text>
        <r>
          <rPr>
            <b/>
            <sz val="9"/>
            <rFont val="宋体"/>
            <charset val="134"/>
          </rPr>
          <t>Administrator:</t>
        </r>
        <r>
          <rPr>
            <sz val="9"/>
            <rFont val="宋体"/>
            <charset val="134"/>
          </rPr>
          <t xml:space="preserve">
2022.5.27收19410.48</t>
        </r>
      </text>
    </comment>
    <comment ref="Q919" authorId="0">
      <text>
        <r>
          <rPr>
            <b/>
            <sz val="9"/>
            <rFont val="宋体"/>
            <charset val="134"/>
          </rPr>
          <t>Administrator:</t>
        </r>
        <r>
          <rPr>
            <sz val="9"/>
            <rFont val="宋体"/>
            <charset val="134"/>
          </rPr>
          <t xml:space="preserve">
2022.4.6收8366</t>
        </r>
      </text>
    </comment>
    <comment ref="T919" authorId="0">
      <text>
        <r>
          <rPr>
            <b/>
            <sz val="9"/>
            <rFont val="宋体"/>
            <charset val="134"/>
          </rPr>
          <t>Administrator:</t>
        </r>
        <r>
          <rPr>
            <sz val="9"/>
            <rFont val="宋体"/>
            <charset val="134"/>
          </rPr>
          <t xml:space="preserve">
2022.5.26收19506.2</t>
        </r>
      </text>
    </comment>
    <comment ref="Q920" authorId="0">
      <text>
        <r>
          <rPr>
            <b/>
            <sz val="9"/>
            <rFont val="宋体"/>
            <charset val="134"/>
          </rPr>
          <t>Administrator:</t>
        </r>
        <r>
          <rPr>
            <sz val="9"/>
            <rFont val="宋体"/>
            <charset val="134"/>
          </rPr>
          <t xml:space="preserve">
2022.4.2收</t>
        </r>
      </text>
    </comment>
    <comment ref="Q921" authorId="0">
      <text>
        <r>
          <rPr>
            <b/>
            <sz val="9"/>
            <rFont val="宋体"/>
            <charset val="134"/>
          </rPr>
          <t>Administrator:</t>
        </r>
        <r>
          <rPr>
            <sz val="9"/>
            <rFont val="宋体"/>
            <charset val="134"/>
          </rPr>
          <t xml:space="preserve">
2022.4.3收5万
2022.4.5收75000</t>
        </r>
      </text>
    </comment>
    <comment ref="Q922" authorId="0">
      <text>
        <r>
          <rPr>
            <b/>
            <sz val="9"/>
            <rFont val="宋体"/>
            <charset val="134"/>
          </rPr>
          <t>Administrator:</t>
        </r>
        <r>
          <rPr>
            <sz val="9"/>
            <rFont val="宋体"/>
            <charset val="134"/>
          </rPr>
          <t xml:space="preserve">
2022.4.19收14477</t>
        </r>
      </text>
    </comment>
    <comment ref="Q923" authorId="0">
      <text>
        <r>
          <rPr>
            <b/>
            <sz val="9"/>
            <rFont val="宋体"/>
            <charset val="134"/>
          </rPr>
          <t>Administrator:</t>
        </r>
        <r>
          <rPr>
            <sz val="9"/>
            <rFont val="宋体"/>
            <charset val="134"/>
          </rPr>
          <t xml:space="preserve">
2022.4.21收15233.1</t>
        </r>
      </text>
    </comment>
    <comment ref="P924" authorId="0">
      <text>
        <r>
          <rPr>
            <b/>
            <sz val="9"/>
            <rFont val="宋体"/>
            <charset val="134"/>
          </rPr>
          <t>Administrator:</t>
        </r>
        <r>
          <rPr>
            <sz val="9"/>
            <rFont val="宋体"/>
            <charset val="134"/>
          </rPr>
          <t xml:space="preserve">
甩货之前付款了</t>
        </r>
      </text>
    </comment>
    <comment ref="Q924" authorId="0">
      <text>
        <r>
          <rPr>
            <b/>
            <sz val="9"/>
            <rFont val="宋体"/>
            <charset val="134"/>
          </rPr>
          <t>Administrator:</t>
        </r>
        <r>
          <rPr>
            <sz val="9"/>
            <rFont val="宋体"/>
            <charset val="134"/>
          </rPr>
          <t xml:space="preserve">
2022.4.29收24928</t>
        </r>
      </text>
    </comment>
    <comment ref="T924" authorId="0">
      <text>
        <r>
          <rPr>
            <b/>
            <sz val="9"/>
            <rFont val="宋体"/>
            <charset val="134"/>
          </rPr>
          <t>Administrator:</t>
        </r>
        <r>
          <rPr>
            <sz val="9"/>
            <rFont val="宋体"/>
            <charset val="134"/>
          </rPr>
          <t xml:space="preserve">
2022.5.27收57268.78</t>
        </r>
      </text>
    </comment>
    <comment ref="P925" authorId="0">
      <text>
        <r>
          <rPr>
            <b/>
            <sz val="9"/>
            <rFont val="宋体"/>
            <charset val="134"/>
          </rPr>
          <t>Administrator:</t>
        </r>
        <r>
          <rPr>
            <sz val="9"/>
            <rFont val="宋体"/>
            <charset val="134"/>
          </rPr>
          <t xml:space="preserve">
J4261甩货1335.79美金已付款</t>
        </r>
      </text>
    </comment>
    <comment ref="Q926" authorId="0">
      <text>
        <r>
          <rPr>
            <b/>
            <sz val="9"/>
            <rFont val="宋体"/>
            <charset val="134"/>
          </rPr>
          <t>Administrator:</t>
        </r>
        <r>
          <rPr>
            <sz val="9"/>
            <rFont val="宋体"/>
            <charset val="134"/>
          </rPr>
          <t xml:space="preserve">
2022.5.12收</t>
        </r>
      </text>
    </comment>
    <comment ref="Q927" authorId="0">
      <text>
        <r>
          <rPr>
            <b/>
            <sz val="9"/>
            <rFont val="宋体"/>
            <charset val="134"/>
          </rPr>
          <t>Administrator:</t>
        </r>
        <r>
          <rPr>
            <sz val="9"/>
            <rFont val="宋体"/>
            <charset val="134"/>
          </rPr>
          <t xml:space="preserve">
2022.5.16收24966+24966+24981.8
2022.5.17收 24981.8</t>
        </r>
      </text>
    </comment>
    <comment ref="Q929" authorId="0">
      <text>
        <r>
          <rPr>
            <b/>
            <sz val="9"/>
            <rFont val="宋体"/>
            <charset val="134"/>
          </rPr>
          <t>Administrator:</t>
        </r>
        <r>
          <rPr>
            <sz val="9"/>
            <rFont val="宋体"/>
            <charset val="134"/>
          </rPr>
          <t xml:space="preserve">
2022.6.6收10038</t>
        </r>
      </text>
    </comment>
    <comment ref="Q930" authorId="0">
      <text>
        <r>
          <rPr>
            <b/>
            <sz val="9"/>
            <rFont val="宋体"/>
            <charset val="134"/>
          </rPr>
          <t>Administrator:</t>
        </r>
        <r>
          <rPr>
            <sz val="9"/>
            <rFont val="宋体"/>
            <charset val="134"/>
          </rPr>
          <t xml:space="preserve">
2022.6.9收</t>
        </r>
      </text>
    </comment>
    <comment ref="T935" authorId="0">
      <text>
        <r>
          <rPr>
            <b/>
            <sz val="9"/>
            <rFont val="宋体"/>
            <charset val="134"/>
          </rPr>
          <t>Administrator:</t>
        </r>
        <r>
          <rPr>
            <sz val="9"/>
            <rFont val="宋体"/>
            <charset val="134"/>
          </rPr>
          <t xml:space="preserve">
2020.4.7收</t>
        </r>
      </text>
    </comment>
    <comment ref="Q936" authorId="0">
      <text>
        <r>
          <rPr>
            <b/>
            <sz val="9"/>
            <rFont val="宋体"/>
            <charset val="134"/>
          </rPr>
          <t>Administrator:</t>
        </r>
        <r>
          <rPr>
            <sz val="9"/>
            <rFont val="宋体"/>
            <charset val="134"/>
          </rPr>
          <t xml:space="preserve">
2020.9.14收</t>
        </r>
      </text>
    </comment>
    <comment ref="T936" authorId="0">
      <text>
        <r>
          <rPr>
            <b/>
            <sz val="9"/>
            <rFont val="宋体"/>
            <charset val="134"/>
          </rPr>
          <t>Administrator:</t>
        </r>
        <r>
          <rPr>
            <sz val="9"/>
            <rFont val="宋体"/>
            <charset val="134"/>
          </rPr>
          <t xml:space="preserve">
2021.1.18共收29626美金
X3882: $ 11807.55
J3884: $13628.65
客户多打了$4189.8转走了</t>
        </r>
      </text>
    </comment>
    <comment ref="Q937" authorId="0">
      <text>
        <r>
          <rPr>
            <b/>
            <sz val="9"/>
            <rFont val="宋体"/>
            <charset val="134"/>
          </rPr>
          <t>Administrator:</t>
        </r>
        <r>
          <rPr>
            <sz val="9"/>
            <rFont val="宋体"/>
            <charset val="134"/>
          </rPr>
          <t xml:space="preserve">
2020.9.29收2291.8</t>
        </r>
      </text>
    </comment>
    <comment ref="T937" authorId="0">
      <text>
        <r>
          <rPr>
            <b/>
            <sz val="9"/>
            <rFont val="宋体"/>
            <charset val="134"/>
          </rPr>
          <t>Administrator:</t>
        </r>
        <r>
          <rPr>
            <sz val="9"/>
            <rFont val="宋体"/>
            <charset val="134"/>
          </rPr>
          <t xml:space="preserve">
2020.11.13收6662.8</t>
        </r>
      </text>
    </comment>
    <comment ref="Q941" authorId="0">
      <text>
        <r>
          <rPr>
            <b/>
            <sz val="9"/>
            <rFont val="Tahoma"/>
            <charset val="134"/>
          </rPr>
          <t>Administrator:</t>
        </r>
        <r>
          <rPr>
            <sz val="9"/>
            <rFont val="Tahoma"/>
            <charset val="134"/>
          </rPr>
          <t xml:space="preserve">
2018.7.24 </t>
        </r>
        <r>
          <rPr>
            <sz val="9"/>
            <rFont val="宋体"/>
            <charset val="134"/>
          </rPr>
          <t>到款</t>
        </r>
      </text>
    </comment>
    <comment ref="Q942" authorId="1">
      <text>
        <r>
          <rPr>
            <b/>
            <sz val="11"/>
            <rFont val="MS PGothic"/>
            <charset val="134"/>
          </rPr>
          <t>Microsoft Office 用户: USD4622 汇率 6.49</t>
        </r>
      </text>
    </comment>
    <comment ref="Q943" authorId="0">
      <text>
        <r>
          <rPr>
            <b/>
            <sz val="9"/>
            <rFont val="Tahoma"/>
            <charset val="134"/>
          </rPr>
          <t>Administrator:</t>
        </r>
        <r>
          <rPr>
            <sz val="9"/>
            <rFont val="Tahoma"/>
            <charset val="134"/>
          </rPr>
          <t xml:space="preserve">
</t>
        </r>
        <r>
          <rPr>
            <sz val="9"/>
            <rFont val="宋体"/>
            <charset val="134"/>
          </rPr>
          <t>都是发货后收全部尾款。报关后收尾款。
订金一般转做下一票订金。</t>
        </r>
      </text>
    </comment>
    <comment ref="R943" authorId="0">
      <text>
        <r>
          <rPr>
            <b/>
            <sz val="9"/>
            <rFont val="宋体"/>
            <charset val="134"/>
          </rPr>
          <t>Administrator:</t>
        </r>
        <r>
          <rPr>
            <sz val="9"/>
            <rFont val="宋体"/>
            <charset val="134"/>
          </rPr>
          <t xml:space="preserve">
9.7日到账全款，20000人民币是待在账户里的定金</t>
        </r>
      </text>
    </comment>
    <comment ref="T943" authorId="0">
      <text>
        <r>
          <rPr>
            <b/>
            <sz val="9"/>
            <rFont val="宋体"/>
            <charset val="134"/>
          </rPr>
          <t>Administrator:</t>
        </r>
        <r>
          <rPr>
            <sz val="9"/>
            <rFont val="宋体"/>
            <charset val="134"/>
          </rPr>
          <t xml:space="preserve">
9.7日到账全款，20000人民币是待在账户里的定金</t>
        </r>
      </text>
    </comment>
    <comment ref="U943" authorId="0">
      <text>
        <r>
          <rPr>
            <b/>
            <sz val="9"/>
            <rFont val="宋体"/>
            <charset val="134"/>
          </rPr>
          <t>Administrator:</t>
        </r>
        <r>
          <rPr>
            <sz val="9"/>
            <rFont val="宋体"/>
            <charset val="134"/>
          </rPr>
          <t xml:space="preserve">
9.7日到账全款，20000人民币是待在账户里的定金</t>
        </r>
      </text>
    </comment>
    <comment ref="Q952" authorId="0">
      <text>
        <r>
          <rPr>
            <b/>
            <sz val="9"/>
            <rFont val="宋体"/>
            <charset val="134"/>
          </rPr>
          <t xml:space="preserve">Administrator:
</t>
        </r>
        <r>
          <rPr>
            <sz val="9"/>
            <rFont val="宋体"/>
            <charset val="134"/>
          </rPr>
          <t>汇率6.9  50000RMB</t>
        </r>
      </text>
    </comment>
    <comment ref="R952" authorId="0">
      <text>
        <r>
          <rPr>
            <b/>
            <sz val="9"/>
            <rFont val="宋体"/>
            <charset val="134"/>
          </rPr>
          <t>Administrator:</t>
        </r>
        <r>
          <rPr>
            <sz val="9"/>
            <rFont val="宋体"/>
            <charset val="134"/>
          </rPr>
          <t xml:space="preserve">
托收金额
差188差额部分打RMB1.9 到0215卡</t>
        </r>
      </text>
    </comment>
    <comment ref="U952" authorId="0">
      <text>
        <r>
          <rPr>
            <b/>
            <sz val="9"/>
            <rFont val="宋体"/>
            <charset val="134"/>
          </rPr>
          <t>Administrator:</t>
        </r>
        <r>
          <rPr>
            <sz val="9"/>
            <rFont val="宋体"/>
            <charset val="134"/>
          </rPr>
          <t xml:space="preserve">
托收金额
差188差额部分</t>
        </r>
      </text>
    </comment>
    <comment ref="R958" authorId="0">
      <text>
        <r>
          <rPr>
            <b/>
            <sz val="9"/>
            <rFont val="宋体"/>
            <charset val="134"/>
          </rPr>
          <t xml:space="preserve">Administrator:
</t>
        </r>
        <r>
          <rPr>
            <sz val="9"/>
            <rFont val="宋体"/>
            <charset val="134"/>
          </rPr>
          <t>有20000 RMB 定金</t>
        </r>
      </text>
    </comment>
    <comment ref="T958" authorId="0">
      <text>
        <r>
          <rPr>
            <b/>
            <sz val="9"/>
            <rFont val="宋体"/>
            <charset val="134"/>
          </rPr>
          <t>Administrator:</t>
        </r>
        <r>
          <rPr>
            <sz val="9"/>
            <rFont val="宋体"/>
            <charset val="134"/>
          </rPr>
          <t xml:space="preserve">
38427  1.11</t>
        </r>
      </text>
    </comment>
    <comment ref="U958" authorId="0">
      <text>
        <r>
          <rPr>
            <b/>
            <sz val="9"/>
            <rFont val="宋体"/>
            <charset val="134"/>
          </rPr>
          <t xml:space="preserve">Administrator:
</t>
        </r>
        <r>
          <rPr>
            <sz val="9"/>
            <rFont val="宋体"/>
            <charset val="134"/>
          </rPr>
          <t>有20000 RMB 定金</t>
        </r>
      </text>
    </comment>
    <comment ref="Q961" authorId="0">
      <text>
        <r>
          <rPr>
            <b/>
            <sz val="9"/>
            <rFont val="宋体"/>
            <charset val="134"/>
          </rPr>
          <t>Administrator:
6693.5  实际收</t>
        </r>
      </text>
    </comment>
    <comment ref="Q963" authorId="0">
      <text>
        <r>
          <rPr>
            <b/>
            <sz val="9"/>
            <rFont val="宋体"/>
            <charset val="134"/>
          </rPr>
          <t>Administrator:</t>
        </r>
        <r>
          <rPr>
            <sz val="9"/>
            <rFont val="宋体"/>
            <charset val="134"/>
          </rPr>
          <t xml:space="preserve">
6510</t>
        </r>
      </text>
    </comment>
    <comment ref="Q964" authorId="0">
      <text>
        <r>
          <rPr>
            <b/>
            <sz val="9"/>
            <rFont val="宋体"/>
            <charset val="134"/>
          </rPr>
          <t>Administrator:</t>
        </r>
        <r>
          <rPr>
            <sz val="9"/>
            <rFont val="宋体"/>
            <charset val="134"/>
          </rPr>
          <t xml:space="preserve">
3.4 2075模具费 3.18</t>
        </r>
      </text>
    </comment>
    <comment ref="P968" authorId="0">
      <text>
        <r>
          <rPr>
            <b/>
            <sz val="9"/>
            <rFont val="宋体"/>
            <charset val="134"/>
          </rPr>
          <t>Administrator:</t>
        </r>
        <r>
          <rPr>
            <sz val="9"/>
            <rFont val="宋体"/>
            <charset val="134"/>
          </rPr>
          <t xml:space="preserve">
5.15</t>
        </r>
      </text>
    </comment>
    <comment ref="T972" authorId="0">
      <text>
        <r>
          <rPr>
            <b/>
            <sz val="9"/>
            <rFont val="宋体"/>
            <charset val="134"/>
          </rPr>
          <t>Administrator:</t>
        </r>
        <r>
          <rPr>
            <sz val="9"/>
            <rFont val="宋体"/>
            <charset val="134"/>
          </rPr>
          <t xml:space="preserve">
尾款一共USD15388.1
19.12.9实收RMB38600   2109.12.12实收USD9869.1</t>
        </r>
      </text>
    </comment>
    <comment ref="Q974" authorId="0">
      <text>
        <r>
          <rPr>
            <b/>
            <sz val="9"/>
            <rFont val="宋体"/>
            <charset val="134"/>
          </rPr>
          <t>Administrator:</t>
        </r>
        <r>
          <rPr>
            <sz val="9"/>
            <rFont val="宋体"/>
            <charset val="134"/>
          </rPr>
          <t xml:space="preserve">
实收10850.75</t>
        </r>
      </text>
    </comment>
    <comment ref="P976" authorId="0">
      <text>
        <r>
          <rPr>
            <b/>
            <sz val="9"/>
            <rFont val="宋体"/>
            <charset val="134"/>
          </rPr>
          <t>Administrator:
包括岩棉1413.36</t>
        </r>
      </text>
    </comment>
    <comment ref="Q977" authorId="0">
      <text>
        <r>
          <rPr>
            <b/>
            <sz val="9"/>
            <rFont val="宋体"/>
            <charset val="134"/>
          </rPr>
          <t>Administrator:</t>
        </r>
        <r>
          <rPr>
            <sz val="9"/>
            <rFont val="宋体"/>
            <charset val="134"/>
          </rPr>
          <t xml:space="preserve">
付6765美金收到6689.76美金</t>
        </r>
      </text>
    </comment>
    <comment ref="Q979" authorId="0">
      <text>
        <r>
          <rPr>
            <b/>
            <sz val="9"/>
            <rFont val="宋体"/>
            <charset val="134"/>
          </rPr>
          <t>Administrator:实收</t>
        </r>
        <r>
          <rPr>
            <sz val="9"/>
            <rFont val="宋体"/>
            <charset val="134"/>
          </rPr>
          <t>6159.5</t>
        </r>
      </text>
    </comment>
    <comment ref="T979" authorId="0">
      <text>
        <r>
          <rPr>
            <b/>
            <sz val="9"/>
            <rFont val="宋体"/>
            <charset val="134"/>
          </rPr>
          <t>Administrator:</t>
        </r>
        <r>
          <rPr>
            <sz val="9"/>
            <rFont val="宋体"/>
            <charset val="134"/>
          </rPr>
          <t xml:space="preserve">
应付15637.9</t>
        </r>
      </text>
    </comment>
    <comment ref="P980" authorId="0">
      <text>
        <r>
          <rPr>
            <b/>
            <sz val="9"/>
            <rFont val="宋体"/>
            <charset val="134"/>
          </rPr>
          <t>Administrator:</t>
        </r>
        <r>
          <rPr>
            <sz val="9"/>
            <rFont val="宋体"/>
            <charset val="134"/>
          </rPr>
          <t xml:space="preserve">
给客户寄200个口罩 快递费37美金</t>
        </r>
      </text>
    </comment>
    <comment ref="T980" authorId="0">
      <text>
        <r>
          <rPr>
            <b/>
            <sz val="9"/>
            <rFont val="宋体"/>
            <charset val="134"/>
          </rPr>
          <t>Administrator:</t>
        </r>
        <r>
          <rPr>
            <sz val="9"/>
            <rFont val="宋体"/>
            <charset val="134"/>
          </rPr>
          <t xml:space="preserve">
2020.4.25收</t>
        </r>
      </text>
    </comment>
    <comment ref="P981" authorId="0">
      <text>
        <r>
          <rPr>
            <b/>
            <sz val="9"/>
            <rFont val="宋体"/>
            <charset val="134"/>
          </rPr>
          <t>Administrator:</t>
        </r>
        <r>
          <rPr>
            <sz val="9"/>
            <rFont val="宋体"/>
            <charset val="134"/>
          </rPr>
          <t xml:space="preserve">
轻钢17365岩棉664.56</t>
        </r>
      </text>
    </comment>
    <comment ref="Q983" authorId="0">
      <text>
        <r>
          <rPr>
            <b/>
            <sz val="9"/>
            <rFont val="宋体"/>
            <charset val="134"/>
          </rPr>
          <t>Administrator:</t>
        </r>
        <r>
          <rPr>
            <sz val="9"/>
            <rFont val="宋体"/>
            <charset val="134"/>
          </rPr>
          <t xml:space="preserve">
19.12.12  19.12.14打款</t>
        </r>
      </text>
    </comment>
    <comment ref="P984" authorId="0">
      <text>
        <r>
          <rPr>
            <b/>
            <sz val="9"/>
            <rFont val="宋体"/>
            <charset val="134"/>
          </rPr>
          <t>Administrator:</t>
        </r>
        <r>
          <rPr>
            <sz val="9"/>
            <rFont val="宋体"/>
            <charset val="134"/>
          </rPr>
          <t xml:space="preserve">
发票值25229美金 多装的836美金之前付款 J3667甩货</t>
        </r>
      </text>
    </comment>
    <comment ref="Q984" authorId="0">
      <text>
        <r>
          <rPr>
            <b/>
            <sz val="9"/>
            <rFont val="宋体"/>
            <charset val="134"/>
          </rPr>
          <t>Administrator:</t>
        </r>
        <r>
          <rPr>
            <sz val="9"/>
            <rFont val="宋体"/>
            <charset val="134"/>
          </rPr>
          <t xml:space="preserve">
2020.1.16</t>
        </r>
      </text>
    </comment>
    <comment ref="T984" authorId="0">
      <text>
        <r>
          <rPr>
            <b/>
            <sz val="9"/>
            <rFont val="宋体"/>
            <charset val="134"/>
          </rPr>
          <t>Administrator:水单</t>
        </r>
        <r>
          <rPr>
            <sz val="9"/>
            <rFont val="宋体"/>
            <charset val="134"/>
          </rPr>
          <t xml:space="preserve">
19583美金2020.6.9收</t>
        </r>
      </text>
    </comment>
    <comment ref="Q985" authorId="0">
      <text>
        <r>
          <rPr>
            <b/>
            <sz val="9"/>
            <rFont val="宋体"/>
            <charset val="134"/>
          </rPr>
          <t>Administrator:</t>
        </r>
        <r>
          <rPr>
            <sz val="9"/>
            <rFont val="宋体"/>
            <charset val="134"/>
          </rPr>
          <t xml:space="preserve">
2020.1.21 收RMB30750 汇率6.84</t>
        </r>
      </text>
    </comment>
    <comment ref="T985" authorId="0">
      <text>
        <r>
          <rPr>
            <b/>
            <sz val="9"/>
            <rFont val="宋体"/>
            <charset val="134"/>
          </rPr>
          <t>Administrator:</t>
        </r>
        <r>
          <rPr>
            <sz val="9"/>
            <rFont val="宋体"/>
            <charset val="134"/>
          </rPr>
          <t xml:space="preserve">
2020.6.11收</t>
        </r>
      </text>
    </comment>
    <comment ref="T986" authorId="0">
      <text>
        <r>
          <rPr>
            <b/>
            <sz val="9"/>
            <rFont val="宋体"/>
            <charset val="134"/>
          </rPr>
          <t>Administrator:</t>
        </r>
        <r>
          <rPr>
            <sz val="9"/>
            <rFont val="宋体"/>
            <charset val="134"/>
          </rPr>
          <t xml:space="preserve">
2020.6.15收</t>
        </r>
      </text>
    </comment>
    <comment ref="T987" authorId="0">
      <text>
        <r>
          <rPr>
            <b/>
            <sz val="9"/>
            <rFont val="宋体"/>
            <charset val="134"/>
          </rPr>
          <t>Administrator:</t>
        </r>
        <r>
          <rPr>
            <sz val="9"/>
            <rFont val="宋体"/>
            <charset val="134"/>
          </rPr>
          <t xml:space="preserve">
2020.6.5收</t>
        </r>
      </text>
    </comment>
    <comment ref="Q988" authorId="0">
      <text>
        <r>
          <rPr>
            <b/>
            <sz val="9"/>
            <rFont val="宋体"/>
            <charset val="134"/>
          </rPr>
          <t>Administrator:</t>
        </r>
        <r>
          <rPr>
            <sz val="9"/>
            <rFont val="宋体"/>
            <charset val="134"/>
          </rPr>
          <t xml:space="preserve">
2020.2.18收到五万人民币  其中一万折合$1410.84做定金  剩下四万做J3834定金</t>
        </r>
      </text>
    </comment>
    <comment ref="T988" authorId="0">
      <text>
        <r>
          <rPr>
            <b/>
            <sz val="9"/>
            <rFont val="宋体"/>
            <charset val="134"/>
          </rPr>
          <t>Administrator:</t>
        </r>
        <r>
          <rPr>
            <sz val="9"/>
            <rFont val="宋体"/>
            <charset val="134"/>
          </rPr>
          <t xml:space="preserve">
2020.5.22收</t>
        </r>
      </text>
    </comment>
    <comment ref="Q989" authorId="0">
      <text>
        <r>
          <rPr>
            <b/>
            <sz val="9"/>
            <rFont val="宋体"/>
            <charset val="134"/>
          </rPr>
          <t>Administrator:</t>
        </r>
        <r>
          <rPr>
            <sz val="9"/>
            <rFont val="宋体"/>
            <charset val="134"/>
          </rPr>
          <t xml:space="preserve">
2020.3.9收6295.74美金</t>
        </r>
      </text>
    </comment>
    <comment ref="T989" authorId="0">
      <text>
        <r>
          <rPr>
            <b/>
            <sz val="9"/>
            <rFont val="宋体"/>
            <charset val="134"/>
          </rPr>
          <t>Administrator:</t>
        </r>
        <r>
          <rPr>
            <sz val="9"/>
            <rFont val="宋体"/>
            <charset val="134"/>
          </rPr>
          <t xml:space="preserve">
2020.7.8收</t>
        </r>
      </text>
    </comment>
    <comment ref="Q990" authorId="0">
      <text>
        <r>
          <rPr>
            <b/>
            <sz val="9"/>
            <rFont val="宋体"/>
            <charset val="134"/>
          </rPr>
          <t>Administrator:</t>
        </r>
        <r>
          <rPr>
            <sz val="9"/>
            <rFont val="宋体"/>
            <charset val="134"/>
          </rPr>
          <t xml:space="preserve">
2020.3.5收3973美金</t>
        </r>
      </text>
    </comment>
    <comment ref="T990" authorId="0">
      <text>
        <r>
          <rPr>
            <b/>
            <sz val="9"/>
            <rFont val="宋体"/>
            <charset val="134"/>
          </rPr>
          <t>Administrator:</t>
        </r>
        <r>
          <rPr>
            <sz val="9"/>
            <rFont val="宋体"/>
            <charset val="134"/>
          </rPr>
          <t xml:space="preserve">
2020.7.22</t>
        </r>
      </text>
    </comment>
    <comment ref="Q991" authorId="0">
      <text>
        <r>
          <rPr>
            <b/>
            <sz val="9"/>
            <rFont val="宋体"/>
            <charset val="134"/>
          </rPr>
          <t>Administrator:</t>
        </r>
        <r>
          <rPr>
            <sz val="9"/>
            <rFont val="宋体"/>
            <charset val="134"/>
          </rPr>
          <t xml:space="preserve">
2020.3.5收22700RMB 汇率6.92</t>
        </r>
      </text>
    </comment>
    <comment ref="T991" authorId="0">
      <text>
        <r>
          <rPr>
            <b/>
            <sz val="9"/>
            <rFont val="宋体"/>
            <charset val="134"/>
          </rPr>
          <t>Administrator:</t>
        </r>
        <r>
          <rPr>
            <sz val="9"/>
            <rFont val="宋体"/>
            <charset val="134"/>
          </rPr>
          <t xml:space="preserve">
2020.9.27收13026.4
实际尾款13052.65客户按13066.4付款的</t>
        </r>
      </text>
    </comment>
    <comment ref="Q992" authorId="0">
      <text>
        <r>
          <rPr>
            <b/>
            <sz val="9"/>
            <rFont val="宋体"/>
            <charset val="134"/>
          </rPr>
          <t>Administrator:</t>
        </r>
        <r>
          <rPr>
            <sz val="9"/>
            <rFont val="宋体"/>
            <charset val="134"/>
          </rPr>
          <t xml:space="preserve">
2020.3.9收</t>
        </r>
      </text>
    </comment>
    <comment ref="T992" authorId="0">
      <text>
        <r>
          <rPr>
            <b/>
            <sz val="9"/>
            <rFont val="宋体"/>
            <charset val="134"/>
          </rPr>
          <t>Administrator:</t>
        </r>
        <r>
          <rPr>
            <sz val="9"/>
            <rFont val="宋体"/>
            <charset val="134"/>
          </rPr>
          <t xml:space="preserve">
2020.9.1收11048.53</t>
        </r>
      </text>
    </comment>
    <comment ref="Q993" authorId="0">
      <text>
        <r>
          <rPr>
            <b/>
            <sz val="9"/>
            <rFont val="宋体"/>
            <charset val="134"/>
          </rPr>
          <t>Administrator:</t>
        </r>
        <r>
          <rPr>
            <sz val="9"/>
            <rFont val="宋体"/>
            <charset val="134"/>
          </rPr>
          <t xml:space="preserve">
定金定金水单60830美金2020.3.18收到60802.5
$12827用于J3778-1定金
$25449用于-2定金
$12966用于-3定金</t>
        </r>
      </text>
    </comment>
    <comment ref="T993" authorId="0">
      <text>
        <r>
          <rPr>
            <b/>
            <sz val="9"/>
            <rFont val="宋体"/>
            <charset val="134"/>
          </rPr>
          <t>Administrator:</t>
        </r>
        <r>
          <rPr>
            <sz val="9"/>
            <rFont val="宋体"/>
            <charset val="134"/>
          </rPr>
          <t xml:space="preserve">
2020.7.7收</t>
        </r>
      </text>
    </comment>
    <comment ref="T994" authorId="0">
      <text>
        <r>
          <rPr>
            <b/>
            <sz val="9"/>
            <rFont val="宋体"/>
            <charset val="134"/>
          </rPr>
          <t>Administrator:</t>
        </r>
        <r>
          <rPr>
            <sz val="9"/>
            <rFont val="宋体"/>
            <charset val="134"/>
          </rPr>
          <t xml:space="preserve">
2020.5.7收</t>
        </r>
      </text>
    </comment>
    <comment ref="T995" authorId="0">
      <text>
        <r>
          <rPr>
            <b/>
            <sz val="9"/>
            <rFont val="宋体"/>
            <charset val="134"/>
          </rPr>
          <t>Administrator:</t>
        </r>
        <r>
          <rPr>
            <sz val="9"/>
            <rFont val="宋体"/>
            <charset val="134"/>
          </rPr>
          <t xml:space="preserve">
2020.5.29收65851.08美金
J3778部分尾款 $53930 + J3813订金 $11934</t>
        </r>
      </text>
    </comment>
    <comment ref="T996" authorId="0">
      <text>
        <r>
          <rPr>
            <b/>
            <sz val="9"/>
            <rFont val="宋体"/>
            <charset val="134"/>
          </rPr>
          <t>Administrator:</t>
        </r>
        <r>
          <rPr>
            <sz val="9"/>
            <rFont val="宋体"/>
            <charset val="134"/>
          </rPr>
          <t xml:space="preserve">
2020.5.29收 
-2-3尾款91544美金 一起安排的</t>
        </r>
      </text>
    </comment>
    <comment ref="Q997" authorId="0">
      <text>
        <r>
          <rPr>
            <b/>
            <sz val="9"/>
            <rFont val="宋体"/>
            <charset val="134"/>
          </rPr>
          <t>Administrator:</t>
        </r>
        <r>
          <rPr>
            <sz val="9"/>
            <rFont val="宋体"/>
            <charset val="134"/>
          </rPr>
          <t xml:space="preserve">
水单5677.16美金2020.3.23收5642.16美金  J3718多打898.68美金作为J3779定金
3115.53是2020.5.27收到</t>
        </r>
      </text>
    </comment>
    <comment ref="T997" authorId="0">
      <text>
        <r>
          <rPr>
            <b/>
            <sz val="9"/>
            <rFont val="宋体"/>
            <charset val="134"/>
          </rPr>
          <t>Administrator:</t>
        </r>
        <r>
          <rPr>
            <sz val="9"/>
            <rFont val="宋体"/>
            <charset val="134"/>
          </rPr>
          <t xml:space="preserve">
2020.7.14收 打的人民币</t>
        </r>
      </text>
    </comment>
    <comment ref="U997" authorId="0">
      <text>
        <r>
          <rPr>
            <b/>
            <sz val="9"/>
            <rFont val="宋体"/>
            <charset val="134"/>
          </rPr>
          <t>Administrator:</t>
        </r>
        <r>
          <rPr>
            <sz val="9"/>
            <rFont val="宋体"/>
            <charset val="134"/>
          </rPr>
          <t xml:space="preserve">
2020.7.15收</t>
        </r>
      </text>
    </comment>
    <comment ref="Q998" authorId="0">
      <text>
        <r>
          <rPr>
            <b/>
            <sz val="9"/>
            <rFont val="宋体"/>
            <charset val="134"/>
          </rPr>
          <t>Administrator:</t>
        </r>
        <r>
          <rPr>
            <sz val="9"/>
            <rFont val="宋体"/>
            <charset val="134"/>
          </rPr>
          <t xml:space="preserve">
2020.4.2收到83184港币 按汇率7.761 折合美金10718</t>
        </r>
      </text>
    </comment>
    <comment ref="T998" authorId="0">
      <text>
        <r>
          <rPr>
            <b/>
            <sz val="9"/>
            <rFont val="宋体"/>
            <charset val="134"/>
          </rPr>
          <t>Administrator:</t>
        </r>
        <r>
          <rPr>
            <sz val="9"/>
            <rFont val="宋体"/>
            <charset val="134"/>
          </rPr>
          <t xml:space="preserve">
港币入账 手续费多 2020.7.8到账</t>
        </r>
      </text>
    </comment>
    <comment ref="Q999" authorId="0">
      <text>
        <r>
          <rPr>
            <b/>
            <sz val="9"/>
            <rFont val="宋体"/>
            <charset val="134"/>
          </rPr>
          <t>Administrator:</t>
        </r>
        <r>
          <rPr>
            <sz val="9"/>
            <rFont val="宋体"/>
            <charset val="134"/>
          </rPr>
          <t xml:space="preserve">
2020.4.16 收 农行</t>
        </r>
      </text>
    </comment>
    <comment ref="T999" authorId="0">
      <text>
        <r>
          <rPr>
            <b/>
            <sz val="9"/>
            <rFont val="宋体"/>
            <charset val="134"/>
          </rPr>
          <t>Administrator:</t>
        </r>
        <r>
          <rPr>
            <sz val="9"/>
            <rFont val="宋体"/>
            <charset val="134"/>
          </rPr>
          <t xml:space="preserve">
2020.11.3收</t>
        </r>
      </text>
    </comment>
    <comment ref="Q1000" authorId="0">
      <text>
        <r>
          <rPr>
            <b/>
            <sz val="9"/>
            <rFont val="宋体"/>
            <charset val="134"/>
          </rPr>
          <t>Administrator:</t>
        </r>
        <r>
          <rPr>
            <sz val="9"/>
            <rFont val="宋体"/>
            <charset val="134"/>
          </rPr>
          <t xml:space="preserve">
四万定金汇率7.06</t>
        </r>
      </text>
    </comment>
    <comment ref="T1000" authorId="0">
      <text>
        <r>
          <rPr>
            <b/>
            <sz val="9"/>
            <rFont val="宋体"/>
            <charset val="134"/>
          </rPr>
          <t>Administrator:</t>
        </r>
        <r>
          <rPr>
            <sz val="9"/>
            <rFont val="宋体"/>
            <charset val="134"/>
          </rPr>
          <t xml:space="preserve">
2020.6.8收 107480RMB 汇率7.07
</t>
        </r>
      </text>
    </comment>
    <comment ref="Q1001" authorId="0">
      <text>
        <r>
          <rPr>
            <b/>
            <sz val="9"/>
            <rFont val="宋体"/>
            <charset val="134"/>
          </rPr>
          <t>Administrator:</t>
        </r>
        <r>
          <rPr>
            <sz val="9"/>
            <rFont val="宋体"/>
            <charset val="134"/>
          </rPr>
          <t xml:space="preserve">
2020.5.9收8337.9</t>
        </r>
      </text>
    </comment>
    <comment ref="T1001" authorId="0">
      <text>
        <r>
          <rPr>
            <b/>
            <sz val="9"/>
            <rFont val="宋体"/>
            <charset val="134"/>
          </rPr>
          <t>Administrator:</t>
        </r>
        <r>
          <rPr>
            <sz val="9"/>
            <rFont val="宋体"/>
            <charset val="134"/>
          </rPr>
          <t xml:space="preserve">
2020.8.5收20015.66美金</t>
        </r>
      </text>
    </comment>
    <comment ref="Q1002" authorId="0">
      <text>
        <r>
          <rPr>
            <b/>
            <sz val="9"/>
            <rFont val="宋体"/>
            <charset val="134"/>
          </rPr>
          <t>Administrator:</t>
        </r>
        <r>
          <rPr>
            <sz val="9"/>
            <rFont val="宋体"/>
            <charset val="134"/>
          </rPr>
          <t xml:space="preserve">
2020.5.29收</t>
        </r>
      </text>
    </comment>
    <comment ref="T1002" authorId="0">
      <text>
        <r>
          <rPr>
            <b/>
            <sz val="9"/>
            <rFont val="宋体"/>
            <charset val="134"/>
          </rPr>
          <t>Administrator:</t>
        </r>
        <r>
          <rPr>
            <sz val="9"/>
            <rFont val="宋体"/>
            <charset val="134"/>
          </rPr>
          <t xml:space="preserve">
2020.7.21收</t>
        </r>
      </text>
    </comment>
    <comment ref="Q1003" authorId="0">
      <text>
        <r>
          <rPr>
            <b/>
            <sz val="9"/>
            <rFont val="宋体"/>
            <charset val="134"/>
          </rPr>
          <t>Administrator:</t>
        </r>
        <r>
          <rPr>
            <sz val="9"/>
            <rFont val="宋体"/>
            <charset val="134"/>
          </rPr>
          <t xml:space="preserve">
水单7741.14美金2020.5.29收
包含2527.21岩棉全款
M3717只装了1450.8美金的岩棉(岩棉定金还剩1076.41)</t>
        </r>
      </text>
    </comment>
    <comment ref="T1003" authorId="0">
      <text>
        <r>
          <rPr>
            <b/>
            <sz val="9"/>
            <rFont val="宋体"/>
            <charset val="134"/>
          </rPr>
          <t>Administrator:</t>
        </r>
        <r>
          <rPr>
            <sz val="9"/>
            <rFont val="宋体"/>
            <charset val="134"/>
          </rPr>
          <t xml:space="preserve">
2020.7.16</t>
        </r>
      </text>
    </comment>
    <comment ref="Q1004" authorId="0">
      <text>
        <r>
          <rPr>
            <b/>
            <sz val="9"/>
            <rFont val="宋体"/>
            <charset val="134"/>
          </rPr>
          <t>Administrator:</t>
        </r>
        <r>
          <rPr>
            <sz val="9"/>
            <rFont val="宋体"/>
            <charset val="134"/>
          </rPr>
          <t xml:space="preserve">
2020.6.18收</t>
        </r>
      </text>
    </comment>
    <comment ref="T1004" authorId="0">
      <text>
        <r>
          <rPr>
            <b/>
            <sz val="9"/>
            <rFont val="宋体"/>
            <charset val="134"/>
          </rPr>
          <t>Administrator:</t>
        </r>
        <r>
          <rPr>
            <sz val="9"/>
            <rFont val="宋体"/>
            <charset val="134"/>
          </rPr>
          <t xml:space="preserve">
2020.7.31收</t>
        </r>
      </text>
    </comment>
    <comment ref="T1005" authorId="0">
      <text>
        <r>
          <rPr>
            <b/>
            <sz val="9"/>
            <rFont val="宋体"/>
            <charset val="134"/>
          </rPr>
          <t>Administrator:</t>
        </r>
        <r>
          <rPr>
            <sz val="9"/>
            <rFont val="宋体"/>
            <charset val="134"/>
          </rPr>
          <t xml:space="preserve">
2020.7.23</t>
        </r>
      </text>
    </comment>
    <comment ref="T1006" authorId="0">
      <text>
        <r>
          <rPr>
            <b/>
            <sz val="9"/>
            <rFont val="宋体"/>
            <charset val="134"/>
          </rPr>
          <t>Administrator:</t>
        </r>
        <r>
          <rPr>
            <sz val="9"/>
            <rFont val="宋体"/>
            <charset val="134"/>
          </rPr>
          <t xml:space="preserve">
2020.8.4收19703美金</t>
        </r>
      </text>
    </comment>
    <comment ref="Q1007" authorId="0">
      <text>
        <r>
          <rPr>
            <b/>
            <sz val="9"/>
            <rFont val="宋体"/>
            <charset val="134"/>
          </rPr>
          <t>Administrator:</t>
        </r>
        <r>
          <rPr>
            <sz val="9"/>
            <rFont val="宋体"/>
            <charset val="134"/>
          </rPr>
          <t xml:space="preserve">
2020.7.9收13308</t>
        </r>
      </text>
    </comment>
    <comment ref="T1007" authorId="0">
      <text>
        <r>
          <rPr>
            <b/>
            <sz val="9"/>
            <rFont val="宋体"/>
            <charset val="134"/>
          </rPr>
          <t>Administrator:</t>
        </r>
        <r>
          <rPr>
            <sz val="9"/>
            <rFont val="宋体"/>
            <charset val="134"/>
          </rPr>
          <t xml:space="preserve">
2020.8.20收29743美金</t>
        </r>
      </text>
    </comment>
    <comment ref="Q1008" authorId="0">
      <text>
        <r>
          <rPr>
            <b/>
            <sz val="9"/>
            <rFont val="宋体"/>
            <charset val="134"/>
          </rPr>
          <t>Administrator:</t>
        </r>
        <r>
          <rPr>
            <sz val="9"/>
            <rFont val="宋体"/>
            <charset val="134"/>
          </rPr>
          <t xml:space="preserve">
2020.7.9收9179</t>
        </r>
      </text>
    </comment>
    <comment ref="T1008" authorId="0">
      <text>
        <r>
          <rPr>
            <b/>
            <sz val="9"/>
            <rFont val="宋体"/>
            <charset val="134"/>
          </rPr>
          <t>Administrator:</t>
        </r>
        <r>
          <rPr>
            <sz val="9"/>
            <rFont val="宋体"/>
            <charset val="134"/>
          </rPr>
          <t xml:space="preserve">
2020.8.19收18742.25</t>
        </r>
      </text>
    </comment>
    <comment ref="Q1009" authorId="0">
      <text>
        <r>
          <rPr>
            <b/>
            <sz val="9"/>
            <rFont val="宋体"/>
            <charset val="134"/>
          </rPr>
          <t>Administrator:</t>
        </r>
        <r>
          <rPr>
            <sz val="9"/>
            <rFont val="宋体"/>
            <charset val="134"/>
          </rPr>
          <t xml:space="preserve">
2020.7.15收 47000RMB 汇率6.98</t>
        </r>
      </text>
    </comment>
    <comment ref="T1009" authorId="0">
      <text>
        <r>
          <rPr>
            <b/>
            <sz val="9"/>
            <rFont val="宋体"/>
            <charset val="134"/>
          </rPr>
          <t>Administrator:</t>
        </r>
        <r>
          <rPr>
            <sz val="9"/>
            <rFont val="宋体"/>
            <charset val="134"/>
          </rPr>
          <t xml:space="preserve">
2020.8.14收</t>
        </r>
      </text>
    </comment>
    <comment ref="Q1010" authorId="0">
      <text>
        <r>
          <rPr>
            <b/>
            <sz val="9"/>
            <rFont val="宋体"/>
            <charset val="134"/>
          </rPr>
          <t>Administrator:</t>
        </r>
        <r>
          <rPr>
            <sz val="9"/>
            <rFont val="宋体"/>
            <charset val="134"/>
          </rPr>
          <t xml:space="preserve">
2020.7.19收 汇率6.98
打49200人民币 1200是打包带钱</t>
        </r>
      </text>
    </comment>
    <comment ref="T1010" authorId="0">
      <text>
        <r>
          <rPr>
            <b/>
            <sz val="9"/>
            <rFont val="宋体"/>
            <charset val="134"/>
          </rPr>
          <t>Administrator:</t>
        </r>
        <r>
          <rPr>
            <sz val="9"/>
            <rFont val="宋体"/>
            <charset val="134"/>
          </rPr>
          <t xml:space="preserve">
2020.9.8收RMB109100.65
汇率6.82</t>
        </r>
      </text>
    </comment>
    <comment ref="Q1011" authorId="0">
      <text>
        <r>
          <rPr>
            <b/>
            <sz val="9"/>
            <rFont val="宋体"/>
            <charset val="134"/>
          </rPr>
          <t>Administrator:</t>
        </r>
        <r>
          <rPr>
            <sz val="9"/>
            <rFont val="宋体"/>
            <charset val="134"/>
          </rPr>
          <t xml:space="preserve">
4万是J3746的订单打的，扣掉900模具费
15000RMB 2020.7.3收到</t>
        </r>
      </text>
    </comment>
    <comment ref="T1011" authorId="0">
      <text>
        <r>
          <rPr>
            <b/>
            <sz val="9"/>
            <rFont val="宋体"/>
            <charset val="134"/>
          </rPr>
          <t>Administrator:</t>
        </r>
        <r>
          <rPr>
            <sz val="9"/>
            <rFont val="宋体"/>
            <charset val="134"/>
          </rPr>
          <t xml:space="preserve">
2020.8.21收19747</t>
        </r>
      </text>
    </comment>
    <comment ref="Q1012" authorId="0">
      <text>
        <r>
          <rPr>
            <b/>
            <sz val="9"/>
            <rFont val="宋体"/>
            <charset val="134"/>
          </rPr>
          <t>Administrator:</t>
        </r>
        <r>
          <rPr>
            <sz val="9"/>
            <rFont val="宋体"/>
            <charset val="134"/>
          </rPr>
          <t xml:space="preserve">
2020.7.31收</t>
        </r>
      </text>
    </comment>
    <comment ref="T1012" authorId="0">
      <text>
        <r>
          <rPr>
            <b/>
            <sz val="9"/>
            <rFont val="宋体"/>
            <charset val="134"/>
          </rPr>
          <t>Administrator:</t>
        </r>
        <r>
          <rPr>
            <sz val="9"/>
            <rFont val="宋体"/>
            <charset val="134"/>
          </rPr>
          <t xml:space="preserve">
2020.9.2收</t>
        </r>
      </text>
    </comment>
    <comment ref="T1013" authorId="0">
      <text>
        <r>
          <rPr>
            <b/>
            <sz val="9"/>
            <rFont val="宋体"/>
            <charset val="134"/>
          </rPr>
          <t>Administrator:</t>
        </r>
        <r>
          <rPr>
            <sz val="9"/>
            <rFont val="宋体"/>
            <charset val="134"/>
          </rPr>
          <t xml:space="preserve">
2020.9.24收</t>
        </r>
      </text>
    </comment>
    <comment ref="Q1014" authorId="0">
      <text>
        <r>
          <rPr>
            <b/>
            <sz val="9"/>
            <rFont val="宋体"/>
            <charset val="134"/>
          </rPr>
          <t>Administrator:</t>
        </r>
        <r>
          <rPr>
            <sz val="9"/>
            <rFont val="宋体"/>
            <charset val="134"/>
          </rPr>
          <t xml:space="preserve">
39100+15000 J3849定金移过来的
730元 （此单返还的模具费）
2020.8.13 收三万人民币</t>
        </r>
      </text>
    </comment>
    <comment ref="T1014" authorId="0">
      <text>
        <r>
          <rPr>
            <b/>
            <sz val="9"/>
            <rFont val="宋体"/>
            <charset val="134"/>
          </rPr>
          <t>Administrator:</t>
        </r>
        <r>
          <rPr>
            <sz val="9"/>
            <rFont val="宋体"/>
            <charset val="134"/>
          </rPr>
          <t xml:space="preserve">
2020.10.13收39633.90美金</t>
        </r>
      </text>
    </comment>
    <comment ref="Q1015" authorId="0">
      <text>
        <r>
          <rPr>
            <b/>
            <sz val="9"/>
            <rFont val="宋体"/>
            <charset val="134"/>
          </rPr>
          <t>Administrator:</t>
        </r>
        <r>
          <rPr>
            <sz val="9"/>
            <rFont val="宋体"/>
            <charset val="134"/>
          </rPr>
          <t xml:space="preserve">
2020.8.17收8209.92美金
2020.8.18收4596.9美金</t>
        </r>
      </text>
    </comment>
    <comment ref="T1015" authorId="0">
      <text>
        <r>
          <rPr>
            <b/>
            <sz val="9"/>
            <rFont val="宋体"/>
            <charset val="134"/>
          </rPr>
          <t>Administrator:</t>
        </r>
        <r>
          <rPr>
            <sz val="9"/>
            <rFont val="宋体"/>
            <charset val="134"/>
          </rPr>
          <t xml:space="preserve">
2020.10.9收</t>
        </r>
      </text>
    </comment>
    <comment ref="U1015" authorId="0">
      <text>
        <r>
          <rPr>
            <b/>
            <sz val="9"/>
            <rFont val="宋体"/>
            <charset val="134"/>
          </rPr>
          <t>Administrator:</t>
        </r>
        <r>
          <rPr>
            <sz val="9"/>
            <rFont val="宋体"/>
            <charset val="134"/>
          </rPr>
          <t xml:space="preserve">
2020.10.10收</t>
        </r>
      </text>
    </comment>
    <comment ref="Q1016" authorId="0">
      <text>
        <r>
          <rPr>
            <b/>
            <sz val="9"/>
            <rFont val="宋体"/>
            <charset val="134"/>
          </rPr>
          <t>Administrator:</t>
        </r>
        <r>
          <rPr>
            <sz val="9"/>
            <rFont val="宋体"/>
            <charset val="134"/>
          </rPr>
          <t xml:space="preserve">
2020.8.25收</t>
        </r>
      </text>
    </comment>
    <comment ref="T1016" authorId="0">
      <text>
        <r>
          <rPr>
            <b/>
            <sz val="9"/>
            <rFont val="宋体"/>
            <charset val="134"/>
          </rPr>
          <t>Administrator:</t>
        </r>
        <r>
          <rPr>
            <sz val="9"/>
            <rFont val="宋体"/>
            <charset val="134"/>
          </rPr>
          <t xml:space="preserve">
2020.10.1收到13904</t>
        </r>
      </text>
    </comment>
    <comment ref="P1017" authorId="0">
      <text>
        <r>
          <rPr>
            <b/>
            <sz val="9"/>
            <rFont val="宋体"/>
            <charset val="134"/>
          </rPr>
          <t>Administrator:</t>
        </r>
        <r>
          <rPr>
            <sz val="9"/>
            <rFont val="宋体"/>
            <charset val="134"/>
          </rPr>
          <t xml:space="preserve">
4200运费
1000装卸费
补贴650</t>
        </r>
      </text>
    </comment>
    <comment ref="Q1017" authorId="0">
      <text>
        <r>
          <rPr>
            <b/>
            <sz val="9"/>
            <rFont val="宋体"/>
            <charset val="134"/>
          </rPr>
          <t>Administrator:</t>
        </r>
        <r>
          <rPr>
            <sz val="9"/>
            <rFont val="宋体"/>
            <charset val="134"/>
          </rPr>
          <t xml:space="preserve">
定金打给经理了</t>
        </r>
      </text>
    </comment>
    <comment ref="Q1018" authorId="0">
      <text>
        <r>
          <rPr>
            <b/>
            <sz val="9"/>
            <rFont val="宋体"/>
            <charset val="134"/>
          </rPr>
          <t>Administrator:</t>
        </r>
        <r>
          <rPr>
            <sz val="9"/>
            <rFont val="宋体"/>
            <charset val="134"/>
          </rPr>
          <t xml:space="preserve">
2020.9.16收</t>
        </r>
      </text>
    </comment>
    <comment ref="T1018" authorId="0">
      <text>
        <r>
          <rPr>
            <b/>
            <sz val="9"/>
            <rFont val="宋体"/>
            <charset val="134"/>
          </rPr>
          <t>Administrator:</t>
        </r>
        <r>
          <rPr>
            <sz val="9"/>
            <rFont val="宋体"/>
            <charset val="134"/>
          </rPr>
          <t xml:space="preserve">
2020.11.18收30889</t>
        </r>
      </text>
    </comment>
    <comment ref="T1019" authorId="0">
      <text>
        <r>
          <rPr>
            <b/>
            <sz val="9"/>
            <rFont val="宋体"/>
            <charset val="134"/>
          </rPr>
          <t>Administrator:</t>
        </r>
        <r>
          <rPr>
            <sz val="9"/>
            <rFont val="宋体"/>
            <charset val="134"/>
          </rPr>
          <t xml:space="preserve">
2020.9.19收</t>
        </r>
      </text>
    </comment>
    <comment ref="P1020" authorId="0">
      <text>
        <r>
          <rPr>
            <b/>
            <sz val="9"/>
            <rFont val="宋体"/>
            <charset val="134"/>
          </rPr>
          <t>Administrator:</t>
        </r>
        <r>
          <rPr>
            <sz val="9"/>
            <rFont val="宋体"/>
            <charset val="134"/>
          </rPr>
          <t xml:space="preserve">
J3840已付未装货款的50%  2722.75美金</t>
        </r>
      </text>
    </comment>
    <comment ref="Q1020" authorId="0">
      <text>
        <r>
          <rPr>
            <b/>
            <sz val="9"/>
            <rFont val="宋体"/>
            <charset val="134"/>
          </rPr>
          <t>Administrator:</t>
        </r>
        <r>
          <rPr>
            <sz val="9"/>
            <rFont val="宋体"/>
            <charset val="134"/>
          </rPr>
          <t xml:space="preserve">
2020.9.24收7490</t>
        </r>
      </text>
    </comment>
    <comment ref="T1020" authorId="0">
      <text>
        <r>
          <rPr>
            <b/>
            <sz val="9"/>
            <rFont val="宋体"/>
            <charset val="134"/>
          </rPr>
          <t>Administrator:</t>
        </r>
        <r>
          <rPr>
            <sz val="9"/>
            <rFont val="宋体"/>
            <charset val="134"/>
          </rPr>
          <t xml:space="preserve">
2020.11.2收17523.7</t>
        </r>
      </text>
    </comment>
    <comment ref="P1021" authorId="0">
      <text>
        <r>
          <rPr>
            <b/>
            <sz val="9"/>
            <rFont val="宋体"/>
            <charset val="134"/>
          </rPr>
          <t>Administrator:</t>
        </r>
        <r>
          <rPr>
            <sz val="9"/>
            <rFont val="宋体"/>
            <charset val="134"/>
          </rPr>
          <t xml:space="preserve">
10箱3.5*35的钉子的费用 3066RMB</t>
        </r>
      </text>
    </comment>
    <comment ref="Q1021" authorId="0">
      <text>
        <r>
          <rPr>
            <b/>
            <sz val="9"/>
            <rFont val="宋体"/>
            <charset val="134"/>
          </rPr>
          <t>Administrator:</t>
        </r>
        <r>
          <rPr>
            <sz val="9"/>
            <rFont val="宋体"/>
            <charset val="134"/>
          </rPr>
          <t xml:space="preserve">
2020.9.25收15000
2020.11.2收3066</t>
        </r>
      </text>
    </comment>
    <comment ref="Q1022" authorId="0">
      <text>
        <r>
          <rPr>
            <b/>
            <sz val="9"/>
            <rFont val="宋体"/>
            <charset val="134"/>
          </rPr>
          <t>Administrator:</t>
        </r>
        <r>
          <rPr>
            <sz val="9"/>
            <rFont val="宋体"/>
            <charset val="134"/>
          </rPr>
          <t xml:space="preserve">
2020.10.9收7465</t>
        </r>
      </text>
    </comment>
    <comment ref="T1022" authorId="0">
      <text>
        <r>
          <rPr>
            <b/>
            <sz val="9"/>
            <rFont val="宋体"/>
            <charset val="134"/>
          </rPr>
          <t>Administrator:</t>
        </r>
        <r>
          <rPr>
            <sz val="9"/>
            <rFont val="宋体"/>
            <charset val="134"/>
          </rPr>
          <t xml:space="preserve">
2021.1.21收15198.5</t>
        </r>
      </text>
    </comment>
    <comment ref="Q1023" authorId="0">
      <text>
        <r>
          <rPr>
            <b/>
            <sz val="9"/>
            <rFont val="宋体"/>
            <charset val="134"/>
          </rPr>
          <t>Administrator:</t>
        </r>
        <r>
          <rPr>
            <sz val="9"/>
            <rFont val="宋体"/>
            <charset val="134"/>
          </rPr>
          <t xml:space="preserve">
2020.10.10收</t>
        </r>
      </text>
    </comment>
    <comment ref="T1023" authorId="0">
      <text>
        <r>
          <rPr>
            <b/>
            <sz val="9"/>
            <rFont val="宋体"/>
            <charset val="134"/>
          </rPr>
          <t>Administrator:</t>
        </r>
        <r>
          <rPr>
            <sz val="9"/>
            <rFont val="宋体"/>
            <charset val="134"/>
          </rPr>
          <t xml:space="preserve">
2020.12.11收41646.65</t>
        </r>
      </text>
    </comment>
    <comment ref="Q1024" authorId="0">
      <text>
        <r>
          <rPr>
            <b/>
            <sz val="9"/>
            <rFont val="宋体"/>
            <charset val="134"/>
          </rPr>
          <t>Administrator:</t>
        </r>
        <r>
          <rPr>
            <sz val="9"/>
            <rFont val="宋体"/>
            <charset val="134"/>
          </rPr>
          <t xml:space="preserve">
2020.10.16收</t>
        </r>
      </text>
    </comment>
    <comment ref="T1024" authorId="0">
      <text>
        <r>
          <rPr>
            <b/>
            <sz val="9"/>
            <rFont val="宋体"/>
            <charset val="134"/>
          </rPr>
          <t>Administrator:</t>
        </r>
        <r>
          <rPr>
            <sz val="9"/>
            <rFont val="宋体"/>
            <charset val="134"/>
          </rPr>
          <t xml:space="preserve">
2020.12.29收16579.05</t>
        </r>
      </text>
    </comment>
    <comment ref="Q1025" authorId="0">
      <text>
        <r>
          <rPr>
            <b/>
            <sz val="9"/>
            <rFont val="宋体"/>
            <charset val="134"/>
          </rPr>
          <t>Administrator:</t>
        </r>
        <r>
          <rPr>
            <sz val="9"/>
            <rFont val="宋体"/>
            <charset val="134"/>
          </rPr>
          <t xml:space="preserve">
2020.10.15收</t>
        </r>
      </text>
    </comment>
    <comment ref="T1025" authorId="0">
      <text>
        <r>
          <rPr>
            <b/>
            <sz val="9"/>
            <rFont val="宋体"/>
            <charset val="134"/>
          </rPr>
          <t>Administrator:</t>
        </r>
        <r>
          <rPr>
            <sz val="9"/>
            <rFont val="宋体"/>
            <charset val="134"/>
          </rPr>
          <t xml:space="preserve">
2021.2.20收</t>
        </r>
      </text>
    </comment>
    <comment ref="T1026" authorId="0">
      <text>
        <r>
          <rPr>
            <b/>
            <sz val="9"/>
            <rFont val="宋体"/>
            <charset val="134"/>
          </rPr>
          <t>Administrator:</t>
        </r>
        <r>
          <rPr>
            <sz val="9"/>
            <rFont val="宋体"/>
            <charset val="134"/>
          </rPr>
          <t xml:space="preserve">
2020.12.15收21379.26</t>
        </r>
      </text>
    </comment>
    <comment ref="Q1027" authorId="0">
      <text>
        <r>
          <rPr>
            <b/>
            <sz val="9"/>
            <rFont val="宋体"/>
            <charset val="134"/>
          </rPr>
          <t>Administrator:</t>
        </r>
        <r>
          <rPr>
            <sz val="9"/>
            <rFont val="宋体"/>
            <charset val="134"/>
          </rPr>
          <t xml:space="preserve">
2020.10.20收四万人民币定金
减掉港杂装卸费RMB1694
返还模具费170</t>
        </r>
      </text>
    </comment>
    <comment ref="T1027" authorId="0">
      <text>
        <r>
          <rPr>
            <b/>
            <sz val="9"/>
            <rFont val="宋体"/>
            <charset val="134"/>
          </rPr>
          <t>Administrator:</t>
        </r>
        <r>
          <rPr>
            <sz val="9"/>
            <rFont val="宋体"/>
            <charset val="134"/>
          </rPr>
          <t xml:space="preserve">
2021.1.5收14864.72</t>
        </r>
      </text>
    </comment>
    <comment ref="Q1028" authorId="0">
      <text>
        <r>
          <rPr>
            <b/>
            <sz val="9"/>
            <rFont val="宋体"/>
            <charset val="134"/>
          </rPr>
          <t>Administrator:</t>
        </r>
        <r>
          <rPr>
            <sz val="9"/>
            <rFont val="宋体"/>
            <charset val="134"/>
          </rPr>
          <t xml:space="preserve">
2020.11.4收</t>
        </r>
      </text>
    </comment>
    <comment ref="Q1029" authorId="0">
      <text>
        <r>
          <rPr>
            <b/>
            <sz val="9"/>
            <rFont val="宋体"/>
            <charset val="134"/>
          </rPr>
          <t>Administrator:</t>
        </r>
        <r>
          <rPr>
            <sz val="9"/>
            <rFont val="宋体"/>
            <charset val="134"/>
          </rPr>
          <t xml:space="preserve">
2020.11.9收13303</t>
        </r>
      </text>
    </comment>
    <comment ref="T1029" authorId="0">
      <text>
        <r>
          <rPr>
            <b/>
            <sz val="9"/>
            <rFont val="宋体"/>
            <charset val="134"/>
          </rPr>
          <t>Administrator:</t>
        </r>
        <r>
          <rPr>
            <sz val="9"/>
            <rFont val="宋体"/>
            <charset val="134"/>
          </rPr>
          <t xml:space="preserve">
2021.1.13收37848</t>
        </r>
      </text>
    </comment>
    <comment ref="P1030" authorId="0">
      <text>
        <r>
          <rPr>
            <b/>
            <sz val="9"/>
            <rFont val="宋体"/>
            <charset val="134"/>
          </rPr>
          <t>Administrator:</t>
        </r>
        <r>
          <rPr>
            <sz val="9"/>
            <rFont val="宋体"/>
            <charset val="134"/>
          </rPr>
          <t xml:space="preserve">
纸箱费RMB6500 汇率6.44折合1009美金</t>
        </r>
      </text>
    </comment>
    <comment ref="Q1030" authorId="0">
      <text>
        <r>
          <rPr>
            <b/>
            <sz val="9"/>
            <rFont val="宋体"/>
            <charset val="134"/>
          </rPr>
          <t>Administrator:</t>
        </r>
        <r>
          <rPr>
            <sz val="9"/>
            <rFont val="宋体"/>
            <charset val="134"/>
          </rPr>
          <t xml:space="preserve">
2020.11.13收9075.34</t>
        </r>
      </text>
    </comment>
    <comment ref="T1030" authorId="0">
      <text>
        <r>
          <rPr>
            <b/>
            <sz val="9"/>
            <rFont val="宋体"/>
            <charset val="134"/>
          </rPr>
          <t>Administrator:</t>
        </r>
        <r>
          <rPr>
            <sz val="9"/>
            <rFont val="宋体"/>
            <charset val="134"/>
          </rPr>
          <t xml:space="preserve">
2021.1.14收22231.46</t>
        </r>
      </text>
    </comment>
    <comment ref="Q1031" authorId="0">
      <text>
        <r>
          <rPr>
            <b/>
            <sz val="9"/>
            <rFont val="宋体"/>
            <charset val="134"/>
          </rPr>
          <t>Administrator:</t>
        </r>
        <r>
          <rPr>
            <sz val="9"/>
            <rFont val="宋体"/>
            <charset val="134"/>
          </rPr>
          <t xml:space="preserve">
2020.11.19收3575</t>
        </r>
      </text>
    </comment>
    <comment ref="T1031" authorId="0">
      <text>
        <r>
          <rPr>
            <b/>
            <sz val="9"/>
            <rFont val="宋体"/>
            <charset val="134"/>
          </rPr>
          <t>Administrator:</t>
        </r>
        <r>
          <rPr>
            <sz val="9"/>
            <rFont val="宋体"/>
            <charset val="134"/>
          </rPr>
          <t xml:space="preserve">
2021.2.3收14360</t>
        </r>
      </text>
    </comment>
    <comment ref="Q1032" authorId="0">
      <text>
        <r>
          <rPr>
            <b/>
            <sz val="9"/>
            <rFont val="宋体"/>
            <charset val="134"/>
          </rPr>
          <t>Administrator:</t>
        </r>
        <r>
          <rPr>
            <sz val="9"/>
            <rFont val="宋体"/>
            <charset val="134"/>
          </rPr>
          <t xml:space="preserve">
2020.11.23收23575</t>
        </r>
      </text>
    </comment>
    <comment ref="T1032" authorId="0">
      <text>
        <r>
          <rPr>
            <b/>
            <sz val="9"/>
            <rFont val="宋体"/>
            <charset val="134"/>
          </rPr>
          <t>Administrator:</t>
        </r>
        <r>
          <rPr>
            <sz val="9"/>
            <rFont val="宋体"/>
            <charset val="134"/>
          </rPr>
          <t xml:space="preserve">
2021.2.1收39953</t>
        </r>
      </text>
    </comment>
    <comment ref="U1032" authorId="0">
      <text>
        <r>
          <rPr>
            <b/>
            <sz val="9"/>
            <rFont val="宋体"/>
            <charset val="134"/>
          </rPr>
          <t>Administrator:</t>
        </r>
        <r>
          <rPr>
            <sz val="9"/>
            <rFont val="宋体"/>
            <charset val="134"/>
          </rPr>
          <t xml:space="preserve">
2021.2.2收6043</t>
        </r>
      </text>
    </comment>
    <comment ref="Q1033" authorId="0">
      <text>
        <r>
          <rPr>
            <b/>
            <sz val="9"/>
            <rFont val="宋体"/>
            <charset val="134"/>
          </rPr>
          <t>Administrator:</t>
        </r>
        <r>
          <rPr>
            <sz val="9"/>
            <rFont val="宋体"/>
            <charset val="134"/>
          </rPr>
          <t xml:space="preserve">
2020.12.2收3675</t>
        </r>
      </text>
    </comment>
    <comment ref="T1033" authorId="0">
      <text>
        <r>
          <rPr>
            <b/>
            <sz val="9"/>
            <rFont val="宋体"/>
            <charset val="134"/>
          </rPr>
          <t>Administrator:</t>
        </r>
        <r>
          <rPr>
            <sz val="9"/>
            <rFont val="宋体"/>
            <charset val="134"/>
          </rPr>
          <t xml:space="preserve">
2021.3.9收14917.5</t>
        </r>
      </text>
    </comment>
    <comment ref="Q1034" authorId="0">
      <text>
        <r>
          <rPr>
            <b/>
            <sz val="9"/>
            <rFont val="宋体"/>
            <charset val="134"/>
          </rPr>
          <t>Administrator:</t>
        </r>
        <r>
          <rPr>
            <sz val="9"/>
            <rFont val="宋体"/>
            <charset val="134"/>
          </rPr>
          <t xml:space="preserve">
2020.12.4收52000人民币  汇率6.53</t>
        </r>
      </text>
    </comment>
    <comment ref="T1034" authorId="0">
      <text>
        <r>
          <rPr>
            <b/>
            <sz val="9"/>
            <rFont val="宋体"/>
            <charset val="134"/>
          </rPr>
          <t>Administrator:</t>
        </r>
        <r>
          <rPr>
            <sz val="9"/>
            <rFont val="宋体"/>
            <charset val="134"/>
          </rPr>
          <t xml:space="preserve">
2021.1.26收RMB117424.95
汇率6.46</t>
        </r>
      </text>
    </comment>
    <comment ref="T1035" authorId="0">
      <text>
        <r>
          <rPr>
            <b/>
            <sz val="9"/>
            <rFont val="宋体"/>
            <charset val="134"/>
          </rPr>
          <t>Administrator:</t>
        </r>
        <r>
          <rPr>
            <sz val="9"/>
            <rFont val="宋体"/>
            <charset val="134"/>
          </rPr>
          <t xml:space="preserve">
2021.4.6收43883.9</t>
        </r>
      </text>
    </comment>
    <comment ref="Q1036" authorId="0">
      <text>
        <r>
          <rPr>
            <b/>
            <sz val="9"/>
            <rFont val="宋体"/>
            <charset val="134"/>
          </rPr>
          <t>Administrator:</t>
        </r>
        <r>
          <rPr>
            <sz val="9"/>
            <rFont val="宋体"/>
            <charset val="134"/>
          </rPr>
          <t xml:space="preserve">
2020.12.8收13192.68</t>
        </r>
      </text>
    </comment>
    <comment ref="T1036" authorId="0">
      <text>
        <r>
          <rPr>
            <b/>
            <sz val="9"/>
            <rFont val="宋体"/>
            <charset val="134"/>
          </rPr>
          <t>Administrator:</t>
        </r>
        <r>
          <rPr>
            <sz val="9"/>
            <rFont val="宋体"/>
            <charset val="134"/>
          </rPr>
          <t xml:space="preserve">
2021.5.11收54011.39</t>
        </r>
      </text>
    </comment>
    <comment ref="Q1037" authorId="0">
      <text>
        <r>
          <rPr>
            <b/>
            <sz val="9"/>
            <rFont val="宋体"/>
            <charset val="134"/>
          </rPr>
          <t>Administrator:</t>
        </r>
        <r>
          <rPr>
            <sz val="9"/>
            <rFont val="宋体"/>
            <charset val="134"/>
          </rPr>
          <t xml:space="preserve">
2020.12.22收7448.3</t>
        </r>
      </text>
    </comment>
    <comment ref="T1037" authorId="0">
      <text>
        <r>
          <rPr>
            <b/>
            <sz val="9"/>
            <rFont val="宋体"/>
            <charset val="134"/>
          </rPr>
          <t>Administrator:</t>
        </r>
        <r>
          <rPr>
            <sz val="9"/>
            <rFont val="宋体"/>
            <charset val="134"/>
          </rPr>
          <t xml:space="preserve">
2021.1.22收20350</t>
        </r>
      </text>
    </comment>
    <comment ref="Q1038" authorId="0">
      <text>
        <r>
          <rPr>
            <b/>
            <sz val="9"/>
            <rFont val="宋体"/>
            <charset val="134"/>
          </rPr>
          <t>Administrator:</t>
        </r>
        <r>
          <rPr>
            <sz val="9"/>
            <rFont val="宋体"/>
            <charset val="134"/>
          </rPr>
          <t xml:space="preserve">
2021.1.15收50000人民币 汇率6.46</t>
        </r>
      </text>
    </comment>
    <comment ref="T1038" authorId="0">
      <text>
        <r>
          <rPr>
            <b/>
            <sz val="9"/>
            <rFont val="宋体"/>
            <charset val="134"/>
          </rPr>
          <t>Administrator:</t>
        </r>
        <r>
          <rPr>
            <sz val="9"/>
            <rFont val="宋体"/>
            <charset val="134"/>
          </rPr>
          <t xml:space="preserve">
2021.4.21收
实际尾款20418.96USD
返J3970&amp;J3953打包带费用RMB1600
汇率6.48
应付20418.96*6.48-1600</t>
        </r>
      </text>
    </comment>
    <comment ref="Q1039" authorId="0">
      <text>
        <r>
          <rPr>
            <b/>
            <sz val="9"/>
            <rFont val="宋体"/>
            <charset val="134"/>
          </rPr>
          <t>Administrator:</t>
        </r>
        <r>
          <rPr>
            <sz val="9"/>
            <rFont val="宋体"/>
            <charset val="134"/>
          </rPr>
          <t xml:space="preserve">
2021.2.26收30000
2021.3.15收10000
共四万</t>
        </r>
      </text>
    </comment>
    <comment ref="T1039" authorId="0">
      <text>
        <r>
          <rPr>
            <b/>
            <sz val="9"/>
            <rFont val="宋体"/>
            <charset val="134"/>
          </rPr>
          <t>Administrator:</t>
        </r>
        <r>
          <rPr>
            <sz val="9"/>
            <rFont val="宋体"/>
            <charset val="134"/>
          </rPr>
          <t xml:space="preserve">
2021.4.25收143535</t>
        </r>
      </text>
    </comment>
    <comment ref="U1040" authorId="0">
      <text>
        <r>
          <rPr>
            <b/>
            <sz val="9"/>
            <rFont val="宋体"/>
            <charset val="134"/>
          </rPr>
          <t>Administrator:</t>
        </r>
        <r>
          <rPr>
            <sz val="9"/>
            <rFont val="宋体"/>
            <charset val="134"/>
          </rPr>
          <t xml:space="preserve">
2021.6.19收2万
2021.6.21收890</t>
        </r>
      </text>
    </comment>
    <comment ref="T1041" authorId="0">
      <text>
        <r>
          <rPr>
            <b/>
            <sz val="9"/>
            <rFont val="宋体"/>
            <charset val="134"/>
          </rPr>
          <t>Administrator:</t>
        </r>
        <r>
          <rPr>
            <sz val="9"/>
            <rFont val="宋体"/>
            <charset val="134"/>
          </rPr>
          <t xml:space="preserve">
2021.5.30收</t>
        </r>
      </text>
    </comment>
    <comment ref="Q1042" authorId="0">
      <text>
        <r>
          <rPr>
            <b/>
            <sz val="9"/>
            <rFont val="宋体"/>
            <charset val="134"/>
          </rPr>
          <t>Administrator:</t>
        </r>
        <r>
          <rPr>
            <sz val="9"/>
            <rFont val="宋体"/>
            <charset val="134"/>
          </rPr>
          <t xml:space="preserve">
2021.3.2收6506.76</t>
        </r>
      </text>
    </comment>
    <comment ref="T1042" authorId="0">
      <text>
        <r>
          <rPr>
            <b/>
            <sz val="9"/>
            <rFont val="宋体"/>
            <charset val="134"/>
          </rPr>
          <t>Administrator:</t>
        </r>
        <r>
          <rPr>
            <sz val="9"/>
            <rFont val="宋体"/>
            <charset val="134"/>
          </rPr>
          <t xml:space="preserve">
21.3.25收15229.12</t>
        </r>
      </text>
    </comment>
    <comment ref="Q1043" authorId="0">
      <text>
        <r>
          <rPr>
            <b/>
            <sz val="9"/>
            <rFont val="宋体"/>
            <charset val="134"/>
          </rPr>
          <t>Administrator:</t>
        </r>
        <r>
          <rPr>
            <sz val="9"/>
            <rFont val="宋体"/>
            <charset val="134"/>
          </rPr>
          <t xml:space="preserve">
2021.3.4收</t>
        </r>
      </text>
    </comment>
    <comment ref="Q1044" authorId="0">
      <text>
        <r>
          <rPr>
            <b/>
            <sz val="9"/>
            <rFont val="宋体"/>
            <charset val="134"/>
          </rPr>
          <t>Administrator:</t>
        </r>
        <r>
          <rPr>
            <sz val="9"/>
            <rFont val="宋体"/>
            <charset val="134"/>
          </rPr>
          <t xml:space="preserve">
2021.3.4收7202</t>
        </r>
      </text>
    </comment>
    <comment ref="Q1045" authorId="0">
      <text>
        <r>
          <rPr>
            <b/>
            <sz val="9"/>
            <rFont val="宋体"/>
            <charset val="134"/>
          </rPr>
          <t>Administrator:</t>
        </r>
        <r>
          <rPr>
            <sz val="9"/>
            <rFont val="宋体"/>
            <charset val="134"/>
          </rPr>
          <t xml:space="preserve">
2021.3.15收7960</t>
        </r>
      </text>
    </comment>
    <comment ref="T1045" authorId="0">
      <text>
        <r>
          <rPr>
            <b/>
            <sz val="9"/>
            <rFont val="宋体"/>
            <charset val="134"/>
          </rPr>
          <t>Administrator:</t>
        </r>
        <r>
          <rPr>
            <sz val="9"/>
            <rFont val="宋体"/>
            <charset val="134"/>
          </rPr>
          <t xml:space="preserve">
2021.6.9收17919.23</t>
        </r>
      </text>
    </comment>
    <comment ref="T1046" authorId="0">
      <text>
        <r>
          <rPr>
            <b/>
            <sz val="9"/>
            <rFont val="宋体"/>
            <charset val="134"/>
          </rPr>
          <t>Administrator:</t>
        </r>
        <r>
          <rPr>
            <sz val="9"/>
            <rFont val="宋体"/>
            <charset val="134"/>
          </rPr>
          <t xml:space="preserve">
2021.4.23收27042.8</t>
        </r>
      </text>
    </comment>
    <comment ref="Q1047" authorId="0">
      <text>
        <r>
          <rPr>
            <b/>
            <sz val="9"/>
            <rFont val="宋体"/>
            <charset val="134"/>
          </rPr>
          <t>Administrator:</t>
        </r>
        <r>
          <rPr>
            <sz val="9"/>
            <rFont val="宋体"/>
            <charset val="134"/>
          </rPr>
          <t xml:space="preserve">
2021.3.26收15596.34</t>
        </r>
      </text>
    </comment>
    <comment ref="T1047" authorId="0">
      <text>
        <r>
          <rPr>
            <b/>
            <sz val="9"/>
            <rFont val="宋体"/>
            <charset val="134"/>
          </rPr>
          <t>Administrator:</t>
        </r>
        <r>
          <rPr>
            <sz val="9"/>
            <rFont val="宋体"/>
            <charset val="134"/>
          </rPr>
          <t xml:space="preserve">
2021.7.20收33774.29</t>
        </r>
      </text>
    </comment>
    <comment ref="U1047" authorId="0">
      <text>
        <r>
          <rPr>
            <b/>
            <sz val="9"/>
            <rFont val="宋体"/>
            <charset val="134"/>
          </rPr>
          <t>Administrator:</t>
        </r>
        <r>
          <rPr>
            <sz val="9"/>
            <rFont val="宋体"/>
            <charset val="134"/>
          </rPr>
          <t xml:space="preserve">
2021.7.30收31815.58</t>
        </r>
      </text>
    </comment>
    <comment ref="Q1048" authorId="0">
      <text>
        <r>
          <rPr>
            <b/>
            <sz val="9"/>
            <rFont val="宋体"/>
            <charset val="134"/>
          </rPr>
          <t>Administrator:</t>
        </r>
        <r>
          <rPr>
            <sz val="9"/>
            <rFont val="宋体"/>
            <charset val="134"/>
          </rPr>
          <t xml:space="preserve">
2021.3.31收8563</t>
        </r>
      </text>
    </comment>
    <comment ref="T1048" authorId="0">
      <text>
        <r>
          <rPr>
            <b/>
            <sz val="9"/>
            <rFont val="宋体"/>
            <charset val="134"/>
          </rPr>
          <t>Administrator:</t>
        </r>
        <r>
          <rPr>
            <sz val="9"/>
            <rFont val="宋体"/>
            <charset val="134"/>
          </rPr>
          <t xml:space="preserve">
2021.8.10收23060.6</t>
        </r>
      </text>
    </comment>
    <comment ref="Q1049" authorId="0">
      <text>
        <r>
          <rPr>
            <b/>
            <sz val="9"/>
            <rFont val="宋体"/>
            <charset val="134"/>
          </rPr>
          <t>Administrator:</t>
        </r>
        <r>
          <rPr>
            <sz val="9"/>
            <rFont val="宋体"/>
            <charset val="134"/>
          </rPr>
          <t xml:space="preserve">
2021.4.2收十万人民币 汇率6.55</t>
        </r>
      </text>
    </comment>
    <comment ref="T1049" authorId="0">
      <text>
        <r>
          <rPr>
            <b/>
            <sz val="9"/>
            <rFont val="宋体"/>
            <charset val="134"/>
          </rPr>
          <t>Administrator:</t>
        </r>
        <r>
          <rPr>
            <sz val="9"/>
            <rFont val="宋体"/>
            <charset val="134"/>
          </rPr>
          <t xml:space="preserve">
2021.5.31收RMB150000</t>
        </r>
      </text>
    </comment>
    <comment ref="Q1050" authorId="0">
      <text>
        <r>
          <rPr>
            <b/>
            <sz val="9"/>
            <rFont val="宋体"/>
            <charset val="134"/>
          </rPr>
          <t>Administrator:</t>
        </r>
        <r>
          <rPr>
            <sz val="9"/>
            <rFont val="宋体"/>
            <charset val="134"/>
          </rPr>
          <t xml:space="preserve">
2021.4.2收十万人民币 汇率6.55</t>
        </r>
      </text>
    </comment>
    <comment ref="T1050" authorId="0">
      <text>
        <r>
          <rPr>
            <b/>
            <sz val="9"/>
            <rFont val="宋体"/>
            <charset val="134"/>
          </rPr>
          <t>Administrator:</t>
        </r>
        <r>
          <rPr>
            <sz val="9"/>
            <rFont val="宋体"/>
            <charset val="134"/>
          </rPr>
          <t xml:space="preserve">
2021.6.7收RMB3+12万</t>
        </r>
      </text>
    </comment>
    <comment ref="U1050" authorId="0">
      <text>
        <r>
          <rPr>
            <b/>
            <sz val="9"/>
            <rFont val="宋体"/>
            <charset val="134"/>
          </rPr>
          <t>Administrator:</t>
        </r>
        <r>
          <rPr>
            <sz val="9"/>
            <rFont val="宋体"/>
            <charset val="134"/>
          </rPr>
          <t xml:space="preserve">
2021.6.16收24970.5</t>
        </r>
      </text>
    </comment>
    <comment ref="P1051" authorId="0">
      <text>
        <r>
          <rPr>
            <b/>
            <sz val="9"/>
            <rFont val="宋体"/>
            <charset val="134"/>
          </rPr>
          <t>Administrator:</t>
        </r>
        <r>
          <rPr>
            <sz val="9"/>
            <rFont val="宋体"/>
            <charset val="134"/>
          </rPr>
          <t xml:space="preserve">
发票值24445.4 甩13件也付款了</t>
        </r>
      </text>
    </comment>
    <comment ref="Q1051" authorId="0">
      <text>
        <r>
          <rPr>
            <b/>
            <sz val="9"/>
            <rFont val="宋体"/>
            <charset val="134"/>
          </rPr>
          <t>Administrator:</t>
        </r>
        <r>
          <rPr>
            <sz val="9"/>
            <rFont val="宋体"/>
            <charset val="134"/>
          </rPr>
          <t xml:space="preserve">
2021.4.12收7363.8</t>
        </r>
      </text>
    </comment>
    <comment ref="T1051" authorId="0">
      <text>
        <r>
          <rPr>
            <b/>
            <sz val="9"/>
            <rFont val="宋体"/>
            <charset val="134"/>
          </rPr>
          <t>Administrator:</t>
        </r>
        <r>
          <rPr>
            <sz val="9"/>
            <rFont val="宋体"/>
            <charset val="134"/>
          </rPr>
          <t xml:space="preserve">
2021.6.18收17217.33</t>
        </r>
      </text>
    </comment>
    <comment ref="T1052" authorId="0">
      <text>
        <r>
          <rPr>
            <b/>
            <sz val="9"/>
            <rFont val="宋体"/>
            <charset val="134"/>
          </rPr>
          <t>Administrator:</t>
        </r>
        <r>
          <rPr>
            <sz val="9"/>
            <rFont val="宋体"/>
            <charset val="134"/>
          </rPr>
          <t xml:space="preserve">
2021.5.18收29007</t>
        </r>
      </text>
    </comment>
    <comment ref="Q1053" authorId="0">
      <text>
        <r>
          <rPr>
            <b/>
            <sz val="9"/>
            <rFont val="宋体"/>
            <charset val="134"/>
          </rPr>
          <t>Administrator:</t>
        </r>
        <r>
          <rPr>
            <sz val="9"/>
            <rFont val="宋体"/>
            <charset val="134"/>
          </rPr>
          <t xml:space="preserve">
2021.4.17收5万人民币
J4032-2+J4043-1用掉4万
剩一万移到J4043-2</t>
        </r>
      </text>
    </comment>
    <comment ref="T1053" authorId="0">
      <text>
        <r>
          <rPr>
            <b/>
            <sz val="9"/>
            <rFont val="宋体"/>
            <charset val="134"/>
          </rPr>
          <t>Administrator:</t>
        </r>
        <r>
          <rPr>
            <sz val="9"/>
            <rFont val="宋体"/>
            <charset val="134"/>
          </rPr>
          <t xml:space="preserve">
2021.6.8收51631.22 J4032-2+J4043-1</t>
        </r>
      </text>
    </comment>
    <comment ref="Q1055" authorId="0">
      <text>
        <r>
          <rPr>
            <b/>
            <sz val="9"/>
            <rFont val="宋体"/>
            <charset val="134"/>
          </rPr>
          <t>Administrator:</t>
        </r>
        <r>
          <rPr>
            <sz val="9"/>
            <rFont val="宋体"/>
            <charset val="134"/>
          </rPr>
          <t xml:space="preserve">
2021.3.17收2万人民币
J4003定金
2021.5.3收4万人民币J4043定金
一万来自J4032
一共7万 5万用于J4043-2 2万用于J4071</t>
        </r>
      </text>
    </comment>
    <comment ref="T1055" authorId="0">
      <text>
        <r>
          <rPr>
            <b/>
            <sz val="9"/>
            <rFont val="宋体"/>
            <charset val="134"/>
          </rPr>
          <t>Administrator:</t>
        </r>
        <r>
          <rPr>
            <sz val="9"/>
            <rFont val="宋体"/>
            <charset val="134"/>
          </rPr>
          <t xml:space="preserve">
2021.6.25收48036</t>
        </r>
      </text>
    </comment>
    <comment ref="U1055" authorId="0">
      <text>
        <r>
          <rPr>
            <b/>
            <sz val="9"/>
            <rFont val="宋体"/>
            <charset val="134"/>
          </rPr>
          <t>Administrator:</t>
        </r>
        <r>
          <rPr>
            <sz val="9"/>
            <rFont val="宋体"/>
            <charset val="134"/>
          </rPr>
          <t xml:space="preserve">
2021.6.28收</t>
        </r>
      </text>
    </comment>
    <comment ref="Q1057" authorId="0">
      <text>
        <r>
          <rPr>
            <b/>
            <sz val="9"/>
            <rFont val="宋体"/>
            <charset val="134"/>
          </rPr>
          <t>Administrator:</t>
        </r>
        <r>
          <rPr>
            <sz val="9"/>
            <rFont val="宋体"/>
            <charset val="134"/>
          </rPr>
          <t xml:space="preserve">
2021.5.26收10130.2</t>
        </r>
      </text>
    </comment>
    <comment ref="T1057" authorId="0">
      <text>
        <r>
          <rPr>
            <b/>
            <sz val="9"/>
            <rFont val="宋体"/>
            <charset val="134"/>
          </rPr>
          <t>Administrator:</t>
        </r>
        <r>
          <rPr>
            <sz val="9"/>
            <rFont val="宋体"/>
            <charset val="134"/>
          </rPr>
          <t xml:space="preserve">
2021.8.5收20220.41</t>
        </r>
      </text>
    </comment>
    <comment ref="Q1058" authorId="0">
      <text>
        <r>
          <rPr>
            <b/>
            <sz val="9"/>
            <rFont val="宋体"/>
            <charset val="134"/>
          </rPr>
          <t>Administrator:</t>
        </r>
        <r>
          <rPr>
            <sz val="9"/>
            <rFont val="宋体"/>
            <charset val="134"/>
          </rPr>
          <t xml:space="preserve">
2021.5.27收</t>
        </r>
      </text>
    </comment>
    <comment ref="T1058" authorId="0">
      <text>
        <r>
          <rPr>
            <b/>
            <sz val="9"/>
            <rFont val="宋体"/>
            <charset val="134"/>
          </rPr>
          <t>Administrator:</t>
        </r>
        <r>
          <rPr>
            <sz val="9"/>
            <rFont val="宋体"/>
            <charset val="134"/>
          </rPr>
          <t xml:space="preserve">
2021.8.2收</t>
        </r>
      </text>
    </comment>
    <comment ref="Q1059" authorId="0">
      <text>
        <r>
          <rPr>
            <b/>
            <sz val="9"/>
            <rFont val="宋体"/>
            <charset val="134"/>
          </rPr>
          <t>Administrator:</t>
        </r>
        <r>
          <rPr>
            <sz val="9"/>
            <rFont val="宋体"/>
            <charset val="134"/>
          </rPr>
          <t xml:space="preserve">
2021.6.9收RMB60000
汇率6.38</t>
        </r>
      </text>
    </comment>
    <comment ref="T1059" authorId="0">
      <text>
        <r>
          <rPr>
            <b/>
            <sz val="9"/>
            <rFont val="宋体"/>
            <charset val="134"/>
          </rPr>
          <t>Administrator:</t>
        </r>
        <r>
          <rPr>
            <sz val="9"/>
            <rFont val="宋体"/>
            <charset val="134"/>
          </rPr>
          <t xml:space="preserve">
2021.7.20收30989.5</t>
        </r>
      </text>
    </comment>
    <comment ref="Q1060" authorId="0">
      <text>
        <r>
          <rPr>
            <b/>
            <sz val="9"/>
            <rFont val="宋体"/>
            <charset val="134"/>
          </rPr>
          <t>Administrator:</t>
        </r>
        <r>
          <rPr>
            <sz val="9"/>
            <rFont val="宋体"/>
            <charset val="134"/>
          </rPr>
          <t xml:space="preserve">
2021.6.9收RMB40000
10000</t>
        </r>
      </text>
    </comment>
    <comment ref="T1060" authorId="0">
      <text>
        <r>
          <rPr>
            <b/>
            <sz val="9"/>
            <rFont val="宋体"/>
            <charset val="134"/>
          </rPr>
          <t>Administrator:</t>
        </r>
        <r>
          <rPr>
            <sz val="9"/>
            <rFont val="宋体"/>
            <charset val="134"/>
          </rPr>
          <t xml:space="preserve">
J4066多付的</t>
        </r>
      </text>
    </comment>
    <comment ref="U1060" authorId="0">
      <text>
        <r>
          <rPr>
            <b/>
            <sz val="9"/>
            <rFont val="宋体"/>
            <charset val="134"/>
          </rPr>
          <t>Administrator:</t>
        </r>
        <r>
          <rPr>
            <sz val="9"/>
            <rFont val="宋体"/>
            <charset val="134"/>
          </rPr>
          <t xml:space="preserve">
2021.8.6收19973 水单2万美金
J4066-J4067客户佣金 1981.2美金
客户多付23.8美金</t>
        </r>
      </text>
    </comment>
    <comment ref="T1061" authorId="0">
      <text>
        <r>
          <rPr>
            <b/>
            <sz val="9"/>
            <rFont val="宋体"/>
            <charset val="134"/>
          </rPr>
          <t>Administrator:</t>
        </r>
        <r>
          <rPr>
            <sz val="9"/>
            <rFont val="宋体"/>
            <charset val="134"/>
          </rPr>
          <t xml:space="preserve">
2021.7.23收27941.5</t>
        </r>
      </text>
    </comment>
    <comment ref="T1062" authorId="0">
      <text>
        <r>
          <rPr>
            <b/>
            <sz val="9"/>
            <rFont val="宋体"/>
            <charset val="134"/>
          </rPr>
          <t>Administrator:</t>
        </r>
        <r>
          <rPr>
            <sz val="9"/>
            <rFont val="宋体"/>
            <charset val="134"/>
          </rPr>
          <t xml:space="preserve">
2021.6.29收</t>
        </r>
      </text>
    </comment>
    <comment ref="T1063" authorId="0">
      <text>
        <r>
          <rPr>
            <b/>
            <sz val="9"/>
            <rFont val="宋体"/>
            <charset val="134"/>
          </rPr>
          <t>Administrator:</t>
        </r>
        <r>
          <rPr>
            <sz val="9"/>
            <rFont val="宋体"/>
            <charset val="134"/>
          </rPr>
          <t xml:space="preserve">
2021.11.17收19904.58</t>
        </r>
      </text>
    </comment>
    <comment ref="Q1064" authorId="0">
      <text>
        <r>
          <rPr>
            <b/>
            <sz val="9"/>
            <rFont val="宋体"/>
            <charset val="134"/>
          </rPr>
          <t>Administrator:</t>
        </r>
        <r>
          <rPr>
            <sz val="9"/>
            <rFont val="宋体"/>
            <charset val="134"/>
          </rPr>
          <t xml:space="preserve">
2021.7.2收
55573人民币
汇率6.45</t>
        </r>
      </text>
    </comment>
    <comment ref="T1064" authorId="0">
      <text>
        <r>
          <rPr>
            <b/>
            <sz val="9"/>
            <rFont val="宋体"/>
            <charset val="134"/>
          </rPr>
          <t>Administrator:</t>
        </r>
        <r>
          <rPr>
            <sz val="9"/>
            <rFont val="宋体"/>
            <charset val="134"/>
          </rPr>
          <t xml:space="preserve">
2021.8.18收</t>
        </r>
      </text>
    </comment>
    <comment ref="Q1065" authorId="0">
      <text>
        <r>
          <rPr>
            <b/>
            <sz val="9"/>
            <rFont val="宋体"/>
            <charset val="134"/>
          </rPr>
          <t>Administrator:</t>
        </r>
        <r>
          <rPr>
            <sz val="9"/>
            <rFont val="宋体"/>
            <charset val="134"/>
          </rPr>
          <t xml:space="preserve">
2021.7.2收4万人民币</t>
        </r>
      </text>
    </comment>
    <comment ref="T1065" authorId="0">
      <text>
        <r>
          <rPr>
            <b/>
            <sz val="9"/>
            <rFont val="宋体"/>
            <charset val="134"/>
          </rPr>
          <t>Administrator:</t>
        </r>
        <r>
          <rPr>
            <sz val="9"/>
            <rFont val="宋体"/>
            <charset val="134"/>
          </rPr>
          <t xml:space="preserve">
2021.8.13收</t>
        </r>
      </text>
    </comment>
    <comment ref="Q1066" authorId="0">
      <text>
        <r>
          <rPr>
            <b/>
            <sz val="9"/>
            <rFont val="宋体"/>
            <charset val="134"/>
          </rPr>
          <t>Administrator:</t>
        </r>
        <r>
          <rPr>
            <sz val="9"/>
            <rFont val="宋体"/>
            <charset val="134"/>
          </rPr>
          <t xml:space="preserve">
2021.7.5收16854.79</t>
        </r>
      </text>
    </comment>
    <comment ref="T1066" authorId="0">
      <text>
        <r>
          <rPr>
            <b/>
            <sz val="9"/>
            <rFont val="宋体"/>
            <charset val="134"/>
          </rPr>
          <t>Administrator:</t>
        </r>
        <r>
          <rPr>
            <sz val="9"/>
            <rFont val="宋体"/>
            <charset val="134"/>
          </rPr>
          <t xml:space="preserve">
2021.9.24收39089.19</t>
        </r>
      </text>
    </comment>
    <comment ref="Q1067" authorId="0">
      <text>
        <r>
          <rPr>
            <b/>
            <sz val="9"/>
            <rFont val="宋体"/>
            <charset val="134"/>
          </rPr>
          <t>Administrator:</t>
        </r>
        <r>
          <rPr>
            <sz val="9"/>
            <rFont val="宋体"/>
            <charset val="134"/>
          </rPr>
          <t xml:space="preserve">
2021.7.23收8426.38</t>
        </r>
      </text>
    </comment>
    <comment ref="T1067" authorId="0">
      <text>
        <r>
          <rPr>
            <b/>
            <sz val="9"/>
            <rFont val="宋体"/>
            <charset val="134"/>
          </rPr>
          <t>Administrator:</t>
        </r>
        <r>
          <rPr>
            <sz val="9"/>
            <rFont val="宋体"/>
            <charset val="134"/>
          </rPr>
          <t xml:space="preserve">
2021.9.23收19782.87</t>
        </r>
      </text>
    </comment>
    <comment ref="T1068" authorId="0">
      <text>
        <r>
          <rPr>
            <b/>
            <sz val="9"/>
            <rFont val="宋体"/>
            <charset val="134"/>
          </rPr>
          <t>Administrator:</t>
        </r>
        <r>
          <rPr>
            <sz val="9"/>
            <rFont val="宋体"/>
            <charset val="134"/>
          </rPr>
          <t xml:space="preserve">
2021.8.24收29871.3</t>
        </r>
      </text>
    </comment>
    <comment ref="P1069" authorId="0">
      <text>
        <r>
          <rPr>
            <b/>
            <sz val="9"/>
            <rFont val="宋体"/>
            <charset val="134"/>
          </rPr>
          <t>Administrator:</t>
        </r>
        <r>
          <rPr>
            <sz val="9"/>
            <rFont val="宋体"/>
            <charset val="134"/>
          </rPr>
          <t xml:space="preserve">
与印尼客户发票值33896.8
与中冶
实际发货32349.7
含甩货是33557.2</t>
        </r>
      </text>
    </comment>
    <comment ref="Q1069" authorId="0">
      <text>
        <r>
          <rPr>
            <b/>
            <sz val="9"/>
            <rFont val="宋体"/>
            <charset val="134"/>
          </rPr>
          <t>Administrator:</t>
        </r>
        <r>
          <rPr>
            <sz val="9"/>
            <rFont val="宋体"/>
            <charset val="134"/>
          </rPr>
          <t xml:space="preserve">
2021.8.5收RMB5万</t>
        </r>
      </text>
    </comment>
    <comment ref="T1069" authorId="0">
      <text>
        <r>
          <rPr>
            <b/>
            <sz val="9"/>
            <rFont val="宋体"/>
            <charset val="134"/>
          </rPr>
          <t>Administrator:</t>
        </r>
        <r>
          <rPr>
            <sz val="9"/>
            <rFont val="宋体"/>
            <charset val="134"/>
          </rPr>
          <t xml:space="preserve">
2021.8.23收15081.5</t>
        </r>
      </text>
    </comment>
    <comment ref="U1069" authorId="0">
      <text>
        <r>
          <rPr>
            <b/>
            <sz val="9"/>
            <rFont val="宋体"/>
            <charset val="134"/>
          </rPr>
          <t>Administrator:</t>
        </r>
        <r>
          <rPr>
            <sz val="9"/>
            <rFont val="宋体"/>
            <charset val="134"/>
          </rPr>
          <t xml:space="preserve">
2021.9.2收35108</t>
        </r>
      </text>
    </comment>
    <comment ref="Q1070" authorId="0">
      <text>
        <r>
          <rPr>
            <b/>
            <sz val="9"/>
            <rFont val="宋体"/>
            <charset val="134"/>
          </rPr>
          <t>Administrator:</t>
        </r>
        <r>
          <rPr>
            <sz val="9"/>
            <rFont val="宋体"/>
            <charset val="134"/>
          </rPr>
          <t xml:space="preserve">
2021.8.16收6965</t>
        </r>
      </text>
    </comment>
    <comment ref="T1070" authorId="0">
      <text>
        <r>
          <rPr>
            <b/>
            <sz val="9"/>
            <rFont val="宋体"/>
            <charset val="134"/>
          </rPr>
          <t>Administrator:</t>
        </r>
        <r>
          <rPr>
            <sz val="9"/>
            <rFont val="宋体"/>
            <charset val="134"/>
          </rPr>
          <t xml:space="preserve">
2021.9.27收27475</t>
        </r>
      </text>
    </comment>
    <comment ref="U1070" authorId="0">
      <text>
        <r>
          <rPr>
            <b/>
            <sz val="9"/>
            <rFont val="宋体"/>
            <charset val="134"/>
          </rPr>
          <t>Administrator:</t>
        </r>
        <r>
          <rPr>
            <sz val="9"/>
            <rFont val="宋体"/>
            <charset val="134"/>
          </rPr>
          <t xml:space="preserve">
2021.11.15收11784.9</t>
        </r>
      </text>
    </comment>
    <comment ref="T1071" authorId="0">
      <text>
        <r>
          <rPr>
            <b/>
            <sz val="9"/>
            <rFont val="宋体"/>
            <charset val="134"/>
          </rPr>
          <t>Administrator:</t>
        </r>
        <r>
          <rPr>
            <sz val="9"/>
            <rFont val="宋体"/>
            <charset val="134"/>
          </rPr>
          <t xml:space="preserve">
2021.8.18收9611.25</t>
        </r>
      </text>
    </comment>
    <comment ref="T1072" authorId="0">
      <text>
        <r>
          <rPr>
            <b/>
            <sz val="9"/>
            <rFont val="宋体"/>
            <charset val="134"/>
          </rPr>
          <t>Administrator:</t>
        </r>
        <r>
          <rPr>
            <sz val="9"/>
            <rFont val="宋体"/>
            <charset val="134"/>
          </rPr>
          <t xml:space="preserve">
2021.9.17收29133.64</t>
        </r>
      </text>
    </comment>
    <comment ref="Q1073" authorId="0">
      <text>
        <r>
          <rPr>
            <b/>
            <sz val="9"/>
            <rFont val="宋体"/>
            <charset val="134"/>
          </rPr>
          <t>Administrator:</t>
        </r>
        <r>
          <rPr>
            <sz val="9"/>
            <rFont val="宋体"/>
            <charset val="134"/>
          </rPr>
          <t xml:space="preserve">
2021.8.25收4万
2万来自J4043-2
共6万人民币 于2021.11.2退回</t>
        </r>
      </text>
    </comment>
    <comment ref="T1073" authorId="0">
      <text>
        <r>
          <rPr>
            <b/>
            <sz val="9"/>
            <rFont val="宋体"/>
            <charset val="134"/>
          </rPr>
          <t>Administrator:</t>
        </r>
        <r>
          <rPr>
            <sz val="9"/>
            <rFont val="宋体"/>
            <charset val="134"/>
          </rPr>
          <t xml:space="preserve">
2021.10.11收57973.14</t>
        </r>
      </text>
    </comment>
    <comment ref="U1075" authorId="0">
      <text>
        <r>
          <rPr>
            <b/>
            <sz val="9"/>
            <rFont val="宋体"/>
            <charset val="134"/>
          </rPr>
          <t>Administrator:</t>
        </r>
        <r>
          <rPr>
            <sz val="9"/>
            <rFont val="宋体"/>
            <charset val="134"/>
          </rPr>
          <t xml:space="preserve">
2021.9.30收</t>
        </r>
      </text>
    </comment>
    <comment ref="T1076" authorId="0">
      <text>
        <r>
          <rPr>
            <b/>
            <sz val="9"/>
            <rFont val="宋体"/>
            <charset val="134"/>
          </rPr>
          <t>Administrator:</t>
        </r>
        <r>
          <rPr>
            <sz val="9"/>
            <rFont val="宋体"/>
            <charset val="134"/>
          </rPr>
          <t xml:space="preserve">
2021.9.22收7218含运费</t>
        </r>
      </text>
    </comment>
    <comment ref="Q1077" authorId="0">
      <text>
        <r>
          <rPr>
            <b/>
            <sz val="9"/>
            <rFont val="宋体"/>
            <charset val="134"/>
          </rPr>
          <t>Administrator:</t>
        </r>
        <r>
          <rPr>
            <sz val="9"/>
            <rFont val="宋体"/>
            <charset val="134"/>
          </rPr>
          <t xml:space="preserve">
见J4097收款备注
多付24095.12  4095返给客户了 两万美金作为J4120和J4123定金</t>
        </r>
      </text>
    </comment>
    <comment ref="T1077" authorId="0">
      <text>
        <r>
          <rPr>
            <b/>
            <sz val="9"/>
            <rFont val="宋体"/>
            <charset val="134"/>
          </rPr>
          <t>Administrator:</t>
        </r>
        <r>
          <rPr>
            <sz val="9"/>
            <rFont val="宋体"/>
            <charset val="134"/>
          </rPr>
          <t xml:space="preserve">
2021.10.13收34526.5</t>
        </r>
      </text>
    </comment>
    <comment ref="Q1078" authorId="0">
      <text>
        <r>
          <rPr>
            <b/>
            <sz val="9"/>
            <rFont val="宋体"/>
            <charset val="134"/>
          </rPr>
          <t>Administrator:</t>
        </r>
        <r>
          <rPr>
            <sz val="9"/>
            <rFont val="宋体"/>
            <charset val="134"/>
          </rPr>
          <t xml:space="preserve">
见J4097和J4120收款备注</t>
        </r>
      </text>
    </comment>
    <comment ref="T1078" authorId="0">
      <text>
        <r>
          <rPr>
            <b/>
            <sz val="9"/>
            <rFont val="宋体"/>
            <charset val="134"/>
          </rPr>
          <t>Administrator:</t>
        </r>
        <r>
          <rPr>
            <sz val="9"/>
            <rFont val="宋体"/>
            <charset val="134"/>
          </rPr>
          <t xml:space="preserve">
2021.11.12收35033</t>
        </r>
      </text>
    </comment>
    <comment ref="P1079" authorId="0">
      <text>
        <r>
          <rPr>
            <b/>
            <sz val="9"/>
            <rFont val="宋体"/>
            <charset val="134"/>
          </rPr>
          <t>Administrator:</t>
        </r>
        <r>
          <rPr>
            <sz val="9"/>
            <rFont val="宋体"/>
            <charset val="134"/>
          </rPr>
          <t xml:space="preserve">
含5120运费</t>
        </r>
      </text>
    </comment>
    <comment ref="Q1079" authorId="0">
      <text>
        <r>
          <rPr>
            <b/>
            <sz val="9"/>
            <rFont val="宋体"/>
            <charset val="134"/>
          </rPr>
          <t>Administrator:</t>
        </r>
        <r>
          <rPr>
            <sz val="9"/>
            <rFont val="宋体"/>
            <charset val="134"/>
          </rPr>
          <t xml:space="preserve">
2021.9.7收</t>
        </r>
      </text>
    </comment>
    <comment ref="T1079" authorId="0">
      <text>
        <r>
          <rPr>
            <b/>
            <sz val="9"/>
            <rFont val="宋体"/>
            <charset val="134"/>
          </rPr>
          <t>Administrator:</t>
        </r>
        <r>
          <rPr>
            <sz val="9"/>
            <rFont val="宋体"/>
            <charset val="134"/>
          </rPr>
          <t xml:space="preserve">
2021.10.13收</t>
        </r>
      </text>
    </comment>
    <comment ref="P1080" authorId="0">
      <text>
        <r>
          <rPr>
            <b/>
            <sz val="9"/>
            <rFont val="宋体"/>
            <charset val="134"/>
          </rPr>
          <t>Administrator:</t>
        </r>
        <r>
          <rPr>
            <sz val="9"/>
            <rFont val="宋体"/>
            <charset val="134"/>
          </rPr>
          <t xml:space="preserve">
减掉清关赔偿270美金</t>
        </r>
      </text>
    </comment>
    <comment ref="T1080" authorId="0">
      <text>
        <r>
          <rPr>
            <b/>
            <sz val="9"/>
            <rFont val="宋体"/>
            <charset val="134"/>
          </rPr>
          <t>Administrator:</t>
        </r>
        <r>
          <rPr>
            <sz val="9"/>
            <rFont val="宋体"/>
            <charset val="134"/>
          </rPr>
          <t xml:space="preserve">
2021.10.28收26841.63</t>
        </r>
      </text>
    </comment>
    <comment ref="P1081" authorId="0">
      <text>
        <r>
          <rPr>
            <b/>
            <sz val="9"/>
            <rFont val="宋体"/>
            <charset val="134"/>
          </rPr>
          <t>Administrator:</t>
        </r>
        <r>
          <rPr>
            <sz val="9"/>
            <rFont val="宋体"/>
            <charset val="134"/>
          </rPr>
          <t xml:space="preserve">
清关赔偿减掉了最后的388美金</t>
        </r>
      </text>
    </comment>
    <comment ref="T1081" authorId="0">
      <text>
        <r>
          <rPr>
            <b/>
            <sz val="9"/>
            <rFont val="宋体"/>
            <charset val="134"/>
          </rPr>
          <t>Administrator:</t>
        </r>
        <r>
          <rPr>
            <sz val="9"/>
            <rFont val="宋体"/>
            <charset val="134"/>
          </rPr>
          <t xml:space="preserve">
2021.11.12收56770</t>
        </r>
      </text>
    </comment>
    <comment ref="Q1082" authorId="0">
      <text>
        <r>
          <rPr>
            <b/>
            <sz val="9"/>
            <rFont val="宋体"/>
            <charset val="134"/>
          </rPr>
          <t>Administrator:</t>
        </r>
        <r>
          <rPr>
            <sz val="9"/>
            <rFont val="宋体"/>
            <charset val="134"/>
          </rPr>
          <t xml:space="preserve">
2021.10.14收990.09
2021.10.20收16475</t>
        </r>
      </text>
    </comment>
    <comment ref="T1082" authorId="0">
      <text>
        <r>
          <rPr>
            <b/>
            <sz val="9"/>
            <rFont val="宋体"/>
            <charset val="134"/>
          </rPr>
          <t>Administrator:</t>
        </r>
        <r>
          <rPr>
            <sz val="9"/>
            <rFont val="宋体"/>
            <charset val="134"/>
          </rPr>
          <t xml:space="preserve">
2022.1.14收25540.63
2022.1.20收25540.63
2022.1.20收25540.63</t>
        </r>
      </text>
    </comment>
    <comment ref="Q1083" authorId="0">
      <text>
        <r>
          <rPr>
            <b/>
            <sz val="9"/>
            <rFont val="宋体"/>
            <charset val="134"/>
          </rPr>
          <t>Administrator:</t>
        </r>
        <r>
          <rPr>
            <sz val="9"/>
            <rFont val="宋体"/>
            <charset val="134"/>
          </rPr>
          <t xml:space="preserve">
来源于J4120备注</t>
        </r>
      </text>
    </comment>
    <comment ref="T1083" authorId="0">
      <text>
        <r>
          <rPr>
            <b/>
            <sz val="9"/>
            <rFont val="宋体"/>
            <charset val="134"/>
          </rPr>
          <t>Administrator:</t>
        </r>
        <r>
          <rPr>
            <sz val="9"/>
            <rFont val="宋体"/>
            <charset val="134"/>
          </rPr>
          <t xml:space="preserve">
2021.12.10收36406.5</t>
        </r>
      </text>
    </comment>
    <comment ref="Q1084" authorId="0">
      <text>
        <r>
          <rPr>
            <b/>
            <sz val="9"/>
            <rFont val="宋体"/>
            <charset val="134"/>
          </rPr>
          <t>Administrator:</t>
        </r>
        <r>
          <rPr>
            <sz val="9"/>
            <rFont val="宋体"/>
            <charset val="134"/>
          </rPr>
          <t xml:space="preserve">
2021.10.20收9599.58</t>
        </r>
      </text>
    </comment>
    <comment ref="T1084" authorId="0">
      <text>
        <r>
          <rPr>
            <b/>
            <sz val="9"/>
            <rFont val="宋体"/>
            <charset val="134"/>
          </rPr>
          <t>Administrator:</t>
        </r>
        <r>
          <rPr>
            <sz val="9"/>
            <rFont val="宋体"/>
            <charset val="134"/>
          </rPr>
          <t xml:space="preserve">
2021.12.30
水单50836.02 实收50836.02</t>
        </r>
      </text>
    </comment>
    <comment ref="T1085" authorId="0">
      <text>
        <r>
          <rPr>
            <b/>
            <sz val="9"/>
            <rFont val="宋体"/>
            <charset val="134"/>
          </rPr>
          <t>Administrator:</t>
        </r>
        <r>
          <rPr>
            <sz val="9"/>
            <rFont val="宋体"/>
            <charset val="134"/>
          </rPr>
          <t xml:space="preserve">
2021.12.19水单$37611实收37584</t>
        </r>
      </text>
    </comment>
    <comment ref="Q1086" authorId="0">
      <text>
        <r>
          <rPr>
            <b/>
            <sz val="9"/>
            <rFont val="宋体"/>
            <charset val="134"/>
          </rPr>
          <t>Administrator:</t>
        </r>
        <r>
          <rPr>
            <sz val="9"/>
            <rFont val="宋体"/>
            <charset val="134"/>
          </rPr>
          <t xml:space="preserve">
2021.10.27收</t>
        </r>
      </text>
    </comment>
    <comment ref="T1086" authorId="0">
      <text>
        <r>
          <rPr>
            <b/>
            <sz val="9"/>
            <rFont val="宋体"/>
            <charset val="134"/>
          </rPr>
          <t>Administrator:</t>
        </r>
        <r>
          <rPr>
            <sz val="9"/>
            <rFont val="宋体"/>
            <charset val="134"/>
          </rPr>
          <t xml:space="preserve">
2021.12.2收20175.12</t>
        </r>
      </text>
    </comment>
    <comment ref="U1086" authorId="0">
      <text>
        <r>
          <rPr>
            <b/>
            <sz val="9"/>
            <rFont val="宋体"/>
            <charset val="134"/>
          </rPr>
          <t>Administrator:</t>
        </r>
        <r>
          <rPr>
            <sz val="9"/>
            <rFont val="宋体"/>
            <charset val="134"/>
          </rPr>
          <t xml:space="preserve">
2021.12.22收1238.1</t>
        </r>
      </text>
    </comment>
    <comment ref="T1087" authorId="0">
      <text>
        <r>
          <rPr>
            <b/>
            <sz val="9"/>
            <rFont val="宋体"/>
            <charset val="134"/>
          </rPr>
          <t>Administrator:</t>
        </r>
        <r>
          <rPr>
            <sz val="9"/>
            <rFont val="宋体"/>
            <charset val="134"/>
          </rPr>
          <t xml:space="preserve">
2021.12.16收56167</t>
        </r>
      </text>
    </comment>
    <comment ref="Q1088" authorId="0">
      <text>
        <r>
          <rPr>
            <b/>
            <sz val="9"/>
            <rFont val="宋体"/>
            <charset val="134"/>
          </rPr>
          <t>Administrator:</t>
        </r>
        <r>
          <rPr>
            <sz val="9"/>
            <rFont val="宋体"/>
            <charset val="134"/>
          </rPr>
          <t xml:space="preserve">
2021.9.10收16652
来自J4129定金  转移到这单</t>
        </r>
      </text>
    </comment>
    <comment ref="T1088" authorId="0">
      <text>
        <r>
          <rPr>
            <b/>
            <sz val="9"/>
            <rFont val="宋体"/>
            <charset val="134"/>
          </rPr>
          <t>Administrator:</t>
        </r>
        <r>
          <rPr>
            <sz val="9"/>
            <rFont val="宋体"/>
            <charset val="134"/>
          </rPr>
          <t xml:space="preserve">
2022.1.10收7371
925美金来自J4129-2
42美金来自J4163-1</t>
        </r>
      </text>
    </comment>
    <comment ref="U1088" authorId="0">
      <text>
        <r>
          <rPr>
            <b/>
            <sz val="9"/>
            <rFont val="宋体"/>
            <charset val="134"/>
          </rPr>
          <t>Administrator:</t>
        </r>
        <r>
          <rPr>
            <sz val="9"/>
            <rFont val="宋体"/>
            <charset val="134"/>
          </rPr>
          <t xml:space="preserve">
2022.1.26收
来自J4217</t>
        </r>
      </text>
    </comment>
    <comment ref="Q1089" authorId="0">
      <text>
        <r>
          <rPr>
            <b/>
            <sz val="9"/>
            <rFont val="宋体"/>
            <charset val="134"/>
          </rPr>
          <t>Administrator:</t>
        </r>
        <r>
          <rPr>
            <sz val="9"/>
            <rFont val="宋体"/>
            <charset val="134"/>
          </rPr>
          <t xml:space="preserve">
2021.11.25收19000人民币</t>
        </r>
      </text>
    </comment>
    <comment ref="T1089" authorId="0">
      <text>
        <r>
          <rPr>
            <b/>
            <sz val="9"/>
            <rFont val="宋体"/>
            <charset val="134"/>
          </rPr>
          <t>Administrator:</t>
        </r>
        <r>
          <rPr>
            <sz val="9"/>
            <rFont val="宋体"/>
            <charset val="134"/>
          </rPr>
          <t xml:space="preserve">
2022.1.6收45481</t>
        </r>
      </text>
    </comment>
    <comment ref="P1090" authorId="0">
      <text>
        <r>
          <rPr>
            <b/>
            <sz val="9"/>
            <rFont val="宋体"/>
            <charset val="134"/>
          </rPr>
          <t>Administrator:</t>
        </r>
        <r>
          <rPr>
            <sz val="9"/>
            <rFont val="宋体"/>
            <charset val="134"/>
          </rPr>
          <t xml:space="preserve">
含客户承担的海运费153美金</t>
        </r>
      </text>
    </comment>
    <comment ref="T1090" authorId="0">
      <text>
        <r>
          <rPr>
            <b/>
            <sz val="9"/>
            <rFont val="宋体"/>
            <charset val="134"/>
          </rPr>
          <t>Administrator:</t>
        </r>
        <r>
          <rPr>
            <sz val="9"/>
            <rFont val="宋体"/>
            <charset val="134"/>
          </rPr>
          <t xml:space="preserve">
2022.1.20收150000人民币 汇率6.32</t>
        </r>
      </text>
    </comment>
    <comment ref="U1090" authorId="0">
      <text>
        <r>
          <rPr>
            <b/>
            <sz val="9"/>
            <rFont val="宋体"/>
            <charset val="134"/>
          </rPr>
          <t>Administrator:</t>
        </r>
        <r>
          <rPr>
            <sz val="9"/>
            <rFont val="宋体"/>
            <charset val="134"/>
          </rPr>
          <t xml:space="preserve">
2022.2.7收13137</t>
        </r>
      </text>
    </comment>
    <comment ref="T1091" authorId="0">
      <text>
        <r>
          <rPr>
            <b/>
            <sz val="9"/>
            <rFont val="宋体"/>
            <charset val="134"/>
          </rPr>
          <t>Administrator:</t>
        </r>
        <r>
          <rPr>
            <sz val="9"/>
            <rFont val="宋体"/>
            <charset val="134"/>
          </rPr>
          <t xml:space="preserve">
2022.1.28收24213</t>
        </r>
      </text>
    </comment>
    <comment ref="Q1092" authorId="0">
      <text>
        <r>
          <rPr>
            <b/>
            <sz val="9"/>
            <rFont val="宋体"/>
            <charset val="134"/>
          </rPr>
          <t>Administrator:</t>
        </r>
        <r>
          <rPr>
            <sz val="9"/>
            <rFont val="宋体"/>
            <charset val="134"/>
          </rPr>
          <t xml:space="preserve">
2021.12.1收</t>
        </r>
      </text>
    </comment>
    <comment ref="T1092" authorId="0">
      <text>
        <r>
          <rPr>
            <b/>
            <sz val="9"/>
            <rFont val="宋体"/>
            <charset val="134"/>
          </rPr>
          <t>Administrator:</t>
        </r>
        <r>
          <rPr>
            <sz val="9"/>
            <rFont val="宋体"/>
            <charset val="134"/>
          </rPr>
          <t xml:space="preserve">
2021.12.29收</t>
        </r>
      </text>
    </comment>
    <comment ref="U1092" authorId="0">
      <text>
        <r>
          <rPr>
            <b/>
            <sz val="9"/>
            <rFont val="宋体"/>
            <charset val="134"/>
          </rPr>
          <t>Administrator:</t>
        </r>
        <r>
          <rPr>
            <sz val="9"/>
            <rFont val="宋体"/>
            <charset val="134"/>
          </rPr>
          <t xml:space="preserve">
2022.1.17收</t>
        </r>
      </text>
    </comment>
    <comment ref="Q1093" authorId="0">
      <text>
        <r>
          <rPr>
            <b/>
            <sz val="9"/>
            <rFont val="宋体"/>
            <charset val="134"/>
          </rPr>
          <t>Administrator:</t>
        </r>
        <r>
          <rPr>
            <sz val="9"/>
            <rFont val="宋体"/>
            <charset val="134"/>
          </rPr>
          <t xml:space="preserve">
2021.12.1收25189</t>
        </r>
      </text>
    </comment>
    <comment ref="T1093" authorId="0">
      <text>
        <r>
          <rPr>
            <b/>
            <sz val="9"/>
            <rFont val="宋体"/>
            <charset val="134"/>
          </rPr>
          <t>Administrator:</t>
        </r>
        <r>
          <rPr>
            <sz val="9"/>
            <rFont val="宋体"/>
            <charset val="134"/>
          </rPr>
          <t xml:space="preserve">
2022.3.4收72305</t>
        </r>
      </text>
    </comment>
    <comment ref="Q1094" authorId="0">
      <text>
        <r>
          <rPr>
            <b/>
            <sz val="9"/>
            <rFont val="宋体"/>
            <charset val="134"/>
          </rPr>
          <t>Administrator:</t>
        </r>
        <r>
          <rPr>
            <sz val="9"/>
            <rFont val="宋体"/>
            <charset val="134"/>
          </rPr>
          <t xml:space="preserve">
2021.12.3收7435.03</t>
        </r>
      </text>
    </comment>
    <comment ref="T1094" authorId="0">
      <text>
        <r>
          <rPr>
            <b/>
            <sz val="9"/>
            <rFont val="宋体"/>
            <charset val="134"/>
          </rPr>
          <t>Administrator:</t>
        </r>
        <r>
          <rPr>
            <sz val="9"/>
            <rFont val="宋体"/>
            <charset val="134"/>
          </rPr>
          <t xml:space="preserve">
2022.1.19收17376.72</t>
        </r>
      </text>
    </comment>
    <comment ref="Q1095" authorId="0">
      <text>
        <r>
          <rPr>
            <b/>
            <sz val="9"/>
            <rFont val="宋体"/>
            <charset val="134"/>
          </rPr>
          <t>Administrator:</t>
        </r>
        <r>
          <rPr>
            <sz val="9"/>
            <rFont val="宋体"/>
            <charset val="134"/>
          </rPr>
          <t xml:space="preserve">
2021.12.3收8575.58</t>
        </r>
      </text>
    </comment>
    <comment ref="T1095" authorId="0">
      <text>
        <r>
          <rPr>
            <b/>
            <sz val="9"/>
            <rFont val="宋体"/>
            <charset val="134"/>
          </rPr>
          <t>Administrator:</t>
        </r>
        <r>
          <rPr>
            <sz val="9"/>
            <rFont val="宋体"/>
            <charset val="134"/>
          </rPr>
          <t xml:space="preserve">
2022.1.12收20009.67</t>
        </r>
      </text>
    </comment>
    <comment ref="Q1096" authorId="0">
      <text>
        <r>
          <rPr>
            <b/>
            <sz val="9"/>
            <rFont val="宋体"/>
            <charset val="134"/>
          </rPr>
          <t>Administrator:</t>
        </r>
        <r>
          <rPr>
            <sz val="9"/>
            <rFont val="宋体"/>
            <charset val="134"/>
          </rPr>
          <t xml:space="preserve">
2021.12.9收25206</t>
        </r>
      </text>
    </comment>
    <comment ref="T1096" authorId="0">
      <text>
        <r>
          <rPr>
            <b/>
            <sz val="9"/>
            <rFont val="宋体"/>
            <charset val="134"/>
          </rPr>
          <t>Administrator:</t>
        </r>
        <r>
          <rPr>
            <sz val="9"/>
            <rFont val="宋体"/>
            <charset val="134"/>
          </rPr>
          <t xml:space="preserve">
2022.3.1收84447</t>
        </r>
      </text>
    </comment>
    <comment ref="Q1098" authorId="0">
      <text>
        <r>
          <rPr>
            <b/>
            <sz val="9"/>
            <rFont val="宋体"/>
            <charset val="134"/>
          </rPr>
          <t>Administrator:</t>
        </r>
        <r>
          <rPr>
            <sz val="9"/>
            <rFont val="宋体"/>
            <charset val="134"/>
          </rPr>
          <t xml:space="preserve">
2021.12.14收9898</t>
        </r>
      </text>
    </comment>
    <comment ref="T1098" authorId="0">
      <text>
        <r>
          <rPr>
            <b/>
            <sz val="9"/>
            <rFont val="宋体"/>
            <charset val="134"/>
          </rPr>
          <t>Administrator:</t>
        </r>
        <r>
          <rPr>
            <sz val="9"/>
            <rFont val="宋体"/>
            <charset val="134"/>
          </rPr>
          <t xml:space="preserve">
2021.12.30收36390.8</t>
        </r>
      </text>
    </comment>
    <comment ref="Q1099" authorId="0">
      <text>
        <r>
          <rPr>
            <b/>
            <sz val="9"/>
            <rFont val="宋体"/>
            <charset val="134"/>
          </rPr>
          <t>Administrator:</t>
        </r>
        <r>
          <rPr>
            <sz val="9"/>
            <rFont val="宋体"/>
            <charset val="134"/>
          </rPr>
          <t xml:space="preserve">
2021.12.22收</t>
        </r>
      </text>
    </comment>
    <comment ref="T1099" authorId="0">
      <text>
        <r>
          <rPr>
            <b/>
            <sz val="9"/>
            <rFont val="宋体"/>
            <charset val="134"/>
          </rPr>
          <t>Administrator:</t>
        </r>
        <r>
          <rPr>
            <sz val="9"/>
            <rFont val="宋体"/>
            <charset val="134"/>
          </rPr>
          <t xml:space="preserve">
2021.12.29收1910 含250运费</t>
        </r>
      </text>
    </comment>
    <comment ref="Q1100" authorId="0">
      <text>
        <r>
          <rPr>
            <b/>
            <sz val="9"/>
            <rFont val="宋体"/>
            <charset val="134"/>
          </rPr>
          <t>Administrator:</t>
        </r>
        <r>
          <rPr>
            <sz val="9"/>
            <rFont val="宋体"/>
            <charset val="134"/>
          </rPr>
          <t xml:space="preserve">
2022.3.10收34333.74
12214.34美金 之前剩的定金</t>
        </r>
      </text>
    </comment>
    <comment ref="T1100" authorId="0">
      <text>
        <r>
          <rPr>
            <b/>
            <sz val="9"/>
            <rFont val="宋体"/>
            <charset val="134"/>
          </rPr>
          <t>Administrator:</t>
        </r>
        <r>
          <rPr>
            <sz val="9"/>
            <rFont val="宋体"/>
            <charset val="134"/>
          </rPr>
          <t xml:space="preserve">
2022.4.21收14968</t>
        </r>
      </text>
    </comment>
    <comment ref="Q1101" authorId="0">
      <text>
        <r>
          <rPr>
            <b/>
            <sz val="9"/>
            <rFont val="宋体"/>
            <charset val="134"/>
          </rPr>
          <t>Administrator:</t>
        </r>
        <r>
          <rPr>
            <sz val="9"/>
            <rFont val="宋体"/>
            <charset val="134"/>
          </rPr>
          <t xml:space="preserve">
2021.12.29</t>
        </r>
      </text>
    </comment>
    <comment ref="T1101" authorId="0">
      <text>
        <r>
          <rPr>
            <b/>
            <sz val="9"/>
            <rFont val="宋体"/>
            <charset val="134"/>
          </rPr>
          <t>Administrator:</t>
        </r>
        <r>
          <rPr>
            <sz val="9"/>
            <rFont val="宋体"/>
            <charset val="134"/>
          </rPr>
          <t xml:space="preserve">
2022.1.15收</t>
        </r>
      </text>
    </comment>
    <comment ref="Q1102" authorId="0">
      <text>
        <r>
          <rPr>
            <b/>
            <sz val="9"/>
            <rFont val="宋体"/>
            <charset val="134"/>
          </rPr>
          <t>Administrator:</t>
        </r>
        <r>
          <rPr>
            <sz val="9"/>
            <rFont val="宋体"/>
            <charset val="134"/>
          </rPr>
          <t xml:space="preserve">
2022.1.26收12120.20
水单12135.2
1836用于J4163-2尾款</t>
        </r>
      </text>
    </comment>
    <comment ref="T1102" authorId="0">
      <text>
        <r>
          <rPr>
            <b/>
            <sz val="9"/>
            <rFont val="宋体"/>
            <charset val="134"/>
          </rPr>
          <t>Administrator:</t>
        </r>
        <r>
          <rPr>
            <sz val="9"/>
            <rFont val="宋体"/>
            <charset val="134"/>
          </rPr>
          <t xml:space="preserve">
2022.4.19收16669.8水单16695.8  134美金来自J4217-1</t>
        </r>
      </text>
    </comment>
    <comment ref="Q1103" authorId="0">
      <text>
        <r>
          <rPr>
            <b/>
            <sz val="9"/>
            <rFont val="宋体"/>
            <charset val="134"/>
          </rPr>
          <t>Administrator:</t>
        </r>
        <r>
          <rPr>
            <sz val="9"/>
            <rFont val="宋体"/>
            <charset val="134"/>
          </rPr>
          <t xml:space="preserve">
2022.3.15收39974
J4217-1定金24367
剩下用于J4239</t>
        </r>
      </text>
    </comment>
    <comment ref="P1104" authorId="0">
      <text>
        <r>
          <rPr>
            <b/>
            <sz val="9"/>
            <rFont val="宋体"/>
            <charset val="134"/>
          </rPr>
          <t>Administrator:</t>
        </r>
        <r>
          <rPr>
            <sz val="9"/>
            <rFont val="宋体"/>
            <charset val="134"/>
          </rPr>
          <t xml:space="preserve">
甩货已付 按163053付款的</t>
        </r>
      </text>
    </comment>
    <comment ref="Q1104" authorId="0">
      <text>
        <r>
          <rPr>
            <b/>
            <sz val="9"/>
            <rFont val="宋体"/>
            <charset val="134"/>
          </rPr>
          <t>Administrator:</t>
        </r>
        <r>
          <rPr>
            <sz val="9"/>
            <rFont val="宋体"/>
            <charset val="134"/>
          </rPr>
          <t xml:space="preserve">
2022.1.26收
2022.1.28收38915.9</t>
        </r>
      </text>
    </comment>
    <comment ref="T1104" authorId="0">
      <text>
        <r>
          <rPr>
            <b/>
            <sz val="9"/>
            <rFont val="宋体"/>
            <charset val="134"/>
          </rPr>
          <t>Administrator:</t>
        </r>
        <r>
          <rPr>
            <sz val="9"/>
            <rFont val="宋体"/>
            <charset val="134"/>
          </rPr>
          <t xml:space="preserve">
2022.4.20收</t>
        </r>
      </text>
    </comment>
    <comment ref="U1104" authorId="0">
      <text>
        <r>
          <rPr>
            <b/>
            <sz val="9"/>
            <rFont val="宋体"/>
            <charset val="134"/>
          </rPr>
          <t>Administrator:</t>
        </r>
        <r>
          <rPr>
            <sz val="9"/>
            <rFont val="宋体"/>
            <charset val="134"/>
          </rPr>
          <t xml:space="preserve">
2022.4.28收J4218 尾款 54137.1
J4275 补定金 43966.4</t>
        </r>
      </text>
    </comment>
    <comment ref="Q1105" authorId="0">
      <text>
        <r>
          <rPr>
            <b/>
            <sz val="9"/>
            <rFont val="宋体"/>
            <charset val="134"/>
          </rPr>
          <t>Administrator:</t>
        </r>
        <r>
          <rPr>
            <sz val="9"/>
            <rFont val="宋体"/>
            <charset val="134"/>
          </rPr>
          <t xml:space="preserve">
2022.2.25收</t>
        </r>
      </text>
    </comment>
    <comment ref="T1105" authorId="0">
      <text>
        <r>
          <rPr>
            <b/>
            <sz val="9"/>
            <rFont val="宋体"/>
            <charset val="134"/>
          </rPr>
          <t>Administrator:</t>
        </r>
        <r>
          <rPr>
            <sz val="9"/>
            <rFont val="宋体"/>
            <charset val="134"/>
          </rPr>
          <t xml:space="preserve">
2022.4.2收4541.5 含海运费</t>
        </r>
      </text>
    </comment>
    <comment ref="Q1106" authorId="0">
      <text>
        <r>
          <rPr>
            <b/>
            <sz val="9"/>
            <rFont val="宋体"/>
            <charset val="134"/>
          </rPr>
          <t>Administrator:</t>
        </r>
        <r>
          <rPr>
            <sz val="9"/>
            <rFont val="宋体"/>
            <charset val="134"/>
          </rPr>
          <t xml:space="preserve">
2022.2.23收9993.42</t>
        </r>
      </text>
    </comment>
    <comment ref="T1106" authorId="0">
      <text>
        <r>
          <rPr>
            <b/>
            <sz val="9"/>
            <rFont val="宋体"/>
            <charset val="134"/>
          </rPr>
          <t>Administrator:</t>
        </r>
        <r>
          <rPr>
            <sz val="9"/>
            <rFont val="宋体"/>
            <charset val="134"/>
          </rPr>
          <t xml:space="preserve">
2022.6.1收23981.8
付了J4235 600美金退仓费</t>
        </r>
      </text>
    </comment>
    <comment ref="Q1107" authorId="0">
      <text>
        <r>
          <rPr>
            <b/>
            <sz val="9"/>
            <rFont val="宋体"/>
            <charset val="134"/>
          </rPr>
          <t>Administrator:</t>
        </r>
        <r>
          <rPr>
            <sz val="9"/>
            <rFont val="宋体"/>
            <charset val="134"/>
          </rPr>
          <t xml:space="preserve">
2022.3.3收9974</t>
        </r>
      </text>
    </comment>
    <comment ref="T1108" authorId="0">
      <text>
        <r>
          <rPr>
            <b/>
            <sz val="9"/>
            <rFont val="宋体"/>
            <charset val="134"/>
          </rPr>
          <t>Administrator:</t>
        </r>
        <r>
          <rPr>
            <sz val="9"/>
            <rFont val="宋体"/>
            <charset val="134"/>
          </rPr>
          <t xml:space="preserve">
2022.5.16收39532.5  20001是J4233-1的
19557.5是J4285-2尾款</t>
        </r>
      </text>
    </comment>
    <comment ref="Q1109" authorId="0">
      <text>
        <r>
          <rPr>
            <b/>
            <sz val="9"/>
            <rFont val="宋体"/>
            <charset val="134"/>
          </rPr>
          <t>Administrator:</t>
        </r>
        <r>
          <rPr>
            <sz val="9"/>
            <rFont val="宋体"/>
            <charset val="134"/>
          </rPr>
          <t xml:space="preserve">
2022.3.1收</t>
        </r>
      </text>
    </comment>
    <comment ref="Q1110" authorId="0">
      <text>
        <r>
          <rPr>
            <b/>
            <sz val="9"/>
            <rFont val="宋体"/>
            <charset val="134"/>
          </rPr>
          <t>Administrator:</t>
        </r>
        <r>
          <rPr>
            <sz val="9"/>
            <rFont val="宋体"/>
            <charset val="134"/>
          </rPr>
          <t xml:space="preserve">
2022.3.3收10368.46</t>
        </r>
      </text>
    </comment>
    <comment ref="Q1111" authorId="0">
      <text>
        <r>
          <rPr>
            <b/>
            <sz val="9"/>
            <rFont val="宋体"/>
            <charset val="134"/>
          </rPr>
          <t>Administrator:</t>
        </r>
        <r>
          <rPr>
            <sz val="9"/>
            <rFont val="宋体"/>
            <charset val="134"/>
          </rPr>
          <t xml:space="preserve">
2022.3.8收11360
2022.3.10收6219.85</t>
        </r>
      </text>
    </comment>
    <comment ref="Q1112" authorId="0">
      <text>
        <r>
          <rPr>
            <b/>
            <sz val="9"/>
            <rFont val="宋体"/>
            <charset val="134"/>
          </rPr>
          <t>Administrator:</t>
        </r>
        <r>
          <rPr>
            <sz val="9"/>
            <rFont val="宋体"/>
            <charset val="134"/>
          </rPr>
          <t xml:space="preserve">
2022.3.11收16320.45</t>
        </r>
      </text>
    </comment>
    <comment ref="Q1113" authorId="0">
      <text>
        <r>
          <rPr>
            <b/>
            <sz val="9"/>
            <rFont val="宋体"/>
            <charset val="134"/>
          </rPr>
          <t>Administrator:见J4205备注
2022.4.28收21166</t>
        </r>
      </text>
    </comment>
    <comment ref="T1113" authorId="0">
      <text>
        <r>
          <rPr>
            <b/>
            <sz val="9"/>
            <rFont val="宋体"/>
            <charset val="134"/>
          </rPr>
          <t>Administrator:</t>
        </r>
        <r>
          <rPr>
            <sz val="9"/>
            <rFont val="宋体"/>
            <charset val="134"/>
          </rPr>
          <t xml:space="preserve">
2022.5.28收33099.58</t>
        </r>
      </text>
    </comment>
    <comment ref="Q1115" authorId="0">
      <text>
        <r>
          <rPr>
            <b/>
            <sz val="9"/>
            <rFont val="宋体"/>
            <charset val="134"/>
          </rPr>
          <t>Administrator:</t>
        </r>
        <r>
          <rPr>
            <sz val="9"/>
            <rFont val="宋体"/>
            <charset val="134"/>
          </rPr>
          <t xml:space="preserve">
2022.3.9</t>
        </r>
      </text>
    </comment>
    <comment ref="T1115" authorId="0">
      <text>
        <r>
          <rPr>
            <b/>
            <sz val="9"/>
            <rFont val="宋体"/>
            <charset val="134"/>
          </rPr>
          <t>Administrator:</t>
        </r>
        <r>
          <rPr>
            <sz val="9"/>
            <rFont val="宋体"/>
            <charset val="134"/>
          </rPr>
          <t xml:space="preserve">
2022.6.16收</t>
        </r>
      </text>
    </comment>
    <comment ref="Q1116" authorId="0">
      <text>
        <r>
          <rPr>
            <b/>
            <sz val="9"/>
            <rFont val="宋体"/>
            <charset val="134"/>
          </rPr>
          <t>Administrator:</t>
        </r>
        <r>
          <rPr>
            <sz val="9"/>
            <rFont val="宋体"/>
            <charset val="134"/>
          </rPr>
          <t xml:space="preserve">
2022.3.15收39974
J4239定金15633
剩下用于J4217-1</t>
        </r>
      </text>
    </comment>
    <comment ref="T1117" authorId="0">
      <text>
        <r>
          <rPr>
            <b/>
            <sz val="9"/>
            <rFont val="宋体"/>
            <charset val="134"/>
          </rPr>
          <t>Administrator:</t>
        </r>
        <r>
          <rPr>
            <sz val="9"/>
            <rFont val="宋体"/>
            <charset val="134"/>
          </rPr>
          <t xml:space="preserve">
2022.5.26收22866</t>
        </r>
      </text>
    </comment>
    <comment ref="Q1118" authorId="0">
      <text>
        <r>
          <rPr>
            <b/>
            <sz val="9"/>
            <rFont val="宋体"/>
            <charset val="134"/>
          </rPr>
          <t>Administrator:</t>
        </r>
        <r>
          <rPr>
            <sz val="9"/>
            <rFont val="宋体"/>
            <charset val="134"/>
          </rPr>
          <t xml:space="preserve">
2022.4.6收7990</t>
        </r>
      </text>
    </comment>
    <comment ref="Q1119" authorId="0">
      <text>
        <r>
          <rPr>
            <b/>
            <sz val="9"/>
            <rFont val="宋体"/>
            <charset val="134"/>
          </rPr>
          <t>Administrator:</t>
        </r>
        <r>
          <rPr>
            <sz val="9"/>
            <rFont val="宋体"/>
            <charset val="134"/>
          </rPr>
          <t xml:space="preserve">
2022.4.12收11156.01</t>
        </r>
      </text>
    </comment>
    <comment ref="T1119" authorId="0">
      <text>
        <r>
          <rPr>
            <b/>
            <sz val="9"/>
            <rFont val="宋体"/>
            <charset val="134"/>
          </rPr>
          <t>Administrator:</t>
        </r>
        <r>
          <rPr>
            <sz val="9"/>
            <rFont val="宋体"/>
            <charset val="134"/>
          </rPr>
          <t xml:space="preserve">
2022.5.26收26050.69</t>
        </r>
      </text>
    </comment>
    <comment ref="Q1120" authorId="0">
      <text>
        <r>
          <rPr>
            <b/>
            <sz val="9"/>
            <rFont val="宋体"/>
            <charset val="134"/>
          </rPr>
          <t>Administrator:</t>
        </r>
        <r>
          <rPr>
            <sz val="9"/>
            <rFont val="宋体"/>
            <charset val="134"/>
          </rPr>
          <t xml:space="preserve">
2022.4.8收34225.68
水单34375.68  17000是J4268定金  17375.68美金是J4273定金</t>
        </r>
      </text>
    </comment>
    <comment ref="T1120" authorId="0">
      <text>
        <r>
          <rPr>
            <b/>
            <sz val="9"/>
            <rFont val="宋体"/>
            <charset val="134"/>
          </rPr>
          <t>Administrator:</t>
        </r>
        <r>
          <rPr>
            <sz val="9"/>
            <rFont val="宋体"/>
            <charset val="134"/>
          </rPr>
          <t xml:space="preserve">
2022.5.26收87112.12</t>
        </r>
      </text>
    </comment>
    <comment ref="Q1121" authorId="0">
      <text>
        <r>
          <rPr>
            <b/>
            <sz val="9"/>
            <rFont val="宋体"/>
            <charset val="134"/>
          </rPr>
          <t>Administrator:</t>
        </r>
        <r>
          <rPr>
            <sz val="9"/>
            <rFont val="宋体"/>
            <charset val="134"/>
          </rPr>
          <t xml:space="preserve">
2022.4.15收</t>
        </r>
      </text>
    </comment>
    <comment ref="Q1122" authorId="0">
      <text>
        <r>
          <rPr>
            <b/>
            <sz val="9"/>
            <rFont val="宋体"/>
            <charset val="134"/>
          </rPr>
          <t>Administrator:</t>
        </r>
        <r>
          <rPr>
            <sz val="9"/>
            <rFont val="宋体"/>
            <charset val="134"/>
          </rPr>
          <t xml:space="preserve">
2022.4.19收
2022.4.28收J4275 补定金 43966.4</t>
        </r>
      </text>
    </comment>
    <comment ref="Q1123" authorId="0">
      <text>
        <r>
          <rPr>
            <b/>
            <sz val="9"/>
            <rFont val="宋体"/>
            <charset val="134"/>
          </rPr>
          <t>Administrator:</t>
        </r>
        <r>
          <rPr>
            <sz val="9"/>
            <rFont val="宋体"/>
            <charset val="134"/>
          </rPr>
          <t xml:space="preserve">
2022.4.8收</t>
        </r>
      </text>
    </comment>
    <comment ref="Q1124" authorId="0">
      <text>
        <r>
          <rPr>
            <b/>
            <sz val="9"/>
            <rFont val="宋体"/>
            <charset val="134"/>
          </rPr>
          <t>Administrator:</t>
        </r>
        <r>
          <rPr>
            <sz val="9"/>
            <rFont val="宋体"/>
            <charset val="134"/>
          </rPr>
          <t xml:space="preserve">
2022.4.29收16974</t>
        </r>
      </text>
    </comment>
    <comment ref="T1124" authorId="0">
      <text>
        <r>
          <rPr>
            <b/>
            <sz val="9"/>
            <rFont val="宋体"/>
            <charset val="134"/>
          </rPr>
          <t>Administrator:</t>
        </r>
        <r>
          <rPr>
            <sz val="9"/>
            <rFont val="宋体"/>
            <charset val="134"/>
          </rPr>
          <t xml:space="preserve">
2022.5.9收19853</t>
        </r>
      </text>
    </comment>
    <comment ref="T1125" authorId="0">
      <text>
        <r>
          <rPr>
            <b/>
            <sz val="9"/>
            <rFont val="宋体"/>
            <charset val="134"/>
          </rPr>
          <t>Administrator:</t>
        </r>
        <r>
          <rPr>
            <sz val="9"/>
            <rFont val="宋体"/>
            <charset val="134"/>
          </rPr>
          <t xml:space="preserve">
2022.5.16收39532.5  20001是J4233-1的
19557.5是J4285-2尾款
</t>
        </r>
      </text>
    </comment>
    <comment ref="Q1126" authorId="0">
      <text>
        <r>
          <rPr>
            <b/>
            <sz val="9"/>
            <rFont val="宋体"/>
            <charset val="134"/>
          </rPr>
          <t>Administrator:</t>
        </r>
        <r>
          <rPr>
            <sz val="9"/>
            <rFont val="宋体"/>
            <charset val="134"/>
          </rPr>
          <t xml:space="preserve">
2022.5.10收9462.96</t>
        </r>
      </text>
    </comment>
    <comment ref="Q1127" authorId="0">
      <text>
        <r>
          <rPr>
            <b/>
            <sz val="9"/>
            <rFont val="宋体"/>
            <charset val="134"/>
          </rPr>
          <t>Administrator:</t>
        </r>
        <r>
          <rPr>
            <sz val="9"/>
            <rFont val="宋体"/>
            <charset val="134"/>
          </rPr>
          <t xml:space="preserve">
2022.5.17收</t>
        </r>
      </text>
    </comment>
    <comment ref="Q1130" authorId="0">
      <text>
        <r>
          <rPr>
            <b/>
            <sz val="9"/>
            <rFont val="宋体"/>
            <charset val="134"/>
          </rPr>
          <t>Administrator:</t>
        </r>
        <r>
          <rPr>
            <sz val="9"/>
            <rFont val="宋体"/>
            <charset val="134"/>
          </rPr>
          <t xml:space="preserve">
2022.6.13</t>
        </r>
      </text>
    </comment>
    <comment ref="Q1133" authorId="0">
      <text>
        <r>
          <rPr>
            <b/>
            <sz val="9"/>
            <rFont val="宋体"/>
            <charset val="134"/>
          </rPr>
          <t>Administrator:</t>
        </r>
        <r>
          <rPr>
            <sz val="9"/>
            <rFont val="宋体"/>
            <charset val="134"/>
          </rPr>
          <t xml:space="preserve">
2020.共收到1万美金定金 平分到-1 -2</t>
        </r>
      </text>
    </comment>
    <comment ref="T1133" authorId="0">
      <text>
        <r>
          <rPr>
            <b/>
            <sz val="9"/>
            <rFont val="宋体"/>
            <charset val="134"/>
          </rPr>
          <t>Administrator:</t>
        </r>
        <r>
          <rPr>
            <sz val="9"/>
            <rFont val="宋体"/>
            <charset val="134"/>
          </rPr>
          <t xml:space="preserve">
2020.7.10收</t>
        </r>
      </text>
    </comment>
    <comment ref="T1134" authorId="0">
      <text>
        <r>
          <rPr>
            <b/>
            <sz val="9"/>
            <rFont val="宋体"/>
            <charset val="134"/>
          </rPr>
          <t>Administrator:</t>
        </r>
        <r>
          <rPr>
            <sz val="9"/>
            <rFont val="宋体"/>
            <charset val="134"/>
          </rPr>
          <t xml:space="preserve">
2020.4.22收</t>
        </r>
      </text>
    </comment>
    <comment ref="T1135" authorId="0">
      <text>
        <r>
          <rPr>
            <b/>
            <sz val="9"/>
            <rFont val="宋体"/>
            <charset val="134"/>
          </rPr>
          <t>Administrator:</t>
        </r>
        <r>
          <rPr>
            <sz val="9"/>
            <rFont val="宋体"/>
            <charset val="134"/>
          </rPr>
          <t xml:space="preserve">
2020.7.7</t>
        </r>
      </text>
    </comment>
    <comment ref="T1136" authorId="0">
      <text>
        <r>
          <rPr>
            <b/>
            <sz val="9"/>
            <rFont val="宋体"/>
            <charset val="134"/>
          </rPr>
          <t>Administrator:</t>
        </r>
        <r>
          <rPr>
            <sz val="9"/>
            <rFont val="宋体"/>
            <charset val="134"/>
          </rPr>
          <t xml:space="preserve">
2020.10.26收12058.8</t>
        </r>
      </text>
    </comment>
    <comment ref="Q1137" authorId="0">
      <text>
        <r>
          <rPr>
            <b/>
            <sz val="9"/>
            <rFont val="宋体"/>
            <charset val="134"/>
          </rPr>
          <t>Administrator:</t>
        </r>
        <r>
          <rPr>
            <sz val="9"/>
            <rFont val="宋体"/>
            <charset val="134"/>
          </rPr>
          <t xml:space="preserve">
X3748多打的</t>
        </r>
      </text>
    </comment>
    <comment ref="T1137" authorId="0">
      <text>
        <r>
          <rPr>
            <b/>
            <sz val="9"/>
            <rFont val="宋体"/>
            <charset val="134"/>
          </rPr>
          <t>Administrator:</t>
        </r>
        <r>
          <rPr>
            <sz val="9"/>
            <rFont val="宋体"/>
            <charset val="134"/>
          </rPr>
          <t xml:space="preserve">
2020.10.16收</t>
        </r>
      </text>
    </comment>
    <comment ref="Q1138" authorId="0">
      <text>
        <r>
          <rPr>
            <b/>
            <sz val="9"/>
            <rFont val="宋体"/>
            <charset val="134"/>
          </rPr>
          <t>Administrator:</t>
        </r>
        <r>
          <rPr>
            <sz val="9"/>
            <rFont val="宋体"/>
            <charset val="134"/>
          </rPr>
          <t xml:space="preserve">
2020.10.16收</t>
        </r>
      </text>
    </comment>
    <comment ref="T1138" authorId="0">
      <text>
        <r>
          <rPr>
            <b/>
            <sz val="9"/>
            <rFont val="宋体"/>
            <charset val="134"/>
          </rPr>
          <t>Administrator:</t>
        </r>
        <r>
          <rPr>
            <sz val="9"/>
            <rFont val="宋体"/>
            <charset val="134"/>
          </rPr>
          <t xml:space="preserve">
2021.9.17收27739.64</t>
        </r>
      </text>
    </comment>
    <comment ref="Q1139" authorId="0">
      <text>
        <r>
          <rPr>
            <b/>
            <sz val="9"/>
            <rFont val="宋体"/>
            <charset val="134"/>
          </rPr>
          <t>Administrator:</t>
        </r>
        <r>
          <rPr>
            <sz val="9"/>
            <rFont val="宋体"/>
            <charset val="134"/>
          </rPr>
          <t xml:space="preserve">
2021.1.26收6216.88</t>
        </r>
      </text>
    </comment>
    <comment ref="T1139" authorId="0">
      <text>
        <r>
          <rPr>
            <b/>
            <sz val="9"/>
            <rFont val="宋体"/>
            <charset val="134"/>
          </rPr>
          <t>Administrator:</t>
        </r>
        <r>
          <rPr>
            <sz val="9"/>
            <rFont val="宋体"/>
            <charset val="134"/>
          </rPr>
          <t xml:space="preserve">
2021.3.29收11944.76</t>
        </r>
      </text>
    </comment>
    <comment ref="Q1140" authorId="0">
      <text>
        <r>
          <rPr>
            <b/>
            <sz val="9"/>
            <rFont val="宋体"/>
            <charset val="134"/>
          </rPr>
          <t>Administrator:</t>
        </r>
        <r>
          <rPr>
            <sz val="9"/>
            <rFont val="宋体"/>
            <charset val="134"/>
          </rPr>
          <t xml:space="preserve">
2021.12.16收6321.9</t>
        </r>
      </text>
    </comment>
    <comment ref="T1140" authorId="0">
      <text>
        <r>
          <rPr>
            <b/>
            <sz val="9"/>
            <rFont val="宋体"/>
            <charset val="134"/>
          </rPr>
          <t>Administrator:</t>
        </r>
        <r>
          <rPr>
            <sz val="9"/>
            <rFont val="宋体"/>
            <charset val="134"/>
          </rPr>
          <t xml:space="preserve">
来自M4151</t>
        </r>
      </text>
    </comment>
    <comment ref="T1145" authorId="0">
      <text>
        <r>
          <rPr>
            <b/>
            <sz val="9"/>
            <rFont val="宋体"/>
            <charset val="134"/>
          </rPr>
          <t>Administrator:</t>
        </r>
        <r>
          <rPr>
            <sz val="9"/>
            <rFont val="宋体"/>
            <charset val="134"/>
          </rPr>
          <t xml:space="preserve">
2020.3.31收</t>
        </r>
      </text>
    </comment>
    <comment ref="T1146" authorId="0">
      <text>
        <r>
          <rPr>
            <b/>
            <sz val="9"/>
            <rFont val="宋体"/>
            <charset val="134"/>
          </rPr>
          <t>Administrator:</t>
        </r>
        <r>
          <rPr>
            <sz val="9"/>
            <rFont val="宋体"/>
            <charset val="134"/>
          </rPr>
          <t xml:space="preserve">
2020.4.15收</t>
        </r>
      </text>
    </comment>
    <comment ref="T1147" authorId="0">
      <text>
        <r>
          <rPr>
            <b/>
            <sz val="9"/>
            <rFont val="宋体"/>
            <charset val="134"/>
          </rPr>
          <t>Administrator:</t>
        </r>
        <r>
          <rPr>
            <sz val="9"/>
            <rFont val="宋体"/>
            <charset val="134"/>
          </rPr>
          <t xml:space="preserve">
水单18779 2020.6.30收</t>
        </r>
      </text>
    </comment>
    <comment ref="T1148" authorId="0">
      <text>
        <r>
          <rPr>
            <b/>
            <sz val="9"/>
            <rFont val="宋体"/>
            <charset val="134"/>
          </rPr>
          <t>Administrator:</t>
        </r>
        <r>
          <rPr>
            <sz val="9"/>
            <rFont val="宋体"/>
            <charset val="134"/>
          </rPr>
          <t xml:space="preserve">
2020.7.1收</t>
        </r>
      </text>
    </comment>
    <comment ref="U1148" authorId="0">
      <text>
        <r>
          <rPr>
            <b/>
            <sz val="9"/>
            <rFont val="宋体"/>
            <charset val="134"/>
          </rPr>
          <t>Administrator:</t>
        </r>
        <r>
          <rPr>
            <sz val="9"/>
            <rFont val="宋体"/>
            <charset val="134"/>
          </rPr>
          <t xml:space="preserve">
2020.9.30收5365.05</t>
        </r>
      </text>
    </comment>
    <comment ref="R1156" authorId="0">
      <text>
        <r>
          <rPr>
            <b/>
            <sz val="9"/>
            <rFont val="宋体"/>
            <charset val="134"/>
          </rPr>
          <t>Administrator:</t>
        </r>
        <r>
          <rPr>
            <sz val="9"/>
            <rFont val="宋体"/>
            <charset val="134"/>
          </rPr>
          <t xml:space="preserve">
9.12</t>
        </r>
      </text>
    </comment>
    <comment ref="U1156" authorId="0">
      <text>
        <r>
          <rPr>
            <b/>
            <sz val="9"/>
            <rFont val="宋体"/>
            <charset val="134"/>
          </rPr>
          <t>Administrator:</t>
        </r>
        <r>
          <rPr>
            <sz val="9"/>
            <rFont val="宋体"/>
            <charset val="134"/>
          </rPr>
          <t xml:space="preserve">
9.12</t>
        </r>
      </text>
    </comment>
    <comment ref="T1163" authorId="0">
      <text>
        <r>
          <rPr>
            <b/>
            <sz val="9"/>
            <rFont val="宋体"/>
            <charset val="134"/>
          </rPr>
          <t>Administrator:</t>
        </r>
        <r>
          <rPr>
            <sz val="9"/>
            <rFont val="宋体"/>
            <charset val="134"/>
          </rPr>
          <t xml:space="preserve">
1.10</t>
        </r>
      </text>
    </comment>
    <comment ref="Q1169" authorId="0">
      <text>
        <r>
          <rPr>
            <b/>
            <sz val="9"/>
            <rFont val="宋体"/>
            <charset val="134"/>
          </rPr>
          <t>Administrator:</t>
        </r>
        <r>
          <rPr>
            <sz val="9"/>
            <rFont val="宋体"/>
            <charset val="134"/>
          </rPr>
          <t xml:space="preserve">
7872.5  1/3</t>
        </r>
      </text>
    </comment>
    <comment ref="R1169" authorId="0">
      <text>
        <r>
          <rPr>
            <b/>
            <sz val="9"/>
            <rFont val="宋体"/>
            <charset val="134"/>
          </rPr>
          <t>Administrator:</t>
        </r>
        <r>
          <rPr>
            <sz val="9"/>
            <rFont val="宋体"/>
            <charset val="134"/>
          </rPr>
          <t xml:space="preserve">
这个款下单安排</t>
        </r>
      </text>
    </comment>
    <comment ref="Q1170" authorId="0">
      <text>
        <r>
          <rPr>
            <b/>
            <sz val="9"/>
            <rFont val="宋体"/>
            <charset val="134"/>
          </rPr>
          <t>Administrator:</t>
        </r>
        <r>
          <rPr>
            <sz val="9"/>
            <rFont val="宋体"/>
            <charset val="134"/>
          </rPr>
          <t xml:space="preserve">
45094  1.7  6.85</t>
        </r>
      </text>
    </comment>
    <comment ref="Q1173" authorId="0">
      <text>
        <r>
          <rPr>
            <b/>
            <sz val="9"/>
            <rFont val="宋体"/>
            <charset val="134"/>
          </rPr>
          <t>Administrator:</t>
        </r>
        <r>
          <rPr>
            <sz val="9"/>
            <rFont val="宋体"/>
            <charset val="134"/>
          </rPr>
          <t xml:space="preserve">
19963  2.15
4个柜的定金2万美金
-1用掉4千 -3用掉5千</t>
        </r>
      </text>
    </comment>
    <comment ref="Q1175" authorId="0">
      <text>
        <r>
          <rPr>
            <b/>
            <sz val="9"/>
            <rFont val="宋体"/>
            <charset val="134"/>
          </rPr>
          <t>Administrator:</t>
        </r>
        <r>
          <rPr>
            <sz val="9"/>
            <rFont val="宋体"/>
            <charset val="134"/>
          </rPr>
          <t xml:space="preserve">
7593 2.14</t>
        </r>
      </text>
    </comment>
    <comment ref="Q1176" authorId="0">
      <text>
        <r>
          <rPr>
            <b/>
            <sz val="9"/>
            <rFont val="宋体"/>
            <charset val="134"/>
          </rPr>
          <t>Administrator:</t>
        </r>
        <r>
          <rPr>
            <sz val="9"/>
            <rFont val="宋体"/>
            <charset val="134"/>
          </rPr>
          <t xml:space="preserve">
6450  3.5</t>
        </r>
      </text>
    </comment>
    <comment ref="P1181" authorId="0">
      <text>
        <r>
          <rPr>
            <b/>
            <sz val="9"/>
            <rFont val="宋体"/>
            <charset val="134"/>
          </rPr>
          <t>Administrator:</t>
        </r>
        <r>
          <rPr>
            <sz val="9"/>
            <rFont val="宋体"/>
            <charset val="134"/>
          </rPr>
          <t xml:space="preserve">
27504+396.25-5000=22900.25
396美金是J3550拼柜多装的货
实际甩货了 发票值是27150.9（客户多付354美金）</t>
        </r>
      </text>
    </comment>
    <comment ref="T1182" authorId="0">
      <text>
        <r>
          <rPr>
            <b/>
            <sz val="9"/>
            <rFont val="宋体"/>
            <charset val="134"/>
          </rPr>
          <t>Administrator:</t>
        </r>
        <r>
          <rPr>
            <sz val="9"/>
            <rFont val="宋体"/>
            <charset val="134"/>
          </rPr>
          <t xml:space="preserve">
2020.1.16收25067.48美金
多装的货是3510美金 从定金扣除</t>
        </r>
      </text>
    </comment>
    <comment ref="U1199" authorId="0">
      <text>
        <r>
          <rPr>
            <sz val="9"/>
            <rFont val="宋体"/>
            <charset val="134"/>
          </rPr>
          <t>Administrator:
5.13 收到 比实际少了300</t>
        </r>
      </text>
    </comment>
    <comment ref="U1200" authorId="0">
      <text>
        <r>
          <rPr>
            <sz val="9"/>
            <rFont val="宋体"/>
            <charset val="134"/>
          </rPr>
          <t>Administrator:
2016.5.13 比实际少140</t>
        </r>
      </text>
    </comment>
    <comment ref="Q1202" authorId="0">
      <text>
        <r>
          <rPr>
            <b/>
            <sz val="9"/>
            <rFont val="宋体"/>
            <charset val="134"/>
          </rPr>
          <t>Administrator:</t>
        </r>
        <r>
          <rPr>
            <sz val="9"/>
            <rFont val="宋体"/>
            <charset val="134"/>
          </rPr>
          <t xml:space="preserve">
20163.12.30  4803</t>
        </r>
      </text>
    </comment>
    <comment ref="T1203" authorId="0">
      <text>
        <r>
          <rPr>
            <b/>
            <sz val="9"/>
            <rFont val="宋体"/>
            <charset val="134"/>
          </rPr>
          <t>Administrator:</t>
        </r>
        <r>
          <rPr>
            <sz val="9"/>
            <rFont val="宋体"/>
            <charset val="134"/>
          </rPr>
          <t xml:space="preserve">
7940  10.9</t>
        </r>
      </text>
    </comment>
    <comment ref="U1203" authorId="0">
      <text>
        <r>
          <rPr>
            <b/>
            <sz val="9"/>
            <rFont val="宋体"/>
            <charset val="134"/>
          </rPr>
          <t>Administrator:</t>
        </r>
        <r>
          <rPr>
            <sz val="9"/>
            <rFont val="宋体"/>
            <charset val="134"/>
          </rPr>
          <t xml:space="preserve">
7940  10.9</t>
        </r>
      </text>
    </comment>
    <comment ref="U1204" authorId="0">
      <text>
        <r>
          <rPr>
            <b/>
            <sz val="9"/>
            <rFont val="宋体"/>
            <charset val="134"/>
          </rPr>
          <t>Administrator:</t>
        </r>
        <r>
          <rPr>
            <sz val="9"/>
            <rFont val="宋体"/>
            <charset val="134"/>
          </rPr>
          <t xml:space="preserve">
3000 4-8 收到
</t>
        </r>
      </text>
    </comment>
    <comment ref="T1206" authorId="0">
      <text>
        <r>
          <rPr>
            <b/>
            <sz val="9"/>
            <rFont val="宋体"/>
            <charset val="134"/>
          </rPr>
          <t>Administrator:</t>
        </r>
        <r>
          <rPr>
            <sz val="9"/>
            <rFont val="宋体"/>
            <charset val="134"/>
          </rPr>
          <t xml:space="preserve">
4-12</t>
        </r>
      </text>
    </comment>
    <comment ref="U1206" authorId="0">
      <text>
        <r>
          <rPr>
            <b/>
            <sz val="9"/>
            <rFont val="宋体"/>
            <charset val="134"/>
          </rPr>
          <t>Administrator:</t>
        </r>
        <r>
          <rPr>
            <sz val="9"/>
            <rFont val="宋体"/>
            <charset val="134"/>
          </rPr>
          <t xml:space="preserve">
4-12</t>
        </r>
      </text>
    </comment>
    <comment ref="T1212" authorId="0">
      <text>
        <r>
          <rPr>
            <b/>
            <sz val="9"/>
            <rFont val="宋体"/>
            <charset val="134"/>
          </rPr>
          <t>Administrator:</t>
        </r>
        <r>
          <rPr>
            <sz val="9"/>
            <rFont val="宋体"/>
            <charset val="134"/>
          </rPr>
          <t xml:space="preserve">
2022.1.13收</t>
        </r>
      </text>
    </comment>
  </commentList>
</comments>
</file>

<file path=xl/comments2.xml><?xml version="1.0" encoding="utf-8"?>
<comments xmlns="http://schemas.openxmlformats.org/spreadsheetml/2006/main">
  <authors>
    <author>Administrator</author>
  </authors>
  <commentList>
    <comment ref="C3" authorId="0">
      <text>
        <r>
          <rPr>
            <b/>
            <sz val="9"/>
            <rFont val="宋体"/>
            <charset val="134"/>
          </rPr>
          <t>Administrator:</t>
        </r>
        <r>
          <rPr>
            <sz val="9"/>
            <rFont val="宋体"/>
            <charset val="134"/>
          </rPr>
          <t xml:space="preserve">
3990</t>
        </r>
      </text>
    </comment>
    <comment ref="D4" authorId="0">
      <text>
        <r>
          <rPr>
            <b/>
            <sz val="9"/>
            <rFont val="宋体"/>
            <charset val="134"/>
          </rPr>
          <t>Administrator:</t>
        </r>
        <r>
          <rPr>
            <sz val="9"/>
            <rFont val="宋体"/>
            <charset val="134"/>
          </rPr>
          <t xml:space="preserve">
1金凯账户 J3887扣掉2433.27，J3952补齐了固定定金3997.07，J4035多付$4215.51
2账户共8212.58 J4057用掉1251 还剩6962.17
3 J4093-2剩27.96 账上共6990.13
2022.2.11 J4167用掉1571 剩2429</t>
        </r>
      </text>
    </comment>
  </commentList>
</comments>
</file>

<file path=xl/sharedStrings.xml><?xml version="1.0" encoding="utf-8"?>
<sst xmlns="http://schemas.openxmlformats.org/spreadsheetml/2006/main" count="11066" uniqueCount="4745">
  <si>
    <t>发货</t>
  </si>
  <si>
    <t>单据</t>
  </si>
  <si>
    <t>等款</t>
  </si>
  <si>
    <t>备货</t>
  </si>
  <si>
    <t>金凯应收 $</t>
  </si>
  <si>
    <t>金凯应收￥</t>
  </si>
  <si>
    <r>
      <rPr>
        <b/>
        <sz val="8"/>
        <color theme="2" tint="-0.5"/>
        <rFont val="华文宋体"/>
        <charset val="134"/>
      </rPr>
      <t>华悦应收</t>
    </r>
    <r>
      <rPr>
        <sz val="8"/>
        <color theme="2" tint="-0.5"/>
        <rFont val="Arial"/>
        <charset val="134"/>
      </rPr>
      <t>$</t>
    </r>
  </si>
  <si>
    <t>华悦应收￥</t>
  </si>
  <si>
    <t>Order</t>
  </si>
  <si>
    <t xml:space="preserve">业务
</t>
  </si>
  <si>
    <t>跟单</t>
  </si>
  <si>
    <r>
      <rPr>
        <b/>
        <sz val="8"/>
        <color theme="1"/>
        <rFont val="华文宋体"/>
        <charset val="134"/>
      </rPr>
      <t>客户</t>
    </r>
    <r>
      <rPr>
        <b/>
        <sz val="8"/>
        <color theme="1"/>
        <rFont val="Arial"/>
        <charset val="134"/>
      </rPr>
      <t xml:space="preserve"> 
Customer</t>
    </r>
  </si>
  <si>
    <r>
      <rPr>
        <b/>
        <sz val="8"/>
        <color theme="1"/>
        <rFont val="Arial"/>
        <charset val="134"/>
      </rPr>
      <t>特</t>
    </r>
    <r>
      <rPr>
        <b/>
        <sz val="8"/>
        <color theme="1"/>
        <rFont val="Arial"/>
        <charset val="134"/>
      </rPr>
      <t xml:space="preserve">
</t>
    </r>
    <r>
      <rPr>
        <b/>
        <sz val="8"/>
        <color theme="1"/>
        <rFont val="华文宋体"/>
        <charset val="134"/>
      </rPr>
      <t>殊</t>
    </r>
  </si>
  <si>
    <t xml:space="preserve">Qty &amp; Goods </t>
  </si>
  <si>
    <t>Term</t>
  </si>
  <si>
    <t xml:space="preserve">Ports </t>
  </si>
  <si>
    <r>
      <rPr>
        <b/>
        <sz val="8"/>
        <color indexed="8"/>
        <rFont val="Arial"/>
        <charset val="134"/>
      </rPr>
      <t>下单日</t>
    </r>
    <r>
      <rPr>
        <b/>
        <sz val="8"/>
        <color indexed="8"/>
        <rFont val="Arial"/>
        <charset val="134"/>
      </rPr>
      <t xml:space="preserve"> </t>
    </r>
  </si>
  <si>
    <t>ETD</t>
  </si>
  <si>
    <t>ETA</t>
  </si>
  <si>
    <t>Remark</t>
  </si>
  <si>
    <r>
      <rPr>
        <b/>
        <sz val="8"/>
        <color rgb="FF000000"/>
        <rFont val="华文宋体"/>
        <charset val="134"/>
      </rPr>
      <t>订舱</t>
    </r>
    <r>
      <rPr>
        <b/>
        <sz val="8"/>
        <color rgb="FF000000"/>
        <rFont val="Arial"/>
        <charset val="134"/>
      </rPr>
      <t xml:space="preserve">
Booking</t>
    </r>
  </si>
  <si>
    <r>
      <rPr>
        <b/>
        <sz val="8"/>
        <color rgb="FF000000"/>
        <rFont val="华文宋体"/>
        <charset val="134"/>
      </rPr>
      <t>付款条件</t>
    </r>
    <r>
      <rPr>
        <b/>
        <sz val="8"/>
        <color rgb="FF000000"/>
        <rFont val="Arial"/>
        <charset val="134"/>
      </rPr>
      <t xml:space="preserve">
PayTerm</t>
    </r>
  </si>
  <si>
    <r>
      <rPr>
        <b/>
        <sz val="8"/>
        <color theme="1"/>
        <rFont val="华文宋体"/>
        <charset val="134"/>
      </rPr>
      <t>发票金额
Inv Amount</t>
    </r>
    <r>
      <rPr>
        <b/>
        <sz val="8"/>
        <color theme="1"/>
        <rFont val="Arial"/>
        <charset val="134"/>
      </rPr>
      <t xml:space="preserve"> </t>
    </r>
  </si>
  <si>
    <r>
      <rPr>
        <b/>
        <sz val="8"/>
        <color theme="1"/>
        <rFont val="华文宋体"/>
        <charset val="134"/>
      </rPr>
      <t>定金</t>
    </r>
    <r>
      <rPr>
        <b/>
        <sz val="8"/>
        <color theme="1"/>
        <rFont val="Arial"/>
        <charset val="134"/>
      </rPr>
      <t xml:space="preserve">
Deposit</t>
    </r>
  </si>
  <si>
    <t xml:space="preserve">应收美元
Balance </t>
  </si>
  <si>
    <t>应收人民币
Balance RMB</t>
  </si>
  <si>
    <r>
      <rPr>
        <b/>
        <sz val="8"/>
        <rFont val="华文宋体"/>
        <charset val="134"/>
      </rPr>
      <t>实收尾款1</t>
    </r>
    <r>
      <rPr>
        <b/>
        <sz val="8"/>
        <rFont val="Arial"/>
        <charset val="134"/>
      </rPr>
      <t xml:space="preserve">  </t>
    </r>
  </si>
  <si>
    <r>
      <rPr>
        <b/>
        <sz val="8"/>
        <rFont val="华文宋体"/>
        <charset val="134"/>
      </rPr>
      <t>实收尾款</t>
    </r>
    <r>
      <rPr>
        <b/>
        <sz val="8"/>
        <rFont val="Arial"/>
        <charset val="134"/>
      </rPr>
      <t xml:space="preserve"> 2 </t>
    </r>
  </si>
  <si>
    <t>收款备注1</t>
  </si>
  <si>
    <t>J2992</t>
  </si>
  <si>
    <t>B</t>
  </si>
  <si>
    <t>完成</t>
  </si>
  <si>
    <r>
      <rPr>
        <sz val="8"/>
        <rFont val="Arial"/>
        <charset val="134"/>
      </rPr>
      <t>伊朗</t>
    </r>
    <r>
      <rPr>
        <sz val="8"/>
        <rFont val="Arial"/>
        <charset val="134"/>
      </rPr>
      <t xml:space="preserve">Mehrraz </t>
    </r>
    <r>
      <rPr>
        <sz val="8"/>
        <rFont val="宋体"/>
        <charset val="134"/>
      </rPr>
      <t>新客户</t>
    </r>
  </si>
  <si>
    <r>
      <rPr>
        <sz val="8"/>
        <rFont val="Arial"/>
        <charset val="134"/>
      </rPr>
      <t xml:space="preserve">2x20 </t>
    </r>
    <r>
      <rPr>
        <sz val="8"/>
        <rFont val="宋体"/>
        <charset val="134"/>
      </rPr>
      <t>烤漆</t>
    </r>
  </si>
  <si>
    <t>J2965</t>
  </si>
  <si>
    <r>
      <rPr>
        <sz val="8"/>
        <rFont val="Arial"/>
        <charset val="134"/>
      </rPr>
      <t>新迪拜</t>
    </r>
    <r>
      <rPr>
        <sz val="8"/>
        <rFont val="Arial"/>
        <charset val="134"/>
      </rPr>
      <t>Thanveer</t>
    </r>
  </si>
  <si>
    <r>
      <rPr>
        <sz val="8"/>
        <rFont val="Arial"/>
        <charset val="134"/>
      </rPr>
      <t>1x20</t>
    </r>
    <r>
      <rPr>
        <sz val="8"/>
        <rFont val="宋体"/>
        <charset val="134"/>
      </rPr>
      <t>轻钢</t>
    </r>
  </si>
  <si>
    <t>J2971</t>
  </si>
  <si>
    <t>J2993</t>
  </si>
  <si>
    <r>
      <rPr>
        <sz val="8"/>
        <rFont val="宋体"/>
        <charset val="134"/>
      </rPr>
      <t>小星星</t>
    </r>
    <r>
      <rPr>
        <sz val="8"/>
        <rFont val="Arial"/>
        <charset val="134"/>
      </rPr>
      <t xml:space="preserve"> </t>
    </r>
    <r>
      <rPr>
        <sz val="8"/>
        <rFont val="宋体"/>
        <charset val="134"/>
      </rPr>
      <t>（</t>
    </r>
    <r>
      <rPr>
        <sz val="8"/>
        <rFont val="Arial"/>
        <charset val="134"/>
      </rPr>
      <t>Hameed</t>
    </r>
    <r>
      <rPr>
        <sz val="8"/>
        <rFont val="宋体"/>
        <charset val="134"/>
      </rPr>
      <t>）</t>
    </r>
  </si>
  <si>
    <r>
      <rPr>
        <sz val="8"/>
        <rFont val="Arial"/>
        <charset val="134"/>
      </rPr>
      <t xml:space="preserve">1x20+1x40HQ </t>
    </r>
    <r>
      <rPr>
        <sz val="8"/>
        <rFont val="宋体"/>
        <charset val="134"/>
      </rPr>
      <t>轻钢</t>
    </r>
  </si>
  <si>
    <t>J2981</t>
  </si>
  <si>
    <r>
      <rPr>
        <sz val="8"/>
        <rFont val="宋体"/>
        <charset val="134"/>
      </rPr>
      <t>印度</t>
    </r>
    <r>
      <rPr>
        <sz val="8"/>
        <rFont val="Arial"/>
        <charset val="134"/>
      </rPr>
      <t>Jaison</t>
    </r>
  </si>
  <si>
    <r>
      <rPr>
        <sz val="8"/>
        <rFont val="Arial"/>
        <charset val="134"/>
      </rPr>
      <t>1x20</t>
    </r>
    <r>
      <rPr>
        <sz val="8"/>
        <rFont val="宋体"/>
        <charset val="134"/>
      </rPr>
      <t>烤漆</t>
    </r>
  </si>
  <si>
    <t>J3001</t>
  </si>
  <si>
    <r>
      <rPr>
        <sz val="8"/>
        <rFont val="华文宋体"/>
        <charset val="134"/>
      </rPr>
      <t>伊朗</t>
    </r>
    <r>
      <rPr>
        <sz val="8"/>
        <rFont val="Arial"/>
        <charset val="134"/>
      </rPr>
      <t>Mehrraz</t>
    </r>
  </si>
  <si>
    <t>2000+3000</t>
  </si>
  <si>
    <t>J2939</t>
  </si>
  <si>
    <r>
      <rPr>
        <sz val="8"/>
        <rFont val="Arial"/>
        <charset val="134"/>
      </rPr>
      <t>埃及</t>
    </r>
    <r>
      <rPr>
        <sz val="8"/>
        <rFont val="Arial"/>
        <charset val="134"/>
      </rPr>
      <t>Contradec (khalil,Asmaa)</t>
    </r>
  </si>
  <si>
    <r>
      <rPr>
        <sz val="8"/>
        <rFont val="Arial"/>
        <charset val="134"/>
      </rPr>
      <t>2x20</t>
    </r>
    <r>
      <rPr>
        <sz val="8"/>
        <rFont val="宋体"/>
        <charset val="134"/>
      </rPr>
      <t>烤漆</t>
    </r>
    <r>
      <rPr>
        <sz val="8"/>
        <rFont val="Arial"/>
        <charset val="134"/>
      </rPr>
      <t xml:space="preserve">  </t>
    </r>
  </si>
  <si>
    <t>J2999</t>
  </si>
  <si>
    <r>
      <rPr>
        <sz val="8"/>
        <rFont val="Arial"/>
        <charset val="134"/>
      </rPr>
      <t>印度</t>
    </r>
    <r>
      <rPr>
        <sz val="8"/>
        <rFont val="Arial"/>
        <charset val="134"/>
      </rPr>
      <t>Danny</t>
    </r>
  </si>
  <si>
    <t>J3027</t>
  </si>
  <si>
    <r>
      <rPr>
        <sz val="8"/>
        <rFont val="Arial"/>
        <charset val="134"/>
      </rPr>
      <t>越南</t>
    </r>
    <r>
      <rPr>
        <sz val="8"/>
        <rFont val="Arial"/>
        <charset val="134"/>
      </rPr>
      <t>DUC MINH(Hieu)</t>
    </r>
  </si>
  <si>
    <r>
      <rPr>
        <sz val="8"/>
        <rFont val="Arial"/>
        <charset val="134"/>
      </rPr>
      <t xml:space="preserve">1X20 </t>
    </r>
    <r>
      <rPr>
        <sz val="8"/>
        <rFont val="宋体"/>
        <charset val="134"/>
      </rPr>
      <t>烤漆</t>
    </r>
  </si>
  <si>
    <t>J2990</t>
  </si>
  <si>
    <r>
      <rPr>
        <sz val="8"/>
        <rFont val="Arial"/>
        <charset val="134"/>
      </rPr>
      <t>印度</t>
    </r>
    <r>
      <rPr>
        <sz val="8"/>
        <rFont val="Arial"/>
        <charset val="134"/>
      </rPr>
      <t>Jaison</t>
    </r>
  </si>
  <si>
    <r>
      <rPr>
        <sz val="8"/>
        <rFont val="Arial"/>
        <charset val="134"/>
      </rPr>
      <t xml:space="preserve">1x20 </t>
    </r>
    <r>
      <rPr>
        <sz val="8"/>
        <rFont val="宋体"/>
        <charset val="134"/>
      </rPr>
      <t>烤漆</t>
    </r>
  </si>
  <si>
    <t>J3011</t>
  </si>
  <si>
    <t>J3003-1</t>
  </si>
  <si>
    <r>
      <rPr>
        <sz val="8"/>
        <rFont val="Arial"/>
        <charset val="134"/>
      </rPr>
      <t>迪拜</t>
    </r>
    <r>
      <rPr>
        <sz val="8"/>
        <rFont val="Arial"/>
        <charset val="134"/>
      </rPr>
      <t xml:space="preserve"> GEMINI (Manoj)</t>
    </r>
  </si>
  <si>
    <r>
      <rPr>
        <sz val="8"/>
        <rFont val="Arial"/>
        <charset val="134"/>
      </rPr>
      <t xml:space="preserve">5x20 </t>
    </r>
    <r>
      <rPr>
        <sz val="8"/>
        <rFont val="宋体"/>
        <charset val="134"/>
      </rPr>
      <t>轻钢</t>
    </r>
  </si>
  <si>
    <t>J3003-2</t>
  </si>
  <si>
    <r>
      <rPr>
        <sz val="8"/>
        <rFont val="Arial"/>
        <charset val="134"/>
      </rPr>
      <t xml:space="preserve">5x20 </t>
    </r>
    <r>
      <rPr>
        <sz val="8"/>
        <rFont val="宋体"/>
        <charset val="134"/>
      </rPr>
      <t>轻钢</t>
    </r>
    <r>
      <rPr>
        <sz val="8"/>
        <rFont val="Arial"/>
        <charset val="134"/>
      </rPr>
      <t xml:space="preserve">  </t>
    </r>
    <r>
      <rPr>
        <sz val="8"/>
        <rFont val="宋体"/>
        <charset val="134"/>
      </rPr>
      <t>改银行了</t>
    </r>
  </si>
  <si>
    <t xml:space="preserve">J3020 </t>
  </si>
  <si>
    <r>
      <rPr>
        <sz val="8"/>
        <rFont val="Arial"/>
        <charset val="134"/>
      </rPr>
      <t>伊朗</t>
    </r>
    <r>
      <rPr>
        <sz val="8"/>
        <rFont val="Arial"/>
        <charset val="134"/>
      </rPr>
      <t>Mehrraz</t>
    </r>
  </si>
  <si>
    <t>J3015</t>
  </si>
  <si>
    <t>J3024-1</t>
  </si>
  <si>
    <r>
      <rPr>
        <sz val="8"/>
        <rFont val="Arial"/>
        <charset val="134"/>
      </rPr>
      <t>2x20</t>
    </r>
    <r>
      <rPr>
        <sz val="8"/>
        <rFont val="宋体"/>
        <charset val="134"/>
      </rPr>
      <t>烤漆</t>
    </r>
  </si>
  <si>
    <t>J3024-2</t>
  </si>
  <si>
    <r>
      <rPr>
        <sz val="8"/>
        <rFont val="Arial"/>
        <charset val="134"/>
      </rPr>
      <t>1x20</t>
    </r>
    <r>
      <rPr>
        <sz val="8"/>
        <rFont val="宋体"/>
        <charset val="134"/>
      </rPr>
      <t>烤漆</t>
    </r>
    <r>
      <rPr>
        <sz val="8"/>
        <rFont val="Arial"/>
        <charset val="134"/>
      </rPr>
      <t xml:space="preserve"> </t>
    </r>
  </si>
  <si>
    <t>J3006-1</t>
  </si>
  <si>
    <r>
      <rPr>
        <sz val="8"/>
        <rFont val="Arial"/>
        <charset val="134"/>
      </rPr>
      <t>迪拜</t>
    </r>
    <r>
      <rPr>
        <sz val="8"/>
        <rFont val="Arial"/>
        <charset val="134"/>
      </rPr>
      <t xml:space="preserve"> shanghai</t>
    </r>
    <r>
      <rPr>
        <sz val="8"/>
        <rFont val="宋体"/>
        <charset val="134"/>
      </rPr>
      <t>（</t>
    </r>
    <r>
      <rPr>
        <sz val="8"/>
        <rFont val="Arial"/>
        <charset val="134"/>
      </rPr>
      <t>Thanveer</t>
    </r>
    <r>
      <rPr>
        <sz val="8"/>
        <rFont val="宋体"/>
        <charset val="134"/>
      </rPr>
      <t>）</t>
    </r>
  </si>
  <si>
    <r>
      <rPr>
        <sz val="8"/>
        <rFont val="Arial"/>
        <charset val="134"/>
      </rPr>
      <t xml:space="preserve">2x20 </t>
    </r>
    <r>
      <rPr>
        <sz val="8"/>
        <rFont val="宋体"/>
        <charset val="134"/>
      </rPr>
      <t>轻钢</t>
    </r>
  </si>
  <si>
    <t>J2991</t>
  </si>
  <si>
    <r>
      <rPr>
        <sz val="8"/>
        <rFont val="Arial"/>
        <charset val="134"/>
      </rPr>
      <t>埃及红线</t>
    </r>
    <r>
      <rPr>
        <sz val="8"/>
        <rFont val="Arial"/>
        <charset val="134"/>
      </rPr>
      <t xml:space="preserve"> Asmaa</t>
    </r>
  </si>
  <si>
    <r>
      <rPr>
        <sz val="8"/>
        <rFont val="Arial"/>
        <charset val="134"/>
      </rPr>
      <t>1x20</t>
    </r>
    <r>
      <rPr>
        <sz val="8"/>
        <rFont val="宋体"/>
        <charset val="134"/>
      </rPr>
      <t>烤漆</t>
    </r>
    <r>
      <rPr>
        <sz val="8"/>
        <rFont val="Arial"/>
        <charset val="134"/>
      </rPr>
      <t>+</t>
    </r>
    <r>
      <rPr>
        <sz val="8"/>
        <rFont val="宋体"/>
        <charset val="134"/>
      </rPr>
      <t>腰包</t>
    </r>
    <r>
      <rPr>
        <sz val="8"/>
        <rFont val="Arial"/>
        <charset val="134"/>
      </rPr>
      <t>1000</t>
    </r>
  </si>
  <si>
    <t>J3000</t>
  </si>
  <si>
    <t xml:space="preserve">M3043 </t>
  </si>
  <si>
    <t xml:space="preserve">steven </t>
  </si>
  <si>
    <r>
      <rPr>
        <sz val="8"/>
        <rFont val="Arial"/>
        <charset val="134"/>
      </rPr>
      <t xml:space="preserve">1x20 </t>
    </r>
    <r>
      <rPr>
        <sz val="8"/>
        <rFont val="宋体"/>
        <charset val="134"/>
      </rPr>
      <t>烤漆</t>
    </r>
    <r>
      <rPr>
        <sz val="8"/>
        <rFont val="Arial"/>
        <charset val="134"/>
      </rPr>
      <t>+</t>
    </r>
    <r>
      <rPr>
        <sz val="8"/>
        <rFont val="宋体"/>
        <charset val="134"/>
      </rPr>
      <t>护角带</t>
    </r>
  </si>
  <si>
    <t>JK-2662</t>
  </si>
  <si>
    <r>
      <rPr>
        <sz val="8"/>
        <rFont val="Arial"/>
        <charset val="134"/>
      </rPr>
      <t>迪拜</t>
    </r>
    <r>
      <rPr>
        <sz val="8"/>
        <rFont val="Arial"/>
        <charset val="134"/>
      </rPr>
      <t>shanghai</t>
    </r>
    <r>
      <rPr>
        <sz val="8"/>
        <rFont val="宋体"/>
        <charset val="134"/>
      </rPr>
      <t>（</t>
    </r>
    <r>
      <rPr>
        <sz val="8"/>
        <rFont val="Arial"/>
        <charset val="134"/>
      </rPr>
      <t>Thanveer</t>
    </r>
    <r>
      <rPr>
        <sz val="8"/>
        <rFont val="宋体"/>
        <charset val="134"/>
      </rPr>
      <t>）</t>
    </r>
  </si>
  <si>
    <r>
      <rPr>
        <sz val="8"/>
        <rFont val="Arial"/>
        <charset val="134"/>
      </rPr>
      <t>1x20</t>
    </r>
    <r>
      <rPr>
        <sz val="8"/>
        <rFont val="宋体"/>
        <charset val="134"/>
      </rPr>
      <t>轻钢边角</t>
    </r>
  </si>
  <si>
    <t>JK-2672-1</t>
  </si>
  <si>
    <r>
      <rPr>
        <sz val="8"/>
        <rFont val="Arial"/>
        <charset val="134"/>
      </rPr>
      <t>迪拜</t>
    </r>
    <r>
      <rPr>
        <sz val="8"/>
        <rFont val="Arial"/>
        <charset val="134"/>
      </rPr>
      <t>shanghai</t>
    </r>
    <r>
      <rPr>
        <sz val="8"/>
        <rFont val="宋体"/>
        <charset val="134"/>
      </rPr>
      <t>（</t>
    </r>
    <r>
      <rPr>
        <sz val="8"/>
        <rFont val="Arial"/>
        <charset val="134"/>
      </rPr>
      <t xml:space="preserve">Thanveer </t>
    </r>
    <r>
      <rPr>
        <sz val="8"/>
        <rFont val="宋体"/>
        <charset val="134"/>
      </rPr>
      <t>）</t>
    </r>
  </si>
  <si>
    <r>
      <rPr>
        <sz val="8"/>
        <rFont val="Arial"/>
        <charset val="134"/>
      </rPr>
      <t>3x20</t>
    </r>
    <r>
      <rPr>
        <sz val="8"/>
        <rFont val="宋体"/>
        <charset val="134"/>
      </rPr>
      <t>轻钢</t>
    </r>
  </si>
  <si>
    <t>JK-2672-2</t>
  </si>
  <si>
    <t>JK-2672-3</t>
  </si>
  <si>
    <t xml:space="preserve">    </t>
  </si>
  <si>
    <t>JK-2673</t>
  </si>
  <si>
    <r>
      <rPr>
        <sz val="8"/>
        <rFont val="Arial"/>
        <charset val="134"/>
      </rPr>
      <t>1x40</t>
    </r>
    <r>
      <rPr>
        <sz val="8"/>
        <rFont val="宋体"/>
        <charset val="134"/>
      </rPr>
      <t>轻钢</t>
    </r>
  </si>
  <si>
    <t>J3006-2</t>
  </si>
  <si>
    <r>
      <rPr>
        <sz val="8"/>
        <rFont val="Arial"/>
        <charset val="134"/>
      </rPr>
      <t xml:space="preserve">1x20 </t>
    </r>
    <r>
      <rPr>
        <sz val="8"/>
        <rFont val="宋体"/>
        <charset val="134"/>
      </rPr>
      <t>轻钢</t>
    </r>
  </si>
  <si>
    <t>J2983-7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</si>
  <si>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</si>
  <si>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t>等客户付之前的尾款再发货</t>
  </si>
  <si>
    <t>2593+839</t>
  </si>
  <si>
    <t>J3029-1</t>
  </si>
  <si>
    <t>GEMINI (Manoj)</t>
  </si>
  <si>
    <t>J3029-2</t>
  </si>
  <si>
    <t>J3040</t>
  </si>
  <si>
    <t>Kingston (Danny)</t>
  </si>
  <si>
    <t>J3042-1</t>
  </si>
  <si>
    <t>Mehrraz</t>
  </si>
  <si>
    <t>2x20  TEE GRIDS</t>
  </si>
  <si>
    <t>J3042-2</t>
  </si>
  <si>
    <t>J3060</t>
  </si>
  <si>
    <r>
      <rPr>
        <sz val="8"/>
        <rFont val="Arial"/>
        <charset val="134"/>
      </rPr>
      <t xml:space="preserve">AL THURAYA </t>
    </r>
    <r>
      <rPr>
        <sz val="8"/>
        <rFont val="宋体"/>
        <charset val="134"/>
      </rPr>
      <t>（</t>
    </r>
    <r>
      <rPr>
        <sz val="8"/>
        <rFont val="Arial"/>
        <charset val="134"/>
      </rPr>
      <t>Okab</t>
    </r>
    <r>
      <rPr>
        <sz val="8"/>
        <rFont val="宋体"/>
        <charset val="134"/>
      </rPr>
      <t>）</t>
    </r>
  </si>
  <si>
    <t>1x20  T grids</t>
  </si>
  <si>
    <t>J3048</t>
  </si>
  <si>
    <r>
      <rPr>
        <sz val="8"/>
        <rFont val="Arial"/>
        <charset val="134"/>
      </rPr>
      <t>BM</t>
    </r>
    <r>
      <rPr>
        <sz val="8"/>
        <rFont val="宋体"/>
        <charset val="134"/>
      </rPr>
      <t>（</t>
    </r>
    <r>
      <rPr>
        <sz val="8"/>
        <rFont val="Arial"/>
        <charset val="134"/>
      </rPr>
      <t>Ahmed</t>
    </r>
    <r>
      <rPr>
        <sz val="8"/>
        <rFont val="宋体"/>
        <charset val="134"/>
      </rPr>
      <t>）</t>
    </r>
  </si>
  <si>
    <t xml:space="preserve">J3059-1 </t>
  </si>
  <si>
    <t xml:space="preserve">J3059-2 </t>
  </si>
  <si>
    <t>J3055</t>
  </si>
  <si>
    <r>
      <rPr>
        <sz val="8"/>
        <rFont val="Arial"/>
        <charset val="134"/>
      </rPr>
      <t>伊朗</t>
    </r>
    <r>
      <rPr>
        <sz val="8"/>
        <rFont val="Arial"/>
        <charset val="134"/>
      </rPr>
      <t xml:space="preserve"> Mehdi</t>
    </r>
  </si>
  <si>
    <r>
      <rPr>
        <sz val="8"/>
        <rFont val="Arial"/>
        <charset val="134"/>
      </rPr>
      <t xml:space="preserve">4x20 </t>
    </r>
    <r>
      <rPr>
        <sz val="8"/>
        <rFont val="宋体"/>
        <charset val="134"/>
      </rPr>
      <t>烤漆</t>
    </r>
  </si>
  <si>
    <t>J3065-1</t>
  </si>
  <si>
    <t>5x20 steel profile</t>
  </si>
  <si>
    <t>J3065-2</t>
  </si>
  <si>
    <t xml:space="preserve">J3067 </t>
  </si>
  <si>
    <t>AL MOTAHEDA( Asmaa)</t>
  </si>
  <si>
    <t>1x20 T grids</t>
  </si>
  <si>
    <t>FOB</t>
  </si>
  <si>
    <t>J3073</t>
  </si>
  <si>
    <t>PT.ABADI (Jono)</t>
  </si>
  <si>
    <t>4x40 steel profile</t>
  </si>
  <si>
    <t>CFR</t>
  </si>
  <si>
    <t>J3076-1</t>
  </si>
  <si>
    <t>1X20 T grids</t>
  </si>
  <si>
    <t>J3076-2</t>
  </si>
  <si>
    <t>J3077</t>
  </si>
  <si>
    <t>Mehdi</t>
  </si>
  <si>
    <t>4x20 T grids</t>
  </si>
  <si>
    <t>J3079</t>
  </si>
  <si>
    <t>Danube</t>
  </si>
  <si>
    <t>1X20 steel profile</t>
  </si>
  <si>
    <t xml:space="preserve">J3081 </t>
  </si>
  <si>
    <t>J3086</t>
  </si>
  <si>
    <r>
      <rPr>
        <sz val="8"/>
        <rFont val="Arial"/>
        <charset val="134"/>
      </rPr>
      <t xml:space="preserve">Taliah  </t>
    </r>
    <r>
      <rPr>
        <sz val="8"/>
        <rFont val="宋体"/>
        <charset val="134"/>
      </rPr>
      <t>（</t>
    </r>
    <r>
      <rPr>
        <sz val="8"/>
        <rFont val="Arial"/>
        <charset val="134"/>
      </rPr>
      <t>Hameed</t>
    </r>
    <r>
      <rPr>
        <sz val="8"/>
        <rFont val="宋体"/>
        <charset val="134"/>
      </rPr>
      <t>）</t>
    </r>
  </si>
  <si>
    <t>2x40HQ steel profile</t>
  </si>
  <si>
    <t>J3087</t>
  </si>
  <si>
    <t xml:space="preserve">J3090 </t>
  </si>
  <si>
    <t>J3097</t>
  </si>
  <si>
    <t xml:space="preserve">J3094 </t>
  </si>
  <si>
    <t>(Ahmed  Y.  Alassal )</t>
  </si>
  <si>
    <t>J3101-1</t>
  </si>
  <si>
    <t>CIF</t>
  </si>
  <si>
    <t>J3101-2</t>
  </si>
  <si>
    <t>J3101-3</t>
  </si>
  <si>
    <t>105103.88(6.4)</t>
  </si>
  <si>
    <t>J3103</t>
  </si>
  <si>
    <r>
      <rPr>
        <sz val="8"/>
        <rFont val="Arial"/>
        <charset val="134"/>
      </rPr>
      <t xml:space="preserve">BA LLOON </t>
    </r>
    <r>
      <rPr>
        <sz val="8"/>
        <rFont val="宋体"/>
        <charset val="134"/>
      </rPr>
      <t>（</t>
    </r>
    <r>
      <rPr>
        <sz val="8"/>
        <rFont val="Arial"/>
        <charset val="134"/>
      </rPr>
      <t xml:space="preserve">Niky </t>
    </r>
    <r>
      <rPr>
        <sz val="8"/>
        <rFont val="宋体"/>
        <charset val="134"/>
      </rPr>
      <t>）</t>
    </r>
  </si>
  <si>
    <t>1x40 HQ  steel profiles</t>
  </si>
  <si>
    <t xml:space="preserve">FOB </t>
  </si>
  <si>
    <t>J3106</t>
  </si>
  <si>
    <r>
      <rPr>
        <sz val="8"/>
        <rFont val="Arial"/>
        <charset val="134"/>
      </rPr>
      <t xml:space="preserve">Mehdi </t>
    </r>
    <r>
      <rPr>
        <sz val="8"/>
        <rFont val="宋体"/>
        <charset val="134"/>
      </rPr>
      <t>伊朗</t>
    </r>
  </si>
  <si>
    <t>J3108</t>
  </si>
  <si>
    <r>
      <rPr>
        <sz val="8"/>
        <rFont val="Arial"/>
        <charset val="134"/>
      </rPr>
      <t xml:space="preserve">TANDIS </t>
    </r>
    <r>
      <rPr>
        <sz val="8"/>
        <rFont val="宋体"/>
        <charset val="134"/>
      </rPr>
      <t>（</t>
    </r>
    <r>
      <rPr>
        <sz val="8"/>
        <rFont val="Arial"/>
        <charset val="134"/>
      </rPr>
      <t>Mehhrraz</t>
    </r>
    <r>
      <rPr>
        <sz val="8"/>
        <rFont val="宋体"/>
        <charset val="134"/>
      </rPr>
      <t>）</t>
    </r>
  </si>
  <si>
    <t>J3113</t>
  </si>
  <si>
    <t>J3116-1</t>
  </si>
  <si>
    <t>5x40 steel profile</t>
  </si>
  <si>
    <t>J3116-2</t>
  </si>
  <si>
    <t>J3115</t>
  </si>
  <si>
    <r>
      <rPr>
        <sz val="8"/>
        <color theme="1"/>
        <rFont val="Arial"/>
        <charset val="134"/>
      </rPr>
      <t xml:space="preserve">Taliah  </t>
    </r>
    <r>
      <rPr>
        <sz val="8"/>
        <color indexed="8"/>
        <rFont val="宋体"/>
        <charset val="134"/>
      </rPr>
      <t>（</t>
    </r>
    <r>
      <rPr>
        <sz val="8"/>
        <color indexed="8"/>
        <rFont val="Arial"/>
        <charset val="134"/>
      </rPr>
      <t>Hameed</t>
    </r>
    <r>
      <rPr>
        <sz val="8"/>
        <color indexed="8"/>
        <rFont val="宋体"/>
        <charset val="134"/>
      </rPr>
      <t>）</t>
    </r>
  </si>
  <si>
    <t>1x20 steel profile</t>
  </si>
  <si>
    <t>J3123</t>
  </si>
  <si>
    <t>M3130</t>
  </si>
  <si>
    <t>HK BUILDCO (Steven)</t>
  </si>
  <si>
    <t xml:space="preserve">J3140 </t>
  </si>
  <si>
    <t>2x20 T grids</t>
  </si>
  <si>
    <t xml:space="preserve">J3141 </t>
  </si>
  <si>
    <t xml:space="preserve">J3151 </t>
  </si>
  <si>
    <t>J3154-1</t>
  </si>
  <si>
    <t>Danube (henry)</t>
  </si>
  <si>
    <t>J3131</t>
  </si>
  <si>
    <t>J3154-2</t>
  </si>
  <si>
    <t>3X20 steel profile</t>
  </si>
  <si>
    <t>J3135</t>
  </si>
  <si>
    <t>DUC MINH(Hieu)</t>
  </si>
  <si>
    <r>
      <rPr>
        <sz val="8"/>
        <color indexed="8"/>
        <rFont val="Arial"/>
        <charset val="134"/>
      </rPr>
      <t>固定</t>
    </r>
    <r>
      <rPr>
        <sz val="8"/>
        <color indexed="8"/>
        <rFont val="Arial"/>
        <charset val="134"/>
      </rPr>
      <t>3000</t>
    </r>
  </si>
  <si>
    <t xml:space="preserve">J3159 </t>
  </si>
  <si>
    <t>J3158</t>
  </si>
  <si>
    <r>
      <rPr>
        <sz val="8"/>
        <rFont val="Arial"/>
        <charset val="134"/>
      </rPr>
      <t>LEXUS (Ben</t>
    </r>
    <r>
      <rPr>
        <sz val="8"/>
        <rFont val="宋体"/>
        <charset val="134"/>
      </rPr>
      <t>，</t>
    </r>
    <r>
      <rPr>
        <sz val="8"/>
        <rFont val="Arial"/>
        <charset val="134"/>
      </rPr>
      <t>GIGI)</t>
    </r>
  </si>
  <si>
    <t>J3180</t>
  </si>
  <si>
    <t>临沂张金珍</t>
  </si>
  <si>
    <t>EXW</t>
  </si>
  <si>
    <t>J3182</t>
  </si>
  <si>
    <t>J3175</t>
  </si>
  <si>
    <r>
      <rPr>
        <sz val="8"/>
        <rFont val="Arial"/>
        <charset val="134"/>
      </rPr>
      <t xml:space="preserve">1x20‘ </t>
    </r>
    <r>
      <rPr>
        <sz val="8"/>
        <rFont val="宋体"/>
        <charset val="134"/>
      </rPr>
      <t>烤漆</t>
    </r>
    <r>
      <rPr>
        <sz val="8"/>
        <rFont val="Arial"/>
        <charset val="134"/>
      </rPr>
      <t>+</t>
    </r>
    <r>
      <rPr>
        <sz val="8"/>
        <rFont val="宋体"/>
        <charset val="134"/>
      </rPr>
      <t>灯具</t>
    </r>
    <r>
      <rPr>
        <sz val="8"/>
        <rFont val="Arial"/>
        <charset val="134"/>
      </rPr>
      <t>+</t>
    </r>
    <r>
      <rPr>
        <sz val="8"/>
        <rFont val="宋体"/>
        <charset val="134"/>
      </rPr>
      <t>毛巾</t>
    </r>
  </si>
  <si>
    <t>J3184-1-1</t>
  </si>
  <si>
    <t>3x20 steel profile</t>
  </si>
  <si>
    <t xml:space="preserve"> </t>
  </si>
  <si>
    <t>J3184-1-2</t>
  </si>
  <si>
    <t>2x20 steel profile</t>
  </si>
  <si>
    <t>J3184-2</t>
  </si>
  <si>
    <r>
      <rPr>
        <sz val="8"/>
        <rFont val="Arial"/>
        <charset val="134"/>
      </rPr>
      <t>迪拜</t>
    </r>
    <r>
      <rPr>
        <sz val="8"/>
        <rFont val="Arial"/>
        <charset val="134"/>
      </rPr>
      <t>GEMINI (Manoj)</t>
    </r>
  </si>
  <si>
    <r>
      <rPr>
        <sz val="8"/>
        <rFont val="Arial"/>
        <charset val="134"/>
      </rPr>
      <t>3x20’</t>
    </r>
    <r>
      <rPr>
        <sz val="8"/>
        <rFont val="宋体"/>
        <charset val="134"/>
      </rPr>
      <t>轻钢</t>
    </r>
  </si>
  <si>
    <r>
      <rPr>
        <sz val="8"/>
        <color rgb="FF000000"/>
        <rFont val="Arial"/>
        <charset val="134"/>
      </rPr>
      <t>DP</t>
    </r>
    <r>
      <rPr>
        <sz val="8"/>
        <color indexed="8"/>
        <rFont val="宋体"/>
        <charset val="134"/>
      </rPr>
      <t>托收的</t>
    </r>
    <r>
      <rPr>
        <sz val="8"/>
        <color indexed="8"/>
        <rFont val="Arial"/>
        <charset val="134"/>
      </rPr>
      <t>DHL:9639856870</t>
    </r>
  </si>
  <si>
    <t>J3184-3</t>
  </si>
  <si>
    <r>
      <rPr>
        <sz val="8"/>
        <rFont val="Arial"/>
        <charset val="134"/>
      </rPr>
      <t xml:space="preserve">3x20‘ </t>
    </r>
    <r>
      <rPr>
        <sz val="8"/>
        <rFont val="宋体"/>
        <charset val="134"/>
      </rPr>
      <t>轻钢</t>
    </r>
  </si>
  <si>
    <r>
      <rPr>
        <sz val="8"/>
        <rFont val="Arial"/>
        <charset val="134"/>
      </rPr>
      <t>托收已寄单款收到</t>
    </r>
    <r>
      <rPr>
        <sz val="8"/>
        <rFont val="Arial"/>
        <charset val="134"/>
      </rPr>
      <t>TNT:GD773243784WW</t>
    </r>
    <r>
      <rPr>
        <sz val="8"/>
        <rFont val="宋体"/>
        <charset val="134"/>
      </rPr>
      <t>。</t>
    </r>
    <r>
      <rPr>
        <sz val="8"/>
        <rFont val="Arial"/>
        <charset val="134"/>
      </rPr>
      <t>9.18</t>
    </r>
    <r>
      <rPr>
        <sz val="8"/>
        <rFont val="宋体"/>
        <charset val="134"/>
      </rPr>
      <t>号装</t>
    </r>
    <r>
      <rPr>
        <sz val="8"/>
        <rFont val="Arial"/>
        <charset val="134"/>
      </rPr>
      <t xml:space="preserve"> </t>
    </r>
    <r>
      <rPr>
        <sz val="8"/>
        <rFont val="宋体"/>
        <charset val="134"/>
      </rPr>
      <t>每个柜子</t>
    </r>
    <r>
      <rPr>
        <sz val="8"/>
        <rFont val="Arial"/>
        <charset val="134"/>
      </rPr>
      <t xml:space="preserve">  </t>
    </r>
    <r>
      <rPr>
        <sz val="8"/>
        <rFont val="宋体"/>
        <charset val="134"/>
      </rPr>
      <t>变高</t>
    </r>
    <r>
      <rPr>
        <sz val="8"/>
        <rFont val="Arial"/>
        <charset val="134"/>
      </rPr>
      <t xml:space="preserve"> 7000   38</t>
    </r>
    <r>
      <rPr>
        <sz val="8"/>
        <rFont val="宋体"/>
        <charset val="134"/>
      </rPr>
      <t>主</t>
    </r>
    <r>
      <rPr>
        <sz val="8"/>
        <rFont val="Arial"/>
        <charset val="134"/>
      </rPr>
      <t xml:space="preserve"> 15400  </t>
    </r>
    <r>
      <rPr>
        <sz val="8"/>
        <rFont val="宋体"/>
        <charset val="134"/>
      </rPr>
      <t>边角</t>
    </r>
    <r>
      <rPr>
        <sz val="8"/>
        <rFont val="Arial"/>
        <charset val="134"/>
      </rPr>
      <t xml:space="preserve"> 25000. </t>
    </r>
    <r>
      <rPr>
        <sz val="8"/>
        <rFont val="宋体"/>
        <charset val="134"/>
      </rPr>
      <t>要装到</t>
    </r>
    <r>
      <rPr>
        <sz val="8"/>
        <rFont val="Arial"/>
        <charset val="134"/>
      </rPr>
      <t>25.8</t>
    </r>
    <r>
      <rPr>
        <sz val="8"/>
        <rFont val="宋体"/>
        <charset val="134"/>
      </rPr>
      <t>吨以上</t>
    </r>
  </si>
  <si>
    <r>
      <rPr>
        <sz val="8"/>
        <color indexed="8"/>
        <rFont val="Arial"/>
        <charset val="134"/>
      </rPr>
      <t>会昌小杜订舱</t>
    </r>
    <r>
      <rPr>
        <sz val="8"/>
        <color indexed="8"/>
        <rFont val="Arial"/>
        <charset val="134"/>
      </rPr>
      <t>575,</t>
    </r>
    <r>
      <rPr>
        <sz val="8"/>
        <color indexed="8"/>
        <rFont val="宋体"/>
        <charset val="134"/>
      </rPr>
      <t>直航</t>
    </r>
    <r>
      <rPr>
        <sz val="8"/>
        <color indexed="8"/>
        <rFont val="Arial"/>
        <charset val="134"/>
      </rPr>
      <t>COSCO</t>
    </r>
    <r>
      <rPr>
        <sz val="8"/>
        <color indexed="8"/>
        <rFont val="宋体"/>
        <charset val="134"/>
      </rPr>
      <t>，和凯拖车报关，这票可以让和凯给做融资，所以单据都按照和凯的抬头来做。</t>
    </r>
  </si>
  <si>
    <t>J3184-4</t>
  </si>
  <si>
    <r>
      <rPr>
        <sz val="8"/>
        <rFont val="Arial"/>
        <charset val="134"/>
      </rPr>
      <t xml:space="preserve">3x20’ </t>
    </r>
    <r>
      <rPr>
        <sz val="8"/>
        <rFont val="宋体"/>
        <charset val="134"/>
      </rPr>
      <t>轻钢</t>
    </r>
  </si>
  <si>
    <t>xingang-jebel ali</t>
  </si>
  <si>
    <r>
      <rPr>
        <sz val="8"/>
        <rFont val="宋体"/>
        <charset val="134"/>
      </rPr>
      <t>办理托收</t>
    </r>
    <r>
      <rPr>
        <sz val="8"/>
        <rFont val="Arial"/>
        <charset val="134"/>
      </rPr>
      <t>DHL</t>
    </r>
    <r>
      <rPr>
        <sz val="8"/>
        <rFont val="宋体"/>
        <charset val="134"/>
      </rPr>
      <t>：</t>
    </r>
    <r>
      <rPr>
        <sz val="8"/>
        <rFont val="Arial"/>
        <charset val="134"/>
      </rPr>
      <t>9808254573</t>
    </r>
    <r>
      <rPr>
        <sz val="8"/>
        <color rgb="FF0000FF"/>
        <rFont val="Arial"/>
        <charset val="134"/>
      </rPr>
      <t xml:space="preserve">    </t>
    </r>
    <r>
      <rPr>
        <sz val="8"/>
        <rFont val="宋体"/>
        <charset val="134"/>
      </rPr>
      <t>。等款中。</t>
    </r>
    <r>
      <rPr>
        <sz val="8"/>
        <rFont val="Arial"/>
        <charset val="134"/>
      </rPr>
      <t>CO</t>
    </r>
    <r>
      <rPr>
        <sz val="8"/>
        <rFont val="宋体"/>
        <charset val="134"/>
      </rPr>
      <t>和保单。白沟融资</t>
    </r>
    <r>
      <rPr>
        <sz val="8"/>
        <rFont val="Arial"/>
        <charset val="134"/>
      </rPr>
      <t>,</t>
    </r>
    <r>
      <rPr>
        <sz val="8"/>
        <rFont val="宋体"/>
        <charset val="134"/>
      </rPr>
      <t>这次只走三个小柜，</t>
    </r>
    <r>
      <rPr>
        <sz val="8"/>
        <rFont val="Arial"/>
        <charset val="134"/>
      </rPr>
      <t>25</t>
    </r>
    <r>
      <rPr>
        <sz val="8"/>
        <rFont val="宋体"/>
        <charset val="134"/>
      </rPr>
      <t>号装</t>
    </r>
  </si>
  <si>
    <r>
      <rPr>
        <sz val="8"/>
        <color indexed="8"/>
        <rFont val="Arial"/>
        <charset val="134"/>
      </rPr>
      <t>会昌小杜订舱</t>
    </r>
    <r>
      <rPr>
        <sz val="8"/>
        <color indexed="8"/>
        <rFont val="Arial"/>
        <charset val="134"/>
      </rPr>
      <t>500</t>
    </r>
    <r>
      <rPr>
        <sz val="8"/>
        <color indexed="8"/>
        <rFont val="宋体"/>
        <charset val="134"/>
      </rPr>
      <t>，和凯拖车报关，用和凯的抬头做单据</t>
    </r>
  </si>
  <si>
    <t>J3213-1</t>
  </si>
  <si>
    <t>2x20 steel profiles</t>
  </si>
  <si>
    <t>xingang-Sohar,  Oman</t>
  </si>
  <si>
    <t>J3213-2</t>
  </si>
  <si>
    <t>6X20 steel profile</t>
  </si>
  <si>
    <t>J3214-1</t>
  </si>
  <si>
    <t>2x40 steel profile</t>
  </si>
  <si>
    <t>xingang-belawan</t>
  </si>
  <si>
    <t>J3214-2</t>
  </si>
  <si>
    <t>J3196</t>
  </si>
  <si>
    <r>
      <rPr>
        <sz val="8"/>
        <rFont val="Arial"/>
        <charset val="134"/>
      </rPr>
      <t>1x20‘</t>
    </r>
    <r>
      <rPr>
        <sz val="8"/>
        <rFont val="宋体"/>
        <charset val="134"/>
      </rPr>
      <t>烤漆</t>
    </r>
  </si>
  <si>
    <t>xingang-sokhna</t>
  </si>
  <si>
    <t>J3206</t>
  </si>
  <si>
    <r>
      <rPr>
        <sz val="8"/>
        <rFont val="Arial"/>
        <charset val="134"/>
      </rPr>
      <t>印度</t>
    </r>
    <r>
      <rPr>
        <sz val="8"/>
        <rFont val="Arial"/>
        <charset val="134"/>
      </rPr>
      <t>Kingston (Danny)</t>
    </r>
  </si>
  <si>
    <r>
      <rPr>
        <sz val="8"/>
        <rFont val="Arial"/>
        <charset val="134"/>
      </rPr>
      <t xml:space="preserve">1x20’ </t>
    </r>
    <r>
      <rPr>
        <sz val="8"/>
        <rFont val="宋体"/>
        <charset val="134"/>
      </rPr>
      <t>烤漆</t>
    </r>
  </si>
  <si>
    <t>xingang-new delhi</t>
  </si>
  <si>
    <t>J3218</t>
  </si>
  <si>
    <t>1x40 steel profile</t>
  </si>
  <si>
    <t>xingang-Riyadh</t>
  </si>
  <si>
    <t>J3219</t>
  </si>
  <si>
    <r>
      <rPr>
        <sz val="8"/>
        <rFont val="Arial"/>
        <charset val="134"/>
      </rPr>
      <t xml:space="preserve">1X20 </t>
    </r>
    <r>
      <rPr>
        <sz val="8"/>
        <rFont val="Cambria"/>
        <charset val="134"/>
      </rPr>
      <t>烤漆</t>
    </r>
  </si>
  <si>
    <t>xingang-sosdi ,EGYPT</t>
  </si>
  <si>
    <t xml:space="preserve">J3221 </t>
  </si>
  <si>
    <t>J3220</t>
  </si>
  <si>
    <t>xingang-HAI PHONG</t>
  </si>
  <si>
    <t>J3232 -1</t>
  </si>
  <si>
    <r>
      <rPr>
        <sz val="8"/>
        <rFont val="Arial"/>
        <charset val="134"/>
      </rPr>
      <t xml:space="preserve">3x20 </t>
    </r>
    <r>
      <rPr>
        <sz val="8"/>
        <rFont val="宋体"/>
        <charset val="134"/>
      </rPr>
      <t>轻钢</t>
    </r>
  </si>
  <si>
    <t xml:space="preserve">J3232-2 </t>
  </si>
  <si>
    <t>J3232-3</t>
  </si>
  <si>
    <t>J3239</t>
  </si>
  <si>
    <t>xingang-COCHIN</t>
  </si>
  <si>
    <t xml:space="preserve">J3241 </t>
  </si>
  <si>
    <r>
      <rPr>
        <sz val="8"/>
        <rFont val="Arial"/>
        <charset val="134"/>
      </rPr>
      <t>1x20‘</t>
    </r>
    <r>
      <rPr>
        <sz val="8"/>
        <rFont val="宋体"/>
        <charset val="134"/>
      </rPr>
      <t>轻钢</t>
    </r>
  </si>
  <si>
    <t>xingang-shuwaikh</t>
  </si>
  <si>
    <t xml:space="preserve">J3247 </t>
  </si>
  <si>
    <t>J3207-1</t>
  </si>
  <si>
    <t>J3207-2</t>
  </si>
  <si>
    <r>
      <rPr>
        <sz val="8"/>
        <rFont val="Arial"/>
        <charset val="134"/>
      </rPr>
      <t>3x20‘</t>
    </r>
    <r>
      <rPr>
        <sz val="8"/>
        <rFont val="宋体"/>
        <charset val="134"/>
      </rPr>
      <t>轻钢</t>
    </r>
  </si>
  <si>
    <r>
      <rPr>
        <sz val="8"/>
        <rFont val="Arial"/>
        <charset val="134"/>
      </rPr>
      <t>托收已到账，需要信用投保，快递单号</t>
    </r>
    <r>
      <rPr>
        <sz val="8"/>
        <rFont val="Arial"/>
        <charset val="134"/>
      </rPr>
      <t xml:space="preserve">DHL 1266211870 </t>
    </r>
  </si>
  <si>
    <r>
      <rPr>
        <sz val="8"/>
        <color indexed="8"/>
        <rFont val="Arial"/>
        <charset val="134"/>
      </rPr>
      <t>汇昌订舱</t>
    </r>
    <r>
      <rPr>
        <sz val="8"/>
        <color indexed="8"/>
        <rFont val="Arial"/>
        <charset val="134"/>
      </rPr>
      <t>630USD</t>
    </r>
    <r>
      <rPr>
        <sz val="8"/>
        <color indexed="8"/>
        <rFont val="宋体"/>
        <charset val="134"/>
      </rPr>
      <t>，和凯拖车报关，这票按照</t>
    </r>
    <r>
      <rPr>
        <sz val="8"/>
        <color indexed="8"/>
        <rFont val="Arial"/>
        <charset val="134"/>
      </rPr>
      <t>TianJin Hero</t>
    </r>
    <r>
      <rPr>
        <sz val="8"/>
        <color indexed="8"/>
        <rFont val="宋体"/>
        <charset val="134"/>
      </rPr>
      <t>单据，因为这票做不了和凯的融资</t>
    </r>
  </si>
  <si>
    <t>J3184-5</t>
  </si>
  <si>
    <r>
      <rPr>
        <sz val="8"/>
        <rFont val="Arial"/>
        <charset val="134"/>
      </rPr>
      <t xml:space="preserve">1x20’ </t>
    </r>
    <r>
      <rPr>
        <sz val="8"/>
        <rFont val="宋体"/>
        <charset val="134"/>
      </rPr>
      <t>轻钢</t>
    </r>
  </si>
  <si>
    <r>
      <rPr>
        <sz val="8"/>
        <rFont val="Arial"/>
        <charset val="134"/>
      </rPr>
      <t>寄单：</t>
    </r>
    <r>
      <rPr>
        <sz val="8"/>
        <rFont val="Arial"/>
        <charset val="134"/>
      </rPr>
      <t>DHL 8272041573</t>
    </r>
    <r>
      <rPr>
        <sz val="8"/>
        <rFont val="宋体"/>
        <charset val="134"/>
      </rPr>
      <t>托收等款中。</t>
    </r>
    <r>
      <rPr>
        <sz val="8"/>
        <rFont val="Arial"/>
        <charset val="134"/>
      </rPr>
      <t>J3184</t>
    </r>
    <r>
      <rPr>
        <sz val="8"/>
        <rFont val="宋体"/>
        <charset val="134"/>
      </rPr>
      <t>剩余的最后一个小柜，</t>
    </r>
    <r>
      <rPr>
        <sz val="8"/>
        <rFont val="Arial"/>
        <charset val="134"/>
      </rPr>
      <t>10</t>
    </r>
    <r>
      <rPr>
        <sz val="8"/>
        <rFont val="宋体"/>
        <charset val="134"/>
      </rPr>
      <t>月</t>
    </r>
    <r>
      <rPr>
        <sz val="8"/>
        <rFont val="Arial"/>
        <charset val="134"/>
      </rPr>
      <t>8</t>
    </r>
    <r>
      <rPr>
        <sz val="8"/>
        <rFont val="宋体"/>
        <charset val="134"/>
      </rPr>
      <t>号跟</t>
    </r>
    <r>
      <rPr>
        <sz val="8"/>
        <rFont val="Arial"/>
        <charset val="134"/>
      </rPr>
      <t>J3248-1</t>
    </r>
    <r>
      <rPr>
        <sz val="8"/>
        <rFont val="宋体"/>
        <charset val="134"/>
      </rPr>
      <t>的</t>
    </r>
    <r>
      <rPr>
        <sz val="8"/>
        <rFont val="Arial"/>
        <charset val="134"/>
      </rPr>
      <t>5</t>
    </r>
    <r>
      <rPr>
        <sz val="8"/>
        <rFont val="宋体"/>
        <charset val="134"/>
      </rPr>
      <t>个柜子一起发走</t>
    </r>
  </si>
  <si>
    <r>
      <rPr>
        <sz val="8"/>
        <rFont val="Arial"/>
        <charset val="134"/>
      </rPr>
      <t>会昌订舱</t>
    </r>
    <r>
      <rPr>
        <sz val="8"/>
        <rFont val="Arial"/>
        <charset val="134"/>
      </rPr>
      <t>525,</t>
    </r>
    <r>
      <rPr>
        <sz val="8"/>
        <rFont val="宋体"/>
        <charset val="134"/>
      </rPr>
      <t>和凯拖车报关，做融资，所有单据抬头做和凯</t>
    </r>
  </si>
  <si>
    <t>J3248-1</t>
  </si>
  <si>
    <r>
      <rPr>
        <sz val="8"/>
        <rFont val="Arial"/>
        <charset val="134"/>
      </rPr>
      <t>寄单：</t>
    </r>
    <r>
      <rPr>
        <sz val="8"/>
        <rFont val="Arial"/>
        <charset val="134"/>
      </rPr>
      <t>DHL 8272041573</t>
    </r>
    <r>
      <rPr>
        <sz val="8"/>
        <rFont val="宋体"/>
        <charset val="134"/>
      </rPr>
      <t>托收等款中。</t>
    </r>
    <r>
      <rPr>
        <sz val="8"/>
        <rFont val="Arial"/>
        <charset val="134"/>
      </rPr>
      <t>10.8</t>
    </r>
    <r>
      <rPr>
        <sz val="8"/>
        <rFont val="宋体"/>
        <charset val="134"/>
      </rPr>
      <t>日和</t>
    </r>
    <r>
      <rPr>
        <sz val="8"/>
        <rFont val="Arial"/>
        <charset val="134"/>
      </rPr>
      <t>10.9</t>
    </r>
    <r>
      <rPr>
        <sz val="8"/>
        <rFont val="宋体"/>
        <charset val="134"/>
      </rPr>
      <t>日两天装，两票报关，</t>
    </r>
    <r>
      <rPr>
        <sz val="8"/>
        <rFont val="Arial"/>
        <charset val="134"/>
      </rPr>
      <t>1</t>
    </r>
    <r>
      <rPr>
        <sz val="8"/>
        <rFont val="宋体"/>
        <charset val="134"/>
      </rPr>
      <t>票提单，提单下周一能有</t>
    </r>
  </si>
  <si>
    <t>J3248-2</t>
  </si>
  <si>
    <r>
      <rPr>
        <sz val="8"/>
        <rFont val="宋体"/>
        <charset val="134"/>
      </rPr>
      <t>寄单：</t>
    </r>
    <r>
      <rPr>
        <sz val="8"/>
        <rFont val="Arial"/>
        <charset val="134"/>
      </rPr>
      <t>DHL 8272041573</t>
    </r>
    <r>
      <rPr>
        <sz val="8"/>
        <rFont val="宋体"/>
        <charset val="134"/>
      </rPr>
      <t>。提单保单</t>
    </r>
    <r>
      <rPr>
        <sz val="8"/>
        <rFont val="Arial"/>
        <charset val="134"/>
      </rPr>
      <t>CO</t>
    </r>
    <r>
      <rPr>
        <sz val="8"/>
        <rFont val="宋体"/>
        <charset val="134"/>
      </rPr>
      <t>齐了</t>
    </r>
    <r>
      <rPr>
        <sz val="8"/>
        <rFont val="Arial"/>
        <charset val="134"/>
      </rPr>
      <t xml:space="preserve"> </t>
    </r>
    <r>
      <rPr>
        <sz val="8"/>
        <rFont val="宋体"/>
        <charset val="134"/>
      </rPr>
      <t>，</t>
    </r>
    <r>
      <rPr>
        <sz val="8"/>
        <rFont val="Arial"/>
        <charset val="134"/>
      </rPr>
      <t>10.22</t>
    </r>
    <r>
      <rPr>
        <sz val="8"/>
        <rFont val="宋体"/>
        <charset val="134"/>
      </rPr>
      <t>号装的</t>
    </r>
  </si>
  <si>
    <r>
      <rPr>
        <sz val="8"/>
        <rFont val="Arial"/>
        <charset val="134"/>
      </rPr>
      <t>会昌订舱转船</t>
    </r>
    <r>
      <rPr>
        <sz val="8"/>
        <rFont val="Arial"/>
        <charset val="134"/>
      </rPr>
      <t>550</t>
    </r>
    <r>
      <rPr>
        <sz val="8"/>
        <rFont val="宋体"/>
        <charset val="134"/>
      </rPr>
      <t>美金，和凯拖车报关，做融资，所有单据和凯抬头</t>
    </r>
  </si>
  <si>
    <t>J3248-3</t>
  </si>
  <si>
    <r>
      <rPr>
        <sz val="8"/>
        <rFont val="Arial"/>
        <charset val="134"/>
      </rPr>
      <t>DA</t>
    </r>
    <r>
      <rPr>
        <sz val="8"/>
        <rFont val="宋体"/>
        <charset val="134"/>
      </rPr>
      <t>单号：</t>
    </r>
    <r>
      <rPr>
        <sz val="8"/>
        <rFont val="Arial"/>
        <charset val="134"/>
      </rPr>
      <t>4531835615DHL</t>
    </r>
    <r>
      <rPr>
        <sz val="8"/>
        <rFont val="宋体"/>
        <charset val="134"/>
      </rPr>
      <t>，托收变为</t>
    </r>
    <r>
      <rPr>
        <sz val="8"/>
        <rFont val="Arial"/>
        <charset val="134"/>
      </rPr>
      <t>DA50</t>
    </r>
    <r>
      <rPr>
        <sz val="8"/>
        <rFont val="宋体"/>
        <charset val="134"/>
      </rPr>
      <t>天，汇票已经给到阿庞，已告知阿庞。提单保单</t>
    </r>
    <r>
      <rPr>
        <sz val="8"/>
        <rFont val="Arial"/>
        <charset val="134"/>
      </rPr>
      <t>CO</t>
    </r>
    <r>
      <rPr>
        <sz val="8"/>
        <rFont val="宋体"/>
        <charset val="134"/>
      </rPr>
      <t>齐了</t>
    </r>
    <r>
      <rPr>
        <sz val="8"/>
        <rFont val="Arial"/>
        <charset val="134"/>
      </rPr>
      <t xml:space="preserve"> </t>
    </r>
  </si>
  <si>
    <r>
      <rPr>
        <sz val="8"/>
        <rFont val="Arial"/>
        <charset val="134"/>
      </rPr>
      <t>会昌订舱拖车报关</t>
    </r>
    <r>
      <rPr>
        <sz val="8"/>
        <rFont val="Arial"/>
        <charset val="134"/>
      </rPr>
      <t>590</t>
    </r>
    <r>
      <rPr>
        <sz val="8"/>
        <rFont val="宋体"/>
        <charset val="134"/>
      </rPr>
      <t>美金，转船</t>
    </r>
    <r>
      <rPr>
        <sz val="8"/>
        <rFont val="Arial"/>
        <charset val="134"/>
      </rPr>
      <t>,</t>
    </r>
    <r>
      <rPr>
        <sz val="8"/>
        <rFont val="宋体"/>
        <charset val="134"/>
      </rPr>
      <t>和凯拖车报关办理融资</t>
    </r>
  </si>
  <si>
    <t>J3248-4</t>
  </si>
  <si>
    <t xml:space="preserve">DHL8005878646                                                                                                                                                                                                                                                                                                                                                                                                                                                                                                                                                                                                                                                                                                                                                                                                                                                                                                                                                                                                                                                                          </t>
  </si>
  <si>
    <r>
      <rPr>
        <sz val="8"/>
        <rFont val="Arial"/>
        <charset val="134"/>
      </rPr>
      <t>会昌订舱</t>
    </r>
    <r>
      <rPr>
        <sz val="8"/>
        <rFont val="Arial"/>
        <charset val="134"/>
      </rPr>
      <t>950</t>
    </r>
    <r>
      <rPr>
        <sz val="8"/>
        <rFont val="宋体"/>
        <charset val="134"/>
      </rPr>
      <t>，拖车报关</t>
    </r>
  </si>
  <si>
    <t>J3248-5</t>
  </si>
  <si>
    <t>DHL1445689136</t>
  </si>
  <si>
    <r>
      <rPr>
        <sz val="8"/>
        <rFont val="Arial"/>
        <charset val="134"/>
      </rPr>
      <t>会昌订舱</t>
    </r>
    <r>
      <rPr>
        <sz val="8"/>
        <rFont val="Arial"/>
        <charset val="134"/>
      </rPr>
      <t>920</t>
    </r>
    <r>
      <rPr>
        <sz val="8"/>
        <rFont val="宋体"/>
        <charset val="134"/>
      </rPr>
      <t>，白沟拖车报关</t>
    </r>
  </si>
  <si>
    <t>J3323</t>
  </si>
  <si>
    <t>DHL9502140535</t>
  </si>
  <si>
    <r>
      <rPr>
        <sz val="8"/>
        <rFont val="Arial"/>
        <charset val="134"/>
      </rPr>
      <t>会昌订舱</t>
    </r>
    <r>
      <rPr>
        <sz val="8"/>
        <rFont val="Arial"/>
        <charset val="134"/>
      </rPr>
      <t>790</t>
    </r>
    <r>
      <rPr>
        <sz val="8"/>
        <rFont val="宋体"/>
        <charset val="134"/>
      </rPr>
      <t>美金，会昌拖车报关</t>
    </r>
  </si>
  <si>
    <t>J3250</t>
  </si>
  <si>
    <t>J3259</t>
  </si>
  <si>
    <r>
      <rPr>
        <sz val="8"/>
        <rFont val="Arial"/>
        <charset val="134"/>
      </rPr>
      <t xml:space="preserve">2X20 </t>
    </r>
    <r>
      <rPr>
        <sz val="8"/>
        <rFont val="宋体"/>
        <charset val="134"/>
      </rPr>
      <t>烤漆</t>
    </r>
  </si>
  <si>
    <t>xingang-Mundra</t>
  </si>
  <si>
    <t>款到已经电放</t>
  </si>
  <si>
    <t>J3257</t>
  </si>
  <si>
    <r>
      <rPr>
        <sz val="8"/>
        <rFont val="宋体"/>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</si>
  <si>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Xingang-Riyadh</t>
  </si>
  <si>
    <r>
      <rPr>
        <sz val="8"/>
        <color indexed="8"/>
        <rFont val="Arial"/>
        <charset val="134"/>
      </rPr>
      <t>需要发票贸促会认证</t>
    </r>
    <r>
      <rPr>
        <sz val="8"/>
        <color indexed="8"/>
        <rFont val="Arial"/>
        <charset val="134"/>
      </rPr>
      <t xml:space="preserve"> DHL 8009852292. Mohd Hameedullah Khan  Taliah Trading &amp; Industrial Co.</t>
    </r>
  </si>
  <si>
    <r>
      <rPr>
        <sz val="8"/>
        <color indexed="8"/>
        <rFont val="Arial"/>
        <charset val="134"/>
      </rPr>
      <t>深圳佰辰订舱</t>
    </r>
    <r>
      <rPr>
        <sz val="8"/>
        <color indexed="8"/>
        <rFont val="Arial"/>
        <charset val="134"/>
      </rPr>
      <t>,</t>
    </r>
    <r>
      <rPr>
        <sz val="8"/>
        <color indexed="8"/>
        <rFont val="宋体"/>
        <charset val="134"/>
      </rPr>
      <t>汇昌拖车报关</t>
    </r>
  </si>
  <si>
    <t>J3260</t>
  </si>
  <si>
    <t>3x40 steel profile</t>
  </si>
  <si>
    <r>
      <rPr>
        <sz val="8"/>
        <color rgb="FF000000"/>
        <rFont val="Arial"/>
        <charset val="134"/>
      </rPr>
      <t>DHL</t>
    </r>
    <r>
      <rPr>
        <sz val="8"/>
        <color indexed="8"/>
        <rFont val="宋体"/>
        <charset val="134"/>
      </rPr>
      <t>寄单单号：</t>
    </r>
    <r>
      <rPr>
        <sz val="8"/>
        <color indexed="8"/>
        <rFont val="Arial"/>
        <charset val="134"/>
      </rPr>
      <t>2465071545</t>
    </r>
  </si>
  <si>
    <t>J3278-1</t>
  </si>
  <si>
    <r>
      <rPr>
        <sz val="8"/>
        <color indexed="8"/>
        <rFont val="Arial"/>
        <charset val="134"/>
      </rPr>
      <t>会昌订舱</t>
    </r>
    <r>
      <rPr>
        <sz val="8"/>
        <color indexed="8"/>
        <rFont val="Arial"/>
        <charset val="134"/>
      </rPr>
      <t>400</t>
    </r>
    <r>
      <rPr>
        <sz val="8"/>
        <color indexed="8"/>
        <rFont val="宋体"/>
        <charset val="134"/>
      </rPr>
      <t>，拖车报关会昌</t>
    </r>
  </si>
  <si>
    <t>J3278-2</t>
  </si>
  <si>
    <r>
      <rPr>
        <sz val="9"/>
        <rFont val="Arial"/>
        <charset val="134"/>
      </rPr>
      <t>已电放，客户欠款</t>
    </r>
    <r>
      <rPr>
        <sz val="9"/>
        <rFont val="Arial"/>
        <charset val="134"/>
      </rPr>
      <t>1156.2</t>
    </r>
    <r>
      <rPr>
        <sz val="9"/>
        <rFont val="宋体"/>
        <charset val="134"/>
      </rPr>
      <t>美金下次补齐</t>
    </r>
  </si>
  <si>
    <r>
      <rPr>
        <sz val="9"/>
        <rFont val="Arial"/>
        <charset val="134"/>
      </rPr>
      <t>会昌小杜订舱</t>
    </r>
    <r>
      <rPr>
        <sz val="9"/>
        <rFont val="Arial"/>
        <charset val="134"/>
      </rPr>
      <t>350</t>
    </r>
    <r>
      <rPr>
        <sz val="9"/>
        <rFont val="宋体"/>
        <charset val="134"/>
      </rPr>
      <t>，报客户</t>
    </r>
    <r>
      <rPr>
        <sz val="9"/>
        <rFont val="Arial"/>
        <charset val="134"/>
      </rPr>
      <t>380</t>
    </r>
  </si>
  <si>
    <r>
      <rPr>
        <b/>
        <sz val="8"/>
        <rFont val="华文宋体"/>
        <charset val="134"/>
      </rPr>
      <t>应收</t>
    </r>
    <r>
      <rPr>
        <b/>
        <sz val="9"/>
        <rFont val="Arial"/>
        <charset val="134"/>
      </rPr>
      <t>1156.2</t>
    </r>
    <r>
      <rPr>
        <b/>
        <sz val="9"/>
        <rFont val="华文宋体"/>
        <charset val="134"/>
      </rPr>
      <t>转下单</t>
    </r>
  </si>
  <si>
    <t>J3284</t>
  </si>
  <si>
    <r>
      <rPr>
        <sz val="8"/>
        <rFont val="Arial"/>
        <charset val="134"/>
      </rPr>
      <t>需要商检局的</t>
    </r>
    <r>
      <rPr>
        <sz val="8"/>
        <rFont val="Arial"/>
        <charset val="134"/>
      </rPr>
      <t>Form E,</t>
    </r>
    <r>
      <rPr>
        <sz val="8"/>
        <rFont val="宋体"/>
        <charset val="134"/>
      </rPr>
      <t>已经电放</t>
    </r>
    <r>
      <rPr>
        <sz val="8"/>
        <rFont val="Arial"/>
        <charset val="134"/>
      </rPr>
      <t>,DHL</t>
    </r>
    <r>
      <rPr>
        <sz val="8"/>
        <rFont val="宋体"/>
        <charset val="134"/>
      </rPr>
      <t>单据寄送：</t>
    </r>
    <r>
      <rPr>
        <sz val="8"/>
        <rFont val="Arial"/>
        <charset val="134"/>
      </rPr>
      <t xml:space="preserve">3311162282 </t>
    </r>
  </si>
  <si>
    <r>
      <rPr>
        <sz val="8"/>
        <rFont val="Arial"/>
        <charset val="134"/>
      </rPr>
      <t>会昌订舱</t>
    </r>
    <r>
      <rPr>
        <sz val="8"/>
        <rFont val="Arial"/>
        <charset val="134"/>
      </rPr>
      <t>405</t>
    </r>
    <r>
      <rPr>
        <sz val="8"/>
        <rFont val="宋体"/>
        <charset val="134"/>
      </rPr>
      <t>，拖车报关</t>
    </r>
  </si>
  <si>
    <t>J3285</t>
  </si>
  <si>
    <r>
      <rPr>
        <sz val="8"/>
        <rFont val="Arial"/>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</si>
  <si>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已经寄单，发票贸促会认证已收到，已催款</t>
  </si>
  <si>
    <t>深圳佰辰订舱，会昌拖车报关</t>
  </si>
  <si>
    <t>J3291</t>
  </si>
  <si>
    <r>
      <rPr>
        <sz val="8"/>
        <rFont val="Arial"/>
        <charset val="134"/>
      </rPr>
      <t>委内瑞拉</t>
    </r>
    <r>
      <rPr>
        <sz val="8"/>
        <rFont val="Arial"/>
        <charset val="134"/>
      </rPr>
      <t>HK BUILDCO (Steven)</t>
    </r>
  </si>
  <si>
    <t xml:space="preserve">xingang-Venezuela  </t>
  </si>
  <si>
    <r>
      <rPr>
        <sz val="8"/>
        <color indexed="8"/>
        <rFont val="Arial"/>
        <charset val="134"/>
      </rPr>
      <t>提单已安排电放，</t>
    </r>
    <r>
      <rPr>
        <sz val="8"/>
        <color indexed="8"/>
        <rFont val="Arial"/>
        <charset val="134"/>
      </rPr>
      <t>CO</t>
    </r>
    <r>
      <rPr>
        <sz val="8"/>
        <color indexed="8"/>
        <rFont val="宋体"/>
        <charset val="134"/>
      </rPr>
      <t>发票箱单正本扫描件都已发给</t>
    </r>
    <r>
      <rPr>
        <sz val="8"/>
        <color indexed="8"/>
        <rFont val="Arial"/>
        <charset val="134"/>
      </rPr>
      <t>Steven</t>
    </r>
  </si>
  <si>
    <t>广州百诚订舱，会昌拖车报关</t>
  </si>
  <si>
    <t>J3297</t>
  </si>
  <si>
    <r>
      <rPr>
        <sz val="8"/>
        <rFont val="Arial"/>
        <charset val="134"/>
      </rPr>
      <t>印尼</t>
    </r>
    <r>
      <rPr>
        <sz val="8"/>
        <rFont val="Arial"/>
        <charset val="134"/>
      </rPr>
      <t>PT.ABADI Jono</t>
    </r>
  </si>
  <si>
    <r>
      <rPr>
        <sz val="8"/>
        <rFont val="Arial"/>
        <charset val="134"/>
      </rPr>
      <t xml:space="preserve">6x40 steel profile </t>
    </r>
    <r>
      <rPr>
        <sz val="8"/>
        <rFont val="宋体"/>
        <charset val="134"/>
      </rPr>
      <t>轻钢</t>
    </r>
  </si>
  <si>
    <r>
      <rPr>
        <sz val="8"/>
        <color rgb="FF000000"/>
        <rFont val="Arial"/>
        <charset val="134"/>
      </rPr>
      <t>DHL</t>
    </r>
    <r>
      <rPr>
        <sz val="8"/>
        <color indexed="8"/>
        <rFont val="宋体"/>
        <charset val="134"/>
      </rPr>
      <t>寄单单号：</t>
    </r>
    <r>
      <rPr>
        <sz val="8"/>
        <color indexed="8"/>
        <rFont val="Arial"/>
        <charset val="134"/>
      </rPr>
      <t>5763429954</t>
    </r>
  </si>
  <si>
    <r>
      <rPr>
        <sz val="9"/>
        <rFont val="Arial"/>
        <charset val="134"/>
      </rPr>
      <t>会昌订舱</t>
    </r>
    <r>
      <rPr>
        <sz val="9"/>
        <rFont val="Arial"/>
        <charset val="134"/>
      </rPr>
      <t>650</t>
    </r>
  </si>
  <si>
    <t>J3298</t>
  </si>
  <si>
    <r>
      <rPr>
        <sz val="8"/>
        <rFont val="宋体"/>
        <charset val="134"/>
      </rPr>
      <t>阿曼</t>
    </r>
    <r>
      <rPr>
        <sz val="8"/>
        <rFont val="Arial"/>
        <charset val="134"/>
      </rPr>
      <t xml:space="preserve"> Riaz MOHAMMAD RIAZ</t>
    </r>
  </si>
  <si>
    <r>
      <rPr>
        <sz val="8"/>
        <rFont val="Arial"/>
        <charset val="134"/>
      </rPr>
      <t>款到已寄单，</t>
    </r>
    <r>
      <rPr>
        <sz val="8"/>
        <rFont val="Arial"/>
        <charset val="134"/>
      </rPr>
      <t>10.15</t>
    </r>
    <r>
      <rPr>
        <sz val="8"/>
        <rFont val="宋体"/>
        <charset val="134"/>
      </rPr>
      <t>日已装，船</t>
    </r>
    <r>
      <rPr>
        <sz val="8"/>
        <rFont val="Arial"/>
        <charset val="134"/>
      </rPr>
      <t>10.19</t>
    </r>
    <r>
      <rPr>
        <sz val="8"/>
        <rFont val="宋体"/>
        <charset val="134"/>
      </rPr>
      <t>日已开，正本提单已有</t>
    </r>
    <r>
      <rPr>
        <sz val="8"/>
        <rFont val="Arial"/>
        <charset val="134"/>
      </rPr>
      <t>,CO</t>
    </r>
    <r>
      <rPr>
        <sz val="8"/>
        <rFont val="宋体"/>
        <charset val="134"/>
      </rPr>
      <t>正本也有了。</t>
    </r>
  </si>
  <si>
    <r>
      <rPr>
        <sz val="8"/>
        <color indexed="8"/>
        <rFont val="Arial"/>
        <charset val="134"/>
      </rPr>
      <t>指定代理深圳世倡</t>
    </r>
    <r>
      <rPr>
        <sz val="8"/>
        <color indexed="8"/>
        <rFont val="Arial"/>
        <charset val="134"/>
      </rPr>
      <t>Sammi</t>
    </r>
    <r>
      <rPr>
        <sz val="8"/>
        <color indexed="8"/>
        <rFont val="宋体"/>
        <charset val="134"/>
      </rPr>
      <t>，会昌拖车报关，等提箱单</t>
    </r>
  </si>
  <si>
    <t>J3305-1</t>
  </si>
  <si>
    <r>
      <rPr>
        <sz val="8"/>
        <rFont val="Arial"/>
        <charset val="134"/>
      </rPr>
      <t>迪拜达路比（</t>
    </r>
    <r>
      <rPr>
        <sz val="8"/>
        <rFont val="Arial"/>
        <charset val="134"/>
      </rPr>
      <t>danube</t>
    </r>
    <r>
      <rPr>
        <sz val="8"/>
        <rFont val="宋体"/>
        <charset val="134"/>
      </rPr>
      <t>）</t>
    </r>
    <r>
      <rPr>
        <sz val="8"/>
        <rFont val="Arial"/>
        <charset val="134"/>
      </rPr>
      <t xml:space="preserve"> </t>
    </r>
    <r>
      <rPr>
        <sz val="8"/>
        <rFont val="宋体"/>
        <charset val="134"/>
      </rPr>
      <t>肖勇</t>
    </r>
  </si>
  <si>
    <r>
      <rPr>
        <sz val="8"/>
        <rFont val="Arial"/>
        <charset val="134"/>
      </rPr>
      <t xml:space="preserve">4x20‘FCL </t>
    </r>
    <r>
      <rPr>
        <sz val="8"/>
        <rFont val="宋体"/>
        <charset val="134"/>
      </rPr>
      <t>轻钢</t>
    </r>
  </si>
  <si>
    <t>xingang-dubai</t>
  </si>
  <si>
    <r>
      <rPr>
        <sz val="8"/>
        <rFont val="Arial"/>
        <charset val="134"/>
      </rPr>
      <t>托收已寄单款收到。</t>
    </r>
    <r>
      <rPr>
        <sz val="8"/>
        <rFont val="Arial"/>
        <charset val="134"/>
      </rPr>
      <t>10.15</t>
    </r>
    <r>
      <rPr>
        <sz val="8"/>
        <rFont val="宋体"/>
        <charset val="134"/>
      </rPr>
      <t>日已到港，</t>
    </r>
    <r>
      <rPr>
        <sz val="8"/>
        <rFont val="Arial"/>
        <charset val="134"/>
      </rPr>
      <t>CO</t>
    </r>
    <r>
      <rPr>
        <sz val="8"/>
        <rFont val="宋体"/>
        <charset val="134"/>
      </rPr>
      <t>是深圳做的，</t>
    </r>
    <r>
      <rPr>
        <sz val="8"/>
        <rFont val="Arial"/>
        <charset val="134"/>
      </rPr>
      <t>21</t>
    </r>
    <r>
      <rPr>
        <sz val="8"/>
        <rFont val="宋体"/>
        <charset val="134"/>
      </rPr>
      <t>日船期先发</t>
    </r>
    <r>
      <rPr>
        <sz val="8"/>
        <rFont val="Arial"/>
        <charset val="134"/>
      </rPr>
      <t>4</t>
    </r>
    <r>
      <rPr>
        <sz val="8"/>
        <rFont val="宋体"/>
        <charset val="134"/>
      </rPr>
      <t>个小柜</t>
    </r>
  </si>
  <si>
    <r>
      <rPr>
        <sz val="8"/>
        <rFont val="Arial"/>
        <charset val="134"/>
      </rPr>
      <t>指定代理深圳世倡</t>
    </r>
    <r>
      <rPr>
        <sz val="8"/>
        <rFont val="Arial"/>
        <charset val="134"/>
      </rPr>
      <t>Sammi</t>
    </r>
    <r>
      <rPr>
        <sz val="8"/>
        <rFont val="宋体"/>
        <charset val="134"/>
      </rPr>
      <t>，白沟和凯拖车报关</t>
    </r>
  </si>
  <si>
    <t>J3305-2</t>
  </si>
  <si>
    <r>
      <rPr>
        <sz val="8"/>
        <rFont val="Arial"/>
        <charset val="134"/>
      </rPr>
      <t xml:space="preserve">6x20‘FCL </t>
    </r>
    <r>
      <rPr>
        <sz val="8"/>
        <rFont val="宋体"/>
        <charset val="134"/>
      </rPr>
      <t>轻钢</t>
    </r>
  </si>
  <si>
    <r>
      <rPr>
        <sz val="8"/>
        <color rgb="FF0000FF"/>
        <rFont val="宋体"/>
        <charset val="134"/>
      </rPr>
      <t>等款。</t>
    </r>
    <r>
      <rPr>
        <sz val="8"/>
        <rFont val="宋体"/>
        <charset val="134"/>
      </rPr>
      <t>已办理托收等款，</t>
    </r>
    <r>
      <rPr>
        <sz val="8"/>
        <rFont val="Arial"/>
        <charset val="134"/>
      </rPr>
      <t>TNT</t>
    </r>
    <r>
      <rPr>
        <sz val="8"/>
        <rFont val="宋体"/>
        <charset val="134"/>
      </rPr>
      <t>单号</t>
    </r>
    <r>
      <rPr>
        <sz val="8"/>
        <rFont val="Arial"/>
        <charset val="134"/>
      </rPr>
      <t>GD329521160WW</t>
    </r>
    <r>
      <rPr>
        <sz val="8"/>
        <color rgb="FF0000FF"/>
        <rFont val="宋体"/>
        <charset val="134"/>
      </rPr>
      <t>。</t>
    </r>
    <r>
      <rPr>
        <sz val="8"/>
        <color rgb="FF000000"/>
        <rFont val="Arial"/>
        <charset val="134"/>
      </rPr>
      <t>6</t>
    </r>
    <r>
      <rPr>
        <sz val="8"/>
        <color rgb="FF000000"/>
        <rFont val="宋体"/>
        <charset val="134"/>
      </rPr>
      <t>个柜子分两天发，</t>
    </r>
    <r>
      <rPr>
        <sz val="8"/>
        <color rgb="FF000000"/>
        <rFont val="Arial"/>
        <charset val="134"/>
      </rPr>
      <t>26</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27</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 xml:space="preserve">  C/O</t>
    </r>
    <r>
      <rPr>
        <sz val="8"/>
        <color rgb="FF000000"/>
        <rFont val="宋体"/>
        <charset val="134"/>
      </rPr>
      <t>由深圳那边出具白沟的抬头已出。差提单正本</t>
    </r>
  </si>
  <si>
    <r>
      <rPr>
        <sz val="8"/>
        <rFont val="宋体"/>
        <charset val="134"/>
      </rPr>
      <t>指定代理深圳世倡</t>
    </r>
    <r>
      <rPr>
        <sz val="8"/>
        <rFont val="Arial"/>
        <charset val="134"/>
      </rPr>
      <t>Sammi</t>
    </r>
    <r>
      <rPr>
        <sz val="8"/>
        <rFont val="宋体"/>
        <charset val="134"/>
      </rPr>
      <t>，白沟和凯拖车报关，做融资，单据都做和凯的抬头</t>
    </r>
  </si>
  <si>
    <t>J3305-3</t>
  </si>
  <si>
    <r>
      <rPr>
        <sz val="8"/>
        <rFont val="Arial"/>
        <charset val="134"/>
      </rPr>
      <t>3x20FCL</t>
    </r>
    <r>
      <rPr>
        <sz val="8"/>
        <rFont val="宋体"/>
        <charset val="134"/>
      </rPr>
      <t>轻钢</t>
    </r>
  </si>
  <si>
    <r>
      <rPr>
        <sz val="8"/>
        <color theme="1"/>
        <rFont val="Arial"/>
        <charset val="134"/>
      </rPr>
      <t>TNT329523599</t>
    </r>
    <r>
      <rPr>
        <sz val="8"/>
        <color indexed="8"/>
        <rFont val="宋体"/>
        <charset val="134"/>
      </rPr>
      <t>已寄单等款。</t>
    </r>
    <r>
      <rPr>
        <sz val="8"/>
        <color indexed="8"/>
        <rFont val="Arial"/>
        <charset val="134"/>
      </rPr>
      <t>10.8</t>
    </r>
    <r>
      <rPr>
        <sz val="8"/>
        <color indexed="8"/>
        <rFont val="宋体"/>
        <charset val="134"/>
      </rPr>
      <t>日已装，原计划</t>
    </r>
    <r>
      <rPr>
        <sz val="8"/>
        <color indexed="8"/>
        <rFont val="Arial"/>
        <charset val="134"/>
      </rPr>
      <t>10.12</t>
    </r>
    <r>
      <rPr>
        <sz val="8"/>
        <color indexed="8"/>
        <rFont val="宋体"/>
        <charset val="134"/>
      </rPr>
      <t>日的船取消了，托班到</t>
    </r>
    <r>
      <rPr>
        <sz val="8"/>
        <color indexed="8"/>
        <rFont val="Arial"/>
        <charset val="134"/>
      </rPr>
      <t>20</t>
    </r>
    <r>
      <rPr>
        <sz val="8"/>
        <color indexed="8"/>
        <rFont val="宋体"/>
        <charset val="134"/>
      </rPr>
      <t>号，</t>
    </r>
    <r>
      <rPr>
        <sz val="8"/>
        <color indexed="8"/>
        <rFont val="Arial"/>
        <charset val="134"/>
      </rPr>
      <t>20</t>
    </r>
    <r>
      <rPr>
        <sz val="8"/>
        <color indexed="8"/>
        <rFont val="宋体"/>
        <charset val="134"/>
      </rPr>
      <t>号已开</t>
    </r>
  </si>
  <si>
    <r>
      <rPr>
        <sz val="8"/>
        <rFont val="Arial"/>
        <charset val="134"/>
      </rPr>
      <t>指定代理深圳世倡</t>
    </r>
    <r>
      <rPr>
        <sz val="8"/>
        <rFont val="Arial"/>
        <charset val="134"/>
      </rPr>
      <t>Sammi</t>
    </r>
    <r>
      <rPr>
        <sz val="8"/>
        <rFont val="宋体"/>
        <charset val="134"/>
      </rPr>
      <t>，白沟和凯拖车报关，做融资，单据都做和凯的抬头</t>
    </r>
  </si>
  <si>
    <t>J3305-4</t>
  </si>
  <si>
    <r>
      <rPr>
        <sz val="8"/>
        <rFont val="Arial"/>
        <charset val="134"/>
      </rPr>
      <t>TNT329523599</t>
    </r>
    <r>
      <rPr>
        <sz val="8"/>
        <rFont val="宋体"/>
        <charset val="134"/>
      </rPr>
      <t>已寄单等款。</t>
    </r>
    <r>
      <rPr>
        <sz val="8"/>
        <rFont val="Arial"/>
        <charset val="134"/>
      </rPr>
      <t>10.15</t>
    </r>
    <r>
      <rPr>
        <sz val="8"/>
        <rFont val="宋体"/>
        <charset val="134"/>
      </rPr>
      <t>日已装，</t>
    </r>
    <r>
      <rPr>
        <sz val="8"/>
        <rFont val="Arial"/>
        <charset val="134"/>
      </rPr>
      <t>20</t>
    </r>
    <r>
      <rPr>
        <sz val="8"/>
        <rFont val="宋体"/>
        <charset val="134"/>
      </rPr>
      <t>号开</t>
    </r>
  </si>
  <si>
    <t>J3305-5</t>
  </si>
  <si>
    <r>
      <rPr>
        <sz val="8"/>
        <rFont val="Arial"/>
        <charset val="134"/>
      </rPr>
      <t>迪拜达路比（</t>
    </r>
    <r>
      <rPr>
        <sz val="8"/>
        <rFont val="Arial"/>
        <charset val="134"/>
      </rPr>
      <t>danube</t>
    </r>
    <r>
      <rPr>
        <sz val="8"/>
        <rFont val="宋体"/>
        <charset val="134"/>
      </rPr>
      <t>）</t>
    </r>
  </si>
  <si>
    <r>
      <rPr>
        <sz val="8"/>
        <rFont val="Arial"/>
        <charset val="134"/>
      </rPr>
      <t>4x20FCL</t>
    </r>
    <r>
      <rPr>
        <sz val="8"/>
        <rFont val="宋体"/>
        <charset val="134"/>
      </rPr>
      <t>轻钢</t>
    </r>
  </si>
  <si>
    <t xml:space="preserve">DHL:5467974971 </t>
  </si>
  <si>
    <r>
      <rPr>
        <sz val="8"/>
        <rFont val="Arial"/>
        <charset val="134"/>
      </rPr>
      <t>指定代理深圳世倡</t>
    </r>
    <r>
      <rPr>
        <sz val="8"/>
        <rFont val="Arial"/>
        <charset val="134"/>
      </rPr>
      <t>Sammi</t>
    </r>
    <r>
      <rPr>
        <sz val="8"/>
        <rFont val="宋体"/>
        <charset val="134"/>
      </rPr>
      <t>，会昌拖车报关</t>
    </r>
  </si>
  <si>
    <t>J3305-6</t>
  </si>
  <si>
    <t>DHL 2987870712</t>
  </si>
  <si>
    <r>
      <rPr>
        <sz val="8"/>
        <rFont val="Arial"/>
        <charset val="134"/>
      </rPr>
      <t>指定代理深圳世倡</t>
    </r>
    <r>
      <rPr>
        <sz val="8"/>
        <rFont val="Arial"/>
        <charset val="134"/>
      </rPr>
      <t>Sammi,</t>
    </r>
    <r>
      <rPr>
        <sz val="8"/>
        <rFont val="宋体"/>
        <charset val="134"/>
      </rPr>
      <t>白沟和凯拖车报关，所有单据都用和凯的抬头，因为要办理融资。</t>
    </r>
  </si>
  <si>
    <t>J3305-7</t>
  </si>
  <si>
    <r>
      <rPr>
        <sz val="8"/>
        <rFont val="Arial"/>
        <charset val="134"/>
      </rPr>
      <t>2x20FCL</t>
    </r>
    <r>
      <rPr>
        <sz val="8"/>
        <rFont val="宋体"/>
        <charset val="134"/>
      </rPr>
      <t>轻钢</t>
    </r>
  </si>
  <si>
    <t>DHL3790736261</t>
  </si>
  <si>
    <r>
      <rPr>
        <sz val="8"/>
        <rFont val="Arial"/>
        <charset val="134"/>
      </rPr>
      <t>指定代理深圳世倡</t>
    </r>
    <r>
      <rPr>
        <sz val="8"/>
        <rFont val="Arial"/>
        <charset val="134"/>
      </rPr>
      <t>Sammi</t>
    </r>
    <r>
      <rPr>
        <sz val="8"/>
        <rFont val="宋体"/>
        <charset val="134"/>
      </rPr>
      <t>，会昌拖车报关，</t>
    </r>
    <r>
      <rPr>
        <sz val="8"/>
        <rFont val="Arial"/>
        <charset val="134"/>
      </rPr>
      <t>Hero</t>
    </r>
    <r>
      <rPr>
        <sz val="8"/>
        <rFont val="宋体"/>
        <charset val="134"/>
      </rPr>
      <t>自己的抬头</t>
    </r>
  </si>
  <si>
    <t>J3309</t>
  </si>
  <si>
    <r>
      <rPr>
        <sz val="8"/>
        <rFont val="Arial"/>
        <charset val="134"/>
      </rPr>
      <t>沙特小星星</t>
    </r>
    <r>
      <rPr>
        <sz val="8"/>
        <rFont val="Arial"/>
        <charset val="134"/>
      </rPr>
      <t>Taliah(Hameed)</t>
    </r>
  </si>
  <si>
    <r>
      <rPr>
        <sz val="8"/>
        <rFont val="Arial"/>
        <charset val="134"/>
      </rPr>
      <t xml:space="preserve">1x40‘ </t>
    </r>
    <r>
      <rPr>
        <sz val="8"/>
        <rFont val="宋体"/>
        <charset val="134"/>
      </rPr>
      <t>轻钢</t>
    </r>
  </si>
  <si>
    <t>xingang-Riyadh, Saudi Arabia.</t>
  </si>
  <si>
    <t>客户多付了要返回去</t>
  </si>
  <si>
    <t>J3304</t>
  </si>
  <si>
    <r>
      <rPr>
        <sz val="8"/>
        <rFont val="宋体"/>
        <charset val="134"/>
      </rPr>
      <t>伊朗</t>
    </r>
    <r>
      <rPr>
        <sz val="8"/>
        <rFont val="Arial"/>
        <charset val="134"/>
      </rPr>
      <t xml:space="preserve">Mehdi </t>
    </r>
  </si>
  <si>
    <r>
      <rPr>
        <sz val="8"/>
        <rFont val="Arial"/>
        <charset val="134"/>
      </rPr>
      <t xml:space="preserve">2x20‘ </t>
    </r>
    <r>
      <rPr>
        <sz val="8"/>
        <rFont val="宋体"/>
        <charset val="134"/>
      </rPr>
      <t>烤漆龙骨（含一个柜子的金银面带）</t>
    </r>
  </si>
  <si>
    <t>Tianjin- Bandar Abass</t>
  </si>
  <si>
    <r>
      <rPr>
        <sz val="8"/>
        <color indexed="8"/>
        <rFont val="Arial"/>
        <charset val="134"/>
      </rPr>
      <t>指定货代</t>
    </r>
    <r>
      <rPr>
        <sz val="8"/>
        <color indexed="8"/>
        <rFont val="Arial"/>
        <charset val="134"/>
      </rPr>
      <t>Rebecca Xu Tel:+86-21 54731201 rebecca@seatek.hk&lt;rebecca@seatek.hk&gt;</t>
    </r>
    <r>
      <rPr>
        <sz val="8"/>
        <color indexed="8"/>
        <rFont val="宋体"/>
        <charset val="134"/>
      </rPr>
      <t>，会昌拖车报关</t>
    </r>
  </si>
  <si>
    <t>J3311</t>
  </si>
  <si>
    <r>
      <rPr>
        <sz val="8"/>
        <rFont val="Arial"/>
        <charset val="134"/>
      </rPr>
      <t>埃及红线</t>
    </r>
    <r>
      <rPr>
        <sz val="8"/>
        <rFont val="Arial"/>
        <charset val="134"/>
      </rPr>
      <t>Khalil</t>
    </r>
  </si>
  <si>
    <r>
      <rPr>
        <sz val="8"/>
        <rFont val="Arial"/>
        <charset val="134"/>
      </rPr>
      <t xml:space="preserve">1x20 </t>
    </r>
    <r>
      <rPr>
        <sz val="8"/>
        <rFont val="宋体"/>
        <charset val="134"/>
      </rPr>
      <t>烤漆（</t>
    </r>
    <r>
      <rPr>
        <sz val="8"/>
        <rFont val="Arial"/>
        <charset val="134"/>
      </rPr>
      <t xml:space="preserve">Falcon </t>
    </r>
    <r>
      <rPr>
        <sz val="8"/>
        <rFont val="宋体"/>
        <charset val="134"/>
      </rPr>
      <t>无锌花</t>
    </r>
    <r>
      <rPr>
        <sz val="8"/>
        <rFont val="Arial"/>
        <charset val="134"/>
      </rPr>
      <t xml:space="preserve">+ Shahrazad </t>
    </r>
    <r>
      <rPr>
        <sz val="8"/>
        <rFont val="宋体"/>
        <charset val="134"/>
      </rPr>
      <t>普通）</t>
    </r>
  </si>
  <si>
    <t>Tianjin - Sokhna</t>
  </si>
  <si>
    <r>
      <rPr>
        <sz val="8"/>
        <rFont val="Arial"/>
        <charset val="134"/>
      </rPr>
      <t>DHL</t>
    </r>
    <r>
      <rPr>
        <sz val="8"/>
        <rFont val="宋体"/>
        <charset val="134"/>
      </rPr>
      <t>托收：</t>
    </r>
    <r>
      <rPr>
        <sz val="8"/>
        <rFont val="Arial"/>
        <charset val="134"/>
      </rPr>
      <t>2165404091</t>
    </r>
  </si>
  <si>
    <r>
      <rPr>
        <sz val="8"/>
        <rFont val="Arial"/>
        <charset val="134"/>
      </rPr>
      <t>指定代理</t>
    </r>
    <r>
      <rPr>
        <sz val="8"/>
        <rFont val="Arial"/>
        <charset val="134"/>
      </rPr>
      <t>kenny@jancofreight.com</t>
    </r>
  </si>
  <si>
    <t>J3290</t>
  </si>
  <si>
    <r>
      <rPr>
        <sz val="8"/>
        <rFont val="Arial"/>
        <charset val="134"/>
      </rPr>
      <t>埃及</t>
    </r>
    <r>
      <rPr>
        <sz val="8"/>
        <rFont val="Arial"/>
        <charset val="134"/>
      </rPr>
      <t>SKY Ahmed Yahia</t>
    </r>
  </si>
  <si>
    <r>
      <rPr>
        <sz val="8"/>
        <rFont val="Arial"/>
        <charset val="134"/>
      </rPr>
      <t xml:space="preserve"> 1x20' </t>
    </r>
    <r>
      <rPr>
        <sz val="8"/>
        <rFont val="宋体"/>
        <charset val="134"/>
      </rPr>
      <t>烤漆</t>
    </r>
    <r>
      <rPr>
        <sz val="8"/>
        <rFont val="Arial"/>
        <charset val="134"/>
      </rPr>
      <t>+</t>
    </r>
    <r>
      <rPr>
        <sz val="8"/>
        <rFont val="宋体"/>
        <charset val="134"/>
      </rPr>
      <t>内爆</t>
    </r>
  </si>
  <si>
    <t>Tianjin-SOKHNA SEA PORT, EGYPT.</t>
  </si>
  <si>
    <r>
      <rPr>
        <sz val="8"/>
        <rFont val="Arial"/>
        <charset val="134"/>
      </rPr>
      <t>款到已寄单。发票的贸促会认证和大使馆认证已经好了，</t>
    </r>
    <r>
      <rPr>
        <sz val="8"/>
        <rFont val="Arial"/>
        <charset val="134"/>
      </rPr>
      <t>CO</t>
    </r>
    <r>
      <rPr>
        <sz val="8"/>
        <rFont val="宋体"/>
        <charset val="134"/>
      </rPr>
      <t>的也</t>
    </r>
    <r>
      <rPr>
        <sz val="8"/>
        <rFont val="Arial"/>
        <charset val="134"/>
      </rPr>
      <t>OK</t>
    </r>
    <r>
      <rPr>
        <sz val="8"/>
        <rFont val="宋体"/>
        <charset val="134"/>
      </rPr>
      <t>了，等款寄单。</t>
    </r>
    <r>
      <rPr>
        <sz val="8"/>
        <rFont val="Arial"/>
        <charset val="134"/>
      </rPr>
      <t>21</t>
    </r>
    <r>
      <rPr>
        <sz val="8"/>
        <rFont val="宋体"/>
        <charset val="134"/>
      </rPr>
      <t>号已装。发票贸促会认证然后大使馆认证，产地证贸促会出，然后做大使馆认证。北京尤先生办理中</t>
    </r>
  </si>
  <si>
    <r>
      <rPr>
        <sz val="8"/>
        <color indexed="8"/>
        <rFont val="Arial"/>
        <charset val="134"/>
      </rPr>
      <t>指定代理</t>
    </r>
    <r>
      <rPr>
        <sz val="8"/>
        <color indexed="8"/>
        <rFont val="Arial"/>
        <charset val="134"/>
      </rPr>
      <t>op5@goldenways-china.com</t>
    </r>
    <r>
      <rPr>
        <sz val="8"/>
        <color indexed="8"/>
        <rFont val="宋体"/>
        <charset val="134"/>
      </rPr>
      <t>，会昌拖车报关</t>
    </r>
  </si>
  <si>
    <t>J3307</t>
  </si>
  <si>
    <r>
      <rPr>
        <sz val="8"/>
        <rFont val="Arial"/>
        <charset val="134"/>
      </rPr>
      <t>阿布扎比</t>
    </r>
    <r>
      <rPr>
        <sz val="8"/>
        <rFont val="Arial"/>
        <charset val="134"/>
      </rPr>
      <t xml:space="preserve"> Okab </t>
    </r>
  </si>
  <si>
    <r>
      <rPr>
        <sz val="8"/>
        <rFont val="Arial"/>
        <charset val="134"/>
      </rPr>
      <t xml:space="preserve"> 1x20‘ </t>
    </r>
    <r>
      <rPr>
        <sz val="8"/>
        <rFont val="宋体"/>
        <charset val="134"/>
      </rPr>
      <t>平面烤漆</t>
    </r>
  </si>
  <si>
    <t xml:space="preserve">Tianjin-Abu Dhabi </t>
  </si>
  <si>
    <r>
      <rPr>
        <sz val="8"/>
        <color indexed="8"/>
        <rFont val="Arial"/>
        <charset val="134"/>
      </rPr>
      <t>款到已经寄单。</t>
    </r>
    <r>
      <rPr>
        <sz val="8"/>
        <color indexed="8"/>
        <rFont val="Arial"/>
        <charset val="134"/>
      </rPr>
      <t>11.18</t>
    </r>
    <r>
      <rPr>
        <sz val="8"/>
        <color indexed="8"/>
        <rFont val="宋体"/>
        <charset val="134"/>
      </rPr>
      <t>日已装。提单，</t>
    </r>
    <r>
      <rPr>
        <sz val="8"/>
        <color indexed="8"/>
        <rFont val="Arial"/>
        <charset val="134"/>
      </rPr>
      <t>CO</t>
    </r>
    <r>
      <rPr>
        <sz val="8"/>
        <color indexed="8"/>
        <rFont val="宋体"/>
        <charset val="134"/>
      </rPr>
      <t>都有了，发客户催款。</t>
    </r>
  </si>
  <si>
    <r>
      <rPr>
        <sz val="8"/>
        <color indexed="8"/>
        <rFont val="Arial"/>
        <charset val="134"/>
      </rPr>
      <t>会昌订舱拖车报关，报客户</t>
    </r>
    <r>
      <rPr>
        <sz val="8"/>
        <color indexed="8"/>
        <rFont val="Arial"/>
        <charset val="134"/>
      </rPr>
      <t>850USD</t>
    </r>
    <r>
      <rPr>
        <sz val="8"/>
        <color indexed="8"/>
        <rFont val="宋体"/>
        <charset val="134"/>
      </rPr>
      <t>，新港到阿布扎比</t>
    </r>
  </si>
  <si>
    <t>J3319</t>
  </si>
  <si>
    <r>
      <rPr>
        <sz val="8"/>
        <rFont val="Arial"/>
        <charset val="134"/>
      </rPr>
      <t>印度</t>
    </r>
    <r>
      <rPr>
        <sz val="8"/>
        <rFont val="Arial"/>
        <charset val="134"/>
      </rPr>
      <t xml:space="preserve">MAB Jaison </t>
    </r>
  </si>
  <si>
    <r>
      <rPr>
        <sz val="8"/>
        <rFont val="Arial"/>
        <charset val="134"/>
      </rPr>
      <t xml:space="preserve">1x20‘ </t>
    </r>
    <r>
      <rPr>
        <sz val="8"/>
        <rFont val="宋体"/>
        <charset val="134"/>
      </rPr>
      <t>烤漆</t>
    </r>
    <r>
      <rPr>
        <sz val="8"/>
        <rFont val="Arial"/>
        <charset val="134"/>
      </rPr>
      <t>+</t>
    </r>
    <r>
      <rPr>
        <sz val="8"/>
        <rFont val="宋体"/>
        <charset val="134"/>
      </rPr>
      <t>人工草</t>
    </r>
  </si>
  <si>
    <t>Tianjin-Cochine</t>
  </si>
  <si>
    <r>
      <rPr>
        <sz val="8"/>
        <rFont val="Arial"/>
        <charset val="134"/>
      </rPr>
      <t>款到已寄单。</t>
    </r>
    <r>
      <rPr>
        <sz val="8"/>
        <rFont val="Arial"/>
        <charset val="134"/>
      </rPr>
      <t>11.20</t>
    </r>
    <r>
      <rPr>
        <sz val="8"/>
        <rFont val="宋体"/>
        <charset val="134"/>
      </rPr>
      <t>日已装。提单</t>
    </r>
    <r>
      <rPr>
        <sz val="8"/>
        <rFont val="Arial"/>
        <charset val="134"/>
      </rPr>
      <t>CO</t>
    </r>
    <r>
      <rPr>
        <sz val="8"/>
        <rFont val="宋体"/>
        <charset val="134"/>
      </rPr>
      <t>都有了。人工草</t>
    </r>
    <r>
      <rPr>
        <sz val="8"/>
        <rFont val="Arial"/>
        <charset val="134"/>
      </rPr>
      <t>11.20</t>
    </r>
    <r>
      <rPr>
        <sz val="8"/>
        <rFont val="宋体"/>
        <charset val="134"/>
      </rPr>
      <t>日到工厂，还有之前留下的几箱人工草样品需要一起发走。人工草需要厂家提供报关资料</t>
    </r>
  </si>
  <si>
    <r>
      <rPr>
        <sz val="8"/>
        <color indexed="8"/>
        <rFont val="Arial"/>
        <charset val="134"/>
      </rPr>
      <t>指定货代</t>
    </r>
    <r>
      <rPr>
        <sz val="8"/>
        <color indexed="8"/>
        <rFont val="Arial"/>
        <charset val="134"/>
      </rPr>
      <t>Sea Shell Logistic Limited</t>
    </r>
    <r>
      <rPr>
        <sz val="8"/>
        <color indexed="8"/>
        <rFont val="宋体"/>
        <charset val="134"/>
      </rPr>
      <t>，会昌拖车报关</t>
    </r>
  </si>
  <si>
    <t>X3231-5</t>
  </si>
  <si>
    <t xml:space="preserve"> GEMINI (Manoj)</t>
  </si>
  <si>
    <r>
      <rPr>
        <sz val="8"/>
        <rFont val="Arial"/>
        <charset val="134"/>
      </rPr>
      <t>14x20</t>
    </r>
    <r>
      <rPr>
        <sz val="8"/>
        <rFont val="宋体"/>
        <charset val="134"/>
      </rPr>
      <t>石膏板</t>
    </r>
  </si>
  <si>
    <r>
      <rPr>
        <sz val="8"/>
        <rFont val="Arial"/>
        <charset val="134"/>
      </rPr>
      <t>青岛</t>
    </r>
    <r>
      <rPr>
        <sz val="8"/>
        <rFont val="Arial"/>
        <charset val="134"/>
      </rPr>
      <t>-sohar</t>
    </r>
  </si>
  <si>
    <r>
      <rPr>
        <sz val="8"/>
        <rFont val="Arial"/>
        <charset val="134"/>
      </rPr>
      <t>10.12</t>
    </r>
    <r>
      <rPr>
        <sz val="8"/>
        <rFont val="宋体"/>
        <charset val="134"/>
      </rPr>
      <t>交单，单号</t>
    </r>
    <r>
      <rPr>
        <sz val="8"/>
        <rFont val="Arial"/>
        <charset val="134"/>
      </rPr>
      <t>9694055873</t>
    </r>
    <r>
      <rPr>
        <sz val="8"/>
        <rFont val="宋体"/>
        <charset val="134"/>
      </rPr>
      <t>。</t>
    </r>
    <r>
      <rPr>
        <sz val="8"/>
        <rFont val="Arial"/>
        <charset val="134"/>
      </rPr>
      <t>DP55</t>
    </r>
    <r>
      <rPr>
        <sz val="8"/>
        <rFont val="宋体"/>
        <charset val="134"/>
      </rPr>
      <t>天。</t>
    </r>
    <r>
      <rPr>
        <sz val="8"/>
        <rFont val="Arial"/>
        <charset val="134"/>
      </rPr>
      <t xml:space="preserve"> HMM 17</t>
    </r>
    <r>
      <rPr>
        <sz val="8"/>
        <rFont val="宋体"/>
        <charset val="134"/>
      </rPr>
      <t>号</t>
    </r>
    <r>
      <rPr>
        <sz val="8"/>
        <rFont val="Arial"/>
        <charset val="134"/>
      </rPr>
      <t xml:space="preserve"> </t>
    </r>
    <r>
      <rPr>
        <sz val="8"/>
        <rFont val="宋体"/>
        <charset val="134"/>
      </rPr>
      <t>釜山转</t>
    </r>
    <r>
      <rPr>
        <sz val="8"/>
        <rFont val="Arial"/>
        <charset val="134"/>
      </rPr>
      <t xml:space="preserve"> 32</t>
    </r>
    <r>
      <rPr>
        <sz val="8"/>
        <rFont val="宋体"/>
        <charset val="134"/>
      </rPr>
      <t>天，</t>
    </r>
    <r>
      <rPr>
        <sz val="8"/>
        <rFont val="Arial"/>
        <charset val="134"/>
      </rPr>
      <t>500</t>
    </r>
    <r>
      <rPr>
        <sz val="8"/>
        <rFont val="宋体"/>
        <charset val="134"/>
      </rPr>
      <t>美金一个柜子，价格给客户调了，付款</t>
    </r>
    <r>
      <rPr>
        <sz val="8"/>
        <rFont val="Arial"/>
        <charset val="134"/>
      </rPr>
      <t>DA55</t>
    </r>
    <r>
      <rPr>
        <sz val="8"/>
        <rFont val="宋体"/>
        <charset val="134"/>
      </rPr>
      <t>天，投出口险</t>
    </r>
  </si>
  <si>
    <r>
      <rPr>
        <sz val="8"/>
        <color indexed="8"/>
        <rFont val="Arial"/>
        <charset val="134"/>
      </rPr>
      <t>青岛联达环球订舱拖车报关，海运费</t>
    </r>
    <r>
      <rPr>
        <sz val="8"/>
        <color indexed="8"/>
        <rFont val="Arial"/>
        <charset val="134"/>
      </rPr>
      <t>500</t>
    </r>
    <r>
      <rPr>
        <sz val="8"/>
        <color indexed="8"/>
        <rFont val="宋体"/>
        <charset val="134"/>
      </rPr>
      <t>美金每个柜子，报客户</t>
    </r>
    <r>
      <rPr>
        <sz val="8"/>
        <color indexed="8"/>
        <rFont val="Arial"/>
        <charset val="134"/>
      </rPr>
      <t>520</t>
    </r>
    <r>
      <rPr>
        <sz val="8"/>
        <color indexed="8"/>
        <rFont val="宋体"/>
        <charset val="134"/>
      </rPr>
      <t>美金。</t>
    </r>
  </si>
  <si>
    <t>X3244</t>
  </si>
  <si>
    <r>
      <rPr>
        <sz val="8"/>
        <rFont val="Arial"/>
        <charset val="134"/>
      </rPr>
      <t>4x20</t>
    </r>
    <r>
      <rPr>
        <sz val="8"/>
        <rFont val="宋体"/>
        <charset val="134"/>
      </rPr>
      <t>石膏板</t>
    </r>
  </si>
  <si>
    <t>X3255</t>
  </si>
  <si>
    <r>
      <rPr>
        <sz val="8"/>
        <rFont val="Arial"/>
        <charset val="134"/>
      </rPr>
      <t>青岛</t>
    </r>
    <r>
      <rPr>
        <sz val="8"/>
        <rFont val="Arial"/>
        <charset val="134"/>
      </rPr>
      <t>- Jebel Ali</t>
    </r>
  </si>
  <si>
    <r>
      <rPr>
        <sz val="8"/>
        <color theme="1"/>
        <rFont val="Arial"/>
        <charset val="134"/>
      </rPr>
      <t>DP</t>
    </r>
    <r>
      <rPr>
        <sz val="8"/>
        <color indexed="8"/>
        <rFont val="宋体"/>
        <charset val="134"/>
      </rPr>
      <t>托收的</t>
    </r>
    <r>
      <rPr>
        <sz val="8"/>
        <color indexed="8"/>
        <rFont val="Arial"/>
        <charset val="134"/>
      </rPr>
      <t>DHL:4479462411</t>
    </r>
  </si>
  <si>
    <t>J3322</t>
  </si>
  <si>
    <r>
      <rPr>
        <sz val="8"/>
        <rFont val="Arial"/>
        <charset val="134"/>
      </rPr>
      <t>越南</t>
    </r>
    <r>
      <rPr>
        <sz val="8"/>
        <rFont val="Arial"/>
        <charset val="134"/>
      </rPr>
      <t>ASTAR</t>
    </r>
    <r>
      <rPr>
        <sz val="8"/>
        <rFont val="宋体"/>
        <charset val="134"/>
      </rPr>
      <t>品牌</t>
    </r>
  </si>
  <si>
    <r>
      <rPr>
        <sz val="8"/>
        <rFont val="Arial"/>
        <charset val="134"/>
      </rPr>
      <t xml:space="preserve"> 1x20 </t>
    </r>
    <r>
      <rPr>
        <sz val="8"/>
        <rFont val="宋体"/>
        <charset val="134"/>
      </rPr>
      <t>烤漆</t>
    </r>
  </si>
  <si>
    <t xml:space="preserve">CIF  </t>
  </si>
  <si>
    <t>xingang-Haiphong, Vietnam</t>
  </si>
  <si>
    <r>
      <rPr>
        <sz val="8"/>
        <color indexed="8"/>
        <rFont val="Arial"/>
        <charset val="134"/>
      </rPr>
      <t>周天华订舱海丰</t>
    </r>
    <r>
      <rPr>
        <sz val="8"/>
        <color indexed="8"/>
        <rFont val="Arial"/>
        <charset val="134"/>
      </rPr>
      <t>SITC</t>
    </r>
    <r>
      <rPr>
        <sz val="8"/>
        <color indexed="8"/>
        <rFont val="宋体"/>
        <charset val="134"/>
      </rPr>
      <t>，</t>
    </r>
    <r>
      <rPr>
        <sz val="8"/>
        <color indexed="8"/>
        <rFont val="Arial"/>
        <charset val="134"/>
      </rPr>
      <t>225</t>
    </r>
    <r>
      <rPr>
        <sz val="8"/>
        <color indexed="8"/>
        <rFont val="宋体"/>
        <charset val="134"/>
      </rPr>
      <t>美金，会昌拖车报关</t>
    </r>
  </si>
  <si>
    <t xml:space="preserve">J3240 </t>
  </si>
  <si>
    <r>
      <rPr>
        <sz val="8"/>
        <rFont val="Arial"/>
        <charset val="134"/>
      </rPr>
      <t>伊朗</t>
    </r>
    <r>
      <rPr>
        <sz val="8"/>
        <rFont val="Arial"/>
        <charset val="134"/>
      </rPr>
      <t xml:space="preserve">Mehrraz </t>
    </r>
  </si>
  <si>
    <r>
      <rPr>
        <sz val="8"/>
        <rFont val="Arial"/>
        <charset val="134"/>
      </rPr>
      <t xml:space="preserve">1x20‘ </t>
    </r>
    <r>
      <rPr>
        <sz val="8"/>
        <rFont val="宋体"/>
        <charset val="134"/>
      </rPr>
      <t>烤漆</t>
    </r>
  </si>
  <si>
    <t xml:space="preserve">Xingang-Bandar Abbass, Iran </t>
  </si>
  <si>
    <r>
      <rPr>
        <sz val="8"/>
        <color rgb="FF000000"/>
        <rFont val="宋体"/>
        <charset val="134"/>
      </rPr>
      <t>会昌订舱</t>
    </r>
    <r>
      <rPr>
        <sz val="8"/>
        <color rgb="FF000000"/>
        <rFont val="Arial"/>
        <charset val="134"/>
      </rPr>
      <t>1375</t>
    </r>
    <r>
      <rPr>
        <sz val="8"/>
        <color rgb="FF000000"/>
        <rFont val="宋体"/>
        <charset val="134"/>
      </rPr>
      <t>美金，报客户，报客户</t>
    </r>
    <r>
      <rPr>
        <sz val="8"/>
        <color rgb="FF000000"/>
        <rFont val="Arial"/>
        <charset val="134"/>
      </rPr>
      <t>1375</t>
    </r>
    <r>
      <rPr>
        <sz val="8"/>
        <color rgb="FF000000"/>
        <rFont val="宋体"/>
        <charset val="134"/>
      </rPr>
      <t>，但是目前伊朗局势不稳，船好多都不来，所以暂时还在等消息</t>
    </r>
  </si>
  <si>
    <t>21511*6.841=147161</t>
  </si>
  <si>
    <t>J3329</t>
  </si>
  <si>
    <r>
      <rPr>
        <sz val="8"/>
        <rFont val="Arial"/>
        <charset val="134"/>
      </rPr>
      <t>越南</t>
    </r>
    <r>
      <rPr>
        <sz val="8"/>
        <rFont val="Arial"/>
        <charset val="134"/>
      </rPr>
      <t xml:space="preserve">ASTAR </t>
    </r>
    <r>
      <rPr>
        <sz val="8"/>
        <rFont val="宋体"/>
        <charset val="134"/>
      </rPr>
      <t>烤漆</t>
    </r>
  </si>
  <si>
    <t xml:space="preserve">CIF </t>
  </si>
  <si>
    <t xml:space="preserve">xingang-HAI PHONG PORT, VIETNAM. </t>
  </si>
  <si>
    <r>
      <rPr>
        <sz val="8"/>
        <rFont val="宋体"/>
        <charset val="134"/>
      </rPr>
      <t>款到已寄单。</t>
    </r>
    <r>
      <rPr>
        <sz val="8"/>
        <rFont val="Arial"/>
        <charset val="134"/>
      </rPr>
      <t>11.20</t>
    </r>
    <r>
      <rPr>
        <sz val="8"/>
        <rFont val="宋体"/>
        <charset val="134"/>
      </rPr>
      <t>日已装</t>
    </r>
    <r>
      <rPr>
        <sz val="8"/>
        <color rgb="FF000000"/>
        <rFont val="宋体"/>
        <charset val="134"/>
      </rPr>
      <t>。单据就差</t>
    </r>
    <r>
      <rPr>
        <sz val="8"/>
        <color rgb="FF000000"/>
        <rFont val="Arial"/>
        <charset val="134"/>
      </rPr>
      <t>FORM E</t>
    </r>
    <r>
      <rPr>
        <sz val="8"/>
        <color rgb="FF000000"/>
        <rFont val="宋体"/>
        <charset val="134"/>
      </rPr>
      <t>了，下周去取。已经推迟了一个航次到越南海防的，预计</t>
    </r>
    <r>
      <rPr>
        <sz val="8"/>
        <color rgb="FF000000"/>
        <rFont val="Arial"/>
        <charset val="134"/>
      </rPr>
      <t>11.19</t>
    </r>
    <r>
      <rPr>
        <sz val="8"/>
        <color rgb="FF000000"/>
        <rFont val="宋体"/>
        <charset val="134"/>
      </rPr>
      <t>日能装</t>
    </r>
  </si>
  <si>
    <r>
      <rPr>
        <sz val="8"/>
        <color indexed="8"/>
        <rFont val="Arial"/>
        <charset val="134"/>
      </rPr>
      <t>周天华</t>
    </r>
    <r>
      <rPr>
        <sz val="8"/>
        <color indexed="8"/>
        <rFont val="Arial"/>
        <charset val="134"/>
      </rPr>
      <t>SITC</t>
    </r>
    <r>
      <rPr>
        <sz val="8"/>
        <color indexed="8"/>
        <rFont val="宋体"/>
        <charset val="134"/>
      </rPr>
      <t>价格</t>
    </r>
    <r>
      <rPr>
        <sz val="8"/>
        <color indexed="8"/>
        <rFont val="Arial"/>
        <charset val="134"/>
      </rPr>
      <t>225USD</t>
    </r>
  </si>
  <si>
    <t>J3346</t>
  </si>
  <si>
    <r>
      <rPr>
        <sz val="8"/>
        <rFont val="Arial"/>
        <charset val="134"/>
      </rPr>
      <t xml:space="preserve">1x20‘ </t>
    </r>
    <r>
      <rPr>
        <sz val="8"/>
        <rFont val="宋体"/>
        <charset val="134"/>
      </rPr>
      <t>烤漆</t>
    </r>
    <r>
      <rPr>
        <sz val="8"/>
        <rFont val="Arial"/>
        <charset val="134"/>
      </rPr>
      <t xml:space="preserve"> </t>
    </r>
  </si>
  <si>
    <t xml:space="preserve">Xingang-Tuglakhabad,  India </t>
  </si>
  <si>
    <r>
      <rPr>
        <sz val="8"/>
        <color indexed="8"/>
        <rFont val="Arial"/>
        <charset val="134"/>
      </rPr>
      <t>会昌订舱</t>
    </r>
    <r>
      <rPr>
        <sz val="8"/>
        <color indexed="8"/>
        <rFont val="Arial"/>
        <charset val="134"/>
      </rPr>
      <t>500</t>
    </r>
    <r>
      <rPr>
        <sz val="8"/>
        <color indexed="8"/>
        <rFont val="宋体"/>
        <charset val="134"/>
      </rPr>
      <t>美金</t>
    </r>
    <r>
      <rPr>
        <sz val="8"/>
        <color indexed="8"/>
        <rFont val="Arial"/>
        <charset val="134"/>
      </rPr>
      <t>EMI</t>
    </r>
    <r>
      <rPr>
        <sz val="8"/>
        <color indexed="8"/>
        <rFont val="宋体"/>
        <charset val="134"/>
      </rPr>
      <t>预计</t>
    </r>
    <r>
      <rPr>
        <sz val="8"/>
        <color indexed="8"/>
        <rFont val="Arial"/>
        <charset val="134"/>
      </rPr>
      <t>41</t>
    </r>
    <r>
      <rPr>
        <sz val="8"/>
        <color indexed="8"/>
        <rFont val="宋体"/>
        <charset val="134"/>
      </rPr>
      <t>天到，报客户</t>
    </r>
    <r>
      <rPr>
        <sz val="8"/>
        <color indexed="8"/>
        <rFont val="Arial"/>
        <charset val="134"/>
      </rPr>
      <t>520</t>
    </r>
    <r>
      <rPr>
        <sz val="8"/>
        <color indexed="8"/>
        <rFont val="宋体"/>
        <charset val="134"/>
      </rPr>
      <t>美金，会昌拖车报关</t>
    </r>
  </si>
  <si>
    <t>2020.3.30应收2271转J3408, 此单清零</t>
  </si>
  <si>
    <t>J3351</t>
  </si>
  <si>
    <r>
      <rPr>
        <sz val="8"/>
        <rFont val="Arial"/>
        <charset val="134"/>
      </rPr>
      <t>5x40'</t>
    </r>
    <r>
      <rPr>
        <sz val="8"/>
        <rFont val="宋体"/>
        <charset val="134"/>
      </rPr>
      <t>轻钢</t>
    </r>
  </si>
  <si>
    <t xml:space="preserve">CFR </t>
  </si>
  <si>
    <r>
      <rPr>
        <sz val="8"/>
        <rFont val="Arial"/>
        <charset val="134"/>
      </rPr>
      <t>款已到，单据已寄。</t>
    </r>
    <r>
      <rPr>
        <sz val="8"/>
        <rFont val="Arial"/>
        <charset val="134"/>
      </rPr>
      <t>11.12</t>
    </r>
    <r>
      <rPr>
        <sz val="8"/>
        <rFont val="宋体"/>
        <charset val="134"/>
      </rPr>
      <t>日已经装</t>
    </r>
    <r>
      <rPr>
        <sz val="8"/>
        <rFont val="Arial"/>
        <charset val="134"/>
      </rPr>
      <t>CCIC</t>
    </r>
    <r>
      <rPr>
        <sz val="8"/>
        <rFont val="Cambria"/>
        <charset val="134"/>
      </rPr>
      <t>检验加监装，需要商检局出具的</t>
    </r>
    <r>
      <rPr>
        <sz val="8"/>
        <rFont val="Arial"/>
        <charset val="134"/>
      </rPr>
      <t>FORM E</t>
    </r>
  </si>
  <si>
    <r>
      <rPr>
        <sz val="8"/>
        <color indexed="8"/>
        <rFont val="Arial"/>
        <charset val="134"/>
      </rPr>
      <t>周天华订舱长荣</t>
    </r>
    <r>
      <rPr>
        <sz val="8"/>
        <color indexed="8"/>
        <rFont val="Arial"/>
        <charset val="134"/>
      </rPr>
      <t>660</t>
    </r>
    <r>
      <rPr>
        <sz val="8"/>
        <color indexed="8"/>
        <rFont val="宋体"/>
        <charset val="134"/>
      </rPr>
      <t>美金，报客户</t>
    </r>
    <r>
      <rPr>
        <sz val="8"/>
        <color indexed="8"/>
        <rFont val="Arial"/>
        <charset val="134"/>
      </rPr>
      <t>670</t>
    </r>
    <r>
      <rPr>
        <sz val="8"/>
        <color indexed="8"/>
        <rFont val="宋体"/>
        <charset val="134"/>
      </rPr>
      <t>美金，会昌拖车报关</t>
    </r>
  </si>
  <si>
    <r>
      <rPr>
        <sz val="8"/>
        <rFont val="Arial"/>
        <charset val="134"/>
      </rPr>
      <t>人民币</t>
    </r>
    <r>
      <rPr>
        <sz val="8"/>
        <rFont val="Arial"/>
        <charset val="134"/>
      </rPr>
      <t>759984.3</t>
    </r>
  </si>
  <si>
    <t>J3341</t>
  </si>
  <si>
    <r>
      <rPr>
        <sz val="8"/>
        <rFont val="Arial"/>
        <charset val="134"/>
      </rPr>
      <t>科威特</t>
    </r>
    <r>
      <rPr>
        <sz val="8"/>
        <rFont val="Arial"/>
        <charset val="134"/>
      </rPr>
      <t xml:space="preserve"> ABDUL SALAM  Ali</t>
    </r>
  </si>
  <si>
    <r>
      <rPr>
        <sz val="8"/>
        <rFont val="Arial"/>
        <charset val="134"/>
      </rPr>
      <t xml:space="preserve"> 1x20‘ FCL  </t>
    </r>
    <r>
      <rPr>
        <sz val="8"/>
        <rFont val="宋体"/>
        <charset val="134"/>
      </rPr>
      <t>烤漆龙骨</t>
    </r>
  </si>
  <si>
    <t xml:space="preserve">XINGANG-Shuwaikh </t>
  </si>
  <si>
    <t>DHL: 33 7937 3513</t>
  </si>
  <si>
    <r>
      <rPr>
        <sz val="8"/>
        <color theme="1"/>
        <rFont val="Arial"/>
        <charset val="134"/>
      </rPr>
      <t>AAA</t>
    </r>
    <r>
      <rPr>
        <sz val="8"/>
        <color theme="1"/>
        <rFont val="宋体"/>
        <charset val="134"/>
      </rPr>
      <t>订舱，会昌拖车，金凯信保报关</t>
    </r>
  </si>
  <si>
    <t>J3358</t>
  </si>
  <si>
    <r>
      <rPr>
        <sz val="8"/>
        <rFont val="Arial"/>
        <charset val="134"/>
      </rPr>
      <t>6x40'</t>
    </r>
    <r>
      <rPr>
        <sz val="8"/>
        <rFont val="宋体"/>
        <charset val="134"/>
      </rPr>
      <t>轻钢</t>
    </r>
  </si>
  <si>
    <t xml:space="preserve"> Xingang-Belawan, Indonesia</t>
  </si>
  <si>
    <r>
      <rPr>
        <sz val="8"/>
        <color theme="1"/>
        <rFont val="Arial"/>
        <charset val="134"/>
      </rPr>
      <t>OC</t>
    </r>
    <r>
      <rPr>
        <sz val="8"/>
        <color indexed="8"/>
        <rFont val="宋体"/>
        <charset val="134"/>
      </rPr>
      <t>的船</t>
    </r>
    <r>
      <rPr>
        <sz val="8"/>
        <color indexed="8"/>
        <rFont val="Arial"/>
        <charset val="134"/>
      </rPr>
      <t>9</t>
    </r>
    <r>
      <rPr>
        <sz val="8"/>
        <color indexed="8"/>
        <rFont val="宋体"/>
        <charset val="134"/>
      </rPr>
      <t>天免用箱，会昌订舱</t>
    </r>
    <r>
      <rPr>
        <sz val="8"/>
        <color indexed="8"/>
        <rFont val="Arial"/>
        <charset val="134"/>
      </rPr>
      <t>650</t>
    </r>
    <r>
      <rPr>
        <sz val="8"/>
        <color indexed="8"/>
        <rFont val="宋体"/>
        <charset val="134"/>
      </rPr>
      <t>美金，会昌拖车报关</t>
    </r>
  </si>
  <si>
    <t>J3361</t>
  </si>
  <si>
    <r>
      <rPr>
        <sz val="8"/>
        <rFont val="宋体"/>
        <charset val="134"/>
      </rPr>
      <t>埃及</t>
    </r>
    <r>
      <rPr>
        <sz val="8"/>
        <rFont val="Arial"/>
        <charset val="134"/>
      </rPr>
      <t xml:space="preserve"> CONTRADEC Asmaa/Khalil</t>
    </r>
  </si>
  <si>
    <r>
      <rPr>
        <sz val="8"/>
        <rFont val="Arial"/>
        <charset val="134"/>
      </rPr>
      <t xml:space="preserve">1x20 </t>
    </r>
    <r>
      <rPr>
        <sz val="8"/>
        <rFont val="宋体"/>
        <charset val="134"/>
      </rPr>
      <t>烤漆</t>
    </r>
    <r>
      <rPr>
        <sz val="8"/>
        <rFont val="Arial"/>
        <charset val="134"/>
      </rPr>
      <t xml:space="preserve"> </t>
    </r>
    <r>
      <rPr>
        <sz val="8"/>
        <rFont val="宋体"/>
        <charset val="134"/>
      </rPr>
      <t>（</t>
    </r>
    <r>
      <rPr>
        <sz val="8"/>
        <rFont val="Arial"/>
        <charset val="134"/>
      </rPr>
      <t xml:space="preserve">Falcon + Shahrazad </t>
    </r>
    <r>
      <rPr>
        <sz val="8"/>
        <rFont val="宋体"/>
        <charset val="134"/>
      </rPr>
      <t>品牌）</t>
    </r>
  </si>
  <si>
    <r>
      <rPr>
        <sz val="8"/>
        <color rgb="FF000000"/>
        <rFont val="Arial"/>
        <charset val="134"/>
      </rPr>
      <t>指定代理天津骏高</t>
    </r>
    <r>
      <rPr>
        <sz val="8"/>
        <color rgb="FF000000"/>
        <rFont val="Arial"/>
        <charset val="134"/>
      </rPr>
      <t>Caroline</t>
    </r>
    <r>
      <rPr>
        <sz val="8"/>
        <color rgb="FF000000"/>
        <rFont val="宋体"/>
        <charset val="134"/>
      </rPr>
      <t>，会昌拖车金凯信保报关</t>
    </r>
  </si>
  <si>
    <t>16609+7148</t>
  </si>
  <si>
    <r>
      <rPr>
        <sz val="9"/>
        <rFont val="Arial"/>
        <charset val="134"/>
      </rPr>
      <t>5.8</t>
    </r>
    <r>
      <rPr>
        <sz val="9"/>
        <rFont val="宋体"/>
        <charset val="134"/>
      </rPr>
      <t>号打的</t>
    </r>
    <r>
      <rPr>
        <sz val="9"/>
        <rFont val="Arial"/>
        <charset val="134"/>
      </rPr>
      <t>RMB</t>
    </r>
  </si>
  <si>
    <t>J3383</t>
  </si>
  <si>
    <r>
      <rPr>
        <sz val="8"/>
        <rFont val="Arial"/>
        <charset val="134"/>
      </rPr>
      <t>印尼</t>
    </r>
    <r>
      <rPr>
        <sz val="8"/>
        <rFont val="Arial"/>
        <charset val="134"/>
      </rPr>
      <t xml:space="preserve"> PT ABADI Darman Jono</t>
    </r>
  </si>
  <si>
    <r>
      <rPr>
        <sz val="8"/>
        <rFont val="Arial"/>
        <charset val="134"/>
      </rPr>
      <t xml:space="preserve">7x40’ </t>
    </r>
    <r>
      <rPr>
        <sz val="8"/>
        <rFont val="宋体"/>
        <charset val="134"/>
      </rPr>
      <t>轻钢小付骨</t>
    </r>
  </si>
  <si>
    <t>会昌订舱拖车报关</t>
  </si>
  <si>
    <t>J3386</t>
  </si>
  <si>
    <r>
      <rPr>
        <sz val="8"/>
        <rFont val="Arial"/>
        <charset val="134"/>
      </rPr>
      <t xml:space="preserve">1x20‘ </t>
    </r>
    <r>
      <rPr>
        <sz val="8"/>
        <rFont val="Cambria"/>
        <charset val="134"/>
      </rPr>
      <t>烤漆（白色</t>
    </r>
    <r>
      <rPr>
        <sz val="8"/>
        <rFont val="Arial"/>
        <charset val="134"/>
      </rPr>
      <t>+</t>
    </r>
    <r>
      <rPr>
        <sz val="8"/>
        <rFont val="Cambria"/>
        <charset val="134"/>
      </rPr>
      <t>灰色）</t>
    </r>
  </si>
  <si>
    <r>
      <rPr>
        <sz val="8"/>
        <rFont val="Arial"/>
        <charset val="134"/>
      </rPr>
      <t>DHL</t>
    </r>
    <r>
      <rPr>
        <sz val="8"/>
        <rFont val="宋体"/>
        <charset val="134"/>
      </rPr>
      <t>：</t>
    </r>
    <r>
      <rPr>
        <sz val="8"/>
        <rFont val="Arial"/>
        <charset val="134"/>
      </rPr>
      <t>27 3033 9485</t>
    </r>
  </si>
  <si>
    <t>深圳中正时代订舱，会昌拖车，金凯信保报关</t>
  </si>
  <si>
    <t>J3385</t>
  </si>
  <si>
    <r>
      <rPr>
        <sz val="8"/>
        <rFont val="Arial"/>
        <charset val="134"/>
      </rPr>
      <t>沙特</t>
    </r>
    <r>
      <rPr>
        <sz val="8"/>
        <rFont val="Arial"/>
        <charset val="134"/>
      </rPr>
      <t xml:space="preserve"> Taliah</t>
    </r>
    <r>
      <rPr>
        <sz val="8"/>
        <rFont val="Cambria"/>
        <charset val="134"/>
      </rPr>
      <t>（</t>
    </r>
    <r>
      <rPr>
        <sz val="8"/>
        <rFont val="Arial"/>
        <charset val="134"/>
      </rPr>
      <t>Hameed</t>
    </r>
    <r>
      <rPr>
        <sz val="8"/>
        <rFont val="Cambria"/>
        <charset val="134"/>
      </rPr>
      <t>）</t>
    </r>
  </si>
  <si>
    <r>
      <rPr>
        <sz val="8"/>
        <rFont val="Arial"/>
        <charset val="134"/>
      </rPr>
      <t xml:space="preserve">1x40‘  </t>
    </r>
    <r>
      <rPr>
        <sz val="8"/>
        <rFont val="宋体"/>
        <charset val="134"/>
      </rPr>
      <t>轻钢龙骨</t>
    </r>
    <r>
      <rPr>
        <sz val="8"/>
        <rFont val="Arial"/>
        <charset val="134"/>
      </rPr>
      <t xml:space="preserve">+ </t>
    </r>
    <r>
      <rPr>
        <sz val="8"/>
        <rFont val="宋体"/>
        <charset val="134"/>
      </rPr>
      <t>烤漆主</t>
    </r>
  </si>
  <si>
    <t xml:space="preserve">DHL:16 0211 8151 </t>
  </si>
  <si>
    <t>J3397</t>
  </si>
  <si>
    <r>
      <rPr>
        <sz val="8"/>
        <rFont val="Arial"/>
        <charset val="134"/>
      </rPr>
      <t>土耳其</t>
    </r>
    <r>
      <rPr>
        <sz val="8"/>
        <rFont val="Arial"/>
        <charset val="134"/>
      </rPr>
      <t>Hamza</t>
    </r>
  </si>
  <si>
    <r>
      <rPr>
        <sz val="8"/>
        <rFont val="Arial"/>
        <charset val="134"/>
      </rPr>
      <t>4000</t>
    </r>
    <r>
      <rPr>
        <sz val="8"/>
        <rFont val="宋体"/>
        <charset val="134"/>
      </rPr>
      <t>平米烤漆</t>
    </r>
  </si>
  <si>
    <t>xingang-ISTANBUL</t>
  </si>
  <si>
    <r>
      <rPr>
        <sz val="8"/>
        <rFont val="Arial"/>
        <charset val="134"/>
      </rPr>
      <t>DHL</t>
    </r>
    <r>
      <rPr>
        <sz val="8"/>
        <rFont val="宋体"/>
        <charset val="134"/>
      </rPr>
      <t>：</t>
    </r>
    <r>
      <rPr>
        <sz val="8"/>
        <rFont val="Arial"/>
        <charset val="134"/>
      </rPr>
      <t>60 4793 3920</t>
    </r>
  </si>
  <si>
    <t>永柏国际货运订舱，会昌报关</t>
  </si>
  <si>
    <t>J3403</t>
  </si>
  <si>
    <r>
      <rPr>
        <sz val="8"/>
        <rFont val="Arial"/>
        <charset val="134"/>
      </rPr>
      <t>印度</t>
    </r>
    <r>
      <rPr>
        <sz val="8"/>
        <rFont val="Arial"/>
        <charset val="134"/>
      </rPr>
      <t xml:space="preserve"> MAB Jaison </t>
    </r>
  </si>
  <si>
    <t>DHL:24 9443 0046</t>
  </si>
  <si>
    <r>
      <rPr>
        <sz val="8"/>
        <color theme="1"/>
        <rFont val="Arial"/>
        <charset val="134"/>
      </rPr>
      <t>Lily</t>
    </r>
    <r>
      <rPr>
        <sz val="8"/>
        <color indexed="8"/>
        <rFont val="宋体"/>
        <charset val="134"/>
      </rPr>
      <t>订舱，会昌拖车报关</t>
    </r>
  </si>
  <si>
    <t>J3408</t>
  </si>
  <si>
    <r>
      <rPr>
        <sz val="8"/>
        <rFont val="Arial"/>
        <charset val="134"/>
      </rPr>
      <t>印度</t>
    </r>
    <r>
      <rPr>
        <sz val="8"/>
        <rFont val="Arial"/>
        <charset val="134"/>
      </rPr>
      <t xml:space="preserve"> KINGSTON Danny</t>
    </r>
  </si>
  <si>
    <r>
      <rPr>
        <b/>
        <sz val="8"/>
        <rFont val="Arial"/>
        <charset val="134"/>
      </rPr>
      <t>3.29</t>
    </r>
    <r>
      <rPr>
        <b/>
        <sz val="8"/>
        <rFont val="宋体"/>
        <charset val="134"/>
      </rPr>
      <t>电放</t>
    </r>
  </si>
  <si>
    <r>
      <rPr>
        <sz val="8"/>
        <color theme="1"/>
        <rFont val="Arial"/>
        <charset val="134"/>
      </rPr>
      <t>会昌订舱</t>
    </r>
    <r>
      <rPr>
        <sz val="8"/>
        <color indexed="8"/>
        <rFont val="Arial"/>
        <charset val="134"/>
      </rPr>
      <t>585</t>
    </r>
    <r>
      <rPr>
        <sz val="8"/>
        <color rgb="FF000000"/>
        <rFont val="宋体"/>
        <charset val="134"/>
      </rPr>
      <t>，金凯信保拖车报关</t>
    </r>
  </si>
  <si>
    <t>固定定金</t>
  </si>
  <si>
    <t>2020.3.30应收2266转J3436</t>
  </si>
  <si>
    <t>J3413</t>
  </si>
  <si>
    <r>
      <rPr>
        <sz val="8"/>
        <rFont val="Arial"/>
        <charset val="134"/>
      </rPr>
      <t>埃及</t>
    </r>
    <r>
      <rPr>
        <sz val="8"/>
        <rFont val="Arial"/>
        <charset val="134"/>
      </rPr>
      <t xml:space="preserve"> CONTRADEC Asmaa/Khalil</t>
    </r>
  </si>
  <si>
    <t>DHL:1054658463</t>
  </si>
  <si>
    <t>骏高订舱，会昌拖车报关</t>
  </si>
  <si>
    <t>6861+16478</t>
  </si>
  <si>
    <t>J3416</t>
  </si>
  <si>
    <t>DHL:1054663245</t>
  </si>
  <si>
    <t>16811+7926</t>
  </si>
  <si>
    <t>J3421</t>
  </si>
  <si>
    <r>
      <rPr>
        <sz val="8"/>
        <rFont val="Arial"/>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</si>
  <si>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xingang-Abbas</t>
  </si>
  <si>
    <t>TNT</t>
  </si>
  <si>
    <r>
      <rPr>
        <sz val="8"/>
        <color theme="1"/>
        <rFont val="Arial"/>
        <charset val="134"/>
      </rPr>
      <t xml:space="preserve">U-ELLTE </t>
    </r>
    <r>
      <rPr>
        <sz val="8"/>
        <color theme="1"/>
        <rFont val="宋体"/>
        <charset val="134"/>
      </rPr>
      <t>订舱，捷运达拖车报关</t>
    </r>
  </si>
  <si>
    <t>2000+2000</t>
  </si>
  <si>
    <t>( 111887 ¥ + 25000¥</t>
  </si>
  <si>
    <t>J3423</t>
  </si>
  <si>
    <t>85573RMB</t>
  </si>
  <si>
    <t>J3422</t>
  </si>
  <si>
    <r>
      <rPr>
        <sz val="8"/>
        <rFont val="Arial"/>
        <charset val="134"/>
      </rPr>
      <t>菲律宾</t>
    </r>
    <r>
      <rPr>
        <sz val="8"/>
        <rFont val="Arial"/>
        <charset val="134"/>
      </rPr>
      <t xml:space="preserve"> LEXUS (Ben)</t>
    </r>
  </si>
  <si>
    <r>
      <rPr>
        <sz val="8"/>
        <rFont val="Arial"/>
        <charset val="134"/>
      </rPr>
      <t>7x20</t>
    </r>
    <r>
      <rPr>
        <sz val="8"/>
        <rFont val="宋体"/>
        <charset val="134"/>
      </rPr>
      <t>带钢</t>
    </r>
    <r>
      <rPr>
        <sz val="8"/>
        <rFont val="Arial"/>
        <charset val="134"/>
      </rPr>
      <t>+</t>
    </r>
    <r>
      <rPr>
        <sz val="8"/>
        <rFont val="宋体"/>
        <charset val="134"/>
      </rPr>
      <t>轻钢</t>
    </r>
  </si>
  <si>
    <t>xingang-south manila</t>
  </si>
  <si>
    <r>
      <rPr>
        <b/>
        <sz val="8"/>
        <rFont val="Arial"/>
        <charset val="134"/>
      </rPr>
      <t>电放</t>
    </r>
    <r>
      <rPr>
        <b/>
        <sz val="8"/>
        <rFont val="Arial"/>
        <charset val="134"/>
      </rPr>
      <t>BL4.8</t>
    </r>
    <r>
      <rPr>
        <b/>
        <sz val="8"/>
        <rFont val="宋体"/>
        <charset val="134"/>
      </rPr>
      <t>，寄单</t>
    </r>
    <r>
      <rPr>
        <b/>
        <sz val="8"/>
        <rFont val="Arial"/>
        <charset val="134"/>
      </rPr>
      <t>DHL5267087055</t>
    </r>
  </si>
  <si>
    <r>
      <rPr>
        <sz val="8"/>
        <color theme="1"/>
        <rFont val="Arial"/>
        <charset val="134"/>
      </rPr>
      <t>会昌订舱</t>
    </r>
    <r>
      <rPr>
        <sz val="8"/>
        <color theme="1"/>
        <rFont val="Arial"/>
        <charset val="134"/>
      </rPr>
      <t>-45</t>
    </r>
    <r>
      <rPr>
        <sz val="8"/>
        <color theme="1"/>
        <rFont val="宋体"/>
        <charset val="134"/>
      </rPr>
      <t>，拖车报关</t>
    </r>
  </si>
  <si>
    <t>14782+14782</t>
  </si>
  <si>
    <t>84212+1696</t>
  </si>
  <si>
    <t>J3430</t>
  </si>
  <si>
    <r>
      <rPr>
        <sz val="8"/>
        <rFont val="Arial"/>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</si>
  <si>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t>DHL:66 9950 6741</t>
  </si>
  <si>
    <t>上海革力订舱，捷运达车子</t>
  </si>
  <si>
    <t>J3433</t>
  </si>
  <si>
    <r>
      <rPr>
        <sz val="8"/>
        <rFont val="Arial"/>
        <charset val="134"/>
      </rPr>
      <t>1x20</t>
    </r>
    <r>
      <rPr>
        <sz val="8"/>
        <rFont val="Cambria"/>
        <charset val="134"/>
      </rPr>
      <t>烤漆</t>
    </r>
  </si>
  <si>
    <t>DHL:43 2897 4285</t>
  </si>
  <si>
    <r>
      <rPr>
        <sz val="8"/>
        <color theme="1"/>
        <rFont val="Arial"/>
        <charset val="134"/>
      </rPr>
      <t xml:space="preserve">Sea Shell </t>
    </r>
    <r>
      <rPr>
        <sz val="8"/>
        <color indexed="8"/>
        <rFont val="宋体"/>
        <charset val="134"/>
      </rPr>
      <t>订舱，会昌拖车凯泽信保报关</t>
    </r>
  </si>
  <si>
    <t>J3436</t>
  </si>
  <si>
    <r>
      <rPr>
        <sz val="8"/>
        <rFont val="Arial"/>
        <charset val="134"/>
      </rPr>
      <t>5.5</t>
    </r>
    <r>
      <rPr>
        <sz val="8"/>
        <rFont val="宋体"/>
        <charset val="134"/>
      </rPr>
      <t>电放</t>
    </r>
  </si>
  <si>
    <r>
      <rPr>
        <sz val="8"/>
        <color theme="1"/>
        <rFont val="Arial"/>
        <charset val="134"/>
      </rPr>
      <t>会昌订舱</t>
    </r>
    <r>
      <rPr>
        <sz val="8"/>
        <color indexed="8"/>
        <rFont val="Arial"/>
        <charset val="134"/>
      </rPr>
      <t>RCL450</t>
    </r>
    <r>
      <rPr>
        <sz val="8"/>
        <color theme="1"/>
        <rFont val="宋体"/>
        <charset val="134"/>
      </rPr>
      <t>，拖车凯泽信保报关</t>
    </r>
  </si>
  <si>
    <t>2019-5-5收 2020.3.30应收2773转J3465</t>
  </si>
  <si>
    <t>J3439</t>
  </si>
  <si>
    <r>
      <rPr>
        <sz val="8"/>
        <rFont val="Arial"/>
        <charset val="134"/>
      </rPr>
      <t>1x20</t>
    </r>
    <r>
      <rPr>
        <sz val="8"/>
        <rFont val="宋体"/>
        <charset val="134"/>
      </rPr>
      <t>带钢</t>
    </r>
    <r>
      <rPr>
        <sz val="8"/>
        <rFont val="Arial"/>
        <charset val="134"/>
      </rPr>
      <t>+</t>
    </r>
    <r>
      <rPr>
        <sz val="8"/>
        <rFont val="宋体"/>
        <charset val="134"/>
      </rPr>
      <t>轻钢</t>
    </r>
  </si>
  <si>
    <t>DHL: 57 3351 5305</t>
  </si>
  <si>
    <r>
      <rPr>
        <sz val="8"/>
        <color theme="1"/>
        <rFont val="Arial"/>
        <charset val="134"/>
      </rPr>
      <t>中振订舱</t>
    </r>
    <r>
      <rPr>
        <sz val="8"/>
        <color theme="1"/>
        <rFont val="Arial"/>
        <charset val="134"/>
      </rPr>
      <t>HMM-20</t>
    </r>
    <r>
      <rPr>
        <sz val="8"/>
        <color theme="1"/>
        <rFont val="宋体"/>
        <charset val="134"/>
      </rPr>
      <t>，拖车报关</t>
    </r>
  </si>
  <si>
    <r>
      <rPr>
        <b/>
        <sz val="8"/>
        <color rgb="FF0000FF"/>
        <rFont val="Arial"/>
        <charset val="134"/>
      </rPr>
      <t xml:space="preserve">859 </t>
    </r>
    <r>
      <rPr>
        <b/>
        <sz val="8"/>
        <color rgb="FF0000FF"/>
        <rFont val="宋体"/>
        <charset val="134"/>
      </rPr>
      <t>下单打</t>
    </r>
    <r>
      <rPr>
        <b/>
        <sz val="8"/>
        <color rgb="FF0000FF"/>
        <rFont val="Arial"/>
        <charset val="134"/>
      </rPr>
      <t xml:space="preserve"> J3439-2</t>
    </r>
    <r>
      <rPr>
        <b/>
        <sz val="8"/>
        <color rgb="FF0000FF"/>
        <rFont val="宋体"/>
        <charset val="134"/>
      </rPr>
      <t>多打了</t>
    </r>
    <r>
      <rPr>
        <b/>
        <sz val="8"/>
        <color rgb="FF0000FF"/>
        <rFont val="Arial"/>
        <charset val="134"/>
      </rPr>
      <t>859</t>
    </r>
  </si>
  <si>
    <t>J3439-2</t>
  </si>
  <si>
    <r>
      <rPr>
        <sz val="8"/>
        <rFont val="Arial"/>
        <charset val="134"/>
      </rPr>
      <t>1x20</t>
    </r>
    <r>
      <rPr>
        <sz val="8"/>
        <rFont val="宋体"/>
        <charset val="134"/>
      </rPr>
      <t>带钢</t>
    </r>
  </si>
  <si>
    <r>
      <rPr>
        <sz val="8"/>
        <rFont val="Arial"/>
        <charset val="134"/>
      </rPr>
      <t>DHL</t>
    </r>
    <r>
      <rPr>
        <sz val="8"/>
        <rFont val="宋体"/>
        <charset val="134"/>
      </rPr>
      <t>：</t>
    </r>
    <r>
      <rPr>
        <sz val="8"/>
        <rFont val="Arial"/>
        <charset val="134"/>
      </rPr>
      <t>5825558712</t>
    </r>
  </si>
  <si>
    <t>中振订舱，拖车报关</t>
  </si>
  <si>
    <t>11823+859</t>
  </si>
  <si>
    <t>2019/6/10/11</t>
  </si>
  <si>
    <t>J3447</t>
  </si>
  <si>
    <r>
      <rPr>
        <sz val="8"/>
        <rFont val="Arial"/>
        <charset val="134"/>
      </rPr>
      <t>伊朗</t>
    </r>
    <r>
      <rPr>
        <sz val="8"/>
        <rFont val="Arial"/>
        <charset val="134"/>
      </rPr>
      <t xml:space="preserve"> TOLIDI (Mehdi )</t>
    </r>
  </si>
  <si>
    <r>
      <rPr>
        <sz val="8"/>
        <rFont val="Arial"/>
        <charset val="134"/>
      </rPr>
      <t xml:space="preserve">2x20 </t>
    </r>
    <r>
      <rPr>
        <sz val="8"/>
        <rFont val="Cambria"/>
        <charset val="134"/>
      </rPr>
      <t>烤漆</t>
    </r>
  </si>
  <si>
    <r>
      <rPr>
        <sz val="8"/>
        <rFont val="Arial"/>
        <charset val="134"/>
      </rPr>
      <t xml:space="preserve">2019.6.24 </t>
    </r>
    <r>
      <rPr>
        <sz val="8"/>
        <rFont val="宋体"/>
        <charset val="134"/>
      </rPr>
      <t>电放提单</t>
    </r>
  </si>
  <si>
    <r>
      <rPr>
        <sz val="8"/>
        <color theme="1"/>
        <rFont val="Arial"/>
        <charset val="134"/>
      </rPr>
      <t>seatek</t>
    </r>
    <r>
      <rPr>
        <sz val="8"/>
        <color theme="1"/>
        <rFont val="Cambria"/>
        <charset val="134"/>
      </rPr>
      <t>订舱，捷运达拖车报关</t>
    </r>
  </si>
  <si>
    <t>J3452-1</t>
  </si>
  <si>
    <r>
      <rPr>
        <sz val="8"/>
        <rFont val="Arial"/>
        <charset val="134"/>
      </rPr>
      <t xml:space="preserve">3x20 </t>
    </r>
    <r>
      <rPr>
        <sz val="8"/>
        <rFont val="Cambria"/>
        <charset val="134"/>
      </rPr>
      <t>轻钢</t>
    </r>
  </si>
  <si>
    <t>DHL 5548427054</t>
  </si>
  <si>
    <r>
      <rPr>
        <sz val="8"/>
        <color theme="1"/>
        <rFont val="Arial"/>
        <charset val="134"/>
      </rPr>
      <t>会昌订舱</t>
    </r>
    <r>
      <rPr>
        <sz val="8"/>
        <color theme="1"/>
        <rFont val="Arial"/>
        <charset val="134"/>
      </rPr>
      <t>770KMTC</t>
    </r>
    <r>
      <rPr>
        <sz val="8"/>
        <color theme="1"/>
        <rFont val="宋体"/>
        <charset val="134"/>
      </rPr>
      <t>，拖车报关</t>
    </r>
  </si>
  <si>
    <t>J3452-2&amp;J3490</t>
  </si>
  <si>
    <r>
      <rPr>
        <sz val="8"/>
        <rFont val="Arial"/>
        <charset val="134"/>
      </rPr>
      <t xml:space="preserve">4x20 </t>
    </r>
    <r>
      <rPr>
        <sz val="8"/>
        <rFont val="宋体"/>
        <charset val="134"/>
      </rPr>
      <t>轻钢</t>
    </r>
  </si>
  <si>
    <t>TNT552991199</t>
  </si>
  <si>
    <t>会昌订舱，和凯拖车报关</t>
  </si>
  <si>
    <t>J3452-3&amp;3488</t>
  </si>
  <si>
    <t>DHL:9661433552</t>
  </si>
  <si>
    <r>
      <rPr>
        <sz val="8"/>
        <color theme="1"/>
        <rFont val="Arial"/>
        <charset val="134"/>
      </rPr>
      <t>会昌订舱</t>
    </r>
    <r>
      <rPr>
        <sz val="8"/>
        <color theme="1"/>
        <rFont val="Arial"/>
        <charset val="134"/>
      </rPr>
      <t>990</t>
    </r>
    <r>
      <rPr>
        <sz val="8"/>
        <color theme="1"/>
        <rFont val="宋体"/>
        <charset val="134"/>
      </rPr>
      <t>，和凯拖车报关</t>
    </r>
    <r>
      <rPr>
        <sz val="8"/>
        <color theme="1"/>
        <rFont val="Arial"/>
        <charset val="134"/>
      </rPr>
      <t>hero</t>
    </r>
    <r>
      <rPr>
        <sz val="8"/>
        <color theme="1"/>
        <rFont val="宋体"/>
        <charset val="134"/>
      </rPr>
      <t>交单</t>
    </r>
  </si>
  <si>
    <t>J3444</t>
  </si>
  <si>
    <r>
      <rPr>
        <sz val="8"/>
        <rFont val="华文宋体"/>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</si>
  <si>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提单已在手里</t>
  </si>
  <si>
    <r>
      <rPr>
        <sz val="8"/>
        <color theme="1"/>
        <rFont val="Arial"/>
        <charset val="134"/>
      </rPr>
      <t xml:space="preserve">U-ELLTE </t>
    </r>
    <r>
      <rPr>
        <sz val="8"/>
        <color theme="1"/>
        <rFont val="宋体"/>
        <charset val="134"/>
      </rPr>
      <t>订舱，拖车报关</t>
    </r>
  </si>
  <si>
    <t>到港</t>
  </si>
  <si>
    <t>20000+RMB109081</t>
  </si>
  <si>
    <t>J3464</t>
  </si>
  <si>
    <t>2200+2200</t>
  </si>
  <si>
    <t>J3387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</si>
  <si>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</si>
  <si>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r>
      <rPr>
        <sz val="8"/>
        <rFont val="Arial"/>
        <charset val="134"/>
      </rPr>
      <t>1x20</t>
    </r>
    <r>
      <rPr>
        <sz val="8"/>
        <rFont val="宋体"/>
        <charset val="134"/>
      </rPr>
      <t>烤漆边角</t>
    </r>
  </si>
  <si>
    <t>xingang-SHUWAIKH</t>
  </si>
  <si>
    <r>
      <rPr>
        <b/>
        <sz val="8"/>
        <rFont val="Arial"/>
        <charset val="134"/>
      </rPr>
      <t>DHL</t>
    </r>
    <r>
      <rPr>
        <b/>
        <sz val="8"/>
        <rFont val="宋体"/>
        <charset val="134"/>
      </rPr>
      <t>：</t>
    </r>
    <r>
      <rPr>
        <b/>
        <sz val="8"/>
        <rFont val="Arial"/>
        <charset val="134"/>
      </rPr>
      <t>17 9775 5724</t>
    </r>
  </si>
  <si>
    <r>
      <rPr>
        <sz val="8"/>
        <color theme="1"/>
        <rFont val="Arial"/>
        <charset val="134"/>
      </rPr>
      <t>中振订舱</t>
    </r>
    <r>
      <rPr>
        <sz val="8"/>
        <color theme="1"/>
        <rFont val="Arial"/>
        <charset val="134"/>
      </rPr>
      <t>1430</t>
    </r>
    <r>
      <rPr>
        <sz val="8"/>
        <color theme="1"/>
        <rFont val="宋体"/>
        <charset val="134"/>
      </rPr>
      <t>，拖车报关</t>
    </r>
  </si>
  <si>
    <t>J3450</t>
  </si>
  <si>
    <r>
      <rPr>
        <sz val="8"/>
        <rFont val="Arial"/>
        <charset val="134"/>
      </rPr>
      <t>1x20</t>
    </r>
    <r>
      <rPr>
        <sz val="8"/>
        <rFont val="宋体"/>
        <charset val="134"/>
      </rPr>
      <t>轻钢变高</t>
    </r>
  </si>
  <si>
    <t>DHL:7105729831</t>
  </si>
  <si>
    <r>
      <rPr>
        <sz val="8"/>
        <color theme="1"/>
        <rFont val="Arial"/>
        <charset val="134"/>
      </rPr>
      <t>中振订舱</t>
    </r>
    <r>
      <rPr>
        <sz val="8"/>
        <color theme="1"/>
        <rFont val="Arial"/>
        <charset val="134"/>
      </rPr>
      <t>1450</t>
    </r>
    <r>
      <rPr>
        <sz val="8"/>
        <color theme="1"/>
        <rFont val="宋体"/>
        <charset val="134"/>
      </rPr>
      <t>，拖车报关</t>
    </r>
  </si>
  <si>
    <t>J3465</t>
  </si>
  <si>
    <r>
      <rPr>
        <sz val="8"/>
        <rFont val="Arial"/>
        <charset val="134"/>
      </rPr>
      <t>提单电放</t>
    </r>
    <r>
      <rPr>
        <sz val="8"/>
        <rFont val="Arial"/>
        <charset val="134"/>
      </rPr>
      <t>2019.5.13</t>
    </r>
  </si>
  <si>
    <r>
      <rPr>
        <sz val="8"/>
        <color theme="1"/>
        <rFont val="Arial"/>
        <charset val="134"/>
      </rPr>
      <t>中振订舱</t>
    </r>
    <r>
      <rPr>
        <sz val="8"/>
        <color theme="1"/>
        <rFont val="Arial"/>
        <charset val="134"/>
      </rPr>
      <t>380</t>
    </r>
    <r>
      <rPr>
        <sz val="8"/>
        <color theme="1"/>
        <rFont val="宋体"/>
        <charset val="134"/>
      </rPr>
      <t>，拖车报关</t>
    </r>
  </si>
  <si>
    <t>款清 2019/5-13收</t>
  </si>
  <si>
    <t>J3441-1</t>
  </si>
  <si>
    <t>xingang-Sohar</t>
  </si>
  <si>
    <t>TNT 552991225</t>
  </si>
  <si>
    <r>
      <rPr>
        <sz val="8"/>
        <color theme="1"/>
        <rFont val="Arial"/>
        <charset val="134"/>
      </rPr>
      <t>会昌订舱</t>
    </r>
    <r>
      <rPr>
        <sz val="8"/>
        <color indexed="8"/>
        <rFont val="Arial"/>
        <charset val="134"/>
      </rPr>
      <t>KMTC</t>
    </r>
    <r>
      <rPr>
        <sz val="8"/>
        <color theme="1"/>
        <rFont val="宋体"/>
        <charset val="134"/>
      </rPr>
      <t>，和凯拖车报关</t>
    </r>
  </si>
  <si>
    <t>J3441-2</t>
  </si>
  <si>
    <t>TNT 552991287</t>
  </si>
  <si>
    <t>J3471</t>
  </si>
  <si>
    <r>
      <rPr>
        <sz val="8"/>
        <rFont val="宋体"/>
        <charset val="134"/>
      </rPr>
      <t>澳大利亚</t>
    </r>
    <r>
      <rPr>
        <sz val="8"/>
        <rFont val="Arial"/>
        <charset val="134"/>
      </rPr>
      <t xml:space="preserve"> Source</t>
    </r>
    <r>
      <rPr>
        <sz val="8"/>
        <rFont val="宋体"/>
        <charset val="134"/>
      </rPr>
      <t>（</t>
    </r>
    <r>
      <rPr>
        <sz val="8"/>
        <rFont val="Arial"/>
        <charset val="134"/>
      </rPr>
      <t>Sheila</t>
    </r>
    <r>
      <rPr>
        <sz val="8"/>
        <rFont val="宋体"/>
        <charset val="134"/>
      </rPr>
      <t>）</t>
    </r>
  </si>
  <si>
    <r>
      <rPr>
        <sz val="8"/>
        <rFont val="Arial"/>
        <charset val="134"/>
      </rPr>
      <t>1x20</t>
    </r>
    <r>
      <rPr>
        <sz val="8"/>
        <rFont val="宋体"/>
        <charset val="134"/>
      </rPr>
      <t>烤漆</t>
    </r>
    <r>
      <rPr>
        <sz val="8"/>
        <rFont val="Arial"/>
        <charset val="134"/>
      </rPr>
      <t>+</t>
    </r>
    <r>
      <rPr>
        <sz val="8"/>
        <rFont val="宋体"/>
        <charset val="134"/>
      </rPr>
      <t>配件</t>
    </r>
  </si>
  <si>
    <t>xingang-Melbourne</t>
  </si>
  <si>
    <r>
      <rPr>
        <sz val="8"/>
        <color rgb="FF0000FF"/>
        <rFont val="Arial"/>
        <charset val="134"/>
      </rPr>
      <t>FB</t>
    </r>
    <r>
      <rPr>
        <sz val="8"/>
        <color indexed="39"/>
        <rFont val="宋体"/>
        <charset val="134"/>
      </rPr>
      <t>，提单电放</t>
    </r>
  </si>
  <si>
    <r>
      <rPr>
        <sz val="8"/>
        <color theme="1"/>
        <rFont val="Arial"/>
        <charset val="134"/>
      </rPr>
      <t>expeditor</t>
    </r>
    <r>
      <rPr>
        <sz val="8"/>
        <color theme="1"/>
        <rFont val="宋体"/>
        <charset val="134"/>
      </rPr>
      <t>订舱，中振拖车报关</t>
    </r>
  </si>
  <si>
    <t>J3475</t>
  </si>
  <si>
    <r>
      <rPr>
        <sz val="8"/>
        <rFont val="Arial"/>
        <charset val="134"/>
      </rPr>
      <t>越南</t>
    </r>
    <r>
      <rPr>
        <sz val="8"/>
        <rFont val="Arial"/>
        <charset val="134"/>
      </rPr>
      <t xml:space="preserve"> DUC MINH (Quyen)</t>
    </r>
  </si>
  <si>
    <t>xingang-Haiphong</t>
  </si>
  <si>
    <r>
      <rPr>
        <sz val="8"/>
        <rFont val="Arial"/>
        <charset val="134"/>
      </rPr>
      <t>DHL</t>
    </r>
    <r>
      <rPr>
        <sz val="8"/>
        <rFont val="宋体"/>
        <charset val="134"/>
      </rPr>
      <t>：</t>
    </r>
    <r>
      <rPr>
        <sz val="8"/>
        <rFont val="Arial"/>
        <charset val="134"/>
      </rPr>
      <t>62 9717 0084</t>
    </r>
  </si>
  <si>
    <r>
      <rPr>
        <sz val="8"/>
        <color theme="1"/>
        <rFont val="Arial"/>
        <charset val="134"/>
      </rPr>
      <t>中振订舱</t>
    </r>
    <r>
      <rPr>
        <sz val="8"/>
        <color theme="1"/>
        <rFont val="Arial"/>
        <charset val="134"/>
      </rPr>
      <t>355</t>
    </r>
    <r>
      <rPr>
        <sz val="8"/>
        <color theme="1"/>
        <rFont val="宋体"/>
        <charset val="134"/>
      </rPr>
      <t>，拖车报关</t>
    </r>
  </si>
  <si>
    <t>J3479-1</t>
  </si>
  <si>
    <r>
      <rPr>
        <sz val="8"/>
        <rFont val="Arial"/>
        <charset val="134"/>
      </rPr>
      <t>迪拜</t>
    </r>
    <r>
      <rPr>
        <sz val="8"/>
        <rFont val="Arial"/>
        <charset val="134"/>
      </rPr>
      <t xml:space="preserve"> DANUBE </t>
    </r>
    <r>
      <rPr>
        <sz val="8"/>
        <rFont val="宋体"/>
        <charset val="134"/>
      </rPr>
      <t>肖勇</t>
    </r>
    <r>
      <rPr>
        <sz val="8"/>
        <rFont val="Arial"/>
        <charset val="134"/>
      </rPr>
      <t>Henry</t>
    </r>
  </si>
  <si>
    <t>xingang-sohar</t>
  </si>
  <si>
    <t>TNT 552991208</t>
  </si>
  <si>
    <t>世昌订舱，和凯拖车报关</t>
  </si>
  <si>
    <t>和凯打的</t>
  </si>
  <si>
    <t>J3479-2</t>
  </si>
  <si>
    <t>J3472</t>
  </si>
  <si>
    <r>
      <rPr>
        <sz val="8"/>
        <rFont val="Arial"/>
        <charset val="134"/>
      </rPr>
      <t>2x20</t>
    </r>
    <r>
      <rPr>
        <sz val="8"/>
        <rFont val="宋体"/>
        <charset val="134"/>
      </rPr>
      <t>轻钢</t>
    </r>
  </si>
  <si>
    <t>TNT229105759</t>
  </si>
  <si>
    <t>J3489</t>
  </si>
  <si>
    <r>
      <rPr>
        <b/>
        <sz val="8"/>
        <rFont val="Arial"/>
        <charset val="134"/>
      </rPr>
      <t>电放</t>
    </r>
    <r>
      <rPr>
        <b/>
        <sz val="8"/>
        <rFont val="Arial"/>
        <charset val="134"/>
      </rPr>
      <t xml:space="preserve"> 6.4</t>
    </r>
  </si>
  <si>
    <t>2019/6/4 收  应收7767转到J3508</t>
  </si>
  <si>
    <t>J3487</t>
  </si>
  <si>
    <r>
      <rPr>
        <sz val="8"/>
        <rFont val="Arial"/>
        <charset val="134"/>
      </rPr>
      <t>DHL</t>
    </r>
    <r>
      <rPr>
        <sz val="8"/>
        <rFont val="Cambria"/>
        <charset val="134"/>
      </rPr>
      <t>：</t>
    </r>
    <r>
      <rPr>
        <sz val="8"/>
        <rFont val="Arial"/>
        <charset val="134"/>
      </rPr>
      <t>54 3583 2673</t>
    </r>
  </si>
  <si>
    <t>J3459</t>
  </si>
  <si>
    <r>
      <rPr>
        <sz val="8"/>
        <rFont val="Arial"/>
        <charset val="134"/>
      </rPr>
      <t>埃及</t>
    </r>
    <r>
      <rPr>
        <sz val="8"/>
        <rFont val="Arial"/>
        <charset val="134"/>
      </rPr>
      <t xml:space="preserve"> CONTRADEC</t>
    </r>
    <r>
      <rPr>
        <sz val="8"/>
        <rFont val="宋体"/>
        <charset val="134"/>
      </rPr>
      <t>（</t>
    </r>
    <r>
      <rPr>
        <sz val="8"/>
        <rFont val="Arial"/>
        <charset val="134"/>
      </rPr>
      <t>Asmaa</t>
    </r>
    <r>
      <rPr>
        <sz val="8"/>
        <rFont val="宋体"/>
        <charset val="134"/>
      </rPr>
      <t>）</t>
    </r>
  </si>
  <si>
    <r>
      <rPr>
        <sz val="8"/>
        <rFont val="Arial"/>
        <charset val="134"/>
      </rPr>
      <t>DHL</t>
    </r>
    <r>
      <rPr>
        <sz val="8"/>
        <rFont val="宋体"/>
        <charset val="134"/>
      </rPr>
      <t>：</t>
    </r>
    <r>
      <rPr>
        <sz val="8"/>
        <rFont val="Arial"/>
        <charset val="134"/>
      </rPr>
      <t>9661423752</t>
    </r>
  </si>
  <si>
    <t>金源号订舱，中振拖车买单报关</t>
  </si>
  <si>
    <t>17322.9+5999</t>
  </si>
  <si>
    <t>J3502</t>
  </si>
  <si>
    <t>5x40HC</t>
  </si>
  <si>
    <t>xinggang-belawan</t>
  </si>
  <si>
    <r>
      <rPr>
        <sz val="8"/>
        <rFont val="Arial"/>
        <charset val="134"/>
      </rPr>
      <t>DHL</t>
    </r>
    <r>
      <rPr>
        <sz val="8"/>
        <rFont val="宋体"/>
        <charset val="134"/>
      </rPr>
      <t>：</t>
    </r>
    <r>
      <rPr>
        <sz val="8"/>
        <rFont val="Arial"/>
        <charset val="134"/>
      </rPr>
      <t>4914920371</t>
    </r>
  </si>
  <si>
    <t>10000+10000</t>
  </si>
  <si>
    <t>J3498-1</t>
  </si>
  <si>
    <r>
      <rPr>
        <sz val="8"/>
        <rFont val="Arial"/>
        <charset val="134"/>
      </rPr>
      <t>DHL</t>
    </r>
    <r>
      <rPr>
        <sz val="8"/>
        <rFont val="宋体"/>
        <charset val="134"/>
      </rPr>
      <t>：</t>
    </r>
    <r>
      <rPr>
        <sz val="8"/>
        <rFont val="Arial"/>
        <charset val="134"/>
      </rPr>
      <t>9761589795</t>
    </r>
  </si>
  <si>
    <t>世昌订舱，会昌拖车</t>
  </si>
  <si>
    <t>J3498-2</t>
  </si>
  <si>
    <t>DHL85 1150 3781</t>
  </si>
  <si>
    <r>
      <rPr>
        <sz val="8"/>
        <rFont val="Arial"/>
        <charset val="134"/>
      </rPr>
      <t>世昌订舱</t>
    </r>
    <r>
      <rPr>
        <sz val="8"/>
        <rFont val="Arial"/>
        <charset val="134"/>
      </rPr>
      <t>APL</t>
    </r>
    <r>
      <rPr>
        <sz val="8"/>
        <rFont val="宋体"/>
        <charset val="134"/>
      </rPr>
      <t>，和凯托出报关</t>
    </r>
    <r>
      <rPr>
        <sz val="8"/>
        <rFont val="Arial"/>
        <charset val="134"/>
      </rPr>
      <t xml:space="preserve">
hero</t>
    </r>
    <r>
      <rPr>
        <sz val="8"/>
        <rFont val="宋体"/>
        <charset val="134"/>
      </rPr>
      <t>交单</t>
    </r>
  </si>
  <si>
    <t>J3501-1</t>
  </si>
  <si>
    <t>DHL4115109305</t>
  </si>
  <si>
    <r>
      <rPr>
        <sz val="8"/>
        <color theme="1"/>
        <rFont val="Arial"/>
        <charset val="134"/>
      </rPr>
      <t>世昌订舱</t>
    </r>
    <r>
      <rPr>
        <sz val="8"/>
        <color theme="1"/>
        <rFont val="Arial"/>
        <charset val="134"/>
      </rPr>
      <t>,</t>
    </r>
    <r>
      <rPr>
        <sz val="8"/>
        <color theme="1"/>
        <rFont val="宋体"/>
        <charset val="134"/>
      </rPr>
      <t>白沟一般贸易</t>
    </r>
  </si>
  <si>
    <t>J3501-2</t>
  </si>
  <si>
    <t>世倡订舱，和凯拖车报关，和凯交单</t>
  </si>
  <si>
    <t>J3503</t>
  </si>
  <si>
    <t>DHL:36 6131 3040</t>
  </si>
  <si>
    <t>J3499</t>
  </si>
  <si>
    <r>
      <rPr>
        <sz val="8"/>
        <rFont val="Arial"/>
        <charset val="134"/>
      </rPr>
      <t>广州白龙</t>
    </r>
    <r>
      <rPr>
        <sz val="8"/>
        <rFont val="Arial"/>
        <charset val="134"/>
      </rPr>
      <t xml:space="preserve"> BALLON Sami</t>
    </r>
  </si>
  <si>
    <r>
      <rPr>
        <sz val="8"/>
        <rFont val="Arial"/>
        <charset val="134"/>
      </rPr>
      <t xml:space="preserve">1x40 </t>
    </r>
    <r>
      <rPr>
        <sz val="8"/>
        <rFont val="Cambria"/>
        <charset val="134"/>
      </rPr>
      <t>轻钢</t>
    </r>
  </si>
  <si>
    <r>
      <rPr>
        <sz val="8"/>
        <rFont val="Arial"/>
        <charset val="134"/>
      </rPr>
      <t>xingang-</t>
    </r>
    <r>
      <rPr>
        <sz val="8"/>
        <rFont val="宋体"/>
        <charset val="134"/>
      </rPr>
      <t>沙特</t>
    </r>
  </si>
  <si>
    <t>客户订舱，捷运达拖车报关</t>
  </si>
  <si>
    <t>J3496</t>
  </si>
  <si>
    <t>DHL: 73 6514 4710</t>
  </si>
  <si>
    <r>
      <rPr>
        <sz val="8"/>
        <color theme="1"/>
        <rFont val="Arial"/>
        <charset val="134"/>
      </rPr>
      <t>中振订舱</t>
    </r>
    <r>
      <rPr>
        <sz val="8"/>
        <color theme="1"/>
        <rFont val="Arial"/>
        <charset val="134"/>
      </rPr>
      <t>1540</t>
    </r>
    <r>
      <rPr>
        <sz val="8"/>
        <color theme="1"/>
        <rFont val="宋体"/>
        <charset val="134"/>
      </rPr>
      <t>，拖车报关</t>
    </r>
  </si>
  <si>
    <t>J3508</t>
  </si>
  <si>
    <r>
      <rPr>
        <b/>
        <sz val="9"/>
        <rFont val="Arial"/>
        <charset val="134"/>
      </rPr>
      <t xml:space="preserve">2019.6.19 </t>
    </r>
    <r>
      <rPr>
        <b/>
        <sz val="9"/>
        <rFont val="宋体"/>
        <charset val="134"/>
      </rPr>
      <t>电放</t>
    </r>
  </si>
  <si>
    <r>
      <rPr>
        <sz val="8"/>
        <color theme="1"/>
        <rFont val="Arial"/>
        <charset val="134"/>
      </rPr>
      <t>中振订舱</t>
    </r>
    <r>
      <rPr>
        <sz val="8"/>
        <color theme="1"/>
        <rFont val="Arial"/>
        <charset val="134"/>
      </rPr>
      <t>430</t>
    </r>
    <r>
      <rPr>
        <sz val="8"/>
        <color theme="1"/>
        <rFont val="宋体"/>
        <charset val="134"/>
      </rPr>
      <t>，拖车报关</t>
    </r>
  </si>
  <si>
    <t xml:space="preserve">2018-2019年度折扣4889USD冲账应收 </t>
  </si>
  <si>
    <t>J3491</t>
  </si>
  <si>
    <r>
      <rPr>
        <sz val="8"/>
        <rFont val="Arial"/>
        <charset val="134"/>
      </rPr>
      <t>阿曼</t>
    </r>
    <r>
      <rPr>
        <sz val="8"/>
        <rFont val="Arial"/>
        <charset val="134"/>
      </rPr>
      <t xml:space="preserve"> Faiz</t>
    </r>
  </si>
  <si>
    <r>
      <rPr>
        <sz val="8"/>
        <rFont val="Arial"/>
        <charset val="134"/>
      </rPr>
      <t>DHL</t>
    </r>
    <r>
      <rPr>
        <sz val="8"/>
        <rFont val="宋体"/>
        <charset val="134"/>
      </rPr>
      <t>：</t>
    </r>
    <r>
      <rPr>
        <sz val="8"/>
        <rFont val="Arial"/>
        <charset val="134"/>
      </rPr>
      <t>7346282451</t>
    </r>
  </si>
  <si>
    <t>青岛千禧订舱，捷运达车</t>
  </si>
  <si>
    <t>J3515</t>
  </si>
  <si>
    <t>7x40HC</t>
  </si>
  <si>
    <r>
      <rPr>
        <b/>
        <sz val="8"/>
        <rFont val="Arial"/>
        <charset val="134"/>
      </rPr>
      <t>DHL</t>
    </r>
    <r>
      <rPr>
        <b/>
        <sz val="8"/>
        <rFont val="宋体"/>
        <charset val="134"/>
      </rPr>
      <t>：</t>
    </r>
    <r>
      <rPr>
        <b/>
        <sz val="8"/>
        <rFont val="Arial"/>
        <charset val="134"/>
      </rPr>
      <t>84 8519 2133</t>
    </r>
  </si>
  <si>
    <r>
      <rPr>
        <sz val="8"/>
        <color theme="1"/>
        <rFont val="Arial"/>
        <charset val="134"/>
      </rPr>
      <t>中振订舱</t>
    </r>
    <r>
      <rPr>
        <sz val="8"/>
        <color theme="1"/>
        <rFont val="Arial"/>
        <charset val="134"/>
      </rPr>
      <t xml:space="preserve">Apl </t>
    </r>
    <r>
      <rPr>
        <sz val="8"/>
        <color theme="1"/>
        <rFont val="宋体"/>
        <charset val="134"/>
      </rPr>
      <t>，拖车报关</t>
    </r>
  </si>
  <si>
    <t>J3506</t>
  </si>
  <si>
    <r>
      <rPr>
        <sz val="8"/>
        <rFont val="Arial"/>
        <charset val="134"/>
      </rPr>
      <t>阿布扎比</t>
    </r>
    <r>
      <rPr>
        <sz val="8"/>
        <rFont val="Arial"/>
        <charset val="134"/>
      </rPr>
      <t xml:space="preserve">THURAYA Okab </t>
    </r>
  </si>
  <si>
    <t>xingang-Abu Dhabi</t>
  </si>
  <si>
    <t>DHL:90 7133 9174</t>
  </si>
  <si>
    <t>会昌订舱，拖车报关</t>
  </si>
  <si>
    <t>J3530</t>
  </si>
  <si>
    <t>此前清账  应收-17.87</t>
  </si>
  <si>
    <t>J3526</t>
  </si>
  <si>
    <r>
      <rPr>
        <sz val="8"/>
        <rFont val="Arial"/>
        <charset val="134"/>
      </rPr>
      <t>埃及</t>
    </r>
    <r>
      <rPr>
        <sz val="8"/>
        <rFont val="Arial"/>
        <charset val="134"/>
      </rPr>
      <t xml:space="preserve"> BM </t>
    </r>
    <r>
      <rPr>
        <sz val="8"/>
        <rFont val="宋体"/>
        <charset val="134"/>
      </rPr>
      <t>（</t>
    </r>
    <r>
      <rPr>
        <sz val="8"/>
        <rFont val="Arial"/>
        <charset val="134"/>
      </rPr>
      <t>Ahmed Algareeb</t>
    </r>
    <r>
      <rPr>
        <sz val="8"/>
        <rFont val="宋体"/>
        <charset val="134"/>
      </rPr>
      <t>）</t>
    </r>
  </si>
  <si>
    <t>TNT 889 174537</t>
  </si>
  <si>
    <t>深圳金源浩，中振拖车买单报关</t>
  </si>
  <si>
    <r>
      <rPr>
        <b/>
        <sz val="8"/>
        <color rgb="FF0000FF"/>
        <rFont val="华文宋体"/>
        <charset val="134"/>
      </rPr>
      <t>本单应收</t>
    </r>
    <r>
      <rPr>
        <b/>
        <sz val="8"/>
        <color rgb="FF0000FF"/>
        <rFont val="Arial"/>
        <charset val="134"/>
      </rPr>
      <t>-420</t>
    </r>
  </si>
  <si>
    <t>J3533</t>
  </si>
  <si>
    <r>
      <rPr>
        <sz val="8"/>
        <rFont val="Arial"/>
        <charset val="134"/>
      </rPr>
      <t>伊朗</t>
    </r>
    <r>
      <rPr>
        <sz val="8"/>
        <rFont val="Arial"/>
        <charset val="134"/>
      </rPr>
      <t xml:space="preserve"> Mehdi </t>
    </r>
  </si>
  <si>
    <t>xiangang-abbas</t>
  </si>
  <si>
    <r>
      <rPr>
        <b/>
        <sz val="8"/>
        <color theme="1"/>
        <rFont val="Arial"/>
        <charset val="134"/>
      </rPr>
      <t>8.22</t>
    </r>
    <r>
      <rPr>
        <b/>
        <sz val="8"/>
        <color theme="1"/>
        <rFont val="宋体"/>
        <charset val="134"/>
      </rPr>
      <t>电放</t>
    </r>
  </si>
  <si>
    <r>
      <rPr>
        <sz val="8"/>
        <color theme="1"/>
        <rFont val="Arial"/>
        <charset val="134"/>
      </rPr>
      <t>seatek</t>
    </r>
    <r>
      <rPr>
        <sz val="8"/>
        <color theme="1"/>
        <rFont val="宋体"/>
        <charset val="134"/>
      </rPr>
      <t>订舱，拖车买单报关</t>
    </r>
  </si>
  <si>
    <t>16078+8700</t>
  </si>
  <si>
    <t>J3504</t>
  </si>
  <si>
    <t>DHL: 55 4512 4432</t>
  </si>
  <si>
    <t>深圳市格思立，会昌拖车报关</t>
  </si>
  <si>
    <t>J3519</t>
  </si>
  <si>
    <r>
      <rPr>
        <sz val="8"/>
        <rFont val="Arial"/>
        <charset val="134"/>
      </rPr>
      <t>差正本提单</t>
    </r>
    <r>
      <rPr>
        <sz val="8"/>
        <rFont val="Arial"/>
        <charset val="134"/>
      </rPr>
      <t>DHL:54 1302 8585</t>
    </r>
  </si>
  <si>
    <t>上海革力订舱，</t>
  </si>
  <si>
    <t>J3542</t>
  </si>
  <si>
    <r>
      <rPr>
        <sz val="8"/>
        <rFont val="宋体"/>
        <charset val="134"/>
      </rPr>
      <t>阿布扎比</t>
    </r>
    <r>
      <rPr>
        <sz val="8"/>
        <rFont val="Arial"/>
        <charset val="134"/>
      </rPr>
      <t xml:space="preserve">THURAYA Okab </t>
    </r>
  </si>
  <si>
    <t>xingang-abu-buabi</t>
  </si>
  <si>
    <t>单据齐等款，单据已发客户</t>
  </si>
  <si>
    <r>
      <rPr>
        <sz val="8"/>
        <color theme="1"/>
        <rFont val="Arial"/>
        <charset val="134"/>
      </rPr>
      <t>会昌订舱</t>
    </r>
    <r>
      <rPr>
        <sz val="8"/>
        <color theme="1"/>
        <rFont val="Arial"/>
        <charset val="134"/>
      </rPr>
      <t>1120</t>
    </r>
    <r>
      <rPr>
        <sz val="8"/>
        <color theme="1"/>
        <rFont val="宋体"/>
        <charset val="134"/>
      </rPr>
      <t>，客户</t>
    </r>
    <r>
      <rPr>
        <sz val="8"/>
        <color theme="1"/>
        <rFont val="Arial"/>
        <charset val="134"/>
      </rPr>
      <t>1150</t>
    </r>
    <r>
      <rPr>
        <sz val="8"/>
        <color theme="1"/>
        <rFont val="宋体"/>
        <charset val="134"/>
      </rPr>
      <t>，拖车报关</t>
    </r>
  </si>
  <si>
    <t>J3551</t>
  </si>
  <si>
    <r>
      <rPr>
        <sz val="8"/>
        <rFont val="Arial"/>
        <charset val="134"/>
      </rPr>
      <t xml:space="preserve">xingang- </t>
    </r>
    <r>
      <rPr>
        <sz val="8"/>
        <rFont val="宋体"/>
        <charset val="134"/>
      </rPr>
      <t>新德里</t>
    </r>
  </si>
  <si>
    <r>
      <rPr>
        <sz val="8"/>
        <color rgb="FF0000FF"/>
        <rFont val="Arial"/>
        <charset val="134"/>
      </rPr>
      <t>9.3</t>
    </r>
    <r>
      <rPr>
        <sz val="8"/>
        <color rgb="FF0000FF"/>
        <rFont val="宋体"/>
        <charset val="134"/>
      </rPr>
      <t>电放</t>
    </r>
  </si>
  <si>
    <r>
      <rPr>
        <b/>
        <sz val="8"/>
        <color rgb="FF0000FF"/>
        <rFont val="华文宋体"/>
        <charset val="134"/>
      </rPr>
      <t>本单应收</t>
    </r>
    <r>
      <rPr>
        <b/>
        <sz val="8"/>
        <color rgb="FF0000FF"/>
        <rFont val="Arial"/>
        <charset val="134"/>
      </rPr>
      <t>USD-231.13</t>
    </r>
  </si>
  <si>
    <t>J3514-1</t>
  </si>
  <si>
    <r>
      <rPr>
        <sz val="8"/>
        <rFont val="Arial"/>
        <charset val="134"/>
      </rPr>
      <t>1x20</t>
    </r>
    <r>
      <rPr>
        <sz val="8"/>
        <rFont val="宋体"/>
        <charset val="134"/>
      </rPr>
      <t>轻钢</t>
    </r>
    <r>
      <rPr>
        <sz val="8"/>
        <rFont val="Arial"/>
        <charset val="134"/>
      </rPr>
      <t>+</t>
    </r>
    <r>
      <rPr>
        <sz val="8"/>
        <rFont val="宋体"/>
        <charset val="134"/>
      </rPr>
      <t>带钢</t>
    </r>
    <r>
      <rPr>
        <sz val="8"/>
        <rFont val="Arial"/>
        <charset val="134"/>
      </rPr>
      <t>+</t>
    </r>
    <r>
      <rPr>
        <sz val="8"/>
        <rFont val="宋体"/>
        <charset val="134"/>
      </rPr>
      <t>配件</t>
    </r>
  </si>
  <si>
    <t>xingang-manila</t>
  </si>
  <si>
    <t>提单电放</t>
  </si>
  <si>
    <r>
      <rPr>
        <sz val="8"/>
        <color theme="1"/>
        <rFont val="Arial"/>
        <charset val="134"/>
      </rPr>
      <t>中振订舱</t>
    </r>
    <r>
      <rPr>
        <sz val="8"/>
        <color theme="1"/>
        <rFont val="Arial"/>
        <charset val="134"/>
      </rPr>
      <t>HMM-100</t>
    </r>
    <r>
      <rPr>
        <sz val="8"/>
        <color theme="1"/>
        <rFont val="宋体"/>
        <charset val="134"/>
      </rPr>
      <t>，拖车报关</t>
    </r>
  </si>
  <si>
    <t>J3514-2</t>
  </si>
  <si>
    <r>
      <rPr>
        <sz val="8"/>
        <rFont val="宋体"/>
        <charset val="134"/>
      </rPr>
      <t>菲律宾</t>
    </r>
    <r>
      <rPr>
        <sz val="8"/>
        <rFont val="Arial"/>
        <charset val="134"/>
      </rPr>
      <t xml:space="preserve"> LEXUS (Ben)</t>
    </r>
  </si>
  <si>
    <t>J3554-1</t>
  </si>
  <si>
    <r>
      <rPr>
        <b/>
        <sz val="8"/>
        <rFont val="Arial"/>
        <charset val="134"/>
      </rPr>
      <t>DHL</t>
    </r>
    <r>
      <rPr>
        <b/>
        <sz val="8"/>
        <rFont val="宋体"/>
        <charset val="134"/>
      </rPr>
      <t>：</t>
    </r>
    <r>
      <rPr>
        <b/>
        <sz val="8"/>
        <rFont val="Arial"/>
        <charset val="134"/>
      </rPr>
      <t>4167337694</t>
    </r>
  </si>
  <si>
    <r>
      <rPr>
        <sz val="8"/>
        <color theme="1"/>
        <rFont val="宋体"/>
        <charset val="134"/>
      </rPr>
      <t>迪斯泰订舱</t>
    </r>
    <r>
      <rPr>
        <sz val="8"/>
        <color theme="1"/>
        <rFont val="Arial"/>
        <charset val="134"/>
      </rPr>
      <t>APL900</t>
    </r>
    <r>
      <rPr>
        <sz val="8"/>
        <color theme="1"/>
        <rFont val="宋体"/>
        <charset val="134"/>
      </rPr>
      <t>，和凯拖车报关</t>
    </r>
    <r>
      <rPr>
        <sz val="8"/>
        <color theme="1"/>
        <rFont val="Arial"/>
        <charset val="134"/>
      </rPr>
      <t xml:space="preserve"> hero </t>
    </r>
    <r>
      <rPr>
        <sz val="8"/>
        <color theme="1"/>
        <rFont val="宋体"/>
        <charset val="134"/>
      </rPr>
      <t>交单</t>
    </r>
  </si>
  <si>
    <t>J3554-2</t>
  </si>
  <si>
    <r>
      <rPr>
        <sz val="8"/>
        <rFont val="Arial"/>
        <charset val="134"/>
      </rPr>
      <t>2x20</t>
    </r>
    <r>
      <rPr>
        <sz val="8"/>
        <rFont val="Cambria"/>
        <charset val="134"/>
      </rPr>
      <t>轻钢</t>
    </r>
  </si>
  <si>
    <r>
      <rPr>
        <b/>
        <sz val="8"/>
        <rFont val="Arial"/>
        <charset val="134"/>
      </rPr>
      <t>DHL</t>
    </r>
    <r>
      <rPr>
        <b/>
        <sz val="8"/>
        <rFont val="宋体"/>
        <charset val="134"/>
      </rPr>
      <t>：</t>
    </r>
    <r>
      <rPr>
        <b/>
        <sz val="8"/>
        <rFont val="Arial"/>
        <charset val="134"/>
      </rPr>
      <t>4127479731</t>
    </r>
  </si>
  <si>
    <r>
      <rPr>
        <sz val="8"/>
        <color theme="1"/>
        <rFont val="宋体"/>
        <charset val="134"/>
      </rPr>
      <t>会昌订舱</t>
    </r>
    <r>
      <rPr>
        <sz val="8"/>
        <color theme="1"/>
        <rFont val="Arial"/>
        <charset val="134"/>
      </rPr>
      <t>EMI</t>
    </r>
    <r>
      <rPr>
        <sz val="8"/>
        <color theme="1"/>
        <rFont val="宋体"/>
        <charset val="134"/>
      </rPr>
      <t>，和凯拖车报关交单</t>
    </r>
  </si>
  <si>
    <t>J3552</t>
  </si>
  <si>
    <r>
      <rPr>
        <sz val="8"/>
        <rFont val="宋体"/>
        <charset val="134"/>
      </rPr>
      <t>埃及红线</t>
    </r>
    <r>
      <rPr>
        <sz val="8"/>
        <rFont val="Arial"/>
        <charset val="134"/>
      </rPr>
      <t xml:space="preserve"> Asmaa</t>
    </r>
  </si>
  <si>
    <r>
      <rPr>
        <b/>
        <sz val="8"/>
        <rFont val="Arial"/>
        <charset val="134"/>
      </rPr>
      <t>DHL</t>
    </r>
    <r>
      <rPr>
        <b/>
        <sz val="8"/>
        <rFont val="宋体"/>
        <charset val="134"/>
      </rPr>
      <t>：</t>
    </r>
    <r>
      <rPr>
        <b/>
        <sz val="8"/>
        <rFont val="Arial"/>
        <charset val="134"/>
      </rPr>
      <t>7236 535714</t>
    </r>
  </si>
  <si>
    <t>深圳金源号订舱，会昌拖车买单报关</t>
  </si>
  <si>
    <t>USD16876.53+USD4480.5</t>
  </si>
  <si>
    <t>J3555-1</t>
  </si>
  <si>
    <r>
      <rPr>
        <sz val="8"/>
        <rFont val="Arial"/>
        <charset val="134"/>
      </rPr>
      <t>迪拜</t>
    </r>
    <r>
      <rPr>
        <sz val="8"/>
        <rFont val="Arial"/>
        <charset val="134"/>
      </rPr>
      <t xml:space="preserve"> DANUBE </t>
    </r>
    <r>
      <rPr>
        <sz val="8"/>
        <rFont val="Cambria"/>
        <charset val="134"/>
      </rPr>
      <t>肖勇</t>
    </r>
    <r>
      <rPr>
        <sz val="8"/>
        <rFont val="Arial"/>
        <charset val="134"/>
      </rPr>
      <t>Henry</t>
    </r>
  </si>
  <si>
    <t>DHL3254791455</t>
  </si>
  <si>
    <t>J3555-2</t>
  </si>
  <si>
    <t>DHL1461061545</t>
  </si>
  <si>
    <r>
      <rPr>
        <sz val="8"/>
        <color theme="1"/>
        <rFont val="Arial"/>
        <charset val="134"/>
      </rPr>
      <t>世昌订舱</t>
    </r>
    <r>
      <rPr>
        <sz val="8"/>
        <color theme="1"/>
        <rFont val="Arial"/>
        <charset val="134"/>
      </rPr>
      <t>,</t>
    </r>
    <r>
      <rPr>
        <sz val="8"/>
        <color theme="1"/>
        <rFont val="宋体"/>
        <charset val="134"/>
      </rPr>
      <t>白沟拖车，交单</t>
    </r>
  </si>
  <si>
    <t>J3556</t>
  </si>
  <si>
    <t>DHL1461055816</t>
  </si>
  <si>
    <t>深圳世倡，白沟和凯拖车报关</t>
  </si>
  <si>
    <t>J3566</t>
  </si>
  <si>
    <r>
      <rPr>
        <sz val="8"/>
        <color rgb="FF0000FF"/>
        <rFont val="Arial"/>
        <charset val="134"/>
      </rPr>
      <t>DHL822616451145</t>
    </r>
    <r>
      <rPr>
        <sz val="8"/>
        <rFont val="Arial"/>
        <charset val="134"/>
      </rPr>
      <t xml:space="preserve"> </t>
    </r>
    <r>
      <rPr>
        <sz val="8"/>
        <rFont val="宋体"/>
        <charset val="134"/>
      </rPr>
      <t>保险单</t>
    </r>
    <r>
      <rPr>
        <sz val="8"/>
        <rFont val="Arial"/>
        <charset val="134"/>
      </rPr>
      <t xml:space="preserve"> CO BL</t>
    </r>
    <r>
      <rPr>
        <sz val="8"/>
        <rFont val="宋体"/>
        <charset val="134"/>
      </rPr>
      <t>正本</t>
    </r>
    <r>
      <rPr>
        <sz val="8"/>
        <rFont val="Arial"/>
        <charset val="134"/>
      </rPr>
      <t xml:space="preserve"> </t>
    </r>
    <r>
      <rPr>
        <sz val="8"/>
        <rFont val="宋体"/>
        <charset val="134"/>
      </rPr>
      <t>齐了</t>
    </r>
    <r>
      <rPr>
        <sz val="8"/>
        <rFont val="Arial"/>
        <charset val="134"/>
      </rPr>
      <t>,</t>
    </r>
    <r>
      <rPr>
        <sz val="8"/>
        <color rgb="FF0000FF"/>
        <rFont val="Arial"/>
        <charset val="134"/>
      </rPr>
      <t>11.1</t>
    </r>
    <r>
      <rPr>
        <sz val="8"/>
        <color rgb="FF0000FF"/>
        <rFont val="宋体"/>
        <charset val="134"/>
      </rPr>
      <t>交单</t>
    </r>
  </si>
  <si>
    <r>
      <rPr>
        <sz val="8"/>
        <color theme="1"/>
        <rFont val="Arial"/>
        <charset val="134"/>
      </rPr>
      <t>会昌订舱</t>
    </r>
    <r>
      <rPr>
        <sz val="8"/>
        <color theme="1"/>
        <rFont val="Arial"/>
        <charset val="134"/>
      </rPr>
      <t>750</t>
    </r>
    <r>
      <rPr>
        <sz val="8"/>
        <color theme="1"/>
        <rFont val="宋体"/>
        <charset val="134"/>
      </rPr>
      <t>，拖车报关</t>
    </r>
  </si>
  <si>
    <t>DP</t>
  </si>
  <si>
    <t>J3568</t>
  </si>
  <si>
    <r>
      <rPr>
        <sz val="8"/>
        <color rgb="FF0000FF"/>
        <rFont val="Arial"/>
        <charset val="134"/>
      </rPr>
      <t xml:space="preserve">DHL3785689751 </t>
    </r>
    <r>
      <rPr>
        <sz val="8"/>
        <rFont val="Arial"/>
        <charset val="134"/>
      </rPr>
      <t>CO</t>
    </r>
    <r>
      <rPr>
        <sz val="8"/>
        <rFont val="宋体"/>
        <charset val="134"/>
      </rPr>
      <t>显示座机电话</t>
    </r>
    <r>
      <rPr>
        <sz val="8"/>
        <rFont val="Arial"/>
        <charset val="134"/>
      </rPr>
      <t xml:space="preserve"> </t>
    </r>
    <r>
      <rPr>
        <sz val="8"/>
        <rFont val="宋体"/>
        <charset val="134"/>
      </rPr>
      <t>赔付金显示在发票底部</t>
    </r>
  </si>
  <si>
    <r>
      <rPr>
        <sz val="8"/>
        <color theme="1"/>
        <rFont val="Arial"/>
        <charset val="134"/>
      </rPr>
      <t>会昌订舱</t>
    </r>
    <r>
      <rPr>
        <sz val="8"/>
        <color theme="1"/>
        <rFont val="Arial"/>
        <charset val="134"/>
      </rPr>
      <t>pel 1070</t>
    </r>
    <r>
      <rPr>
        <sz val="8"/>
        <color theme="1"/>
        <rFont val="宋体"/>
        <charset val="134"/>
      </rPr>
      <t>，拖车报关</t>
    </r>
  </si>
  <si>
    <t>J3569</t>
  </si>
  <si>
    <r>
      <rPr>
        <b/>
        <sz val="8"/>
        <rFont val="Arial"/>
        <charset val="134"/>
      </rPr>
      <t>DHL:65 2894 3201  10</t>
    </r>
    <r>
      <rPr>
        <b/>
        <sz val="8"/>
        <rFont val="宋体"/>
        <charset val="134"/>
      </rPr>
      <t>号电放</t>
    </r>
  </si>
  <si>
    <r>
      <rPr>
        <sz val="8"/>
        <color theme="1"/>
        <rFont val="Arial"/>
        <charset val="134"/>
      </rPr>
      <t>中振订舱</t>
    </r>
    <r>
      <rPr>
        <sz val="8"/>
        <color theme="1"/>
        <rFont val="Arial"/>
        <charset val="134"/>
      </rPr>
      <t xml:space="preserve"> APL 455/40</t>
    </r>
    <r>
      <rPr>
        <sz val="8"/>
        <color theme="1"/>
        <rFont val="宋体"/>
        <charset val="134"/>
      </rPr>
      <t>尺柜</t>
    </r>
    <r>
      <rPr>
        <sz val="8"/>
        <color theme="1"/>
        <rFont val="Arial"/>
        <charset val="134"/>
      </rPr>
      <t xml:space="preserve"> </t>
    </r>
  </si>
  <si>
    <t>J3573</t>
  </si>
  <si>
    <t>xingang-haiphong</t>
  </si>
  <si>
    <t>DHL:53 1687 4566</t>
  </si>
  <si>
    <r>
      <rPr>
        <sz val="8"/>
        <color theme="1"/>
        <rFont val="Arial"/>
        <charset val="134"/>
      </rPr>
      <t>会昌订舱</t>
    </r>
    <r>
      <rPr>
        <sz val="8"/>
        <color theme="1"/>
        <rFont val="Arial"/>
        <charset val="134"/>
      </rPr>
      <t>250</t>
    </r>
    <r>
      <rPr>
        <sz val="8"/>
        <color theme="1"/>
        <rFont val="宋体"/>
        <charset val="134"/>
      </rPr>
      <t>，拖车报关</t>
    </r>
  </si>
  <si>
    <t>J3577</t>
  </si>
  <si>
    <r>
      <rPr>
        <sz val="8"/>
        <rFont val="宋体"/>
        <charset val="134"/>
      </rPr>
      <t>印度</t>
    </r>
    <r>
      <rPr>
        <sz val="8"/>
        <rFont val="Arial"/>
        <charset val="134"/>
      </rPr>
      <t xml:space="preserve"> VAISHVI Hiren KRISHNAV</t>
    </r>
  </si>
  <si>
    <t>xingang-Seaport</t>
  </si>
  <si>
    <r>
      <rPr>
        <sz val="8"/>
        <rFont val="Arial"/>
        <charset val="134"/>
      </rPr>
      <t xml:space="preserve">10.9 </t>
    </r>
    <r>
      <rPr>
        <sz val="8"/>
        <rFont val="宋体"/>
        <charset val="134"/>
      </rPr>
      <t>电放</t>
    </r>
  </si>
  <si>
    <t>广东捷达国际运输，鸣远拖车报关</t>
  </si>
  <si>
    <t>$8504.37+44175RMB</t>
  </si>
  <si>
    <t>J3578</t>
  </si>
  <si>
    <r>
      <rPr>
        <sz val="8"/>
        <rFont val="宋体"/>
        <charset val="134"/>
      </rPr>
      <t>巴林</t>
    </r>
    <r>
      <rPr>
        <sz val="8"/>
        <rFont val="Arial"/>
        <charset val="134"/>
      </rPr>
      <t xml:space="preserve"> ALIF Muhammed</t>
    </r>
  </si>
  <si>
    <r>
      <rPr>
        <sz val="8"/>
        <color rgb="FF0000FF"/>
        <rFont val="Arial"/>
        <charset val="134"/>
      </rPr>
      <t xml:space="preserve">DHL 98 6789 2075 </t>
    </r>
    <r>
      <rPr>
        <sz val="8"/>
        <color rgb="FF0000FF"/>
        <rFont val="宋体"/>
        <charset val="134"/>
      </rPr>
      <t>单据齐等款，单据已发客户</t>
    </r>
    <r>
      <rPr>
        <sz val="8"/>
        <rFont val="Arial"/>
        <charset val="134"/>
      </rPr>
      <t>,CO BL</t>
    </r>
    <r>
      <rPr>
        <sz val="8"/>
        <rFont val="宋体"/>
        <charset val="134"/>
      </rPr>
      <t>正本</t>
    </r>
    <r>
      <rPr>
        <sz val="8"/>
        <rFont val="Arial"/>
        <charset val="134"/>
      </rPr>
      <t xml:space="preserve"> </t>
    </r>
    <r>
      <rPr>
        <sz val="8"/>
        <rFont val="宋体"/>
        <charset val="134"/>
      </rPr>
      <t>齐了</t>
    </r>
  </si>
  <si>
    <r>
      <rPr>
        <sz val="8"/>
        <color theme="1"/>
        <rFont val="Arial"/>
        <charset val="134"/>
      </rPr>
      <t>会昌订舱</t>
    </r>
    <r>
      <rPr>
        <sz val="8"/>
        <color theme="1"/>
        <rFont val="Arial"/>
        <charset val="134"/>
      </rPr>
      <t>890/900</t>
    </r>
    <r>
      <rPr>
        <sz val="8"/>
        <color theme="1"/>
        <rFont val="宋体"/>
        <charset val="134"/>
      </rPr>
      <t>，拖车报关</t>
    </r>
  </si>
  <si>
    <t>J3579</t>
  </si>
  <si>
    <r>
      <rPr>
        <sz val="8"/>
        <rFont val="Arial"/>
        <charset val="134"/>
      </rPr>
      <t>xingang-</t>
    </r>
    <r>
      <rPr>
        <sz val="8"/>
        <rFont val="宋体"/>
        <charset val="134"/>
      </rPr>
      <t>新德里</t>
    </r>
  </si>
  <si>
    <r>
      <rPr>
        <b/>
        <sz val="8"/>
        <rFont val="Arial"/>
        <charset val="134"/>
      </rPr>
      <t>28</t>
    </r>
    <r>
      <rPr>
        <b/>
        <sz val="8"/>
        <rFont val="宋体"/>
        <charset val="134"/>
      </rPr>
      <t>号电放</t>
    </r>
  </si>
  <si>
    <r>
      <rPr>
        <b/>
        <sz val="8"/>
        <color rgb="FF0000FF"/>
        <rFont val="华文宋体"/>
        <charset val="134"/>
      </rPr>
      <t>本单应收</t>
    </r>
    <r>
      <rPr>
        <b/>
        <sz val="8"/>
        <color rgb="FF0000FF"/>
        <rFont val="Arial"/>
        <charset val="134"/>
      </rPr>
      <t xml:space="preserve">USD19 </t>
    </r>
  </si>
  <si>
    <t>J3583</t>
  </si>
  <si>
    <r>
      <rPr>
        <sz val="8"/>
        <rFont val="Arial"/>
        <charset val="134"/>
      </rPr>
      <t>宁波</t>
    </r>
    <r>
      <rPr>
        <sz val="8"/>
        <rFont val="Arial"/>
        <charset val="134"/>
      </rPr>
      <t>Monica</t>
    </r>
  </si>
  <si>
    <r>
      <rPr>
        <sz val="8"/>
        <rFont val="Arial"/>
        <charset val="134"/>
      </rPr>
      <t>1x20</t>
    </r>
    <r>
      <rPr>
        <sz val="8"/>
        <rFont val="宋体"/>
        <charset val="134"/>
      </rPr>
      <t>轻钢</t>
    </r>
    <r>
      <rPr>
        <sz val="8"/>
        <rFont val="Arial"/>
        <charset val="134"/>
      </rPr>
      <t>+</t>
    </r>
    <r>
      <rPr>
        <sz val="8"/>
        <rFont val="宋体"/>
        <charset val="134"/>
      </rPr>
      <t>塑料桶</t>
    </r>
  </si>
  <si>
    <t>RMB5000</t>
  </si>
  <si>
    <t>J3586</t>
  </si>
  <si>
    <r>
      <rPr>
        <sz val="8"/>
        <rFont val="宋体"/>
        <charset val="134"/>
      </rPr>
      <t>印度</t>
    </r>
    <r>
      <rPr>
        <sz val="8"/>
        <rFont val="Arial"/>
        <charset val="134"/>
      </rPr>
      <t xml:space="preserve"> Meet Pravin </t>
    </r>
  </si>
  <si>
    <t>xingang- NHAVASHEVA</t>
  </si>
  <si>
    <r>
      <rPr>
        <sz val="8"/>
        <color theme="1"/>
        <rFont val="Arial"/>
        <charset val="134"/>
      </rPr>
      <t>DHL</t>
    </r>
    <r>
      <rPr>
        <sz val="8"/>
        <color theme="1"/>
        <rFont val="宋体"/>
        <charset val="134"/>
      </rPr>
      <t>：</t>
    </r>
    <r>
      <rPr>
        <sz val="8"/>
        <color theme="1"/>
        <rFont val="Arial"/>
        <charset val="134"/>
      </rPr>
      <t>21 6956 8170</t>
    </r>
  </si>
  <si>
    <t>汇利达订舱，鸣远拖车一达通报关</t>
  </si>
  <si>
    <t>11977+2797</t>
  </si>
  <si>
    <t>J3590</t>
  </si>
  <si>
    <r>
      <rPr>
        <sz val="8"/>
        <color rgb="FFFF0000"/>
        <rFont val="宋体"/>
        <charset val="134"/>
      </rPr>
      <t>尾款出厂前付清，买方自行安排的外送货物（拖把等）卸货和装箱费按实际发生收取</t>
    </r>
    <r>
      <rPr>
        <sz val="8"/>
        <color rgb="FFFF0000"/>
        <rFont val="Arial"/>
        <charset val="134"/>
      </rPr>
      <t xml:space="preserve"> </t>
    </r>
  </si>
  <si>
    <r>
      <rPr>
        <sz val="8"/>
        <color theme="1"/>
        <rFont val="宋体"/>
        <charset val="134"/>
      </rPr>
      <t>客户订舱</t>
    </r>
    <r>
      <rPr>
        <sz val="8"/>
        <color theme="1"/>
        <rFont val="Arial"/>
        <charset val="134"/>
      </rPr>
      <t xml:space="preserve"> </t>
    </r>
    <r>
      <rPr>
        <sz val="8"/>
        <color theme="1"/>
        <rFont val="宋体"/>
        <charset val="134"/>
      </rPr>
      <t>拖车</t>
    </r>
  </si>
  <si>
    <t>RMB85188</t>
  </si>
  <si>
    <t>J3593</t>
  </si>
  <si>
    <r>
      <rPr>
        <sz val="8"/>
        <color rgb="FF0000FF"/>
        <rFont val="Arial"/>
        <charset val="134"/>
      </rPr>
      <t xml:space="preserve">DHL8483484741 </t>
    </r>
    <r>
      <rPr>
        <sz val="8"/>
        <color rgb="FF0000FF"/>
        <rFont val="宋体"/>
        <charset val="134"/>
      </rPr>
      <t>单据齐</t>
    </r>
    <r>
      <rPr>
        <sz val="8"/>
        <color rgb="FF0000FF"/>
        <rFont val="Arial"/>
        <charset val="134"/>
      </rPr>
      <t xml:space="preserve"> </t>
    </r>
    <r>
      <rPr>
        <sz val="8"/>
        <color rgb="FF0000FF"/>
        <rFont val="宋体"/>
        <charset val="134"/>
      </rPr>
      <t>单据发客户了</t>
    </r>
    <r>
      <rPr>
        <sz val="8"/>
        <color rgb="FF0000FF"/>
        <rFont val="Arial"/>
        <charset val="134"/>
      </rPr>
      <t xml:space="preserve"> title</t>
    </r>
    <r>
      <rPr>
        <sz val="8"/>
        <color rgb="FF0000FF"/>
        <rFont val="宋体"/>
        <charset val="134"/>
      </rPr>
      <t>改成</t>
    </r>
    <r>
      <rPr>
        <sz val="8"/>
        <color rgb="FF0000FF"/>
        <rFont val="Arial"/>
        <charset val="134"/>
      </rPr>
      <t>hero</t>
    </r>
    <r>
      <rPr>
        <sz val="8"/>
        <color rgb="FF0000FF"/>
        <rFont val="宋体"/>
        <charset val="134"/>
      </rPr>
      <t>了不用白沟</t>
    </r>
    <r>
      <rPr>
        <sz val="8"/>
        <color rgb="FF0000FF"/>
        <rFont val="Arial"/>
        <charset val="134"/>
      </rPr>
      <t xml:space="preserve"> </t>
    </r>
    <r>
      <rPr>
        <sz val="8"/>
        <rFont val="Arial"/>
        <charset val="134"/>
      </rPr>
      <t xml:space="preserve"> </t>
    </r>
    <r>
      <rPr>
        <sz val="8"/>
        <rFont val="宋体"/>
        <charset val="134"/>
      </rPr>
      <t>扫描件有了</t>
    </r>
    <r>
      <rPr>
        <sz val="8"/>
        <rFont val="Arial"/>
        <charset val="134"/>
      </rPr>
      <t xml:space="preserve">  D/P     CO </t>
    </r>
    <r>
      <rPr>
        <sz val="8"/>
        <rFont val="宋体"/>
        <charset val="134"/>
      </rPr>
      <t>拿了</t>
    </r>
  </si>
  <si>
    <t>世倡订舱，会昌拖车报关</t>
  </si>
  <si>
    <t>J3599-1</t>
  </si>
  <si>
    <t>xingang-Sohar, Oman</t>
  </si>
  <si>
    <r>
      <rPr>
        <sz val="8"/>
        <rFont val="Arial"/>
        <charset val="134"/>
      </rPr>
      <t>交单</t>
    </r>
    <r>
      <rPr>
        <sz val="8"/>
        <rFont val="Arial"/>
        <charset val="134"/>
      </rPr>
      <t xml:space="preserve">DHL9296974116 </t>
    </r>
    <r>
      <rPr>
        <sz val="8"/>
        <rFont val="宋体"/>
        <charset val="134"/>
      </rPr>
      <t>发给白沟了</t>
    </r>
    <r>
      <rPr>
        <sz val="8"/>
        <rFont val="Arial"/>
        <charset val="134"/>
      </rPr>
      <t>SF297861708187 CO CCPIT</t>
    </r>
    <r>
      <rPr>
        <sz val="8"/>
        <rFont val="宋体"/>
        <charset val="134"/>
      </rPr>
      <t>齐了</t>
    </r>
    <r>
      <rPr>
        <sz val="8"/>
        <rFont val="Arial"/>
        <charset val="134"/>
      </rPr>
      <t xml:space="preserve"> 22</t>
    </r>
    <r>
      <rPr>
        <sz val="8"/>
        <rFont val="宋体"/>
        <charset val="134"/>
      </rPr>
      <t>号装</t>
    </r>
    <r>
      <rPr>
        <sz val="8"/>
        <rFont val="Arial"/>
        <charset val="134"/>
      </rPr>
      <t xml:space="preserve">  D/P</t>
    </r>
  </si>
  <si>
    <r>
      <rPr>
        <sz val="8"/>
        <color theme="1"/>
        <rFont val="Arial"/>
        <charset val="134"/>
      </rPr>
      <t>世倡订舱</t>
    </r>
    <r>
      <rPr>
        <sz val="8"/>
        <color theme="1"/>
        <rFont val="Arial"/>
        <charset val="134"/>
      </rPr>
      <t>,</t>
    </r>
    <r>
      <rPr>
        <sz val="8"/>
        <color theme="1"/>
        <rFont val="宋体"/>
        <charset val="134"/>
      </rPr>
      <t>和凯拖车报关</t>
    </r>
  </si>
  <si>
    <t>J3599-2</t>
  </si>
  <si>
    <r>
      <rPr>
        <sz val="8"/>
        <rFont val="Arial"/>
        <charset val="134"/>
      </rPr>
      <t>交单</t>
    </r>
    <r>
      <rPr>
        <sz val="8"/>
        <rFont val="Arial"/>
        <charset val="134"/>
      </rPr>
      <t>DHL9296998502  SF297861708196</t>
    </r>
    <r>
      <rPr>
        <sz val="8"/>
        <rFont val="宋体"/>
        <charset val="134"/>
      </rPr>
      <t>单据齐交白沟了</t>
    </r>
    <r>
      <rPr>
        <sz val="8"/>
        <rFont val="Arial"/>
        <charset val="134"/>
      </rPr>
      <t xml:space="preserve"> </t>
    </r>
    <r>
      <rPr>
        <sz val="8"/>
        <rFont val="宋体"/>
        <charset val="134"/>
      </rPr>
      <t>单据已发客户</t>
    </r>
    <r>
      <rPr>
        <sz val="8"/>
        <rFont val="Arial"/>
        <charset val="134"/>
      </rPr>
      <t xml:space="preserve"> CO CCPIT</t>
    </r>
    <r>
      <rPr>
        <sz val="8"/>
        <rFont val="宋体"/>
        <charset val="134"/>
      </rPr>
      <t>齐了</t>
    </r>
    <r>
      <rPr>
        <sz val="8"/>
        <rFont val="Arial"/>
        <charset val="134"/>
      </rPr>
      <t xml:space="preserve">  D/P</t>
    </r>
  </si>
  <si>
    <t>J3594</t>
  </si>
  <si>
    <r>
      <rPr>
        <sz val="8"/>
        <rFont val="Arial"/>
        <charset val="134"/>
      </rPr>
      <t xml:space="preserve">DHL 4917302913   </t>
    </r>
    <r>
      <rPr>
        <sz val="8"/>
        <rFont val="宋体"/>
        <charset val="134"/>
      </rPr>
      <t>差提单</t>
    </r>
    <r>
      <rPr>
        <sz val="8"/>
        <rFont val="Arial"/>
        <charset val="134"/>
      </rPr>
      <t xml:space="preserve"> </t>
    </r>
    <r>
      <rPr>
        <sz val="8"/>
        <rFont val="宋体"/>
        <charset val="134"/>
      </rPr>
      <t>保险单</t>
    </r>
  </si>
  <si>
    <r>
      <rPr>
        <sz val="8"/>
        <color theme="1"/>
        <rFont val="Arial"/>
        <charset val="134"/>
      </rPr>
      <t>中振订舱</t>
    </r>
    <r>
      <rPr>
        <sz val="8"/>
        <color theme="1"/>
        <rFont val="Arial"/>
        <charset val="134"/>
      </rPr>
      <t>200</t>
    </r>
    <r>
      <rPr>
        <sz val="8"/>
        <color theme="1"/>
        <rFont val="宋体"/>
        <charset val="134"/>
      </rPr>
      <t>，拖车报关</t>
    </r>
  </si>
  <si>
    <t>J3602</t>
  </si>
  <si>
    <r>
      <rPr>
        <sz val="8"/>
        <rFont val="Arial"/>
        <charset val="134"/>
      </rPr>
      <t>天津康宁</t>
    </r>
    <r>
      <rPr>
        <sz val="8"/>
        <rFont val="Arial"/>
        <charset val="134"/>
      </rPr>
      <t xml:space="preserve"> </t>
    </r>
    <r>
      <rPr>
        <sz val="8"/>
        <rFont val="宋体"/>
        <charset val="134"/>
      </rPr>
      <t>魏奇</t>
    </r>
  </si>
  <si>
    <r>
      <rPr>
        <sz val="8"/>
        <rFont val="Arial"/>
        <charset val="134"/>
      </rPr>
      <t>1400</t>
    </r>
    <r>
      <rPr>
        <sz val="8"/>
        <rFont val="宋体"/>
        <charset val="134"/>
      </rPr>
      <t>支边角</t>
    </r>
  </si>
  <si>
    <t>J3603</t>
  </si>
  <si>
    <r>
      <rPr>
        <sz val="8"/>
        <rFont val="Arial"/>
        <charset val="134"/>
      </rPr>
      <t>济南潘奥</t>
    </r>
    <r>
      <rPr>
        <sz val="8"/>
        <rFont val="Arial"/>
        <charset val="134"/>
      </rPr>
      <t xml:space="preserve"> </t>
    </r>
    <r>
      <rPr>
        <sz val="8"/>
        <rFont val="宋体"/>
        <charset val="134"/>
      </rPr>
      <t>王侃杜</t>
    </r>
    <r>
      <rPr>
        <sz val="8"/>
        <rFont val="Arial"/>
        <charset val="134"/>
      </rPr>
      <t>Richard</t>
    </r>
  </si>
  <si>
    <r>
      <rPr>
        <sz val="8"/>
        <rFont val="宋体"/>
        <charset val="134"/>
      </rPr>
      <t>电放</t>
    </r>
    <r>
      <rPr>
        <sz val="8"/>
        <rFont val="Arial"/>
        <charset val="134"/>
      </rPr>
      <t xml:space="preserve"> </t>
    </r>
    <r>
      <rPr>
        <sz val="8"/>
        <rFont val="宋体"/>
        <charset val="134"/>
      </rPr>
      <t>客户代理说要延船次</t>
    </r>
    <r>
      <rPr>
        <sz val="8"/>
        <rFont val="Arial"/>
        <charset val="134"/>
      </rPr>
      <t xml:space="preserve"> </t>
    </r>
    <r>
      <rPr>
        <sz val="8"/>
        <rFont val="宋体"/>
        <charset val="134"/>
      </rPr>
      <t>等通知</t>
    </r>
    <r>
      <rPr>
        <sz val="8"/>
        <rFont val="Arial"/>
        <charset val="134"/>
      </rPr>
      <t xml:space="preserve"> </t>
    </r>
    <r>
      <rPr>
        <sz val="8"/>
        <rFont val="宋体"/>
        <charset val="134"/>
      </rPr>
      <t>付款到金凯美元账户</t>
    </r>
  </si>
  <si>
    <t>安泰远达订舱，会昌拖车</t>
  </si>
  <si>
    <t>J3605</t>
  </si>
  <si>
    <r>
      <rPr>
        <sz val="8"/>
        <rFont val="Arial"/>
        <charset val="134"/>
      </rPr>
      <t>7x40</t>
    </r>
    <r>
      <rPr>
        <sz val="8"/>
        <rFont val="宋体"/>
        <charset val="134"/>
      </rPr>
      <t>小付骨</t>
    </r>
  </si>
  <si>
    <r>
      <rPr>
        <sz val="8"/>
        <rFont val="Arial"/>
        <charset val="134"/>
      </rPr>
      <t xml:space="preserve">DHL3762900831 </t>
    </r>
    <r>
      <rPr>
        <sz val="8"/>
        <rFont val="宋体"/>
        <charset val="134"/>
      </rPr>
      <t>一定申请</t>
    </r>
    <r>
      <rPr>
        <sz val="8"/>
        <rFont val="Arial"/>
        <charset val="134"/>
      </rPr>
      <t>21</t>
    </r>
    <r>
      <rPr>
        <sz val="8"/>
        <rFont val="宋体"/>
        <charset val="134"/>
      </rPr>
      <t>天免用箱</t>
    </r>
    <r>
      <rPr>
        <sz val="8"/>
        <rFont val="Arial"/>
        <charset val="134"/>
      </rPr>
      <t xml:space="preserve"> </t>
    </r>
    <r>
      <rPr>
        <sz val="8"/>
        <rFont val="宋体"/>
        <charset val="134"/>
      </rPr>
      <t>改单费</t>
    </r>
    <r>
      <rPr>
        <sz val="8"/>
        <rFont val="Arial"/>
        <charset val="134"/>
      </rPr>
      <t>100</t>
    </r>
    <r>
      <rPr>
        <sz val="8"/>
        <rFont val="宋体"/>
        <charset val="134"/>
      </rPr>
      <t>美金</t>
    </r>
    <r>
      <rPr>
        <sz val="8"/>
        <rFont val="Arial"/>
        <charset val="134"/>
      </rPr>
      <t xml:space="preserve"> </t>
    </r>
    <r>
      <rPr>
        <sz val="8"/>
        <rFont val="宋体"/>
        <charset val="134"/>
      </rPr>
      <t>商检局徐老师</t>
    </r>
    <r>
      <rPr>
        <sz val="8"/>
        <rFont val="Arial"/>
        <charset val="134"/>
      </rPr>
      <t xml:space="preserve">Form E  </t>
    </r>
    <r>
      <rPr>
        <sz val="8"/>
        <rFont val="宋体"/>
        <charset val="134"/>
      </rPr>
      <t>预计</t>
    </r>
    <r>
      <rPr>
        <sz val="8"/>
        <rFont val="Arial"/>
        <charset val="134"/>
      </rPr>
      <t>21</t>
    </r>
    <r>
      <rPr>
        <sz val="8"/>
        <rFont val="宋体"/>
        <charset val="134"/>
      </rPr>
      <t>天到港</t>
    </r>
    <r>
      <rPr>
        <sz val="8"/>
        <rFont val="Arial"/>
        <charset val="134"/>
      </rPr>
      <t xml:space="preserve"> </t>
    </r>
    <r>
      <rPr>
        <sz val="8"/>
        <color rgb="FF0000FF"/>
        <rFont val="宋体"/>
        <charset val="134"/>
      </rPr>
      <t>电放</t>
    </r>
    <r>
      <rPr>
        <sz val="8"/>
        <rFont val="Arial"/>
        <charset val="134"/>
      </rPr>
      <t xml:space="preserve">  CV.Mitra inti Wahana  SAP.ID  7723142000 
PT.Abadi Medan Jaya Sempurna SAP.ID 8323518000</t>
    </r>
  </si>
  <si>
    <r>
      <rPr>
        <sz val="8"/>
        <color theme="1"/>
        <rFont val="Arial"/>
        <charset val="134"/>
      </rPr>
      <t>会昌订舱</t>
    </r>
    <r>
      <rPr>
        <sz val="8"/>
        <color theme="1"/>
        <rFont val="Arial"/>
        <charset val="134"/>
      </rPr>
      <t>650</t>
    </r>
    <r>
      <rPr>
        <sz val="8"/>
        <color theme="1"/>
        <rFont val="宋体"/>
        <charset val="134"/>
      </rPr>
      <t>，拖车报关</t>
    </r>
  </si>
  <si>
    <t>10000+10000+10000+20000</t>
  </si>
  <si>
    <t>J3595</t>
  </si>
  <si>
    <r>
      <rPr>
        <sz val="8"/>
        <rFont val="宋体"/>
        <charset val="134"/>
      </rPr>
      <t>印度</t>
    </r>
    <r>
      <rPr>
        <sz val="8"/>
        <rFont val="Arial"/>
        <charset val="134"/>
      </rPr>
      <t xml:space="preserve"> PR Ceiling (Akash)</t>
    </r>
  </si>
  <si>
    <r>
      <rPr>
        <sz val="8"/>
        <rFont val="Arial"/>
        <charset val="134"/>
      </rPr>
      <t>1x20</t>
    </r>
    <r>
      <rPr>
        <sz val="8"/>
        <rFont val="宋体"/>
        <charset val="134"/>
      </rPr>
      <t>烤漆</t>
    </r>
    <r>
      <rPr>
        <sz val="8"/>
        <rFont val="Arial"/>
        <charset val="134"/>
      </rPr>
      <t>+</t>
    </r>
    <r>
      <rPr>
        <sz val="8"/>
        <rFont val="宋体"/>
        <charset val="134"/>
      </rPr>
      <t>立体和黑线的各</t>
    </r>
    <r>
      <rPr>
        <sz val="8"/>
        <rFont val="Arial"/>
        <charset val="134"/>
      </rPr>
      <t>50</t>
    </r>
    <r>
      <rPr>
        <sz val="8"/>
        <rFont val="宋体"/>
        <charset val="134"/>
      </rPr>
      <t>套样品</t>
    </r>
  </si>
  <si>
    <t>xingang-piyala</t>
  </si>
  <si>
    <r>
      <rPr>
        <b/>
        <sz val="8"/>
        <rFont val="Arial"/>
        <charset val="134"/>
      </rPr>
      <t>DHL28 8316 6705</t>
    </r>
    <r>
      <rPr>
        <b/>
        <sz val="8"/>
        <color rgb="FF0000FF"/>
        <rFont val="Arial"/>
        <charset val="134"/>
      </rPr>
      <t xml:space="preserve"> </t>
    </r>
    <r>
      <rPr>
        <b/>
        <sz val="8"/>
        <rFont val="Arial"/>
        <charset val="134"/>
      </rPr>
      <t>BL</t>
    </r>
    <r>
      <rPr>
        <b/>
        <sz val="8"/>
        <rFont val="宋体"/>
        <charset val="134"/>
      </rPr>
      <t>正本</t>
    </r>
    <r>
      <rPr>
        <b/>
        <sz val="8"/>
        <rFont val="Arial"/>
        <charset val="134"/>
      </rPr>
      <t xml:space="preserve"> CO</t>
    </r>
    <r>
      <rPr>
        <b/>
        <sz val="8"/>
        <rFont val="宋体"/>
        <charset val="134"/>
      </rPr>
      <t>拿了</t>
    </r>
  </si>
  <si>
    <r>
      <rPr>
        <sz val="8"/>
        <color theme="1"/>
        <rFont val="Arial"/>
        <charset val="134"/>
      </rPr>
      <t>青</t>
    </r>
    <r>
      <rPr>
        <sz val="8"/>
        <color theme="1"/>
        <rFont val="Arial"/>
        <charset val="134"/>
      </rPr>
      <t xml:space="preserve"> </t>
    </r>
    <r>
      <rPr>
        <sz val="8"/>
        <color theme="1"/>
        <rFont val="宋体"/>
        <charset val="134"/>
      </rPr>
      <t>岛</t>
    </r>
    <r>
      <rPr>
        <sz val="8"/>
        <color theme="1"/>
        <rFont val="Arial"/>
        <charset val="134"/>
      </rPr>
      <t xml:space="preserve"> </t>
    </r>
    <r>
      <rPr>
        <sz val="8"/>
        <color theme="1"/>
        <rFont val="宋体"/>
        <charset val="134"/>
      </rPr>
      <t>泰</t>
    </r>
    <r>
      <rPr>
        <sz val="8"/>
        <color theme="1"/>
        <rFont val="Arial"/>
        <charset val="134"/>
      </rPr>
      <t xml:space="preserve"> </t>
    </r>
    <r>
      <rPr>
        <sz val="8"/>
        <color theme="1"/>
        <rFont val="宋体"/>
        <charset val="134"/>
      </rPr>
      <t>订舱，会昌拖车报关</t>
    </r>
  </si>
  <si>
    <t>J3608</t>
  </si>
  <si>
    <r>
      <rPr>
        <sz val="8"/>
        <rFont val="Arial"/>
        <charset val="134"/>
      </rPr>
      <t>3000</t>
    </r>
    <r>
      <rPr>
        <sz val="8"/>
        <rFont val="Cambria"/>
        <charset val="134"/>
      </rPr>
      <t>平米烤漆</t>
    </r>
    <r>
      <rPr>
        <sz val="8"/>
        <rFont val="Arial"/>
        <charset val="134"/>
      </rPr>
      <t xml:space="preserve"> </t>
    </r>
  </si>
  <si>
    <t>xingang-COCHIN, INDIA</t>
  </si>
  <si>
    <t>LCL LOAD</t>
  </si>
  <si>
    <t>J3619</t>
  </si>
  <si>
    <r>
      <rPr>
        <sz val="8"/>
        <rFont val="Arial"/>
        <charset val="134"/>
      </rPr>
      <t xml:space="preserve">1x20' </t>
    </r>
    <r>
      <rPr>
        <sz val="8"/>
        <rFont val="宋体"/>
        <charset val="134"/>
      </rPr>
      <t>白色烤漆</t>
    </r>
  </si>
  <si>
    <t>xingang-Buenaventura, Colombia</t>
  </si>
  <si>
    <r>
      <rPr>
        <sz val="8"/>
        <rFont val="宋体"/>
        <charset val="134"/>
      </rPr>
      <t>等客户回复是否寄</t>
    </r>
    <r>
      <rPr>
        <sz val="8"/>
        <rFont val="Arial"/>
        <charset val="134"/>
      </rPr>
      <t xml:space="preserve">CO  </t>
    </r>
    <r>
      <rPr>
        <sz val="8"/>
        <rFont val="宋体"/>
        <charset val="134"/>
      </rPr>
      <t>明辉达出</t>
    </r>
    <r>
      <rPr>
        <sz val="8"/>
        <rFont val="Arial"/>
        <charset val="134"/>
      </rPr>
      <t xml:space="preserve">CO </t>
    </r>
    <r>
      <rPr>
        <sz val="8"/>
        <rFont val="宋体"/>
        <charset val="134"/>
      </rPr>
      <t>电放</t>
    </r>
    <r>
      <rPr>
        <sz val="8"/>
        <rFont val="Arial"/>
        <charset val="134"/>
      </rPr>
      <t xml:space="preserve"> </t>
    </r>
    <r>
      <rPr>
        <sz val="8"/>
        <rFont val="宋体"/>
        <charset val="134"/>
      </rPr>
      <t>发票做给：</t>
    </r>
    <r>
      <rPr>
        <sz val="8"/>
        <rFont val="Arial"/>
        <charset val="134"/>
      </rPr>
      <t>JCLA Equipments</t>
    </r>
  </si>
  <si>
    <r>
      <rPr>
        <sz val="8"/>
        <color theme="1"/>
        <rFont val="宋体"/>
        <charset val="134"/>
      </rPr>
      <t>指定代理</t>
    </r>
    <r>
      <rPr>
        <sz val="8"/>
        <color theme="1"/>
        <rFont val="Arial"/>
        <charset val="134"/>
      </rPr>
      <t>Randy</t>
    </r>
    <r>
      <rPr>
        <sz val="8"/>
        <color theme="1"/>
        <rFont val="宋体"/>
        <charset val="134"/>
      </rPr>
      <t>达诺国际物流，会昌拖车，凯泽一达通报关</t>
    </r>
  </si>
  <si>
    <t>J3620</t>
  </si>
  <si>
    <r>
      <rPr>
        <sz val="8"/>
        <rFont val="Arial"/>
        <charset val="134"/>
      </rPr>
      <t>1x20'</t>
    </r>
    <r>
      <rPr>
        <sz val="8"/>
        <rFont val="宋体"/>
        <charset val="134"/>
      </rPr>
      <t>平面烤漆龙骨</t>
    </r>
  </si>
  <si>
    <t>xingang-New Delhi</t>
  </si>
  <si>
    <r>
      <rPr>
        <sz val="8"/>
        <rFont val="宋体"/>
        <charset val="134"/>
      </rPr>
      <t>箱单发票已发客户</t>
    </r>
    <r>
      <rPr>
        <sz val="8"/>
        <rFont val="Arial"/>
        <charset val="134"/>
      </rPr>
      <t xml:space="preserve">  </t>
    </r>
    <r>
      <rPr>
        <sz val="8"/>
        <color rgb="FF0000FF"/>
        <rFont val="宋体"/>
        <charset val="134"/>
      </rPr>
      <t>电放提单</t>
    </r>
    <r>
      <rPr>
        <sz val="8"/>
        <color rgb="FF0000FF"/>
        <rFont val="Arial"/>
        <charset val="134"/>
      </rPr>
      <t xml:space="preserve"> </t>
    </r>
    <r>
      <rPr>
        <sz val="8"/>
        <rFont val="宋体"/>
        <charset val="134"/>
      </rPr>
      <t>箱单发票发邮件</t>
    </r>
    <r>
      <rPr>
        <sz val="8"/>
        <rFont val="Arial"/>
        <charset val="134"/>
      </rPr>
      <t xml:space="preserve"> </t>
    </r>
  </si>
  <si>
    <r>
      <rPr>
        <sz val="8"/>
        <color theme="1"/>
        <rFont val="Arial"/>
        <charset val="134"/>
      </rPr>
      <t>会昌订舱</t>
    </r>
    <r>
      <rPr>
        <sz val="8"/>
        <color theme="1"/>
        <rFont val="Arial"/>
        <charset val="134"/>
      </rPr>
      <t>630</t>
    </r>
    <r>
      <rPr>
        <sz val="8"/>
        <color theme="1"/>
        <rFont val="宋体"/>
        <charset val="134"/>
      </rPr>
      <t>，拖车报关</t>
    </r>
  </si>
  <si>
    <r>
      <rPr>
        <b/>
        <sz val="8"/>
        <color rgb="FF0000FF"/>
        <rFont val="华文宋体"/>
        <charset val="134"/>
      </rPr>
      <t>本单应收</t>
    </r>
    <r>
      <rPr>
        <b/>
        <sz val="8"/>
        <color rgb="FF0000FF"/>
        <rFont val="Arial"/>
        <charset val="134"/>
      </rPr>
      <t>USD1</t>
    </r>
  </si>
  <si>
    <t>J3611</t>
  </si>
  <si>
    <r>
      <rPr>
        <sz val="8"/>
        <color rgb="FF0000FF"/>
        <rFont val="Arial"/>
        <charset val="134"/>
      </rPr>
      <t xml:space="preserve">DHL2931954900 </t>
    </r>
    <r>
      <rPr>
        <sz val="8"/>
        <rFont val="Arial"/>
        <charset val="134"/>
      </rPr>
      <t>CO</t>
    </r>
    <r>
      <rPr>
        <sz val="8"/>
        <rFont val="宋体"/>
        <charset val="134"/>
      </rPr>
      <t>拿了，指定代理</t>
    </r>
  </si>
  <si>
    <r>
      <rPr>
        <sz val="8"/>
        <color theme="1"/>
        <rFont val="Arial"/>
        <charset val="134"/>
      </rPr>
      <t>summer</t>
    </r>
    <r>
      <rPr>
        <sz val="8"/>
        <color theme="1"/>
        <rFont val="宋体"/>
        <charset val="134"/>
      </rPr>
      <t>订舱，会昌拖车，金凯一达通报关</t>
    </r>
  </si>
  <si>
    <t>J3626</t>
  </si>
  <si>
    <r>
      <rPr>
        <sz val="8"/>
        <rFont val="宋体"/>
        <charset val="134"/>
      </rPr>
      <t>印度</t>
    </r>
    <r>
      <rPr>
        <sz val="8"/>
        <rFont val="Arial"/>
        <charset val="134"/>
      </rPr>
      <t xml:space="preserve"> shree/Hanuman</t>
    </r>
  </si>
  <si>
    <r>
      <rPr>
        <sz val="8"/>
        <rFont val="Arial"/>
        <charset val="134"/>
      </rPr>
      <t>1x20’</t>
    </r>
    <r>
      <rPr>
        <sz val="8"/>
        <rFont val="宋体"/>
        <charset val="134"/>
      </rPr>
      <t>烤漆</t>
    </r>
  </si>
  <si>
    <t>xingang-NHAVA SHEVA</t>
  </si>
  <si>
    <r>
      <rPr>
        <sz val="8"/>
        <rFont val="Arial"/>
        <charset val="134"/>
      </rPr>
      <t>等款电放</t>
    </r>
    <r>
      <rPr>
        <sz val="8"/>
        <rFont val="Arial"/>
        <charset val="134"/>
      </rPr>
      <t xml:space="preserve"> CO</t>
    </r>
    <r>
      <rPr>
        <sz val="8"/>
        <rFont val="宋体"/>
        <charset val="134"/>
      </rPr>
      <t>拿了</t>
    </r>
    <r>
      <rPr>
        <sz val="8"/>
        <color rgb="FF0000FF"/>
        <rFont val="Arial"/>
        <charset val="134"/>
      </rPr>
      <t xml:space="preserve"> </t>
    </r>
    <r>
      <rPr>
        <sz val="8"/>
        <rFont val="宋体"/>
        <charset val="134"/>
      </rPr>
      <t>同</t>
    </r>
    <r>
      <rPr>
        <sz val="8"/>
        <rFont val="Arial"/>
        <charset val="134"/>
      </rPr>
      <t>J3429</t>
    </r>
    <r>
      <rPr>
        <sz val="8"/>
        <rFont val="宋体"/>
        <charset val="134"/>
      </rPr>
      <t>电放</t>
    </r>
    <r>
      <rPr>
        <sz val="8"/>
        <rFont val="Arial"/>
        <charset val="134"/>
      </rPr>
      <t xml:space="preserve"> </t>
    </r>
    <r>
      <rPr>
        <sz val="8"/>
        <rFont val="宋体"/>
        <charset val="134"/>
      </rPr>
      <t>走金凯一达通报关</t>
    </r>
  </si>
  <si>
    <t>明海国际，鸣远拖车，金凯一达通报关</t>
  </si>
  <si>
    <t>J3631-6</t>
  </si>
  <si>
    <t>xiangang-Jebel Ali, UAE</t>
  </si>
  <si>
    <r>
      <rPr>
        <sz val="8"/>
        <rFont val="Arial"/>
        <charset val="134"/>
      </rPr>
      <t>CO J3631-6</t>
    </r>
    <r>
      <rPr>
        <sz val="8"/>
        <rFont val="宋体"/>
        <charset val="134"/>
      </rPr>
      <t>走</t>
    </r>
    <r>
      <rPr>
        <sz val="8"/>
        <rFont val="Arial"/>
        <charset val="134"/>
      </rPr>
      <t>3</t>
    </r>
    <r>
      <rPr>
        <sz val="8"/>
        <rFont val="宋体"/>
        <charset val="134"/>
      </rPr>
      <t>个</t>
    </r>
    <r>
      <rPr>
        <sz val="8"/>
        <rFont val="Arial"/>
        <charset val="134"/>
      </rPr>
      <t xml:space="preserve"> J3631-5</t>
    </r>
    <r>
      <rPr>
        <sz val="8"/>
        <rFont val="宋体"/>
        <charset val="134"/>
      </rPr>
      <t>走了</t>
    </r>
    <r>
      <rPr>
        <sz val="8"/>
        <rFont val="Arial"/>
        <charset val="134"/>
      </rPr>
      <t>1</t>
    </r>
    <r>
      <rPr>
        <sz val="8"/>
        <rFont val="宋体"/>
        <charset val="134"/>
      </rPr>
      <t>个</t>
    </r>
    <r>
      <rPr>
        <sz val="8"/>
        <rFont val="Arial"/>
        <charset val="134"/>
      </rPr>
      <t xml:space="preserve"> J3631-4</t>
    </r>
    <r>
      <rPr>
        <sz val="8"/>
        <rFont val="宋体"/>
        <charset val="134"/>
      </rPr>
      <t>走</t>
    </r>
    <r>
      <rPr>
        <sz val="8"/>
        <rFont val="Arial"/>
        <charset val="134"/>
      </rPr>
      <t>3</t>
    </r>
    <r>
      <rPr>
        <sz val="8"/>
        <rFont val="宋体"/>
        <charset val="134"/>
      </rPr>
      <t>柜</t>
    </r>
    <r>
      <rPr>
        <sz val="8"/>
        <rFont val="Arial"/>
        <charset val="134"/>
      </rPr>
      <t xml:space="preserve"> J3631-3</t>
    </r>
    <r>
      <rPr>
        <sz val="8"/>
        <rFont val="宋体"/>
        <charset val="134"/>
      </rPr>
      <t>走</t>
    </r>
    <r>
      <rPr>
        <sz val="8"/>
        <rFont val="Arial"/>
        <charset val="134"/>
      </rPr>
      <t>1</t>
    </r>
    <r>
      <rPr>
        <sz val="8"/>
        <rFont val="宋体"/>
        <charset val="134"/>
      </rPr>
      <t>柜</t>
    </r>
    <r>
      <rPr>
        <sz val="8"/>
        <rFont val="Arial"/>
        <charset val="134"/>
      </rPr>
      <t xml:space="preserve"> J3631-2</t>
    </r>
    <r>
      <rPr>
        <sz val="8"/>
        <rFont val="宋体"/>
        <charset val="134"/>
      </rPr>
      <t>走了两个</t>
    </r>
    <r>
      <rPr>
        <sz val="8"/>
        <rFont val="Arial"/>
        <charset val="134"/>
      </rPr>
      <t>J3631-1</t>
    </r>
    <r>
      <rPr>
        <sz val="8"/>
        <rFont val="宋体"/>
        <charset val="134"/>
      </rPr>
      <t>走</t>
    </r>
    <r>
      <rPr>
        <sz val="8"/>
        <rFont val="Arial"/>
        <charset val="134"/>
      </rPr>
      <t>1</t>
    </r>
    <r>
      <rPr>
        <sz val="8"/>
        <rFont val="宋体"/>
        <charset val="134"/>
      </rPr>
      <t>个</t>
    </r>
    <r>
      <rPr>
        <sz val="8"/>
        <rFont val="Arial"/>
        <charset val="134"/>
      </rPr>
      <t xml:space="preserve">  12</t>
    </r>
    <r>
      <rPr>
        <sz val="8"/>
        <rFont val="宋体"/>
        <charset val="134"/>
      </rPr>
      <t>月</t>
    </r>
    <r>
      <rPr>
        <sz val="8"/>
        <rFont val="Arial"/>
        <charset val="134"/>
      </rPr>
      <t>20-30</t>
    </r>
    <r>
      <rPr>
        <sz val="8"/>
        <rFont val="宋体"/>
        <charset val="134"/>
      </rPr>
      <t>号不能到港</t>
    </r>
    <r>
      <rPr>
        <sz val="8"/>
        <rFont val="Arial"/>
        <charset val="134"/>
      </rPr>
      <t xml:space="preserve">  </t>
    </r>
    <r>
      <rPr>
        <sz val="8"/>
        <rFont val="宋体"/>
        <charset val="134"/>
      </rPr>
      <t>共</t>
    </r>
    <r>
      <rPr>
        <sz val="8"/>
        <rFont val="Arial"/>
        <charset val="134"/>
      </rPr>
      <t>11</t>
    </r>
    <r>
      <rPr>
        <sz val="8"/>
        <rFont val="宋体"/>
        <charset val="134"/>
      </rPr>
      <t>个柜</t>
    </r>
  </si>
  <si>
    <r>
      <rPr>
        <sz val="8"/>
        <color theme="1"/>
        <rFont val="Arial"/>
        <charset val="134"/>
      </rPr>
      <t>世倡订舱</t>
    </r>
    <r>
      <rPr>
        <sz val="8"/>
        <color theme="1"/>
        <rFont val="Arial"/>
        <charset val="134"/>
      </rPr>
      <t>MSC</t>
    </r>
    <r>
      <rPr>
        <sz val="8"/>
        <color theme="1"/>
        <rFont val="宋体"/>
        <charset val="134"/>
      </rPr>
      <t>，鸣远拖车报关</t>
    </r>
  </si>
  <si>
    <t>J3630-1</t>
  </si>
  <si>
    <r>
      <rPr>
        <sz val="8"/>
        <rFont val="Arial"/>
        <charset val="134"/>
      </rPr>
      <t>DHL8980012720 CCPIT CO</t>
    </r>
    <r>
      <rPr>
        <sz val="8"/>
        <rFont val="宋体"/>
        <charset val="134"/>
      </rPr>
      <t>拿了</t>
    </r>
    <r>
      <rPr>
        <sz val="8"/>
        <rFont val="Arial"/>
        <charset val="134"/>
      </rPr>
      <t xml:space="preserve"> J3630-1</t>
    </r>
    <r>
      <rPr>
        <sz val="8"/>
        <rFont val="宋体"/>
        <charset val="134"/>
      </rPr>
      <t>两柜</t>
    </r>
    <r>
      <rPr>
        <sz val="8"/>
        <rFont val="Arial"/>
        <charset val="134"/>
      </rPr>
      <t xml:space="preserve"> </t>
    </r>
    <r>
      <rPr>
        <sz val="8"/>
        <rFont val="宋体"/>
        <charset val="134"/>
      </rPr>
      <t>安排</t>
    </r>
    <r>
      <rPr>
        <sz val="8"/>
        <rFont val="Arial"/>
        <charset val="134"/>
      </rPr>
      <t>5</t>
    </r>
    <r>
      <rPr>
        <sz val="8"/>
        <rFont val="宋体"/>
        <charset val="134"/>
      </rPr>
      <t>号装</t>
    </r>
  </si>
  <si>
    <t>深圳世倡，会昌拖车</t>
  </si>
  <si>
    <t>J3631-1</t>
  </si>
  <si>
    <r>
      <rPr>
        <sz val="8"/>
        <rFont val="Arial"/>
        <charset val="134"/>
      </rPr>
      <t>DHL8979993606 CO</t>
    </r>
    <r>
      <rPr>
        <sz val="8"/>
        <rFont val="宋体"/>
        <charset val="134"/>
      </rPr>
      <t>拿了</t>
    </r>
    <r>
      <rPr>
        <sz val="8"/>
        <rFont val="Arial"/>
        <charset val="134"/>
      </rPr>
      <t xml:space="preserve"> 12</t>
    </r>
    <r>
      <rPr>
        <sz val="8"/>
        <rFont val="宋体"/>
        <charset val="134"/>
      </rPr>
      <t>月</t>
    </r>
    <r>
      <rPr>
        <sz val="8"/>
        <rFont val="Arial"/>
        <charset val="134"/>
      </rPr>
      <t>20-30</t>
    </r>
    <r>
      <rPr>
        <sz val="8"/>
        <rFont val="宋体"/>
        <charset val="134"/>
      </rPr>
      <t>号不能到港</t>
    </r>
  </si>
  <si>
    <t>世昌订舱，鸣远张涛拖车报关</t>
  </si>
  <si>
    <t>J3631-2</t>
  </si>
  <si>
    <r>
      <rPr>
        <sz val="8"/>
        <rFont val="Arial"/>
        <charset val="134"/>
      </rPr>
      <t>DHL3787304334 BL</t>
    </r>
    <r>
      <rPr>
        <sz val="8"/>
        <rFont val="宋体"/>
        <charset val="134"/>
      </rPr>
      <t>正本到了</t>
    </r>
    <r>
      <rPr>
        <sz val="8"/>
        <rFont val="Arial"/>
        <charset val="134"/>
      </rPr>
      <t xml:space="preserve"> CO</t>
    </r>
    <r>
      <rPr>
        <sz val="8"/>
        <rFont val="宋体"/>
        <charset val="134"/>
      </rPr>
      <t>拿了</t>
    </r>
  </si>
  <si>
    <t>世昌订舱，张涛拖车报关</t>
  </si>
  <si>
    <t>J3631-3</t>
  </si>
  <si>
    <r>
      <rPr>
        <sz val="8"/>
        <rFont val="Arial"/>
        <charset val="134"/>
      </rPr>
      <t xml:space="preserve">DHL 8975737713 </t>
    </r>
    <r>
      <rPr>
        <sz val="8"/>
        <rFont val="宋体"/>
        <charset val="134"/>
      </rPr>
      <t>单据齐，</t>
    </r>
    <r>
      <rPr>
        <sz val="8"/>
        <rFont val="Arial"/>
        <charset val="134"/>
      </rPr>
      <t>BL</t>
    </r>
    <r>
      <rPr>
        <sz val="8"/>
        <rFont val="宋体"/>
        <charset val="134"/>
      </rPr>
      <t>正本到了</t>
    </r>
    <r>
      <rPr>
        <sz val="8"/>
        <rFont val="Arial"/>
        <charset val="134"/>
      </rPr>
      <t xml:space="preserve"> CO</t>
    </r>
    <r>
      <rPr>
        <sz val="8"/>
        <rFont val="宋体"/>
        <charset val="134"/>
      </rPr>
      <t>拿了</t>
    </r>
  </si>
  <si>
    <t>J3631-4</t>
  </si>
  <si>
    <r>
      <rPr>
        <sz val="8"/>
        <rFont val="Arial"/>
        <charset val="134"/>
      </rPr>
      <t xml:space="preserve">DHL3785705711 </t>
    </r>
    <r>
      <rPr>
        <sz val="8"/>
        <rFont val="宋体"/>
        <charset val="134"/>
      </rPr>
      <t>单据齐</t>
    </r>
    <r>
      <rPr>
        <sz val="8"/>
        <rFont val="Arial"/>
        <charset val="134"/>
      </rPr>
      <t xml:space="preserve"> </t>
    </r>
    <r>
      <rPr>
        <sz val="8"/>
        <rFont val="宋体"/>
        <charset val="134"/>
      </rPr>
      <t>已发客户</t>
    </r>
    <r>
      <rPr>
        <sz val="8"/>
        <rFont val="Arial"/>
        <charset val="134"/>
      </rPr>
      <t xml:space="preserve"> CO</t>
    </r>
    <r>
      <rPr>
        <sz val="8"/>
        <rFont val="宋体"/>
        <charset val="134"/>
      </rPr>
      <t>拿了</t>
    </r>
  </si>
  <si>
    <t>世昌订舱，鸣远张涛拖车</t>
  </si>
  <si>
    <t>J3631-5</t>
  </si>
  <si>
    <r>
      <rPr>
        <sz val="8"/>
        <rFont val="Arial"/>
        <charset val="134"/>
      </rPr>
      <t>DHL9879986852</t>
    </r>
    <r>
      <rPr>
        <sz val="8"/>
        <rFont val="宋体"/>
        <charset val="134"/>
      </rPr>
      <t>单据齐</t>
    </r>
    <r>
      <rPr>
        <sz val="8"/>
        <rFont val="Arial"/>
        <charset val="134"/>
      </rPr>
      <t xml:space="preserve">  CO</t>
    </r>
  </si>
  <si>
    <t>J3630-6</t>
  </si>
  <si>
    <r>
      <rPr>
        <sz val="8"/>
        <rFont val="宋体"/>
        <charset val="134"/>
      </rPr>
      <t>单据已发客户</t>
    </r>
    <r>
      <rPr>
        <sz val="8"/>
        <rFont val="Arial"/>
        <charset val="134"/>
      </rPr>
      <t xml:space="preserve"> </t>
    </r>
    <r>
      <rPr>
        <sz val="8"/>
        <rFont val="宋体"/>
        <charset val="134"/>
      </rPr>
      <t>扫描件有了</t>
    </r>
    <r>
      <rPr>
        <sz val="8"/>
        <rFont val="Arial"/>
        <charset val="134"/>
      </rPr>
      <t xml:space="preserve"> CCPIT CO  J3630-1</t>
    </r>
    <r>
      <rPr>
        <sz val="8"/>
        <rFont val="宋体"/>
        <charset val="134"/>
      </rPr>
      <t>走了两柜</t>
    </r>
    <r>
      <rPr>
        <sz val="8"/>
        <rFont val="Arial"/>
        <charset val="134"/>
      </rPr>
      <t>J3630-2</t>
    </r>
    <r>
      <rPr>
        <sz val="8"/>
        <rFont val="宋体"/>
        <charset val="134"/>
      </rPr>
      <t>走</t>
    </r>
    <r>
      <rPr>
        <sz val="8"/>
        <rFont val="Arial"/>
        <charset val="134"/>
      </rPr>
      <t>2</t>
    </r>
    <r>
      <rPr>
        <sz val="8"/>
        <rFont val="宋体"/>
        <charset val="134"/>
      </rPr>
      <t>个</t>
    </r>
    <r>
      <rPr>
        <sz val="8"/>
        <rFont val="Arial"/>
        <charset val="134"/>
      </rPr>
      <t xml:space="preserve"> J3630-3</t>
    </r>
    <r>
      <rPr>
        <sz val="8"/>
        <rFont val="宋体"/>
        <charset val="134"/>
      </rPr>
      <t>走</t>
    </r>
    <r>
      <rPr>
        <sz val="8"/>
        <rFont val="Arial"/>
        <charset val="134"/>
      </rPr>
      <t>1</t>
    </r>
    <r>
      <rPr>
        <sz val="8"/>
        <rFont val="宋体"/>
        <charset val="134"/>
      </rPr>
      <t>柜</t>
    </r>
    <r>
      <rPr>
        <sz val="8"/>
        <rFont val="Arial"/>
        <charset val="134"/>
      </rPr>
      <t xml:space="preserve"> J3630-4</t>
    </r>
    <r>
      <rPr>
        <sz val="8"/>
        <rFont val="宋体"/>
        <charset val="134"/>
      </rPr>
      <t>走</t>
    </r>
    <r>
      <rPr>
        <sz val="8"/>
        <rFont val="Arial"/>
        <charset val="134"/>
      </rPr>
      <t>3</t>
    </r>
    <r>
      <rPr>
        <sz val="8"/>
        <rFont val="宋体"/>
        <charset val="134"/>
      </rPr>
      <t>柜</t>
    </r>
    <r>
      <rPr>
        <sz val="8"/>
        <rFont val="Arial"/>
        <charset val="134"/>
      </rPr>
      <t xml:space="preserve"> J3630-5</t>
    </r>
    <r>
      <rPr>
        <sz val="8"/>
        <rFont val="宋体"/>
        <charset val="134"/>
      </rPr>
      <t>走</t>
    </r>
    <r>
      <rPr>
        <sz val="8"/>
        <rFont val="Arial"/>
        <charset val="134"/>
      </rPr>
      <t>2</t>
    </r>
    <r>
      <rPr>
        <sz val="8"/>
        <rFont val="宋体"/>
        <charset val="134"/>
      </rPr>
      <t>个</t>
    </r>
    <r>
      <rPr>
        <sz val="8"/>
        <rFont val="Arial"/>
        <charset val="134"/>
      </rPr>
      <t xml:space="preserve">     </t>
    </r>
    <r>
      <rPr>
        <sz val="8"/>
        <rFont val="宋体"/>
        <charset val="134"/>
      </rPr>
      <t>共</t>
    </r>
    <r>
      <rPr>
        <sz val="8"/>
        <rFont val="Arial"/>
        <charset val="134"/>
      </rPr>
      <t>13</t>
    </r>
    <r>
      <rPr>
        <sz val="8"/>
        <rFont val="宋体"/>
        <charset val="134"/>
      </rPr>
      <t>个柜</t>
    </r>
  </si>
  <si>
    <r>
      <rPr>
        <sz val="8"/>
        <color theme="1"/>
        <rFont val="Arial"/>
        <charset val="134"/>
      </rPr>
      <t>世倡订舱</t>
    </r>
    <r>
      <rPr>
        <sz val="8"/>
        <color theme="1"/>
        <rFont val="Arial"/>
        <charset val="134"/>
      </rPr>
      <t>RCL</t>
    </r>
    <r>
      <rPr>
        <sz val="8"/>
        <color theme="1"/>
        <rFont val="宋体"/>
        <charset val="134"/>
      </rPr>
      <t>，鸣远拖车报关</t>
    </r>
  </si>
  <si>
    <t>J3630-2</t>
  </si>
  <si>
    <r>
      <rPr>
        <sz val="8"/>
        <rFont val="Arial"/>
        <charset val="134"/>
      </rPr>
      <t>DHL3787296225 CCPIT CO</t>
    </r>
    <r>
      <rPr>
        <sz val="8"/>
        <rFont val="宋体"/>
        <charset val="134"/>
      </rPr>
      <t>拿了</t>
    </r>
    <r>
      <rPr>
        <sz val="8"/>
        <rFont val="Arial"/>
        <charset val="134"/>
      </rPr>
      <t xml:space="preserve"> </t>
    </r>
  </si>
  <si>
    <t>J3630-3</t>
  </si>
  <si>
    <r>
      <rPr>
        <sz val="8"/>
        <rFont val="华文宋体"/>
        <charset val="134"/>
      </rPr>
      <t>迪拜</t>
    </r>
    <r>
      <rPr>
        <sz val="8"/>
        <rFont val="Arial"/>
        <charset val="134"/>
      </rPr>
      <t xml:space="preserve"> DANUBE </t>
    </r>
    <r>
      <rPr>
        <sz val="8"/>
        <rFont val="宋体"/>
        <charset val="134"/>
      </rPr>
      <t>肖勇</t>
    </r>
    <r>
      <rPr>
        <sz val="8"/>
        <rFont val="Arial"/>
        <charset val="134"/>
      </rPr>
      <t>Henry</t>
    </r>
  </si>
  <si>
    <r>
      <rPr>
        <sz val="8"/>
        <rFont val="Arial"/>
        <charset val="134"/>
      </rPr>
      <t xml:space="preserve">DHL 7336673186 </t>
    </r>
    <r>
      <rPr>
        <sz val="8"/>
        <rFont val="宋体"/>
        <charset val="134"/>
      </rPr>
      <t>单据已发客户</t>
    </r>
    <r>
      <rPr>
        <sz val="8"/>
        <rFont val="Arial"/>
        <charset val="134"/>
      </rPr>
      <t xml:space="preserve"> CCPIT</t>
    </r>
    <r>
      <rPr>
        <sz val="8"/>
        <color rgb="FF0000FF"/>
        <rFont val="Arial"/>
        <charset val="134"/>
      </rPr>
      <t xml:space="preserve">  </t>
    </r>
    <r>
      <rPr>
        <sz val="8"/>
        <color rgb="FF000000"/>
        <rFont val="Arial"/>
        <charset val="134"/>
      </rPr>
      <t>BL</t>
    </r>
    <r>
      <rPr>
        <sz val="8"/>
        <color rgb="FF000000"/>
        <rFont val="宋体"/>
        <charset val="134"/>
      </rPr>
      <t>正本到了</t>
    </r>
    <r>
      <rPr>
        <sz val="8"/>
        <rFont val="Arial"/>
        <charset val="134"/>
      </rPr>
      <t>CO</t>
    </r>
    <r>
      <rPr>
        <sz val="8"/>
        <rFont val="宋体"/>
        <charset val="134"/>
      </rPr>
      <t>拿了</t>
    </r>
  </si>
  <si>
    <t>J3630-4</t>
  </si>
  <si>
    <r>
      <rPr>
        <sz val="8"/>
        <rFont val="Arial"/>
        <charset val="134"/>
      </rPr>
      <t xml:space="preserve">DHL3785708360 </t>
    </r>
    <r>
      <rPr>
        <sz val="8"/>
        <rFont val="宋体"/>
        <charset val="134"/>
      </rPr>
      <t>单据齐已发客户</t>
    </r>
    <r>
      <rPr>
        <sz val="8"/>
        <rFont val="Arial"/>
        <charset val="134"/>
      </rPr>
      <t>CCPIT CO</t>
    </r>
    <r>
      <rPr>
        <sz val="8"/>
        <rFont val="宋体"/>
        <charset val="134"/>
      </rPr>
      <t>齐了</t>
    </r>
  </si>
  <si>
    <t>J3630-5</t>
  </si>
  <si>
    <r>
      <rPr>
        <sz val="8"/>
        <rFont val="Arial"/>
        <charset val="134"/>
      </rPr>
      <t>DHL 9879991100</t>
    </r>
    <r>
      <rPr>
        <sz val="8"/>
        <rFont val="宋体"/>
        <charset val="134"/>
      </rPr>
      <t>单据齐已发客户</t>
    </r>
    <r>
      <rPr>
        <sz val="8"/>
        <rFont val="Arial"/>
        <charset val="134"/>
      </rPr>
      <t>CCPIT CO</t>
    </r>
    <r>
      <rPr>
        <sz val="8"/>
        <rFont val="宋体"/>
        <charset val="134"/>
      </rPr>
      <t>齐了</t>
    </r>
  </si>
  <si>
    <t>M3628-1</t>
  </si>
  <si>
    <t>xingang-alexandria old port</t>
  </si>
  <si>
    <r>
      <rPr>
        <sz val="8"/>
        <color rgb="FF0000FF"/>
        <rFont val="Arial"/>
        <charset val="134"/>
      </rPr>
      <t xml:space="preserve">DHL4190066086   </t>
    </r>
    <r>
      <rPr>
        <sz val="8"/>
        <rFont val="宋体"/>
        <charset val="134"/>
      </rPr>
      <t>低报发票的</t>
    </r>
    <r>
      <rPr>
        <sz val="8"/>
        <rFont val="Arial"/>
        <charset val="134"/>
      </rPr>
      <t>CCPIT</t>
    </r>
    <r>
      <rPr>
        <sz val="8"/>
        <rFont val="宋体"/>
        <charset val="134"/>
      </rPr>
      <t>（低报发票客户确认了）</t>
    </r>
    <r>
      <rPr>
        <sz val="8"/>
        <rFont val="Arial"/>
        <charset val="134"/>
      </rPr>
      <t xml:space="preserve"> </t>
    </r>
    <r>
      <rPr>
        <sz val="8"/>
        <rFont val="宋体"/>
        <charset val="134"/>
      </rPr>
      <t>明辉达出</t>
    </r>
    <r>
      <rPr>
        <sz val="8"/>
        <rFont val="Arial"/>
        <charset val="134"/>
      </rPr>
      <t>CO</t>
    </r>
    <r>
      <rPr>
        <sz val="8"/>
        <rFont val="宋体"/>
        <charset val="134"/>
      </rPr>
      <t>和埃及使馆认证</t>
    </r>
    <r>
      <rPr>
        <sz val="8"/>
        <rFont val="Arial"/>
        <charset val="134"/>
      </rPr>
      <t xml:space="preserve">  HS code 721699  legalized C/O  alexandria old port </t>
    </r>
    <r>
      <rPr>
        <sz val="8"/>
        <rFont val="宋体"/>
        <charset val="134"/>
      </rPr>
      <t>定金一共</t>
    </r>
    <r>
      <rPr>
        <sz val="8"/>
        <rFont val="Arial"/>
        <charset val="134"/>
      </rPr>
      <t>1058</t>
    </r>
    <r>
      <rPr>
        <sz val="8"/>
        <rFont val="宋体"/>
        <charset val="134"/>
      </rPr>
      <t>这次用掉</t>
    </r>
    <r>
      <rPr>
        <sz val="8"/>
        <rFont val="Arial"/>
        <charset val="134"/>
      </rPr>
      <t xml:space="preserve">5000 </t>
    </r>
    <r>
      <rPr>
        <sz val="8"/>
        <rFont val="宋体"/>
        <charset val="134"/>
      </rPr>
      <t>配件用五千</t>
    </r>
    <r>
      <rPr>
        <sz val="8"/>
        <rFont val="Arial"/>
        <charset val="134"/>
      </rPr>
      <t xml:space="preserve">  30%TT 70%D/P</t>
    </r>
  </si>
  <si>
    <t>华迈订舱，鸣远拖车，凯泽一达通</t>
  </si>
  <si>
    <t>M3628-2</t>
  </si>
  <si>
    <r>
      <rPr>
        <sz val="8"/>
        <rFont val="Arial"/>
        <charset val="134"/>
      </rPr>
      <t>1x20</t>
    </r>
    <r>
      <rPr>
        <sz val="8"/>
        <rFont val="宋体"/>
        <charset val="134"/>
      </rPr>
      <t>配件</t>
    </r>
  </si>
  <si>
    <t>xingang-ain sokhna</t>
  </si>
  <si>
    <r>
      <rPr>
        <sz val="8"/>
        <rFont val="Arial"/>
        <charset val="134"/>
      </rPr>
      <t>DHL6383529213</t>
    </r>
    <r>
      <rPr>
        <sz val="8"/>
        <rFont val="宋体"/>
        <charset val="134"/>
      </rPr>
      <t>邮寄地址改收货人名字</t>
    </r>
    <r>
      <rPr>
        <sz val="8"/>
        <rFont val="Arial"/>
        <charset val="134"/>
      </rPr>
      <t>Ahmed Abd El salam  6</t>
    </r>
    <r>
      <rPr>
        <sz val="8"/>
        <rFont val="宋体"/>
        <charset val="134"/>
      </rPr>
      <t>号装柜</t>
    </r>
    <r>
      <rPr>
        <sz val="8"/>
        <rFont val="Arial"/>
        <charset val="134"/>
      </rPr>
      <t>7</t>
    </r>
    <r>
      <rPr>
        <sz val="8"/>
        <rFont val="宋体"/>
        <charset val="134"/>
      </rPr>
      <t>号上午</t>
    </r>
    <r>
      <rPr>
        <sz val="8"/>
        <rFont val="Arial"/>
        <charset val="134"/>
      </rPr>
      <t>10</t>
    </r>
    <r>
      <rPr>
        <sz val="8"/>
        <rFont val="宋体"/>
        <charset val="134"/>
      </rPr>
      <t>点报数据</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rFont val="Arial"/>
        <charset val="134"/>
      </rPr>
      <t xml:space="preserve"> Hscode for nuts 731816  </t>
    </r>
    <r>
      <rPr>
        <sz val="8"/>
        <rFont val="宋体"/>
        <charset val="134"/>
      </rPr>
      <t>和</t>
    </r>
    <r>
      <rPr>
        <sz val="8"/>
        <rFont val="Arial"/>
        <charset val="134"/>
      </rPr>
      <t>J3659</t>
    </r>
    <r>
      <rPr>
        <sz val="8"/>
        <rFont val="宋体"/>
        <charset val="134"/>
      </rPr>
      <t>一起走</t>
    </r>
  </si>
  <si>
    <r>
      <rPr>
        <sz val="8"/>
        <color theme="1"/>
        <rFont val="Arial"/>
        <charset val="134"/>
      </rPr>
      <t>信航道</t>
    </r>
    <r>
      <rPr>
        <sz val="8"/>
        <color theme="1"/>
        <rFont val="Arial"/>
        <charset val="134"/>
      </rPr>
      <t>LINDA</t>
    </r>
    <r>
      <rPr>
        <sz val="8"/>
        <color theme="1"/>
        <rFont val="宋体"/>
        <charset val="134"/>
      </rPr>
      <t>，迪斯泰拖车报关</t>
    </r>
  </si>
  <si>
    <r>
      <rPr>
        <b/>
        <sz val="8"/>
        <rFont val="华文宋体"/>
        <charset val="134"/>
      </rPr>
      <t>本单应收</t>
    </r>
    <r>
      <rPr>
        <sz val="9"/>
        <rFont val="Arial"/>
        <charset val="134"/>
      </rPr>
      <t>38.60</t>
    </r>
  </si>
  <si>
    <r>
      <rPr>
        <b/>
        <sz val="8"/>
        <color rgb="FF0000FF"/>
        <rFont val="Arial"/>
        <charset val="134"/>
      </rPr>
      <t>2020.1.20</t>
    </r>
    <r>
      <rPr>
        <b/>
        <sz val="8"/>
        <color rgb="FF0000FF"/>
        <rFont val="宋体"/>
        <charset val="134"/>
      </rPr>
      <t>打人民币</t>
    </r>
    <r>
      <rPr>
        <b/>
        <sz val="8"/>
        <color rgb="FF0000FF"/>
        <rFont val="Arial"/>
        <charset val="134"/>
      </rPr>
      <t xml:space="preserve">25600  </t>
    </r>
    <r>
      <rPr>
        <b/>
        <sz val="8"/>
        <color rgb="FF0000FF"/>
        <rFont val="宋体"/>
        <charset val="134"/>
      </rPr>
      <t>汇率</t>
    </r>
    <r>
      <rPr>
        <b/>
        <sz val="8"/>
        <color rgb="FF0000FF"/>
        <rFont val="Arial"/>
        <charset val="134"/>
      </rPr>
      <t xml:space="preserve">6.847 </t>
    </r>
    <r>
      <rPr>
        <b/>
        <sz val="8"/>
        <color rgb="FF0000FF"/>
        <rFont val="宋体"/>
        <charset val="134"/>
      </rPr>
      <t>折合</t>
    </r>
    <r>
      <rPr>
        <b/>
        <sz val="8"/>
        <color rgb="FF0000FF"/>
        <rFont val="Arial"/>
        <charset val="134"/>
      </rPr>
      <t>3739</t>
    </r>
    <r>
      <rPr>
        <b/>
        <sz val="8"/>
        <color rgb="FF0000FF"/>
        <rFont val="宋体"/>
        <charset val="134"/>
      </rPr>
      <t>美金</t>
    </r>
    <r>
      <rPr>
        <b/>
        <sz val="8"/>
        <color rgb="FF0000FF"/>
        <rFont val="Arial"/>
        <charset val="134"/>
      </rPr>
      <t xml:space="preserve">
2020.1.21</t>
    </r>
    <r>
      <rPr>
        <b/>
        <sz val="8"/>
        <color rgb="FF0000FF"/>
        <rFont val="宋体"/>
        <charset val="134"/>
      </rPr>
      <t>打</t>
    </r>
    <r>
      <rPr>
        <b/>
        <sz val="8"/>
        <color rgb="FF0000FF"/>
        <rFont val="Arial"/>
        <charset val="134"/>
      </rPr>
      <t xml:space="preserve">RMB30075 </t>
    </r>
    <r>
      <rPr>
        <b/>
        <sz val="8"/>
        <color rgb="FF0000FF"/>
        <rFont val="宋体"/>
        <charset val="134"/>
      </rPr>
      <t>折合美金</t>
    </r>
    <r>
      <rPr>
        <b/>
        <sz val="8"/>
        <color rgb="FF0000FF"/>
        <rFont val="Arial"/>
        <charset val="134"/>
      </rPr>
      <t xml:space="preserve">4392.4
</t>
    </r>
  </si>
  <si>
    <t>J3649</t>
  </si>
  <si>
    <r>
      <rPr>
        <sz val="8"/>
        <rFont val="宋体"/>
        <charset val="134"/>
      </rPr>
      <t>印度</t>
    </r>
    <r>
      <rPr>
        <sz val="8"/>
        <rFont val="Arial"/>
        <charset val="134"/>
      </rPr>
      <t xml:space="preserve"> MEET Pravin </t>
    </r>
  </si>
  <si>
    <t>xiangang-HAZIRA</t>
  </si>
  <si>
    <r>
      <rPr>
        <sz val="8"/>
        <rFont val="Arial"/>
        <charset val="134"/>
      </rPr>
      <t xml:space="preserve">DHL2932178465 </t>
    </r>
    <r>
      <rPr>
        <sz val="8"/>
        <rFont val="宋体"/>
        <charset val="134"/>
      </rPr>
      <t>低报发票</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color rgb="FF0000FF"/>
        <rFont val="宋体"/>
        <charset val="134"/>
      </rPr>
      <t>正本</t>
    </r>
  </si>
  <si>
    <t>汇利达订舱，会昌拖车，凯泽一达通</t>
  </si>
  <si>
    <t>$3181+$20688.4</t>
  </si>
  <si>
    <t>J3642</t>
  </si>
  <si>
    <r>
      <rPr>
        <sz val="8"/>
        <rFont val="Arial"/>
        <charset val="134"/>
      </rPr>
      <t>巴林</t>
    </r>
    <r>
      <rPr>
        <sz val="8"/>
        <rFont val="Arial"/>
        <charset val="134"/>
      </rPr>
      <t xml:space="preserve"> ALIF Muhammed</t>
    </r>
  </si>
  <si>
    <t>xiangang-BAHRAIN</t>
  </si>
  <si>
    <r>
      <rPr>
        <sz val="8"/>
        <rFont val="Arial"/>
        <charset val="134"/>
      </rPr>
      <t xml:space="preserve">DHL3827538540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低报发票</t>
    </r>
    <r>
      <rPr>
        <sz val="8"/>
        <rFont val="Arial"/>
        <charset val="134"/>
      </rPr>
      <t xml:space="preserve"> </t>
    </r>
    <r>
      <rPr>
        <sz val="8"/>
        <rFont val="宋体"/>
        <charset val="134"/>
      </rPr>
      <t>出</t>
    </r>
    <r>
      <rPr>
        <sz val="8"/>
        <rFont val="Arial"/>
        <charset val="134"/>
      </rPr>
      <t xml:space="preserve">CO  </t>
    </r>
    <r>
      <rPr>
        <sz val="8"/>
        <rFont val="宋体"/>
        <charset val="134"/>
      </rPr>
      <t>定金和其他尾款一起付的</t>
    </r>
    <r>
      <rPr>
        <sz val="8"/>
        <rFont val="Arial"/>
        <charset val="134"/>
      </rPr>
      <t xml:space="preserve"> </t>
    </r>
    <r>
      <rPr>
        <sz val="8"/>
        <rFont val="宋体"/>
        <charset val="134"/>
      </rPr>
      <t>操作同</t>
    </r>
    <r>
      <rPr>
        <sz val="8"/>
        <rFont val="Arial"/>
        <charset val="134"/>
      </rPr>
      <t>J3578</t>
    </r>
  </si>
  <si>
    <r>
      <rPr>
        <sz val="8"/>
        <color theme="1"/>
        <rFont val="Arial"/>
        <charset val="134"/>
      </rPr>
      <t>迪斯泰订舱</t>
    </r>
    <r>
      <rPr>
        <sz val="8"/>
        <color theme="1"/>
        <rFont val="Arial"/>
        <charset val="134"/>
      </rPr>
      <t>MSC1501</t>
    </r>
    <r>
      <rPr>
        <sz val="8"/>
        <color theme="1"/>
        <rFont val="宋体"/>
        <charset val="134"/>
      </rPr>
      <t>，迪斯泰拖车</t>
    </r>
  </si>
  <si>
    <t>J3650-1</t>
  </si>
  <si>
    <r>
      <rPr>
        <sz val="8"/>
        <rFont val="Arial"/>
        <charset val="134"/>
      </rPr>
      <t xml:space="preserve">DHL7105202860 </t>
    </r>
    <r>
      <rPr>
        <sz val="8"/>
        <rFont val="宋体"/>
        <charset val="134"/>
      </rPr>
      <t>单据已发客户</t>
    </r>
    <r>
      <rPr>
        <sz val="8"/>
        <rFont val="Arial"/>
        <charset val="134"/>
      </rPr>
      <t xml:space="preserve"> J3566 CO</t>
    </r>
  </si>
  <si>
    <r>
      <rPr>
        <sz val="8"/>
        <color theme="1"/>
        <rFont val="Arial"/>
        <charset val="134"/>
      </rPr>
      <t>迪斯泰订舱</t>
    </r>
    <r>
      <rPr>
        <sz val="8"/>
        <color theme="1"/>
        <rFont val="Arial"/>
        <charset val="134"/>
      </rPr>
      <t>NDS1050</t>
    </r>
    <r>
      <rPr>
        <sz val="8"/>
        <color theme="1"/>
        <rFont val="宋体"/>
        <charset val="134"/>
      </rPr>
      <t>，拖车报关</t>
    </r>
  </si>
  <si>
    <t>J3650-2</t>
  </si>
  <si>
    <r>
      <rPr>
        <sz val="8"/>
        <rFont val="宋体"/>
        <charset val="134"/>
      </rPr>
      <t>DHL4148022454单据齐</t>
    </r>
    <r>
      <rPr>
        <sz val="8"/>
        <rFont val="Arial"/>
        <charset val="134"/>
      </rPr>
      <t xml:space="preserve"> </t>
    </r>
    <r>
      <rPr>
        <sz val="8"/>
        <rFont val="宋体"/>
        <charset val="134"/>
      </rPr>
      <t>单据已发客户</t>
    </r>
    <r>
      <rPr>
        <sz val="8"/>
        <rFont val="Arial"/>
        <charset val="134"/>
      </rPr>
      <t>CO</t>
    </r>
  </si>
  <si>
    <r>
      <rPr>
        <sz val="8"/>
        <color theme="1"/>
        <rFont val="Arial"/>
        <charset val="134"/>
      </rPr>
      <t>迪斯泰订舱</t>
    </r>
    <r>
      <rPr>
        <sz val="8"/>
        <color theme="1"/>
        <rFont val="Arial"/>
        <charset val="134"/>
      </rPr>
      <t>MSC1400</t>
    </r>
    <r>
      <rPr>
        <sz val="8"/>
        <color theme="1"/>
        <rFont val="宋体"/>
        <charset val="134"/>
      </rPr>
      <t>，迪斯泰拖车报关</t>
    </r>
  </si>
  <si>
    <r>
      <rPr>
        <b/>
        <sz val="8"/>
        <color rgb="FF0000FF"/>
        <rFont val="宋体"/>
        <charset val="134"/>
      </rPr>
      <t>手续费</t>
    </r>
    <r>
      <rPr>
        <b/>
        <sz val="8"/>
        <color rgb="FF0000FF"/>
        <rFont val="Arial"/>
        <charset val="134"/>
      </rPr>
      <t>297</t>
    </r>
  </si>
  <si>
    <t xml:space="preserve"> X3337-1</t>
  </si>
  <si>
    <r>
      <rPr>
        <sz val="8"/>
        <rFont val="Arial"/>
        <charset val="134"/>
      </rPr>
      <t>迪拜</t>
    </r>
    <r>
      <rPr>
        <sz val="8"/>
        <rFont val="Arial"/>
        <charset val="134"/>
      </rPr>
      <t>Manoj</t>
    </r>
  </si>
  <si>
    <r>
      <rPr>
        <sz val="8"/>
        <rFont val="Arial"/>
        <charset val="134"/>
      </rPr>
      <t>12x20‘ FCL PVC</t>
    </r>
    <r>
      <rPr>
        <sz val="8"/>
        <rFont val="宋体"/>
        <charset val="134"/>
      </rPr>
      <t>石膏板（皇华）</t>
    </r>
  </si>
  <si>
    <t>Qingdao-Sohar</t>
  </si>
  <si>
    <r>
      <rPr>
        <sz val="8"/>
        <rFont val="Arial"/>
        <charset val="134"/>
      </rPr>
      <t>已交单办理托收款已收到，</t>
    </r>
    <r>
      <rPr>
        <sz val="8"/>
        <rFont val="Arial"/>
        <charset val="134"/>
      </rPr>
      <t>DHL</t>
    </r>
    <r>
      <rPr>
        <sz val="8"/>
        <rFont val="宋体"/>
        <charset val="134"/>
      </rPr>
      <t>单号为：</t>
    </r>
    <r>
      <rPr>
        <sz val="8"/>
        <rFont val="Arial"/>
        <charset val="134"/>
      </rPr>
      <t>1054059156.</t>
    </r>
    <r>
      <rPr>
        <sz val="8"/>
        <rFont val="宋体"/>
        <charset val="134"/>
      </rPr>
      <t>皇华定的货。迪拜</t>
    </r>
    <r>
      <rPr>
        <sz val="8"/>
        <rFont val="Arial"/>
        <charset val="134"/>
      </rPr>
      <t>Manoj</t>
    </r>
    <r>
      <rPr>
        <sz val="8"/>
        <rFont val="宋体"/>
        <charset val="134"/>
      </rPr>
      <t>的</t>
    </r>
    <r>
      <rPr>
        <sz val="8"/>
        <rFont val="Arial"/>
        <charset val="134"/>
      </rPr>
      <t>PVC</t>
    </r>
    <r>
      <rPr>
        <sz val="8"/>
        <rFont val="宋体"/>
        <charset val="134"/>
      </rPr>
      <t>石膏板新订单，</t>
    </r>
    <r>
      <rPr>
        <sz val="8"/>
        <rFont val="Arial"/>
        <charset val="134"/>
      </rPr>
      <t>12x20’FCL</t>
    </r>
    <r>
      <rPr>
        <sz val="8"/>
        <rFont val="宋体"/>
        <charset val="134"/>
      </rPr>
      <t>到阿曼</t>
    </r>
    <r>
      <rPr>
        <sz val="8"/>
        <rFont val="Arial"/>
        <charset val="134"/>
      </rPr>
      <t>Sohar</t>
    </r>
    <r>
      <rPr>
        <sz val="8"/>
        <rFont val="宋体"/>
        <charset val="134"/>
      </rPr>
      <t>。交货时间预期两周，走正常</t>
    </r>
    <r>
      <rPr>
        <sz val="8"/>
        <rFont val="Arial"/>
        <charset val="134"/>
      </rPr>
      <t>D/P</t>
    </r>
    <r>
      <rPr>
        <sz val="8"/>
        <rFont val="宋体"/>
        <charset val="134"/>
      </rPr>
      <t>付款。</t>
    </r>
    <r>
      <rPr>
        <sz val="8"/>
        <rFont val="Arial"/>
        <charset val="134"/>
      </rPr>
      <t>H89235</t>
    </r>
    <r>
      <rPr>
        <sz val="8"/>
        <rFont val="宋体"/>
        <charset val="134"/>
      </rPr>
      <t>。需要提单，保单，发票箱单。</t>
    </r>
  </si>
  <si>
    <r>
      <rPr>
        <sz val="8"/>
        <color indexed="8"/>
        <rFont val="Arial"/>
        <charset val="134"/>
      </rPr>
      <t>青岛联达环球</t>
    </r>
    <r>
      <rPr>
        <sz val="8"/>
        <color indexed="8"/>
        <rFont val="Arial"/>
        <charset val="134"/>
      </rPr>
      <t>ESL</t>
    </r>
    <r>
      <rPr>
        <sz val="8"/>
        <color indexed="8"/>
        <rFont val="宋体"/>
        <charset val="134"/>
      </rPr>
      <t>阿联酋航运</t>
    </r>
    <r>
      <rPr>
        <sz val="8"/>
        <color indexed="8"/>
        <rFont val="Arial"/>
        <charset val="134"/>
      </rPr>
      <t>690USD</t>
    </r>
    <r>
      <rPr>
        <sz val="8"/>
        <color indexed="8"/>
        <rFont val="宋体"/>
        <charset val="134"/>
      </rPr>
      <t>青岛</t>
    </r>
    <r>
      <rPr>
        <sz val="8"/>
        <color indexed="8"/>
        <rFont val="Arial"/>
        <charset val="134"/>
      </rPr>
      <t>-Sohar</t>
    </r>
    <r>
      <rPr>
        <sz val="8"/>
        <color indexed="8"/>
        <rFont val="宋体"/>
        <charset val="134"/>
      </rPr>
      <t>的，已经安排定</t>
    </r>
    <r>
      <rPr>
        <sz val="8"/>
        <color indexed="8"/>
        <rFont val="Arial"/>
        <charset val="134"/>
      </rPr>
      <t>12</t>
    </r>
    <r>
      <rPr>
        <sz val="8"/>
        <color indexed="8"/>
        <rFont val="宋体"/>
        <charset val="134"/>
      </rPr>
      <t>个柜子</t>
    </r>
    <r>
      <rPr>
        <sz val="8"/>
        <color indexed="8"/>
        <rFont val="Arial"/>
        <charset val="134"/>
      </rPr>
      <t>,</t>
    </r>
    <r>
      <rPr>
        <sz val="8"/>
        <color indexed="8"/>
        <rFont val="宋体"/>
        <charset val="134"/>
      </rPr>
      <t>报客户那边</t>
    </r>
    <r>
      <rPr>
        <sz val="8"/>
        <color indexed="8"/>
        <rFont val="Arial"/>
        <charset val="134"/>
      </rPr>
      <t>770USD</t>
    </r>
    <r>
      <rPr>
        <sz val="8"/>
        <color indexed="8"/>
        <rFont val="宋体"/>
        <charset val="134"/>
      </rPr>
      <t>，</t>
    </r>
    <r>
      <rPr>
        <sz val="8"/>
        <color indexed="8"/>
        <rFont val="Arial"/>
        <charset val="134"/>
      </rPr>
      <t>32-34</t>
    </r>
    <r>
      <rPr>
        <sz val="8"/>
        <color indexed="8"/>
        <rFont val="宋体"/>
        <charset val="134"/>
      </rPr>
      <t>天到</t>
    </r>
  </si>
  <si>
    <t>X3337-2</t>
  </si>
  <si>
    <r>
      <rPr>
        <sz val="8"/>
        <rFont val="Arial"/>
        <charset val="134"/>
      </rPr>
      <t>12x20‘ FCL PVC</t>
    </r>
    <r>
      <rPr>
        <sz val="8"/>
        <rFont val="宋体"/>
        <charset val="134"/>
      </rPr>
      <t>石膏板（千吉业）</t>
    </r>
  </si>
  <si>
    <r>
      <rPr>
        <sz val="8"/>
        <rFont val="Arial"/>
        <charset val="134"/>
      </rPr>
      <t xml:space="preserve">   DHL3262003032</t>
    </r>
    <r>
      <rPr>
        <sz val="8"/>
        <rFont val="宋体"/>
        <charset val="134"/>
      </rPr>
      <t>，等款</t>
    </r>
  </si>
  <si>
    <r>
      <rPr>
        <sz val="8"/>
        <color indexed="8"/>
        <rFont val="Arial"/>
        <charset val="134"/>
      </rPr>
      <t>青岛联达环球订舱</t>
    </r>
    <r>
      <rPr>
        <sz val="8"/>
        <color indexed="8"/>
        <rFont val="Arial"/>
        <charset val="134"/>
      </rPr>
      <t>650USD</t>
    </r>
    <r>
      <rPr>
        <sz val="8"/>
        <color indexed="8"/>
        <rFont val="宋体"/>
        <charset val="134"/>
      </rPr>
      <t>船公司</t>
    </r>
    <r>
      <rPr>
        <sz val="8"/>
        <color indexed="8"/>
        <rFont val="Arial"/>
        <charset val="134"/>
      </rPr>
      <t>KMTC</t>
    </r>
    <r>
      <rPr>
        <sz val="8"/>
        <color indexed="8"/>
        <rFont val="宋体"/>
        <charset val="134"/>
      </rPr>
      <t>，提箱单已经有了，</t>
    </r>
    <r>
      <rPr>
        <sz val="8"/>
        <color indexed="8"/>
        <rFont val="Arial"/>
        <charset val="134"/>
      </rPr>
      <t>35</t>
    </r>
    <r>
      <rPr>
        <sz val="8"/>
        <color indexed="8"/>
        <rFont val="宋体"/>
        <charset val="134"/>
      </rPr>
      <t>天左右能到索哈尔，给客户报价</t>
    </r>
    <r>
      <rPr>
        <sz val="8"/>
        <color indexed="8"/>
        <rFont val="Arial"/>
        <charset val="134"/>
      </rPr>
      <t>680USD</t>
    </r>
  </si>
  <si>
    <t xml:space="preserve">X3337-3 </t>
  </si>
  <si>
    <r>
      <rPr>
        <sz val="8"/>
        <rFont val="Arial"/>
        <charset val="134"/>
      </rPr>
      <t>14x20 FCL PVC</t>
    </r>
    <r>
      <rPr>
        <sz val="8"/>
        <rFont val="宋体"/>
        <charset val="134"/>
      </rPr>
      <t>石膏板（千吉业）</t>
    </r>
  </si>
  <si>
    <t>DHL9481961775</t>
  </si>
  <si>
    <r>
      <rPr>
        <sz val="8"/>
        <color indexed="8"/>
        <rFont val="Arial"/>
        <charset val="134"/>
      </rPr>
      <t>青岛联达环球订舱</t>
    </r>
    <r>
      <rPr>
        <sz val="8"/>
        <color indexed="8"/>
        <rFont val="Arial"/>
        <charset val="134"/>
      </rPr>
      <t>600USD</t>
    </r>
    <r>
      <rPr>
        <sz val="8"/>
        <color indexed="8"/>
        <rFont val="宋体"/>
        <charset val="134"/>
      </rPr>
      <t>船公司</t>
    </r>
    <r>
      <rPr>
        <sz val="8"/>
        <color indexed="8"/>
        <rFont val="Arial"/>
        <charset val="134"/>
      </rPr>
      <t>KMTC,</t>
    </r>
    <r>
      <rPr>
        <sz val="8"/>
        <color indexed="8"/>
        <rFont val="宋体"/>
        <charset val="134"/>
      </rPr>
      <t>报客户</t>
    </r>
    <r>
      <rPr>
        <sz val="8"/>
        <color indexed="8"/>
        <rFont val="Arial"/>
        <charset val="134"/>
      </rPr>
      <t>680USD</t>
    </r>
  </si>
  <si>
    <t>X3337-4</t>
  </si>
  <si>
    <r>
      <rPr>
        <sz val="8"/>
        <rFont val="Arial"/>
        <charset val="134"/>
      </rPr>
      <t>8x20CL PVC</t>
    </r>
    <r>
      <rPr>
        <sz val="8"/>
        <rFont val="宋体"/>
        <charset val="134"/>
      </rPr>
      <t>石膏板（千吉业）</t>
    </r>
  </si>
  <si>
    <t>DHL7565617150</t>
  </si>
  <si>
    <r>
      <rPr>
        <sz val="8"/>
        <color theme="1"/>
        <rFont val="Arial"/>
        <charset val="134"/>
      </rPr>
      <t>联达环球订舱</t>
    </r>
    <r>
      <rPr>
        <sz val="8"/>
        <color theme="1"/>
        <rFont val="Arial"/>
        <charset val="134"/>
      </rPr>
      <t>930</t>
    </r>
    <r>
      <rPr>
        <sz val="8"/>
        <color theme="1"/>
        <rFont val="宋体"/>
        <charset val="134"/>
      </rPr>
      <t>，千吉业拖车报关</t>
    </r>
  </si>
  <si>
    <t>X3337-5</t>
  </si>
  <si>
    <r>
      <rPr>
        <sz val="8"/>
        <rFont val="Arial"/>
        <charset val="134"/>
      </rPr>
      <t>6x20CL PVC</t>
    </r>
    <r>
      <rPr>
        <sz val="8"/>
        <rFont val="宋体"/>
        <charset val="134"/>
      </rPr>
      <t>石膏板（千吉业）</t>
    </r>
  </si>
  <si>
    <r>
      <rPr>
        <sz val="8"/>
        <rFont val="宋体"/>
        <charset val="134"/>
      </rPr>
      <t>也就是说千吉业的</t>
    </r>
    <r>
      <rPr>
        <sz val="8"/>
        <rFont val="Arial"/>
        <charset val="134"/>
      </rPr>
      <t>2</t>
    </r>
    <r>
      <rPr>
        <sz val="8"/>
        <rFont val="宋体"/>
        <charset val="134"/>
      </rPr>
      <t>个</t>
    </r>
    <r>
      <rPr>
        <sz val="8"/>
        <rFont val="Arial"/>
        <charset val="134"/>
      </rPr>
      <t>7mm</t>
    </r>
    <r>
      <rPr>
        <sz val="8"/>
        <rFont val="宋体"/>
        <charset val="134"/>
      </rPr>
      <t>实际给客户价格还是</t>
    </r>
    <r>
      <rPr>
        <sz val="8"/>
        <rFont val="Arial"/>
        <charset val="134"/>
      </rPr>
      <t>0.86</t>
    </r>
    <r>
      <rPr>
        <sz val="8"/>
        <rFont val="宋体"/>
        <charset val="134"/>
      </rPr>
      <t>，但是实际发票只做</t>
    </r>
    <r>
      <rPr>
        <sz val="8"/>
        <rFont val="Arial"/>
        <charset val="134"/>
      </rPr>
      <t>0.83</t>
    </r>
    <r>
      <rPr>
        <sz val="8"/>
        <rFont val="宋体"/>
        <charset val="134"/>
      </rPr>
      <t>，中间的差距</t>
    </r>
    <r>
      <rPr>
        <sz val="8"/>
        <rFont val="Arial"/>
        <charset val="134"/>
      </rPr>
      <t>3</t>
    </r>
    <r>
      <rPr>
        <sz val="8"/>
        <rFont val="宋体"/>
        <charset val="134"/>
      </rPr>
      <t>美分从客户佣金里面扣除，生</t>
    </r>
    <r>
      <rPr>
        <sz val="8"/>
        <rFont val="Arial"/>
        <charset val="134"/>
      </rPr>
      <t>2</t>
    </r>
    <r>
      <rPr>
        <sz val="8"/>
        <rFont val="宋体"/>
        <charset val="134"/>
      </rPr>
      <t>个柜子和下批一起发差</t>
    </r>
    <r>
      <rPr>
        <sz val="8"/>
        <rFont val="Arial"/>
        <charset val="134"/>
      </rPr>
      <t>246</t>
    </r>
    <r>
      <rPr>
        <sz val="8"/>
        <rFont val="宋体"/>
        <charset val="134"/>
      </rPr>
      <t>美金在客户佣金里扣</t>
    </r>
  </si>
  <si>
    <r>
      <rPr>
        <sz val="8"/>
        <color theme="1"/>
        <rFont val="Arial"/>
        <charset val="134"/>
      </rPr>
      <t>联达环球订舱</t>
    </r>
    <r>
      <rPr>
        <sz val="8"/>
        <color theme="1"/>
        <rFont val="Arial"/>
        <charset val="134"/>
      </rPr>
      <t>810</t>
    </r>
    <r>
      <rPr>
        <sz val="8"/>
        <color theme="1"/>
        <rFont val="宋体"/>
        <charset val="134"/>
      </rPr>
      <t>，千吉业拖车报关</t>
    </r>
  </si>
  <si>
    <t>X3412</t>
  </si>
  <si>
    <r>
      <rPr>
        <sz val="8"/>
        <rFont val="Arial"/>
        <charset val="134"/>
      </rPr>
      <t xml:space="preserve">5x20 </t>
    </r>
    <r>
      <rPr>
        <sz val="8"/>
        <rFont val="宋体"/>
        <charset val="134"/>
      </rPr>
      <t>硅钙板</t>
    </r>
  </si>
  <si>
    <t>DHL:9661404502</t>
  </si>
  <si>
    <t>X3258-3</t>
  </si>
  <si>
    <r>
      <rPr>
        <sz val="8"/>
        <rFont val="Arial"/>
        <charset val="134"/>
      </rPr>
      <t>埃及</t>
    </r>
    <r>
      <rPr>
        <sz val="8"/>
        <rFont val="Arial"/>
        <charset val="134"/>
      </rPr>
      <t xml:space="preserve"> DECORAMA (GOMA)</t>
    </r>
  </si>
  <si>
    <r>
      <rPr>
        <sz val="8"/>
        <rFont val="Arial"/>
        <charset val="134"/>
      </rPr>
      <t>1x20</t>
    </r>
    <r>
      <rPr>
        <sz val="8"/>
        <rFont val="宋体"/>
        <charset val="134"/>
      </rPr>
      <t>遮阳布</t>
    </r>
  </si>
  <si>
    <t>Ningbo-Sokhna</t>
  </si>
  <si>
    <t>DHL: 29 5859 9486</t>
  </si>
  <si>
    <r>
      <rPr>
        <sz val="8"/>
        <color theme="1"/>
        <rFont val="Arial"/>
        <charset val="134"/>
      </rPr>
      <t>深圳金源浩，</t>
    </r>
    <r>
      <rPr>
        <sz val="8"/>
        <color theme="1"/>
        <rFont val="Arial"/>
        <charset val="134"/>
      </rPr>
      <t>tony</t>
    </r>
    <r>
      <rPr>
        <sz val="8"/>
        <color theme="1"/>
        <rFont val="宋体"/>
        <charset val="134"/>
      </rPr>
      <t>拖车报关</t>
    </r>
  </si>
  <si>
    <t>X3448-1</t>
  </si>
  <si>
    <r>
      <rPr>
        <sz val="8"/>
        <rFont val="Arial"/>
        <charset val="134"/>
      </rPr>
      <t>12x20</t>
    </r>
    <r>
      <rPr>
        <sz val="8"/>
        <rFont val="宋体"/>
        <charset val="134"/>
      </rPr>
      <t>石膏板</t>
    </r>
  </si>
  <si>
    <t>DHL 6754539186</t>
  </si>
  <si>
    <r>
      <rPr>
        <sz val="8"/>
        <color theme="1"/>
        <rFont val="Arial"/>
        <charset val="134"/>
      </rPr>
      <t>联达环球订舱</t>
    </r>
    <r>
      <rPr>
        <sz val="8"/>
        <color theme="1"/>
        <rFont val="Arial"/>
        <charset val="134"/>
      </rPr>
      <t>875/900</t>
    </r>
    <r>
      <rPr>
        <sz val="8"/>
        <color theme="1"/>
        <rFont val="宋体"/>
        <charset val="134"/>
      </rPr>
      <t>，皇华拖车报关</t>
    </r>
  </si>
  <si>
    <t>X3448-2</t>
  </si>
  <si>
    <r>
      <rPr>
        <sz val="8"/>
        <rFont val="Arial"/>
        <charset val="134"/>
      </rPr>
      <t>8x20</t>
    </r>
    <r>
      <rPr>
        <sz val="8"/>
        <rFont val="宋体"/>
        <charset val="134"/>
      </rPr>
      <t>石膏板</t>
    </r>
  </si>
  <si>
    <t>DHL6754539186</t>
  </si>
  <si>
    <r>
      <rPr>
        <sz val="8"/>
        <color theme="1"/>
        <rFont val="Arial"/>
        <charset val="134"/>
      </rPr>
      <t>联达环球</t>
    </r>
    <r>
      <rPr>
        <sz val="8"/>
        <color theme="1"/>
        <rFont val="Arial"/>
        <charset val="134"/>
      </rPr>
      <t>825/860</t>
    </r>
    <r>
      <rPr>
        <sz val="8"/>
        <color theme="1"/>
        <rFont val="宋体"/>
        <charset val="134"/>
      </rPr>
      <t>，皇华拖车报关</t>
    </r>
  </si>
  <si>
    <t>X3448-3</t>
  </si>
  <si>
    <t>DHL:9661441720</t>
  </si>
  <si>
    <r>
      <rPr>
        <sz val="8"/>
        <color theme="1"/>
        <rFont val="Arial"/>
        <charset val="134"/>
      </rPr>
      <t>联达环球</t>
    </r>
    <r>
      <rPr>
        <sz val="8"/>
        <color theme="1"/>
        <rFont val="Arial"/>
        <charset val="134"/>
      </rPr>
      <t>950/950</t>
    </r>
    <r>
      <rPr>
        <sz val="8"/>
        <color theme="1"/>
        <rFont val="宋体"/>
        <charset val="134"/>
      </rPr>
      <t>，皇华拖车报关</t>
    </r>
  </si>
  <si>
    <t>X3456</t>
  </si>
  <si>
    <r>
      <rPr>
        <sz val="8"/>
        <rFont val="Arial"/>
        <charset val="134"/>
      </rPr>
      <t>1x20</t>
    </r>
    <r>
      <rPr>
        <sz val="8"/>
        <rFont val="宋体"/>
        <charset val="134"/>
      </rPr>
      <t>脚手架</t>
    </r>
  </si>
  <si>
    <t>DHL:27 1384 2246</t>
  </si>
  <si>
    <r>
      <rPr>
        <sz val="8"/>
        <color theme="1"/>
        <rFont val="Arial"/>
        <charset val="134"/>
      </rPr>
      <t>会昌订舱</t>
    </r>
    <r>
      <rPr>
        <sz val="8"/>
        <color theme="1"/>
        <rFont val="Arial"/>
        <charset val="134"/>
      </rPr>
      <t>-30</t>
    </r>
    <r>
      <rPr>
        <sz val="8"/>
        <color theme="1"/>
        <rFont val="宋体"/>
        <charset val="134"/>
      </rPr>
      <t>，拖车报关</t>
    </r>
  </si>
  <si>
    <t>558+14818</t>
  </si>
  <si>
    <t>X3427</t>
  </si>
  <si>
    <r>
      <rPr>
        <sz val="8"/>
        <rFont val="Arial"/>
        <charset val="134"/>
      </rPr>
      <t>1000 LED</t>
    </r>
    <r>
      <rPr>
        <sz val="8"/>
        <rFont val="宋体"/>
        <charset val="134"/>
      </rPr>
      <t>灯</t>
    </r>
  </si>
  <si>
    <t>shanghai-abbas</t>
  </si>
  <si>
    <t>1000+1600</t>
  </si>
  <si>
    <t>( 58090 RMB+5440RMB=63530RMB) = 9482$</t>
  </si>
  <si>
    <t>X3258-2</t>
  </si>
  <si>
    <r>
      <rPr>
        <sz val="8"/>
        <rFont val="Arial"/>
        <charset val="134"/>
      </rPr>
      <t>1x20</t>
    </r>
    <r>
      <rPr>
        <sz val="8"/>
        <rFont val="Cambria"/>
        <charset val="134"/>
      </rPr>
      <t>遮阳布</t>
    </r>
  </si>
  <si>
    <r>
      <rPr>
        <sz val="8"/>
        <rFont val="Arial"/>
        <charset val="134"/>
      </rPr>
      <t>DHL</t>
    </r>
    <r>
      <rPr>
        <sz val="8"/>
        <rFont val="宋体"/>
        <charset val="134"/>
      </rPr>
      <t>：</t>
    </r>
    <r>
      <rPr>
        <sz val="8"/>
        <rFont val="Arial"/>
        <charset val="134"/>
      </rPr>
      <t>4914916296</t>
    </r>
  </si>
  <si>
    <t xml:space="preserve">                                                                                                                                                                                                                                                                                                                                                                                                                                                                                                                                                                                                                                                                                                                                                                                                                                                                                                                                                                                                                                                                                                                                                                                                                                                                                                                                                                                                                                                                                                                                                                                                                                                                                                                                                                                                                                                                                                                                                                                                                                                                                                                                                                                                                                                                                                                                                                                                                                                                                                                                                                                                                                                                                                                                                                                                                                                                                                                                                                                                                                                                                                                                                                                                                                                                                                                                                                                                                                                                                                                                                                                                   </t>
  </si>
  <si>
    <t>J3648-2</t>
  </si>
  <si>
    <r>
      <rPr>
        <sz val="8"/>
        <rFont val="Arial"/>
        <charset val="134"/>
      </rPr>
      <t xml:space="preserve">DHL6169213864  CO </t>
    </r>
    <r>
      <rPr>
        <sz val="8"/>
        <rFont val="宋体"/>
        <charset val="134"/>
      </rPr>
      <t>航程</t>
    </r>
    <r>
      <rPr>
        <sz val="8"/>
        <rFont val="Arial"/>
        <charset val="134"/>
      </rPr>
      <t xml:space="preserve"> 30</t>
    </r>
    <r>
      <rPr>
        <sz val="8"/>
        <rFont val="宋体"/>
        <charset val="134"/>
      </rPr>
      <t>天左右</t>
    </r>
    <r>
      <rPr>
        <sz val="8"/>
        <rFont val="Arial"/>
        <charset val="134"/>
      </rPr>
      <t xml:space="preserve"> </t>
    </r>
  </si>
  <si>
    <r>
      <rPr>
        <sz val="8"/>
        <color theme="1"/>
        <rFont val="Arial"/>
        <charset val="134"/>
      </rPr>
      <t>迪斯泰订舱</t>
    </r>
    <r>
      <rPr>
        <sz val="8"/>
        <color theme="1"/>
        <rFont val="Arial"/>
        <charset val="134"/>
      </rPr>
      <t>APL1586</t>
    </r>
    <r>
      <rPr>
        <sz val="8"/>
        <color theme="1"/>
        <rFont val="宋体"/>
        <charset val="134"/>
      </rPr>
      <t>拖车报关</t>
    </r>
  </si>
  <si>
    <t>J3656</t>
  </si>
  <si>
    <r>
      <rPr>
        <sz val="8"/>
        <rFont val="Arial"/>
        <charset val="134"/>
      </rPr>
      <t xml:space="preserve">1x20 </t>
    </r>
    <r>
      <rPr>
        <sz val="8"/>
        <rFont val="宋体"/>
        <charset val="134"/>
      </rPr>
      <t>烤漆</t>
    </r>
    <r>
      <rPr>
        <sz val="8"/>
        <rFont val="Arial"/>
        <charset val="134"/>
      </rPr>
      <t>+</t>
    </r>
    <r>
      <rPr>
        <sz val="8"/>
        <rFont val="宋体"/>
        <charset val="134"/>
      </rPr>
      <t>毛巾</t>
    </r>
  </si>
  <si>
    <t xml:space="preserve">xingang-SOKHNA, EGYPT </t>
  </si>
  <si>
    <r>
      <rPr>
        <sz val="8"/>
        <color theme="1"/>
        <rFont val="Arial"/>
        <charset val="134"/>
      </rPr>
      <t xml:space="preserve">DHL5244353925 </t>
    </r>
    <r>
      <rPr>
        <sz val="8"/>
        <color theme="1"/>
        <rFont val="宋体"/>
        <charset val="134"/>
      </rPr>
      <t>的港是有</t>
    </r>
    <r>
      <rPr>
        <sz val="8"/>
        <color theme="1"/>
        <rFont val="Arial"/>
        <charset val="134"/>
      </rPr>
      <t>20</t>
    </r>
    <r>
      <rPr>
        <sz val="8"/>
        <color theme="1"/>
        <rFont val="宋体"/>
        <charset val="134"/>
      </rPr>
      <t>天免用箱的</t>
    </r>
    <r>
      <rPr>
        <sz val="8"/>
        <color theme="1"/>
        <rFont val="Arial"/>
        <charset val="134"/>
      </rPr>
      <t xml:space="preserve"> </t>
    </r>
    <r>
      <rPr>
        <sz val="8"/>
        <color theme="1"/>
        <rFont val="宋体"/>
        <charset val="134"/>
      </rPr>
      <t>出</t>
    </r>
    <r>
      <rPr>
        <sz val="8"/>
        <color theme="1"/>
        <rFont val="Arial"/>
        <charset val="134"/>
      </rPr>
      <t>CO</t>
    </r>
    <r>
      <rPr>
        <sz val="8"/>
        <color theme="1"/>
        <rFont val="宋体"/>
        <charset val="134"/>
      </rPr>
      <t>和埃及使馆认证</t>
    </r>
    <r>
      <rPr>
        <sz val="8"/>
        <color theme="1"/>
        <rFont val="Arial"/>
        <charset val="134"/>
      </rPr>
      <t xml:space="preserve"> </t>
    </r>
    <r>
      <rPr>
        <sz val="8"/>
        <rFont val="宋体"/>
        <charset val="134"/>
      </rPr>
      <t>分票报关</t>
    </r>
    <r>
      <rPr>
        <sz val="8"/>
        <rFont val="Arial"/>
        <charset val="134"/>
      </rPr>
      <t xml:space="preserve"> </t>
    </r>
    <r>
      <rPr>
        <sz val="8"/>
        <rFont val="宋体"/>
        <charset val="134"/>
      </rPr>
      <t>毛巾单独报关</t>
    </r>
    <r>
      <rPr>
        <sz val="8"/>
        <rFont val="Arial"/>
        <charset val="134"/>
      </rPr>
      <t xml:space="preserve"> </t>
    </r>
    <r>
      <rPr>
        <sz val="8"/>
        <rFont val="宋体"/>
        <charset val="134"/>
      </rPr>
      <t>禾苗</t>
    </r>
    <r>
      <rPr>
        <sz val="8"/>
        <rFont val="Arial"/>
        <charset val="134"/>
      </rPr>
      <t xml:space="preserve">  </t>
    </r>
    <r>
      <rPr>
        <sz val="8"/>
        <rFont val="宋体"/>
        <charset val="134"/>
      </rPr>
      <t>拖车费可能涨价</t>
    </r>
    <r>
      <rPr>
        <sz val="8"/>
        <rFont val="Arial"/>
        <charset val="134"/>
      </rPr>
      <t>200</t>
    </r>
    <r>
      <rPr>
        <sz val="8"/>
        <rFont val="宋体"/>
        <charset val="134"/>
      </rPr>
      <t>倒箱费</t>
    </r>
    <r>
      <rPr>
        <sz val="8"/>
        <rFont val="Arial"/>
        <charset val="134"/>
      </rPr>
      <t xml:space="preserve"> </t>
    </r>
    <r>
      <rPr>
        <sz val="8"/>
        <rFont val="宋体"/>
        <charset val="134"/>
      </rPr>
      <t>埃及红线的毛巾款</t>
    </r>
    <r>
      <rPr>
        <sz val="8"/>
        <rFont val="Arial"/>
        <charset val="134"/>
      </rPr>
      <t xml:space="preserve"> 10000.  </t>
    </r>
    <r>
      <rPr>
        <sz val="8"/>
        <rFont val="宋体"/>
        <charset val="134"/>
      </rPr>
      <t>扣了</t>
    </r>
    <r>
      <rPr>
        <sz val="8"/>
        <rFont val="Arial"/>
        <charset val="134"/>
      </rPr>
      <t>43</t>
    </r>
    <r>
      <rPr>
        <sz val="8"/>
        <rFont val="宋体"/>
        <charset val="134"/>
      </rPr>
      <t>美金的手续费</t>
    </r>
    <r>
      <rPr>
        <sz val="8"/>
        <rFont val="Arial"/>
        <charset val="134"/>
      </rPr>
      <t xml:space="preserve"> </t>
    </r>
    <r>
      <rPr>
        <sz val="8"/>
        <rFont val="宋体"/>
        <charset val="134"/>
      </rPr>
      <t>毛巾付了</t>
    </r>
    <r>
      <rPr>
        <sz val="8"/>
        <rFont val="Arial"/>
        <charset val="134"/>
      </rPr>
      <t xml:space="preserve">4941 </t>
    </r>
    <r>
      <rPr>
        <sz val="8"/>
        <rFont val="宋体"/>
        <charset val="134"/>
      </rPr>
      <t>还差</t>
    </r>
    <r>
      <rPr>
        <sz val="8"/>
        <rFont val="Arial"/>
        <charset val="134"/>
      </rPr>
      <t>9513</t>
    </r>
  </si>
  <si>
    <r>
      <rPr>
        <sz val="8"/>
        <color theme="1"/>
        <rFont val="Arial"/>
        <charset val="134"/>
      </rPr>
      <t>华迈订舱，迪斯泰拖车</t>
    </r>
    <r>
      <rPr>
        <sz val="8"/>
        <color theme="1"/>
        <rFont val="Arial"/>
        <charset val="134"/>
      </rPr>
      <t>200</t>
    </r>
    <r>
      <rPr>
        <sz val="8"/>
        <color theme="1"/>
        <rFont val="宋体"/>
        <charset val="134"/>
      </rPr>
      <t>倒箱费，分票正常报关</t>
    </r>
  </si>
  <si>
    <r>
      <rPr>
        <b/>
        <sz val="8"/>
        <color rgb="FF0000FF"/>
        <rFont val="宋体"/>
        <charset val="134"/>
      </rPr>
      <t>先付低报部分$16566.95</t>
    </r>
    <r>
      <rPr>
        <b/>
        <sz val="8"/>
        <color rgb="FF0000FF"/>
        <rFont val="Arial"/>
        <charset val="134"/>
      </rPr>
      <t xml:space="preserve"> </t>
    </r>
    <r>
      <rPr>
        <b/>
        <sz val="8"/>
        <color rgb="FF0000FF"/>
        <rFont val="宋体"/>
        <charset val="134"/>
      </rPr>
      <t>差额和</t>
    </r>
    <r>
      <rPr>
        <b/>
        <sz val="8"/>
        <color rgb="FF0000FF"/>
        <rFont val="Arial"/>
        <charset val="134"/>
      </rPr>
      <t>J3699</t>
    </r>
    <r>
      <rPr>
        <b/>
        <sz val="8"/>
        <color rgb="FF0000FF"/>
        <rFont val="宋体"/>
        <charset val="134"/>
      </rPr>
      <t>差额一起付</t>
    </r>
  </si>
  <si>
    <t>J3655</t>
  </si>
  <si>
    <t>xiangang- Haiphong</t>
  </si>
  <si>
    <r>
      <rPr>
        <sz val="8"/>
        <rFont val="Arial"/>
        <charset val="134"/>
      </rPr>
      <t xml:space="preserve">DHL 6342958134 </t>
    </r>
    <r>
      <rPr>
        <sz val="8"/>
        <rFont val="宋体"/>
        <charset val="134"/>
      </rPr>
      <t>做</t>
    </r>
    <r>
      <rPr>
        <sz val="8"/>
        <rFont val="Arial"/>
        <charset val="134"/>
      </rPr>
      <t xml:space="preserve">FORM E </t>
    </r>
    <r>
      <rPr>
        <sz val="8"/>
        <rFont val="宋体"/>
        <charset val="134"/>
      </rPr>
      <t>同</t>
    </r>
    <r>
      <rPr>
        <sz val="8"/>
        <rFont val="Arial"/>
        <charset val="134"/>
      </rPr>
      <t>J3594</t>
    </r>
  </si>
  <si>
    <r>
      <rPr>
        <sz val="8"/>
        <color theme="1"/>
        <rFont val="Arial"/>
        <charset val="134"/>
      </rPr>
      <t>久丰源订舱</t>
    </r>
    <r>
      <rPr>
        <sz val="8"/>
        <color theme="1"/>
        <rFont val="Arial"/>
        <charset val="134"/>
      </rPr>
      <t>220</t>
    </r>
    <r>
      <rPr>
        <sz val="8"/>
        <color theme="1"/>
        <rFont val="宋体"/>
        <charset val="134"/>
      </rPr>
      <t>拖车，凯泽凯泽一达通</t>
    </r>
  </si>
  <si>
    <t>J3664</t>
  </si>
  <si>
    <t xml:space="preserve">xingang-New Delhi,  India </t>
  </si>
  <si>
    <r>
      <rPr>
        <sz val="8"/>
        <color rgb="FF0000FF"/>
        <rFont val="宋体"/>
        <charset val="134"/>
      </rPr>
      <t>扫描件有了</t>
    </r>
    <r>
      <rPr>
        <sz val="8"/>
        <rFont val="Arial"/>
        <charset val="134"/>
      </rPr>
      <t xml:space="preserve"> </t>
    </r>
    <r>
      <rPr>
        <sz val="8"/>
        <rFont val="宋体"/>
        <charset val="134"/>
      </rPr>
      <t>电放</t>
    </r>
    <r>
      <rPr>
        <sz val="8"/>
        <rFont val="Arial"/>
        <charset val="134"/>
      </rPr>
      <t xml:space="preserve"> </t>
    </r>
    <r>
      <rPr>
        <sz val="8"/>
        <rFont val="宋体"/>
        <charset val="134"/>
      </rPr>
      <t>按客户给的品名写</t>
    </r>
    <r>
      <rPr>
        <sz val="8"/>
        <rFont val="Arial"/>
        <charset val="134"/>
      </rPr>
      <t xml:space="preserve"> ceiling suspension system  </t>
    </r>
    <r>
      <rPr>
        <sz val="8"/>
        <rFont val="宋体"/>
        <charset val="134"/>
      </rPr>
      <t>箱单发票发邮件</t>
    </r>
    <r>
      <rPr>
        <sz val="8"/>
        <rFont val="Arial"/>
        <charset val="134"/>
      </rPr>
      <t xml:space="preserve"> </t>
    </r>
    <r>
      <rPr>
        <sz val="8"/>
        <rFont val="宋体"/>
        <charset val="134"/>
      </rPr>
      <t>预付前半程</t>
    </r>
  </si>
  <si>
    <r>
      <rPr>
        <sz val="8"/>
        <color theme="1"/>
        <rFont val="Arial"/>
        <charset val="134"/>
      </rPr>
      <t>誉洲订舱</t>
    </r>
    <r>
      <rPr>
        <sz val="8"/>
        <color theme="1"/>
        <rFont val="Arial"/>
        <charset val="134"/>
      </rPr>
      <t>1030</t>
    </r>
    <r>
      <rPr>
        <sz val="8"/>
        <color theme="1"/>
        <rFont val="宋体"/>
        <charset val="134"/>
      </rPr>
      <t>，誉洲拖车</t>
    </r>
    <r>
      <rPr>
        <sz val="8"/>
        <color theme="1"/>
        <rFont val="Arial"/>
        <charset val="134"/>
      </rPr>
      <t>,</t>
    </r>
    <r>
      <rPr>
        <sz val="8"/>
        <color theme="1"/>
        <rFont val="宋体"/>
        <charset val="134"/>
      </rPr>
      <t>金凯一达通报关</t>
    </r>
  </si>
  <si>
    <r>
      <rPr>
        <b/>
        <sz val="8"/>
        <color rgb="FF0000FF"/>
        <rFont val="华文宋体"/>
        <charset val="134"/>
      </rPr>
      <t>本单应收</t>
    </r>
    <r>
      <rPr>
        <b/>
        <sz val="8"/>
        <color rgb="FF0000FF"/>
        <rFont val="Arial"/>
        <charset val="134"/>
      </rPr>
      <t>USD-2.39</t>
    </r>
  </si>
  <si>
    <t>J3660</t>
  </si>
  <si>
    <t xml:space="preserve">xingang-La Guaira Port,  Venezuela  </t>
  </si>
  <si>
    <r>
      <rPr>
        <sz val="8"/>
        <rFont val="Arial"/>
        <charset val="134"/>
      </rPr>
      <t xml:space="preserve">DHL3827226745 CO </t>
    </r>
    <r>
      <rPr>
        <sz val="8"/>
        <rFont val="宋体"/>
        <charset val="134"/>
      </rPr>
      <t>电放</t>
    </r>
    <r>
      <rPr>
        <sz val="8"/>
        <rFont val="Arial"/>
        <charset val="134"/>
      </rPr>
      <t xml:space="preserve"> </t>
    </r>
    <r>
      <rPr>
        <sz val="8"/>
        <rFont val="宋体"/>
        <charset val="134"/>
      </rPr>
      <t>与客户确认寄件地址</t>
    </r>
    <r>
      <rPr>
        <sz val="8"/>
        <rFont val="Arial"/>
        <charset val="134"/>
      </rPr>
      <t>PROARCA C.A
AVE MILAN CON CALLE BOSTON ,GALPON PROARCA. LA CALIFORNIA SUR,CARACAS VENEZUELA
TEL 58-212 2576057
CARLOS CARPIO
 Commodity:  CEILING T GRIDS,  Shipper:  HK BUILDCO INDUSTRIES LIMITED   
Consignee: PRODUCTOS ARQUITECTONICOS PROARCA C.A</t>
    </r>
  </si>
  <si>
    <r>
      <rPr>
        <sz val="8"/>
        <color theme="1"/>
        <rFont val="宋体"/>
        <charset val="134"/>
      </rPr>
      <t>广州百诚国际货运订舱，鸣远拖车</t>
    </r>
    <r>
      <rPr>
        <sz val="8"/>
        <color theme="1"/>
        <rFont val="Arial"/>
        <charset val="134"/>
      </rPr>
      <t>,</t>
    </r>
    <r>
      <rPr>
        <sz val="8"/>
        <color theme="1"/>
        <rFont val="宋体"/>
        <charset val="134"/>
      </rPr>
      <t>金凯一达通报关</t>
    </r>
  </si>
  <si>
    <t>J3659</t>
  </si>
  <si>
    <r>
      <rPr>
        <sz val="8"/>
        <rFont val="Arial"/>
        <charset val="134"/>
      </rPr>
      <t xml:space="preserve">1x20' </t>
    </r>
    <r>
      <rPr>
        <sz val="8"/>
        <rFont val="宋体"/>
        <charset val="134"/>
      </rPr>
      <t>平面烤漆</t>
    </r>
  </si>
  <si>
    <r>
      <rPr>
        <sz val="8"/>
        <rFont val="Arial"/>
        <charset val="134"/>
      </rPr>
      <t xml:space="preserve">DHL7507443543 </t>
    </r>
    <r>
      <rPr>
        <sz val="8"/>
        <rFont val="宋体"/>
        <charset val="134"/>
      </rPr>
      <t>明辉达出</t>
    </r>
    <r>
      <rPr>
        <sz val="8"/>
        <rFont val="Arial"/>
        <charset val="134"/>
      </rPr>
      <t>CO</t>
    </r>
    <r>
      <rPr>
        <sz val="8"/>
        <rFont val="宋体"/>
        <charset val="134"/>
      </rPr>
      <t>和埃及使馆认证</t>
    </r>
    <r>
      <rPr>
        <sz val="8"/>
        <rFont val="Arial"/>
        <charset val="134"/>
      </rPr>
      <t xml:space="preserve"> </t>
    </r>
    <r>
      <rPr>
        <sz val="8"/>
        <rFont val="宋体"/>
        <charset val="134"/>
      </rPr>
      <t>低报发票的</t>
    </r>
    <r>
      <rPr>
        <sz val="8"/>
        <rFont val="Arial"/>
        <charset val="134"/>
      </rPr>
      <t xml:space="preserve">CCPIT </t>
    </r>
  </si>
  <si>
    <r>
      <rPr>
        <sz val="8"/>
        <color theme="1"/>
        <rFont val="Arial"/>
        <charset val="134"/>
      </rPr>
      <t>深圳信航道订舱</t>
    </r>
    <r>
      <rPr>
        <sz val="8"/>
        <color theme="1"/>
        <rFont val="Arial"/>
        <charset val="134"/>
      </rPr>
      <t>sam</t>
    </r>
    <r>
      <rPr>
        <sz val="8"/>
        <color theme="1"/>
        <rFont val="宋体"/>
        <charset val="134"/>
      </rPr>
      <t>，鸣远拖车报关</t>
    </r>
  </si>
  <si>
    <r>
      <rPr>
        <b/>
        <sz val="8"/>
        <color rgb="FF0000FF"/>
        <rFont val="华文宋体"/>
        <charset val="134"/>
      </rPr>
      <t>此前清零，累计应收</t>
    </r>
    <r>
      <rPr>
        <b/>
        <sz val="8"/>
        <color rgb="FF0000FF"/>
        <rFont val="Arial"/>
        <charset val="134"/>
      </rPr>
      <t>1131</t>
    </r>
  </si>
  <si>
    <t>J3684</t>
  </si>
  <si>
    <r>
      <rPr>
        <sz val="8"/>
        <rFont val="Arial"/>
        <charset val="134"/>
      </rPr>
      <t>由于疫情电放提单</t>
    </r>
    <r>
      <rPr>
        <sz val="8"/>
        <rFont val="Arial"/>
        <charset val="134"/>
      </rPr>
      <t xml:space="preserve"> DHL4697339581</t>
    </r>
    <r>
      <rPr>
        <sz val="8"/>
        <rFont val="宋体"/>
        <charset val="134"/>
      </rPr>
      <t>金凯抬头徐老师出</t>
    </r>
    <r>
      <rPr>
        <sz val="8"/>
        <rFont val="Arial"/>
        <charset val="134"/>
      </rPr>
      <t>Form E,</t>
    </r>
    <r>
      <rPr>
        <sz val="8"/>
        <rFont val="宋体"/>
        <charset val="134"/>
      </rPr>
      <t>目的港申请的</t>
    </r>
    <r>
      <rPr>
        <sz val="8"/>
        <rFont val="Arial"/>
        <charset val="134"/>
      </rPr>
      <t>14</t>
    </r>
    <r>
      <rPr>
        <sz val="8"/>
        <rFont val="宋体"/>
        <charset val="134"/>
      </rPr>
      <t>天免用箱</t>
    </r>
  </si>
  <si>
    <r>
      <rPr>
        <sz val="8"/>
        <color theme="1"/>
        <rFont val="Arial"/>
        <charset val="134"/>
      </rPr>
      <t>久丰源订舱</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</si>
  <si>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t>J3689</t>
  </si>
  <si>
    <r>
      <rPr>
        <sz val="8"/>
        <rFont val="宋体"/>
        <charset val="134"/>
      </rPr>
      <t>电放</t>
    </r>
    <r>
      <rPr>
        <sz val="8"/>
        <rFont val="Arial"/>
        <charset val="134"/>
      </rPr>
      <t xml:space="preserve"> </t>
    </r>
    <r>
      <rPr>
        <sz val="8"/>
        <rFont val="宋体"/>
        <charset val="134"/>
      </rPr>
      <t>春节前交货</t>
    </r>
  </si>
  <si>
    <r>
      <rPr>
        <sz val="8"/>
        <color theme="1"/>
        <rFont val="Arial"/>
        <charset val="134"/>
      </rPr>
      <t>誉洲订舱</t>
    </r>
    <r>
      <rPr>
        <sz val="8"/>
        <color theme="1"/>
        <rFont val="Arial"/>
        <charset val="134"/>
      </rPr>
      <t>APL1210,</t>
    </r>
    <r>
      <rPr>
        <sz val="8"/>
        <color theme="1"/>
        <rFont val="宋体"/>
        <charset val="134"/>
      </rPr>
      <t>誉洲拖车</t>
    </r>
    <r>
      <rPr>
        <sz val="8"/>
        <color theme="1"/>
        <rFont val="Arial"/>
        <charset val="134"/>
      </rPr>
      <t>2450,</t>
    </r>
    <r>
      <rPr>
        <sz val="8"/>
        <color theme="1"/>
        <rFont val="宋体"/>
        <charset val="134"/>
      </rPr>
      <t>金凯一达通</t>
    </r>
  </si>
  <si>
    <r>
      <rPr>
        <b/>
        <sz val="8"/>
        <color rgb="FF0000FF"/>
        <rFont val="华文宋体"/>
        <charset val="134"/>
      </rPr>
      <t>本单应收</t>
    </r>
    <r>
      <rPr>
        <b/>
        <sz val="8"/>
        <color rgb="FF0000FF"/>
        <rFont val="Arial"/>
        <charset val="134"/>
      </rPr>
      <t>USD70.44</t>
    </r>
  </si>
  <si>
    <t>J3683</t>
  </si>
  <si>
    <t>xingang-Hazira Seaport of INDIA</t>
  </si>
  <si>
    <r>
      <rPr>
        <sz val="8"/>
        <rFont val="Arial"/>
        <charset val="134"/>
      </rPr>
      <t xml:space="preserve">CO </t>
    </r>
    <r>
      <rPr>
        <sz val="8"/>
        <rFont val="宋体"/>
        <charset val="134"/>
      </rPr>
      <t>低报发票</t>
    </r>
    <r>
      <rPr>
        <sz val="8"/>
        <rFont val="Arial"/>
        <charset val="134"/>
      </rPr>
      <t xml:space="preserve"> </t>
    </r>
    <r>
      <rPr>
        <sz val="8"/>
        <rFont val="宋体"/>
        <charset val="134"/>
      </rPr>
      <t>电放</t>
    </r>
    <r>
      <rPr>
        <sz val="8"/>
        <rFont val="Arial"/>
        <charset val="134"/>
      </rPr>
      <t xml:space="preserve">  J3577
60</t>
    </r>
    <r>
      <rPr>
        <sz val="8"/>
        <rFont val="宋体"/>
        <charset val="134"/>
      </rPr>
      <t>套样品</t>
    </r>
    <r>
      <rPr>
        <sz val="8"/>
        <rFont val="Arial"/>
        <charset val="134"/>
      </rPr>
      <t xml:space="preserve">
</t>
    </r>
    <r>
      <rPr>
        <sz val="8"/>
        <rFont val="宋体"/>
        <charset val="134"/>
      </rPr>
      <t>每件主骨中放一只水性笔，共</t>
    </r>
    <r>
      <rPr>
        <sz val="8"/>
        <rFont val="Arial"/>
        <charset val="134"/>
      </rPr>
      <t>350</t>
    </r>
    <r>
      <rPr>
        <sz val="8"/>
        <rFont val="宋体"/>
        <charset val="134"/>
      </rPr>
      <t>支</t>
    </r>
  </si>
  <si>
    <t>明海国际订舱，迪斯泰拖车报关</t>
  </si>
  <si>
    <t>$8384+$5342.88</t>
  </si>
  <si>
    <t>J3699</t>
  </si>
  <si>
    <r>
      <rPr>
        <sz val="8"/>
        <rFont val="宋体"/>
        <charset val="134"/>
      </rPr>
      <t>周三安排款</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color rgb="FF0000FF"/>
        <rFont val="Arial"/>
        <charset val="134"/>
      </rPr>
      <t xml:space="preserve"> </t>
    </r>
    <r>
      <rPr>
        <sz val="8"/>
        <rFont val="Arial"/>
        <charset val="134"/>
      </rPr>
      <t>18</t>
    </r>
    <r>
      <rPr>
        <sz val="8"/>
        <rFont val="宋体"/>
        <charset val="134"/>
      </rPr>
      <t>号装</t>
    </r>
    <r>
      <rPr>
        <sz val="8"/>
        <rFont val="Arial"/>
        <charset val="134"/>
      </rPr>
      <t>19</t>
    </r>
    <r>
      <rPr>
        <sz val="8"/>
        <rFont val="宋体"/>
        <charset val="134"/>
      </rPr>
      <t>报数据</t>
    </r>
    <r>
      <rPr>
        <sz val="8"/>
        <rFont val="Arial"/>
        <charset val="134"/>
      </rPr>
      <t xml:space="preserve"> </t>
    </r>
    <r>
      <rPr>
        <sz val="8"/>
        <rFont val="宋体"/>
        <charset val="134"/>
      </rPr>
      <t>埃及红线配件</t>
    </r>
    <r>
      <rPr>
        <sz val="8"/>
        <rFont val="Arial"/>
        <charset val="134"/>
      </rPr>
      <t xml:space="preserve"> </t>
    </r>
    <r>
      <rPr>
        <sz val="8"/>
        <rFont val="宋体"/>
        <charset val="134"/>
      </rPr>
      <t>样品都要显示件重尺</t>
    </r>
    <r>
      <rPr>
        <sz val="8"/>
        <rFont val="Arial"/>
        <charset val="134"/>
      </rPr>
      <t xml:space="preserve"> We will use Tianjin Hero  </t>
    </r>
    <r>
      <rPr>
        <sz val="8"/>
        <rFont val="宋体"/>
        <charset val="134"/>
      </rPr>
      <t>出此单前要把上单</t>
    </r>
    <r>
      <rPr>
        <sz val="8"/>
        <rFont val="Arial"/>
        <charset val="134"/>
      </rPr>
      <t>X3558</t>
    </r>
    <r>
      <rPr>
        <sz val="8"/>
        <rFont val="宋体"/>
        <charset val="134"/>
      </rPr>
      <t>差额部分收齐</t>
    </r>
  </si>
  <si>
    <r>
      <rPr>
        <sz val="8"/>
        <color theme="1"/>
        <rFont val="宋体"/>
        <charset val="134"/>
      </rPr>
      <t>华迈订舱，迪斯泰拖车报关</t>
    </r>
    <r>
      <rPr>
        <sz val="8"/>
        <color theme="1"/>
        <rFont val="Arial"/>
        <charset val="134"/>
      </rPr>
      <t>3200</t>
    </r>
  </si>
  <si>
    <t>J3694</t>
  </si>
  <si>
    <r>
      <rPr>
        <sz val="8"/>
        <rFont val="宋体"/>
        <charset val="134"/>
      </rPr>
      <t>澳大利亚</t>
    </r>
    <r>
      <rPr>
        <sz val="8"/>
        <rFont val="Arial"/>
        <charset val="134"/>
      </rPr>
      <t>Studwork(Mr. BRAD KEALEY)</t>
    </r>
  </si>
  <si>
    <r>
      <rPr>
        <sz val="8"/>
        <rFont val="Arial"/>
        <charset val="134"/>
      </rPr>
      <t>1x40HQ</t>
    </r>
    <r>
      <rPr>
        <sz val="8"/>
        <rFont val="宋体"/>
        <charset val="134"/>
      </rPr>
      <t>澳式龙骨</t>
    </r>
  </si>
  <si>
    <t xml:space="preserve">xingang-Melbourne Port ,  Australia </t>
  </si>
  <si>
    <r>
      <rPr>
        <sz val="8"/>
        <rFont val="宋体"/>
        <charset val="134"/>
      </rPr>
      <t>黄色CO</t>
    </r>
    <r>
      <rPr>
        <sz val="8"/>
        <color rgb="FF0000FF"/>
        <rFont val="宋体"/>
        <charset val="134"/>
      </rPr>
      <t xml:space="preserve">  电放</t>
    </r>
    <r>
      <rPr>
        <sz val="8"/>
        <rFont val="宋体"/>
        <charset val="134"/>
      </rPr>
      <t xml:space="preserve"> 我们所有能提供的澳式配件打个纸箱放进去。每个样子至少两只。放之前拍好照片发过来 有一个方的配件从别的地方送过来 一起装一起报 </t>
    </r>
    <r>
      <rPr>
        <sz val="8"/>
        <color rgb="FF0000FF"/>
        <rFont val="宋体"/>
        <charset val="134"/>
      </rPr>
      <t>费用要他们300元，又helen那边安排 港杂陆运费分开</t>
    </r>
    <r>
      <rPr>
        <sz val="8"/>
        <rFont val="宋体"/>
        <charset val="134"/>
      </rPr>
      <t xml:space="preserve"> 客户要</t>
    </r>
    <r>
      <rPr>
        <sz val="8"/>
        <rFont val="Arial"/>
        <charset val="134"/>
      </rPr>
      <t>50</t>
    </r>
    <r>
      <rPr>
        <sz val="8"/>
        <rFont val="宋体"/>
        <charset val="134"/>
      </rPr>
      <t>个内卡样品放集装箱里面</t>
    </r>
    <r>
      <rPr>
        <sz val="8"/>
        <rFont val="Arial"/>
        <charset val="134"/>
      </rPr>
      <t xml:space="preserve">  </t>
    </r>
    <r>
      <rPr>
        <sz val="8"/>
        <rFont val="宋体"/>
        <charset val="134"/>
      </rPr>
      <t>澳大利亚</t>
    </r>
    <r>
      <rPr>
        <sz val="8"/>
        <rFont val="Arial"/>
        <charset val="134"/>
      </rPr>
      <t xml:space="preserve"> Studworks</t>
    </r>
    <r>
      <rPr>
        <sz val="8"/>
        <rFont val="宋体"/>
        <charset val="134"/>
      </rPr>
      <t>的订舱代理严格区分这两个产品的名称。小短边外翻的一律叫变高，不要叫付骨，容易产生混淆</t>
    </r>
  </si>
  <si>
    <t>鑫顺源订舱MSC，会昌拖车报关</t>
  </si>
  <si>
    <r>
      <rPr>
        <b/>
        <sz val="8"/>
        <rFont val="宋体"/>
        <charset val="134"/>
      </rPr>
      <t>实际尾款</t>
    </r>
    <r>
      <rPr>
        <b/>
        <sz val="8"/>
        <rFont val="Arial"/>
        <charset val="134"/>
      </rPr>
      <t>$15821.36</t>
    </r>
  </si>
  <si>
    <t>J3704</t>
  </si>
  <si>
    <r>
      <rPr>
        <sz val="8"/>
        <rFont val="宋体"/>
        <charset val="134"/>
      </rPr>
      <t>印度</t>
    </r>
    <r>
      <rPr>
        <sz val="8"/>
        <rFont val="Arial"/>
        <charset val="134"/>
      </rPr>
      <t xml:space="preserve"> MAB Jaison </t>
    </r>
  </si>
  <si>
    <r>
      <rPr>
        <sz val="8"/>
        <rFont val="Arial"/>
        <charset val="134"/>
      </rPr>
      <t xml:space="preserve">1x20' </t>
    </r>
    <r>
      <rPr>
        <sz val="8"/>
        <rFont val="宋体"/>
        <charset val="134"/>
      </rPr>
      <t>烤漆</t>
    </r>
  </si>
  <si>
    <r>
      <rPr>
        <sz val="8"/>
        <rFont val="宋体"/>
        <charset val="134"/>
      </rPr>
      <t>TNT GD503302905WW</t>
    </r>
    <r>
      <rPr>
        <sz val="8"/>
        <rFont val="Arial"/>
        <charset val="134"/>
      </rPr>
      <t xml:space="preserve"> CO  </t>
    </r>
    <r>
      <rPr>
        <sz val="8"/>
        <rFont val="宋体"/>
        <charset val="134"/>
      </rPr>
      <t>参考</t>
    </r>
    <r>
      <rPr>
        <sz val="8"/>
        <rFont val="Arial"/>
        <charset val="134"/>
      </rPr>
      <t>J3611</t>
    </r>
  </si>
  <si>
    <r>
      <rPr>
        <sz val="8"/>
        <color theme="1"/>
        <rFont val="宋体"/>
        <charset val="134"/>
      </rPr>
      <t>三联</t>
    </r>
    <r>
      <rPr>
        <sz val="8"/>
        <color theme="1"/>
        <rFont val="Arial"/>
        <charset val="134"/>
      </rPr>
      <t>summer</t>
    </r>
    <r>
      <rPr>
        <sz val="8"/>
        <color theme="1"/>
        <rFont val="宋体"/>
        <charset val="134"/>
      </rPr>
      <t>订舱 长荣，会昌拖车 金凯平台报关</t>
    </r>
  </si>
  <si>
    <r>
      <rPr>
        <b/>
        <sz val="8"/>
        <color rgb="FF0000FF"/>
        <rFont val="宋体"/>
        <charset val="134"/>
      </rPr>
      <t>实际尾款</t>
    </r>
    <r>
      <rPr>
        <b/>
        <sz val="8"/>
        <color rgb="FF0000FF"/>
        <rFont val="Arial"/>
        <charset val="134"/>
      </rPr>
      <t>18279.46</t>
    </r>
  </si>
  <si>
    <t>J3705-3</t>
  </si>
  <si>
    <r>
      <rPr>
        <sz val="8"/>
        <rFont val="Arial"/>
        <charset val="134"/>
      </rPr>
      <t>3x40</t>
    </r>
    <r>
      <rPr>
        <sz val="8"/>
        <rFont val="宋体"/>
        <charset val="134"/>
      </rPr>
      <t>小付骨</t>
    </r>
  </si>
  <si>
    <t>xingang-Belawan,Indonesia</t>
  </si>
  <si>
    <r>
      <rPr>
        <sz val="8"/>
        <rFont val="宋体"/>
        <charset val="134"/>
      </rPr>
      <t>DHL1269157993 Form E 减汇率折扣832美金 加口罩61美金 5.24号不能到港 6.1号到港 同</t>
    </r>
    <r>
      <rPr>
        <sz val="8"/>
        <rFont val="Arial"/>
        <charset val="134"/>
      </rPr>
      <t xml:space="preserve">J3605  </t>
    </r>
    <r>
      <rPr>
        <sz val="8"/>
        <rFont val="宋体"/>
        <charset val="134"/>
      </rPr>
      <t>柜多是话一定申请</t>
    </r>
    <r>
      <rPr>
        <sz val="8"/>
        <rFont val="Arial"/>
        <charset val="134"/>
      </rPr>
      <t>21</t>
    </r>
    <r>
      <rPr>
        <sz val="8"/>
        <rFont val="宋体"/>
        <charset val="134"/>
      </rPr>
      <t>天免用箱，两三个柜14天免用箱就够</t>
    </r>
    <r>
      <rPr>
        <sz val="8"/>
        <rFont val="Arial"/>
        <charset val="134"/>
      </rPr>
      <t xml:space="preserve"> </t>
    </r>
  </si>
  <si>
    <r>
      <rPr>
        <sz val="8"/>
        <color theme="1"/>
        <rFont val="宋体"/>
        <charset val="134"/>
      </rPr>
      <t>迪斯泰订舱</t>
    </r>
    <r>
      <rPr>
        <sz val="8"/>
        <color theme="1"/>
        <rFont val="Arial"/>
        <charset val="134"/>
      </rPr>
      <t>MCC435</t>
    </r>
    <r>
      <rPr>
        <sz val="8"/>
        <color theme="1"/>
        <rFont val="宋体"/>
        <charset val="134"/>
      </rPr>
      <t>，拖车报关</t>
    </r>
  </si>
  <si>
    <r>
      <rPr>
        <b/>
        <sz val="8"/>
        <rFont val="宋体"/>
        <charset val="134"/>
      </rPr>
      <t>实际尾款</t>
    </r>
    <r>
      <rPr>
        <b/>
        <sz val="8"/>
        <rFont val="Arial"/>
        <charset val="134"/>
      </rPr>
      <t>54692</t>
    </r>
    <r>
      <rPr>
        <b/>
        <sz val="8"/>
        <rFont val="宋体"/>
        <charset val="134"/>
      </rPr>
      <t xml:space="preserve">美金  2020.5.19收到60660美金 6000美金做J3810的定金
</t>
    </r>
  </si>
  <si>
    <t>J3705-1</t>
  </si>
  <si>
    <r>
      <rPr>
        <sz val="8"/>
        <rFont val="宋体"/>
        <charset val="134"/>
      </rPr>
      <t>印尼</t>
    </r>
    <r>
      <rPr>
        <sz val="8"/>
        <rFont val="Arial"/>
        <charset val="134"/>
      </rPr>
      <t xml:space="preserve"> PT ABADI Darman Jono</t>
    </r>
  </si>
  <si>
    <r>
      <rPr>
        <sz val="8"/>
        <rFont val="Arial"/>
        <charset val="134"/>
      </rPr>
      <t>2x40</t>
    </r>
    <r>
      <rPr>
        <sz val="8"/>
        <rFont val="宋体"/>
        <charset val="134"/>
      </rPr>
      <t>小付骨</t>
    </r>
  </si>
  <si>
    <r>
      <rPr>
        <sz val="8"/>
        <rFont val="宋体"/>
        <charset val="134"/>
      </rPr>
      <t>DHL7072267952 商检局徐老师Form E</t>
    </r>
    <r>
      <rPr>
        <sz val="8"/>
        <rFont val="Arial"/>
        <charset val="134"/>
      </rPr>
      <t xml:space="preserve"> </t>
    </r>
    <r>
      <rPr>
        <sz val="8"/>
        <rFont val="宋体"/>
        <charset val="134"/>
      </rPr>
      <t>寄单据带几张空白盖章纸 客户说两个柜</t>
    </r>
    <r>
      <rPr>
        <sz val="8"/>
        <rFont val="Arial"/>
        <charset val="134"/>
      </rPr>
      <t>14</t>
    </r>
    <r>
      <rPr>
        <sz val="8"/>
        <rFont val="宋体"/>
        <charset val="134"/>
      </rPr>
      <t>天免用箱就够</t>
    </r>
  </si>
  <si>
    <t>迪斯泰订舱MCC700，迪斯泰拖车报关</t>
  </si>
  <si>
    <r>
      <rPr>
        <b/>
        <sz val="8"/>
        <color rgb="FF0000FF"/>
        <rFont val="宋体"/>
        <charset val="134"/>
      </rPr>
      <t>实际尾款23720汇率折扣</t>
    </r>
    <r>
      <rPr>
        <b/>
        <sz val="8"/>
        <color rgb="FF0000FF"/>
        <rFont val="Arial"/>
        <charset val="134"/>
      </rPr>
      <t xml:space="preserve">500 
</t>
    </r>
    <r>
      <rPr>
        <b/>
        <sz val="8"/>
        <color rgb="FF0000FF"/>
        <rFont val="宋体"/>
        <charset val="134"/>
      </rPr>
      <t>汇率锁定在6.95.高于的这个汇率的按6.95折算。3.26汇率7.1 尾款收客户23700/7.1*6.95=23219</t>
    </r>
  </si>
  <si>
    <t>J3705-2</t>
  </si>
  <si>
    <t>DHL6311004206徐老师出Form E</t>
  </si>
  <si>
    <t>迪斯泰订舱MCC583 拖车报关</t>
  </si>
  <si>
    <t>实际尾款35071.2美金</t>
  </si>
  <si>
    <t>J3707</t>
  </si>
  <si>
    <t>xingang-FARIDABAD,INDIA</t>
  </si>
  <si>
    <r>
      <rPr>
        <sz val="8"/>
        <rFont val="宋体"/>
        <charset val="134"/>
      </rPr>
      <t>单据齐等款 单据已发客户 由于疫情提单电放 其他单据客户自己打印  出CO 代理订舱 参考</t>
    </r>
    <r>
      <rPr>
        <sz val="8"/>
        <rFont val="Arial"/>
        <charset val="134"/>
      </rPr>
      <t>J3595</t>
    </r>
  </si>
  <si>
    <r>
      <rPr>
        <sz val="8"/>
        <color theme="1"/>
        <rFont val="宋体"/>
        <charset val="134"/>
      </rPr>
      <t>代理</t>
    </r>
    <r>
      <rPr>
        <sz val="8"/>
        <color theme="1"/>
        <rFont val="Arial"/>
        <charset val="134"/>
      </rPr>
      <t>Winco Logistics</t>
    </r>
    <r>
      <rPr>
        <sz val="8"/>
        <color theme="1"/>
        <rFont val="宋体"/>
        <charset val="134"/>
      </rPr>
      <t>订舱COSCO，会昌拖车，金凯一达通报关</t>
    </r>
  </si>
  <si>
    <r>
      <rPr>
        <b/>
        <sz val="8"/>
        <rFont val="宋体"/>
        <charset val="134"/>
      </rPr>
      <t>实际尾款</t>
    </r>
    <r>
      <rPr>
        <b/>
        <sz val="8"/>
        <rFont val="Arial"/>
        <charset val="134"/>
      </rPr>
      <t>$11711.75</t>
    </r>
  </si>
  <si>
    <t>J3431-5</t>
  </si>
  <si>
    <r>
      <rPr>
        <sz val="8"/>
        <rFont val="宋体"/>
        <charset val="134"/>
      </rPr>
      <t>济南潘奥</t>
    </r>
    <r>
      <rPr>
        <sz val="8"/>
        <rFont val="Arial"/>
        <charset val="134"/>
      </rPr>
      <t xml:space="preserve"> </t>
    </r>
    <r>
      <rPr>
        <sz val="8"/>
        <rFont val="宋体"/>
        <charset val="134"/>
      </rPr>
      <t>王侃杜</t>
    </r>
    <r>
      <rPr>
        <sz val="8"/>
        <rFont val="Arial"/>
        <charset val="134"/>
      </rPr>
      <t>Richard</t>
    </r>
  </si>
  <si>
    <t xml:space="preserve">印度港口  </t>
  </si>
  <si>
    <r>
      <rPr>
        <sz val="8"/>
        <rFont val="宋体"/>
        <charset val="134"/>
      </rPr>
      <t>整柜订单取消 已发走一部分到临沂收到货款7635美金实际到账7628.89美金 见邮件 客户新增一个柜子左右，与第四批发完之后的余货拼成两个柜子。</t>
    </r>
    <r>
      <rPr>
        <sz val="8"/>
        <rFont val="Arial"/>
        <charset val="134"/>
      </rPr>
      <t xml:space="preserve"> 
</t>
    </r>
    <r>
      <rPr>
        <sz val="8"/>
        <rFont val="宋体"/>
        <charset val="134"/>
      </rPr>
      <t>安排二月发第四批，三月发第五批一个柜子，四月发第六批一个，然后整个订单就算完成了。</t>
    </r>
    <r>
      <rPr>
        <sz val="8"/>
        <rFont val="Arial"/>
        <charset val="134"/>
      </rPr>
      <t xml:space="preserve"> 
</t>
    </r>
  </si>
  <si>
    <t>出厂</t>
  </si>
  <si>
    <t>J3713</t>
  </si>
  <si>
    <r>
      <rPr>
        <sz val="8"/>
        <rFont val="宋体"/>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</si>
  <si>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r>
      <rPr>
        <sz val="8"/>
        <rFont val="Arial"/>
        <charset val="134"/>
      </rPr>
      <t xml:space="preserve">1x40HQ  </t>
    </r>
    <r>
      <rPr>
        <sz val="8"/>
        <rFont val="宋体"/>
        <charset val="134"/>
      </rPr>
      <t>轻钢龙骨</t>
    </r>
  </si>
  <si>
    <r>
      <rPr>
        <sz val="8"/>
        <rFont val="宋体"/>
        <charset val="134"/>
      </rPr>
      <t>DHL6200584191  CCPIT CO 发票减95美金 J3430少装了客户多付95美金  港杂费2600 27上午报数据</t>
    </r>
    <r>
      <rPr>
        <sz val="8"/>
        <rFont val="Arial"/>
        <charset val="134"/>
      </rPr>
      <t xml:space="preserve">  </t>
    </r>
    <r>
      <rPr>
        <sz val="8"/>
        <rFont val="宋体"/>
        <charset val="134"/>
      </rPr>
      <t xml:space="preserve">客户的VAT NO. 300041228300003 要显示在发票上，客户的PO号要显示在所有单据上 </t>
    </r>
    <r>
      <rPr>
        <sz val="8"/>
        <rFont val="Arial"/>
        <charset val="134"/>
      </rPr>
      <t xml:space="preserve">  Saber</t>
    </r>
    <r>
      <rPr>
        <sz val="8"/>
        <rFont val="宋体"/>
        <charset val="134"/>
      </rPr>
      <t>系统下的</t>
    </r>
    <r>
      <rPr>
        <sz val="8"/>
        <rFont val="Arial"/>
        <charset val="134"/>
      </rPr>
      <t>SC</t>
    </r>
    <r>
      <rPr>
        <sz val="8"/>
        <rFont val="宋体"/>
        <charset val="134"/>
      </rPr>
      <t>证书，发最后发票给客户，让客户在</t>
    </r>
    <r>
      <rPr>
        <sz val="8"/>
        <rFont val="Arial"/>
        <charset val="134"/>
      </rPr>
      <t>Saber</t>
    </r>
    <r>
      <rPr>
        <sz val="8"/>
        <rFont val="宋体"/>
        <charset val="134"/>
      </rPr>
      <t>系统申请。</t>
    </r>
  </si>
  <si>
    <t>上海革力国际订舱OC，会昌拖车</t>
  </si>
  <si>
    <r>
      <rPr>
        <sz val="8"/>
        <rFont val="宋体"/>
        <charset val="134"/>
      </rPr>
      <t>实际尾款$</t>
    </r>
    <r>
      <rPr>
        <sz val="8"/>
        <rFont val="Arial"/>
        <charset val="134"/>
      </rPr>
      <t>15615.93</t>
    </r>
  </si>
  <si>
    <t>J3633</t>
  </si>
  <si>
    <r>
      <rPr>
        <sz val="8"/>
        <rFont val="宋体"/>
        <charset val="134"/>
      </rPr>
      <t>伊朗</t>
    </r>
    <r>
      <rPr>
        <sz val="8"/>
        <rFont val="Arial"/>
        <charset val="134"/>
      </rPr>
      <t xml:space="preserve"> TOLIDI (Mehdi )</t>
    </r>
  </si>
  <si>
    <r>
      <rPr>
        <sz val="8"/>
        <rFont val="Arial"/>
        <charset val="134"/>
      </rPr>
      <t xml:space="preserve">2x20' </t>
    </r>
    <r>
      <rPr>
        <sz val="8"/>
        <rFont val="宋体"/>
        <charset val="134"/>
      </rPr>
      <t>烤漆</t>
    </r>
  </si>
  <si>
    <t>xingang-Bandar Abbass</t>
  </si>
  <si>
    <r>
      <rPr>
        <sz val="8"/>
        <rFont val="宋体"/>
        <charset val="134"/>
      </rPr>
      <t>出CO 电放 金色赔付 数量见微信截图 发货前会预付一部分款  海运费这次到付 同</t>
    </r>
    <r>
      <rPr>
        <sz val="8"/>
        <rFont val="Arial"/>
        <charset val="134"/>
      </rPr>
      <t>J3533  Rebecca Xu
Tel:+86-21 54731201
Fax:+86-21 66052609
Mobile: +86-18616138369</t>
    </r>
  </si>
  <si>
    <t>seatek订舱伊朗航运，会昌拖车金凯抬头正常报关</t>
  </si>
  <si>
    <r>
      <rPr>
        <b/>
        <sz val="8"/>
        <color rgb="FF0000FF"/>
        <rFont val="宋体"/>
        <charset val="134"/>
      </rPr>
      <t>3568美金转到J3791做定金 实际尾款</t>
    </r>
    <r>
      <rPr>
        <b/>
        <sz val="8"/>
        <color rgb="FF0000FF"/>
        <rFont val="Arial"/>
        <charset val="134"/>
      </rPr>
      <t>22435.95</t>
    </r>
  </si>
  <si>
    <t>J3725</t>
  </si>
  <si>
    <r>
      <rPr>
        <sz val="8"/>
        <rFont val="Arial"/>
        <charset val="134"/>
      </rPr>
      <t xml:space="preserve">1x20'  </t>
    </r>
    <r>
      <rPr>
        <sz val="8"/>
        <rFont val="宋体"/>
        <charset val="134"/>
      </rPr>
      <t>烤漆</t>
    </r>
  </si>
  <si>
    <t>xingang-NHAVA SHEVA,INDIA</t>
  </si>
  <si>
    <r>
      <rPr>
        <sz val="8"/>
        <rFont val="宋体"/>
        <charset val="134"/>
      </rPr>
      <t>客户信息+919404065170 sccstonex@gmail.com 单据等款 单据已发客户 6月底之前付代理费 出CO 同</t>
    </r>
    <r>
      <rPr>
        <sz val="8"/>
        <rFont val="Arial"/>
        <charset val="134"/>
      </rPr>
      <t xml:space="preserve">J3626 </t>
    </r>
    <r>
      <rPr>
        <sz val="8"/>
        <color rgb="FF0000FF"/>
        <rFont val="宋体"/>
        <charset val="134"/>
      </rPr>
      <t>电放</t>
    </r>
    <r>
      <rPr>
        <sz val="8"/>
        <rFont val="Arial"/>
        <charset val="134"/>
      </rPr>
      <t xml:space="preserve"> </t>
    </r>
    <r>
      <rPr>
        <sz val="8"/>
        <rFont val="宋体"/>
        <charset val="134"/>
      </rPr>
      <t>代理订舱</t>
    </r>
  </si>
  <si>
    <r>
      <rPr>
        <sz val="8"/>
        <color theme="1"/>
        <rFont val="宋体"/>
        <charset val="134"/>
      </rPr>
      <t>明海订舱</t>
    </r>
    <r>
      <rPr>
        <sz val="8"/>
        <color theme="1"/>
        <rFont val="Arial"/>
        <charset val="134"/>
      </rPr>
      <t>MSK</t>
    </r>
    <r>
      <rPr>
        <sz val="8"/>
        <color theme="1"/>
        <rFont val="宋体"/>
        <charset val="134"/>
      </rPr>
      <t>，会昌拖车，金凯抬头报关</t>
    </r>
  </si>
  <si>
    <r>
      <rPr>
        <sz val="8"/>
        <rFont val="宋体"/>
        <charset val="134"/>
      </rPr>
      <t>实际尾款</t>
    </r>
    <r>
      <rPr>
        <sz val="8"/>
        <rFont val="Arial"/>
        <charset val="134"/>
      </rPr>
      <t>$14366.5</t>
    </r>
  </si>
  <si>
    <t>J3724-1</t>
  </si>
  <si>
    <r>
      <rPr>
        <sz val="8"/>
        <rFont val="宋体"/>
        <charset val="134"/>
      </rPr>
      <t>迪拜</t>
    </r>
    <r>
      <rPr>
        <sz val="8"/>
        <rFont val="Arial"/>
        <charset val="134"/>
      </rPr>
      <t xml:space="preserve"> GEMINI (Manoj)</t>
    </r>
  </si>
  <si>
    <t>xingang-Abu Dhabi,  UAE</t>
  </si>
  <si>
    <r>
      <rPr>
        <sz val="8"/>
        <rFont val="宋体"/>
        <charset val="134"/>
      </rPr>
      <t>DHL3734557573 单据齐等款 CO</t>
    </r>
    <r>
      <rPr>
        <sz val="8"/>
        <rFont val="Arial"/>
        <charset val="134"/>
      </rPr>
      <t xml:space="preserve"> </t>
    </r>
    <r>
      <rPr>
        <sz val="8"/>
        <rFont val="宋体"/>
        <charset val="134"/>
      </rPr>
      <t xml:space="preserve">给了营业执照 </t>
    </r>
  </si>
  <si>
    <r>
      <rPr>
        <sz val="8"/>
        <color theme="1"/>
        <rFont val="宋体"/>
        <charset val="134"/>
      </rPr>
      <t>会昌订舱</t>
    </r>
    <r>
      <rPr>
        <sz val="8"/>
        <color theme="1"/>
        <rFont val="Arial"/>
        <charset val="134"/>
      </rPr>
      <t>MSC920</t>
    </r>
    <r>
      <rPr>
        <sz val="8"/>
        <color theme="1"/>
        <rFont val="宋体"/>
        <charset val="134"/>
      </rPr>
      <t>，拖车报关</t>
    </r>
  </si>
  <si>
    <t>J3724-2</t>
  </si>
  <si>
    <r>
      <rPr>
        <sz val="8"/>
        <rFont val="Arial"/>
        <charset val="134"/>
      </rPr>
      <t xml:space="preserve">3x20 </t>
    </r>
    <r>
      <rPr>
        <sz val="8"/>
        <rFont val="宋体"/>
        <charset val="134"/>
      </rPr>
      <t>轻钢</t>
    </r>
    <r>
      <rPr>
        <sz val="8"/>
        <rFont val="Arial"/>
        <charset val="134"/>
      </rPr>
      <t>0.37mm</t>
    </r>
  </si>
  <si>
    <t>xingang-Jebel Ali,  UAE</t>
  </si>
  <si>
    <r>
      <rPr>
        <sz val="8"/>
        <rFont val="宋体"/>
        <charset val="134"/>
      </rPr>
      <t>DHL2024482460 CO 订舱前确认港口</t>
    </r>
    <r>
      <rPr>
        <sz val="8"/>
        <rFont val="Arial"/>
        <charset val="134"/>
      </rPr>
      <t xml:space="preserve"> </t>
    </r>
  </si>
  <si>
    <t>迪斯泰EMI525，拖车报关</t>
  </si>
  <si>
    <t>J3739-1</t>
  </si>
  <si>
    <t xml:space="preserve">xingang-Sohar, Oman </t>
  </si>
  <si>
    <r>
      <rPr>
        <sz val="8"/>
        <color theme="1"/>
        <rFont val="宋体"/>
        <charset val="134"/>
      </rPr>
      <t>DHL6045318930 CO拿了</t>
    </r>
    <r>
      <rPr>
        <sz val="8"/>
        <rFont val="宋体"/>
        <charset val="134"/>
      </rPr>
      <t xml:space="preserve"> 客户要求申请目的港14天免用箱 </t>
    </r>
  </si>
  <si>
    <r>
      <rPr>
        <sz val="8"/>
        <color theme="1"/>
        <rFont val="宋体"/>
        <charset val="134"/>
      </rPr>
      <t>会昌订舱</t>
    </r>
    <r>
      <rPr>
        <sz val="8"/>
        <color theme="1"/>
        <rFont val="Arial"/>
        <charset val="134"/>
      </rPr>
      <t>APL795</t>
    </r>
    <r>
      <rPr>
        <sz val="8"/>
        <color theme="1"/>
        <rFont val="宋体"/>
        <charset val="134"/>
      </rPr>
      <t>，白沟源远拖车报关</t>
    </r>
  </si>
  <si>
    <t>J3739-2</t>
  </si>
  <si>
    <r>
      <rPr>
        <sz val="8"/>
        <rFont val="Arial"/>
        <charset val="134"/>
      </rPr>
      <t xml:space="preserve">2x20 </t>
    </r>
    <r>
      <rPr>
        <sz val="8"/>
        <rFont val="宋体"/>
        <charset val="134"/>
      </rPr>
      <t>轻钢</t>
    </r>
    <r>
      <rPr>
        <sz val="8"/>
        <rFont val="Arial"/>
        <charset val="134"/>
      </rPr>
      <t>0.40mm</t>
    </r>
  </si>
  <si>
    <r>
      <rPr>
        <sz val="8"/>
        <rFont val="宋体"/>
        <charset val="134"/>
      </rPr>
      <t>DHL8690924944 出CO 这个订单由</t>
    </r>
    <r>
      <rPr>
        <sz val="8"/>
        <rFont val="Arial"/>
        <charset val="134"/>
      </rPr>
      <t>3</t>
    </r>
    <r>
      <rPr>
        <sz val="8"/>
        <rFont val="宋体"/>
        <charset val="134"/>
      </rPr>
      <t>个改成</t>
    </r>
    <r>
      <rPr>
        <sz val="8"/>
        <rFont val="Arial"/>
        <charset val="134"/>
      </rPr>
      <t>2</t>
    </r>
    <r>
      <rPr>
        <sz val="8"/>
        <rFont val="宋体"/>
        <charset val="134"/>
      </rPr>
      <t>个，发货时间在</t>
    </r>
    <r>
      <rPr>
        <sz val="8"/>
        <rFont val="Arial"/>
        <charset val="134"/>
      </rPr>
      <t>J3752</t>
    </r>
    <r>
      <rPr>
        <sz val="8"/>
        <rFont val="宋体"/>
        <charset val="134"/>
      </rPr>
      <t>之后</t>
    </r>
  </si>
  <si>
    <t>迪斯泰订舱OOCL650，白沟源远拖车报关</t>
  </si>
  <si>
    <t>J3741-2</t>
  </si>
  <si>
    <t>xingang-HAZIRA, INDIA</t>
  </si>
  <si>
    <r>
      <rPr>
        <sz val="8"/>
        <rFont val="宋体"/>
        <charset val="134"/>
      </rPr>
      <t>单据齐等款 提单背书了 托班 出CO 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低报发票</t>
    </r>
  </si>
  <si>
    <r>
      <rPr>
        <sz val="8"/>
        <color theme="1"/>
        <rFont val="宋体"/>
        <charset val="134"/>
      </rPr>
      <t>迪斯泰订舱MSC2700，迪斯泰拖车，</t>
    </r>
    <r>
      <rPr>
        <sz val="8"/>
        <color rgb="FFFF0000"/>
        <rFont val="宋体"/>
        <charset val="134"/>
      </rPr>
      <t>金凯抬头报关</t>
    </r>
  </si>
  <si>
    <t>J3741-1</t>
  </si>
  <si>
    <t>xingang-Nhava Sheva  ,INDIA</t>
  </si>
  <si>
    <r>
      <rPr>
        <sz val="8"/>
        <rFont val="宋体"/>
        <charset val="134"/>
      </rPr>
      <t xml:space="preserve">CO 港杂2085 低报发票单价见合同 提单显示货值的话报关要不要一致 </t>
    </r>
    <r>
      <rPr>
        <sz val="8"/>
        <color rgb="FF0000FF"/>
        <rFont val="宋体"/>
        <charset val="134"/>
      </rPr>
      <t xml:space="preserve"> </t>
    </r>
    <r>
      <rPr>
        <sz val="8"/>
        <rFont val="Arial"/>
        <charset val="134"/>
      </rPr>
      <t xml:space="preserve"> </t>
    </r>
    <r>
      <rPr>
        <sz val="8"/>
        <rFont val="宋体"/>
        <charset val="134"/>
      </rPr>
      <t>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目的港 同J3649</t>
    </r>
  </si>
  <si>
    <t>骏海物流订舱长荣，迪斯泰拖车 金凯抬头报关</t>
  </si>
  <si>
    <r>
      <rPr>
        <b/>
        <sz val="8"/>
        <color rgb="FF0000FF"/>
        <rFont val="宋体"/>
        <charset val="134"/>
      </rPr>
      <t>低报发票</t>
    </r>
    <r>
      <rPr>
        <b/>
        <sz val="8"/>
        <color rgb="FF0000FF"/>
        <rFont val="Arial"/>
        <charset val="134"/>
      </rPr>
      <t>10764.75</t>
    </r>
  </si>
  <si>
    <t>J3753-1</t>
  </si>
  <si>
    <r>
      <rPr>
        <sz val="8"/>
        <rFont val="Arial"/>
        <charset val="134"/>
      </rPr>
      <t xml:space="preserve">3x20 </t>
    </r>
    <r>
      <rPr>
        <sz val="8"/>
        <rFont val="宋体"/>
        <charset val="134"/>
      </rPr>
      <t>轻钢</t>
    </r>
    <r>
      <rPr>
        <sz val="8"/>
        <rFont val="Arial"/>
        <charset val="134"/>
      </rPr>
      <t>0.35mm</t>
    </r>
  </si>
  <si>
    <r>
      <rPr>
        <sz val="8"/>
        <rFont val="宋体"/>
        <charset val="134"/>
      </rPr>
      <t>DHL6009189745 具体街道号联系人 单据齐等款 单据已发客户 出</t>
    </r>
    <r>
      <rPr>
        <sz val="8"/>
        <rFont val="Arial"/>
        <charset val="134"/>
      </rPr>
      <t>CO</t>
    </r>
  </si>
  <si>
    <t>迪斯泰订舱CMA864，拖车报关</t>
  </si>
  <si>
    <t>J3753-2</t>
  </si>
  <si>
    <r>
      <rPr>
        <sz val="8"/>
        <rFont val="Arial"/>
        <charset val="134"/>
      </rPr>
      <t xml:space="preserve">4x20 </t>
    </r>
    <r>
      <rPr>
        <sz val="8"/>
        <rFont val="宋体"/>
        <charset val="134"/>
      </rPr>
      <t>轻钢</t>
    </r>
    <r>
      <rPr>
        <sz val="8"/>
        <rFont val="Arial"/>
        <charset val="134"/>
      </rPr>
      <t>0.35mm</t>
    </r>
  </si>
  <si>
    <r>
      <rPr>
        <sz val="8"/>
        <rFont val="宋体"/>
        <charset val="134"/>
      </rPr>
      <t>DHL 6086174172，银行CBD，修改到4个柜子 准备9月19日的船</t>
    </r>
    <r>
      <rPr>
        <sz val="8"/>
        <rFont val="Arial"/>
        <charset val="134"/>
      </rPr>
      <t xml:space="preserve"> CO</t>
    </r>
  </si>
  <si>
    <r>
      <rPr>
        <sz val="8"/>
        <color theme="1"/>
        <rFont val="宋体"/>
        <charset val="134"/>
      </rPr>
      <t>天津汇昌</t>
    </r>
    <r>
      <rPr>
        <sz val="8"/>
        <color theme="1"/>
        <rFont val="Arial"/>
        <charset val="134"/>
      </rPr>
      <t xml:space="preserve"> EMI 1150</t>
    </r>
    <r>
      <rPr>
        <sz val="8"/>
        <color theme="1"/>
        <rFont val="宋体"/>
        <charset val="134"/>
      </rPr>
      <t>，白沟源远拖车报关</t>
    </r>
  </si>
  <si>
    <t>J3752</t>
  </si>
  <si>
    <r>
      <rPr>
        <sz val="8"/>
        <rFont val="Arial"/>
        <charset val="134"/>
      </rPr>
      <t xml:space="preserve">2x20 </t>
    </r>
    <r>
      <rPr>
        <sz val="8"/>
        <rFont val="宋体"/>
        <charset val="134"/>
      </rPr>
      <t>轻钢</t>
    </r>
    <r>
      <rPr>
        <sz val="8"/>
        <rFont val="Arial"/>
        <charset val="134"/>
      </rPr>
      <t>0.35mm</t>
    </r>
  </si>
  <si>
    <r>
      <rPr>
        <sz val="8"/>
        <rFont val="宋体"/>
        <charset val="134"/>
      </rPr>
      <t>DHL2789783010 到港箱子坏  出CO 由</t>
    </r>
    <r>
      <rPr>
        <sz val="8"/>
        <rFont val="Arial"/>
        <charset val="134"/>
      </rPr>
      <t>6</t>
    </r>
    <r>
      <rPr>
        <sz val="8"/>
        <rFont val="宋体"/>
        <charset val="134"/>
      </rPr>
      <t>个改成</t>
    </r>
    <r>
      <rPr>
        <sz val="8"/>
        <rFont val="Arial"/>
        <charset val="134"/>
      </rPr>
      <t>2</t>
    </r>
    <r>
      <rPr>
        <sz val="8"/>
        <rFont val="宋体"/>
        <charset val="134"/>
      </rPr>
      <t>个</t>
    </r>
    <r>
      <rPr>
        <sz val="8"/>
        <rFont val="Arial"/>
        <charset val="134"/>
      </rPr>
      <t xml:space="preserve"> </t>
    </r>
    <r>
      <rPr>
        <sz val="8"/>
        <rFont val="宋体"/>
        <charset val="134"/>
      </rPr>
      <t>可以尽快发货。发货前</t>
    </r>
    <r>
      <rPr>
        <sz val="8"/>
        <rFont val="Arial"/>
        <charset val="134"/>
      </rPr>
      <t>15</t>
    </r>
    <r>
      <rPr>
        <sz val="8"/>
        <rFont val="宋体"/>
        <charset val="134"/>
      </rPr>
      <t>天要客户的发货承诺 同J3739</t>
    </r>
  </si>
  <si>
    <t>迪斯泰订舱MSC1265，迪斯泰拖车报关</t>
  </si>
  <si>
    <t>J3759</t>
  </si>
  <si>
    <r>
      <rPr>
        <sz val="8"/>
        <rFont val="Arial"/>
        <charset val="134"/>
      </rPr>
      <t>xingang</t>
    </r>
    <r>
      <rPr>
        <sz val="8"/>
        <color theme="1"/>
        <rFont val="Arial"/>
        <charset val="134"/>
      </rPr>
      <t xml:space="preserve">-Salalah,  Oman </t>
    </r>
  </si>
  <si>
    <t>DHL8690921503 CO 特别注意提的柜子尽量要新一点的。不能再出现生锈问题了</t>
  </si>
  <si>
    <t>迪斯泰订舱MSC1200，拖车报关</t>
  </si>
  <si>
    <t>J3764</t>
  </si>
  <si>
    <r>
      <rPr>
        <sz val="8"/>
        <rFont val="Arial"/>
        <charset val="134"/>
      </rPr>
      <t>深圳三禾</t>
    </r>
    <r>
      <rPr>
        <sz val="8"/>
        <rFont val="Arial"/>
        <charset val="134"/>
      </rPr>
      <t>/Amy</t>
    </r>
  </si>
  <si>
    <t>xingang-Subic Bay,  Philippine</t>
  </si>
  <si>
    <r>
      <rPr>
        <sz val="8"/>
        <rFont val="Arial"/>
        <charset val="134"/>
      </rPr>
      <t>DHL3536370736 ROSE
Customer Service  Rep.
Portland Marine Services, Inc.
Telephone No.: (047) 252-2741  Email: pmsi_cservice@yahoo.com</t>
    </r>
    <r>
      <rPr>
        <sz val="8"/>
        <rFont val="宋体"/>
        <charset val="134"/>
      </rPr>
      <t>明辉达</t>
    </r>
    <r>
      <rPr>
        <sz val="8"/>
        <rFont val="Arial"/>
        <charset val="134"/>
      </rPr>
      <t>Form E</t>
    </r>
    <r>
      <rPr>
        <sz val="8"/>
        <rFont val="宋体"/>
        <charset val="134"/>
      </rPr>
      <t>，提单要船公司提单，不接受货代提单 提单电放 电放提单打印出来 一整套资料寄给国外，指定万海船公司</t>
    </r>
  </si>
  <si>
    <r>
      <rPr>
        <sz val="8"/>
        <color theme="1"/>
        <rFont val="宋体"/>
        <charset val="134"/>
      </rPr>
      <t>迪斯泰订舱海丰</t>
    </r>
    <r>
      <rPr>
        <sz val="8"/>
        <color theme="1"/>
        <rFont val="Arial"/>
        <charset val="134"/>
      </rPr>
      <t xml:space="preserve">390 </t>
    </r>
    <r>
      <rPr>
        <sz val="8"/>
        <color theme="1"/>
        <rFont val="宋体"/>
        <charset val="134"/>
      </rPr>
      <t>拖车报关</t>
    </r>
  </si>
  <si>
    <t>清账</t>
  </si>
  <si>
    <t>J3766-1</t>
  </si>
  <si>
    <r>
      <rPr>
        <sz val="8"/>
        <rFont val="宋体"/>
        <charset val="134"/>
      </rPr>
      <t>印度</t>
    </r>
    <r>
      <rPr>
        <sz val="8"/>
        <rFont val="Arial"/>
        <charset val="134"/>
      </rPr>
      <t xml:space="preserve"> KINGSTON Danny</t>
    </r>
  </si>
  <si>
    <r>
      <rPr>
        <sz val="8"/>
        <rFont val="宋体"/>
        <charset val="134"/>
      </rPr>
      <t>车队出保函了 箱子有点漏 补号了 同</t>
    </r>
    <r>
      <rPr>
        <sz val="8"/>
        <rFont val="Arial"/>
        <charset val="134"/>
      </rPr>
      <t>J3689</t>
    </r>
    <r>
      <rPr>
        <sz val="8"/>
        <color rgb="FF0000FF"/>
        <rFont val="宋体"/>
        <charset val="134"/>
      </rPr>
      <t>电放</t>
    </r>
    <r>
      <rPr>
        <sz val="8"/>
        <rFont val="宋体"/>
        <charset val="134"/>
      </rPr>
      <t xml:space="preserve"> 前半程预付</t>
    </r>
  </si>
  <si>
    <r>
      <rPr>
        <sz val="8"/>
        <color theme="1"/>
        <rFont val="宋体"/>
        <charset val="134"/>
      </rPr>
      <t>会昌订舱</t>
    </r>
    <r>
      <rPr>
        <sz val="8"/>
        <color theme="1"/>
        <rFont val="Arial"/>
        <charset val="134"/>
      </rPr>
      <t>MSK600</t>
    </r>
    <r>
      <rPr>
        <sz val="8"/>
        <color theme="1"/>
        <rFont val="宋体"/>
        <charset val="134"/>
      </rPr>
      <t>，会昌拖车 金凯抬头报关</t>
    </r>
  </si>
  <si>
    <t>J3766-2</t>
  </si>
  <si>
    <r>
      <rPr>
        <sz val="8"/>
        <rFont val="宋体"/>
        <charset val="134"/>
      </rPr>
      <t>29号装柜全天报数据 同</t>
    </r>
    <r>
      <rPr>
        <sz val="8"/>
        <rFont val="Arial"/>
        <charset val="134"/>
      </rPr>
      <t>J3689</t>
    </r>
    <r>
      <rPr>
        <sz val="8"/>
        <rFont val="宋体"/>
        <charset val="134"/>
      </rPr>
      <t>电放 前半程预付</t>
    </r>
  </si>
  <si>
    <t>会昌订舱EMI950，会昌拖车金凯抬头报关</t>
  </si>
  <si>
    <t>此前清账 累计应收USD-160.94</t>
  </si>
  <si>
    <t>J3758</t>
  </si>
  <si>
    <r>
      <rPr>
        <sz val="8"/>
        <rFont val="Arial"/>
        <charset val="134"/>
      </rPr>
      <t>1x20'</t>
    </r>
    <r>
      <rPr>
        <sz val="8"/>
        <rFont val="宋体"/>
        <charset val="134"/>
      </rPr>
      <t>烤漆</t>
    </r>
  </si>
  <si>
    <r>
      <rPr>
        <sz val="8"/>
        <rFont val="宋体"/>
        <charset val="134"/>
      </rPr>
      <t>单据齐等款 单据已发客户 同</t>
    </r>
    <r>
      <rPr>
        <sz val="8"/>
        <rFont val="Arial"/>
        <charset val="134"/>
      </rPr>
      <t>J3683 CO</t>
    </r>
    <r>
      <rPr>
        <sz val="8"/>
        <color rgb="FF0000FF"/>
        <rFont val="Arial"/>
        <charset val="134"/>
      </rPr>
      <t xml:space="preserve"> </t>
    </r>
    <r>
      <rPr>
        <sz val="8"/>
        <rFont val="宋体"/>
        <charset val="134"/>
      </rPr>
      <t>低报发票客户给</t>
    </r>
    <r>
      <rPr>
        <sz val="8"/>
        <rFont val="Arial"/>
        <charset val="134"/>
      </rPr>
      <t xml:space="preserve"> </t>
    </r>
    <r>
      <rPr>
        <sz val="8"/>
        <rFont val="宋体"/>
        <charset val="134"/>
      </rPr>
      <t>电放</t>
    </r>
  </si>
  <si>
    <t>骏海订舱长荣，会昌拖车，金凯抬头报关</t>
  </si>
  <si>
    <r>
      <rPr>
        <b/>
        <sz val="8"/>
        <color rgb="FF0000FF"/>
        <rFont val="宋体"/>
        <charset val="134"/>
      </rPr>
      <t>低报发票</t>
    </r>
    <r>
      <rPr>
        <b/>
        <sz val="8"/>
        <color rgb="FF0000FF"/>
        <rFont val="Arial"/>
        <charset val="134"/>
      </rPr>
      <t>8345.63</t>
    </r>
  </si>
  <si>
    <t>J3769-2</t>
  </si>
  <si>
    <r>
      <rPr>
        <sz val="8"/>
        <rFont val="Arial"/>
        <charset val="134"/>
      </rPr>
      <t xml:space="preserve">1x20‘ </t>
    </r>
    <r>
      <rPr>
        <sz val="8"/>
        <rFont val="宋体"/>
        <charset val="134"/>
      </rPr>
      <t>轻钢</t>
    </r>
    <r>
      <rPr>
        <sz val="8"/>
        <rFont val="Arial"/>
        <charset val="134"/>
      </rPr>
      <t>+</t>
    </r>
    <r>
      <rPr>
        <sz val="8"/>
        <rFont val="宋体"/>
        <charset val="134"/>
      </rPr>
      <t>外送货</t>
    </r>
  </si>
  <si>
    <r>
      <rPr>
        <sz val="8"/>
        <rFont val="宋体"/>
        <charset val="134"/>
      </rPr>
      <t>共2x20‘ 轻钢+外送货</t>
    </r>
    <r>
      <rPr>
        <sz val="8"/>
        <rFont val="Arial"/>
        <charset val="134"/>
      </rPr>
      <t xml:space="preserve"> </t>
    </r>
    <r>
      <rPr>
        <sz val="8"/>
        <rFont val="宋体"/>
        <charset val="134"/>
      </rPr>
      <t>分批走</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</si>
  <si>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尾款包括装卸费</t>
  </si>
  <si>
    <t>J3769-1</t>
  </si>
  <si>
    <r>
      <rPr>
        <sz val="8"/>
        <rFont val="宋体"/>
        <charset val="134"/>
      </rPr>
      <t>20验货装柜</t>
    </r>
    <r>
      <rPr>
        <sz val="8"/>
        <color rgb="FF0000FF"/>
        <rFont val="宋体"/>
        <charset val="134"/>
      </rPr>
      <t xml:space="preserve"> </t>
    </r>
    <r>
      <rPr>
        <sz val="8"/>
        <rFont val="宋体"/>
        <charset val="134"/>
      </rPr>
      <t>做箱单发票   出厂前结清 客户外采的卸货和装箱费按实际发生收取  同</t>
    </r>
    <r>
      <rPr>
        <sz val="8"/>
        <rFont val="Arial"/>
        <charset val="134"/>
      </rPr>
      <t>J3590</t>
    </r>
  </si>
  <si>
    <t>RMB129720</t>
  </si>
  <si>
    <t>RMB20000</t>
  </si>
  <si>
    <t>RMB106300</t>
  </si>
  <si>
    <r>
      <rPr>
        <b/>
        <sz val="8"/>
        <color rgb="FF0000FF"/>
        <rFont val="宋体"/>
        <charset val="134"/>
      </rPr>
      <t>清账 多装的货</t>
    </r>
    <r>
      <rPr>
        <b/>
        <sz val="8"/>
        <color rgb="FF0000FF"/>
        <rFont val="Arial"/>
        <charset val="134"/>
      </rPr>
      <t>RMB3420</t>
    </r>
    <r>
      <rPr>
        <b/>
        <sz val="8"/>
        <color rgb="FF0000FF"/>
        <rFont val="宋体"/>
        <charset val="134"/>
      </rPr>
      <t>加上装卸费RMB</t>
    </r>
    <r>
      <rPr>
        <b/>
        <sz val="8"/>
        <color rgb="FF0000FF"/>
        <rFont val="Arial"/>
        <charset val="134"/>
      </rPr>
      <t xml:space="preserve">200 </t>
    </r>
    <r>
      <rPr>
        <b/>
        <sz val="8"/>
        <color rgb="FF0000FF"/>
        <rFont val="宋体"/>
        <charset val="134"/>
      </rPr>
      <t>从佣金里扣</t>
    </r>
  </si>
  <si>
    <t>J3770</t>
  </si>
  <si>
    <r>
      <rPr>
        <sz val="8"/>
        <rFont val="宋体"/>
        <charset val="134"/>
      </rPr>
      <t>外送的还没到  9号验货 暂定</t>
    </r>
    <r>
      <rPr>
        <sz val="8"/>
        <rFont val="Arial"/>
        <charset val="134"/>
      </rPr>
      <t>16</t>
    </r>
    <r>
      <rPr>
        <sz val="8"/>
        <rFont val="宋体"/>
        <charset val="134"/>
      </rPr>
      <t>号船 10号装柜报数据</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</si>
  <si>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RMB97740</t>
  </si>
  <si>
    <t>RMB77740</t>
  </si>
  <si>
    <t>J3772</t>
  </si>
  <si>
    <r>
      <rPr>
        <sz val="8"/>
        <rFont val="宋体"/>
        <charset val="134"/>
      </rPr>
      <t>宁波</t>
    </r>
    <r>
      <rPr>
        <sz val="8"/>
        <rFont val="Arial"/>
        <charset val="134"/>
      </rPr>
      <t>Monica</t>
    </r>
  </si>
  <si>
    <r>
      <rPr>
        <sz val="8"/>
        <rFont val="宋体"/>
        <charset val="134"/>
      </rPr>
      <t>让萱萱备料了 打算月底发货</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</si>
  <si>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J3773-1</t>
  </si>
  <si>
    <r>
      <rPr>
        <sz val="8"/>
        <rFont val="宋体"/>
        <charset val="134"/>
      </rPr>
      <t>迪拜</t>
    </r>
    <r>
      <rPr>
        <sz val="8"/>
        <rFont val="Arial"/>
        <charset val="134"/>
      </rPr>
      <t xml:space="preserve"> DANUBE </t>
    </r>
    <r>
      <rPr>
        <sz val="8"/>
        <rFont val="宋体"/>
        <charset val="134"/>
      </rPr>
      <t>肖勇</t>
    </r>
    <r>
      <rPr>
        <sz val="8"/>
        <rFont val="Arial"/>
        <charset val="134"/>
      </rPr>
      <t>Henry</t>
    </r>
  </si>
  <si>
    <r>
      <rPr>
        <sz val="8"/>
        <rFont val="宋体"/>
        <charset val="134"/>
      </rPr>
      <t>DHL8690908951 CCPIT CO 一个柜落箱费 同</t>
    </r>
    <r>
      <rPr>
        <sz val="8"/>
        <rFont val="Arial"/>
        <charset val="134"/>
      </rPr>
      <t xml:space="preserve">J3630 </t>
    </r>
  </si>
  <si>
    <t>世倡订舱长荣，迪斯泰拖车报关</t>
  </si>
  <si>
    <t>J3773-2</t>
  </si>
  <si>
    <r>
      <rPr>
        <sz val="8"/>
        <rFont val="宋体"/>
        <charset val="134"/>
      </rPr>
      <t>DHL5736674506 单据已发客户 同</t>
    </r>
    <r>
      <rPr>
        <sz val="8"/>
        <rFont val="Arial"/>
        <charset val="134"/>
      </rPr>
      <t>J3630 CCPIT CO</t>
    </r>
  </si>
  <si>
    <t>J3760</t>
  </si>
  <si>
    <r>
      <rPr>
        <sz val="8"/>
        <rFont val="宋体"/>
        <charset val="134"/>
      </rPr>
      <t>菲律宾</t>
    </r>
    <r>
      <rPr>
        <sz val="8"/>
        <rFont val="Arial"/>
        <charset val="134"/>
      </rPr>
      <t xml:space="preserve"> WOODBASED (Ben)</t>
    </r>
  </si>
  <si>
    <r>
      <rPr>
        <sz val="8"/>
        <rFont val="Arial"/>
        <charset val="134"/>
      </rPr>
      <t xml:space="preserve">2x20‘ </t>
    </r>
    <r>
      <rPr>
        <sz val="8"/>
        <rFont val="宋体"/>
        <charset val="134"/>
      </rPr>
      <t>带钢</t>
    </r>
    <r>
      <rPr>
        <sz val="8"/>
        <rFont val="Arial"/>
        <charset val="134"/>
      </rPr>
      <t>+</t>
    </r>
    <r>
      <rPr>
        <sz val="8"/>
        <rFont val="宋体"/>
        <charset val="134"/>
      </rPr>
      <t>轻钢</t>
    </r>
    <r>
      <rPr>
        <sz val="8"/>
        <rFont val="Arial"/>
        <charset val="134"/>
      </rPr>
      <t>+</t>
    </r>
    <r>
      <rPr>
        <sz val="8"/>
        <rFont val="宋体"/>
        <charset val="134"/>
      </rPr>
      <t>配件</t>
    </r>
  </si>
  <si>
    <t>xingang-Manila North Port, Philippine</t>
  </si>
  <si>
    <r>
      <rPr>
        <sz val="8"/>
        <rFont val="宋体"/>
        <charset val="134"/>
      </rPr>
      <t>DHL9490293525 Form E 电放提单也打印出来寄给客户 电放提单 单据全部打印寄给客户 电放提单也打印MRKU9066281 箱子修过 车队出保函了</t>
    </r>
    <r>
      <rPr>
        <sz val="8"/>
        <color rgb="FFFF0000"/>
        <rFont val="宋体"/>
        <charset val="134"/>
      </rPr>
      <t xml:space="preserve"> </t>
    </r>
    <r>
      <rPr>
        <sz val="8"/>
        <rFont val="宋体"/>
        <charset val="134"/>
      </rPr>
      <t>DHL docuemnts send to Lexus office address at No.19 San Ignacio st kapitolyo pasig city  tel number. 09175772790 attn to me. 港口客户改成了马尼拉北港
 同J3514   要申请</t>
    </r>
    <r>
      <rPr>
        <sz val="8"/>
        <rFont val="Arial"/>
        <charset val="134"/>
      </rPr>
      <t>21</t>
    </r>
    <r>
      <rPr>
        <sz val="8"/>
        <rFont val="宋体"/>
        <charset val="134"/>
      </rPr>
      <t>天免费箱使，和</t>
    </r>
    <r>
      <rPr>
        <sz val="8"/>
        <rFont val="Arial"/>
        <charset val="134"/>
      </rPr>
      <t>10</t>
    </r>
    <r>
      <rPr>
        <sz val="8"/>
        <rFont val="宋体"/>
        <charset val="134"/>
      </rPr>
      <t>天的免堆存，不用长荣  SITC或者马士基可以选。客户还要求waive the container deposit</t>
    </r>
  </si>
  <si>
    <r>
      <rPr>
        <sz val="8"/>
        <color theme="1"/>
        <rFont val="宋体"/>
        <charset val="134"/>
      </rPr>
      <t>迪斯泰订舱</t>
    </r>
    <r>
      <rPr>
        <sz val="8"/>
        <color theme="1"/>
        <rFont val="Arial"/>
        <charset val="134"/>
      </rPr>
      <t>MCC</t>
    </r>
    <r>
      <rPr>
        <sz val="8"/>
        <color theme="1"/>
        <rFont val="宋体"/>
        <charset val="134"/>
      </rPr>
      <t>退275，迪斯泰拖车报关</t>
    </r>
  </si>
  <si>
    <r>
      <rPr>
        <b/>
        <sz val="8"/>
        <rFont val="宋体"/>
        <charset val="134"/>
      </rPr>
      <t>实际尾款</t>
    </r>
    <r>
      <rPr>
        <b/>
        <sz val="8"/>
        <rFont val="Arial"/>
        <charset val="134"/>
      </rPr>
      <t>$35455.6</t>
    </r>
  </si>
  <si>
    <t>J3776</t>
  </si>
  <si>
    <t>越南 DUC MINH (Quyen)</t>
  </si>
  <si>
    <t>xingang-HAI PHONG PORT, VIETNAM</t>
  </si>
  <si>
    <t xml:space="preserve">DHL3989102703徐老师出Form E 客户要求电放 同J3684 </t>
  </si>
  <si>
    <r>
      <rPr>
        <sz val="8"/>
        <color theme="1"/>
        <rFont val="宋体"/>
        <charset val="134"/>
      </rPr>
      <t>久丰源订舱 高丽</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</si>
  <si>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r>
      <rPr>
        <b/>
        <sz val="8"/>
        <color rgb="FF0000FF"/>
        <rFont val="宋体"/>
        <charset val="134"/>
      </rPr>
      <t>实际尾款</t>
    </r>
    <r>
      <rPr>
        <b/>
        <sz val="8"/>
        <color rgb="FF0000FF"/>
        <rFont val="Arial"/>
        <charset val="134"/>
      </rPr>
      <t>14936.63</t>
    </r>
  </si>
  <si>
    <t>J3781</t>
  </si>
  <si>
    <r>
      <rPr>
        <sz val="8"/>
        <rFont val="宋体"/>
        <charset val="134"/>
      </rPr>
      <t>DHL4255763433</t>
    </r>
    <r>
      <rPr>
        <sz val="8"/>
        <color rgb="FF0000FF"/>
        <rFont val="宋体"/>
        <charset val="134"/>
      </rPr>
      <t xml:space="preserve"> 电放</t>
    </r>
    <r>
      <rPr>
        <sz val="8"/>
        <rFont val="宋体"/>
        <charset val="134"/>
      </rPr>
      <t xml:space="preserve">  出保险 同J3684</t>
    </r>
    <r>
      <rPr>
        <sz val="8"/>
        <color rgb="FF0000FF"/>
        <rFont val="宋体"/>
        <charset val="134"/>
      </rPr>
      <t xml:space="preserve"> </t>
    </r>
    <r>
      <rPr>
        <sz val="8"/>
        <rFont val="宋体"/>
        <charset val="134"/>
      </rPr>
      <t>Form E PE前的件数 单词不能断行</t>
    </r>
  </si>
  <si>
    <r>
      <rPr>
        <sz val="8"/>
        <color theme="1"/>
        <rFont val="宋体"/>
        <charset val="134"/>
      </rPr>
      <t>迪斯泰订舱</t>
    </r>
    <r>
      <rPr>
        <sz val="8"/>
        <color theme="1"/>
        <rFont val="Arial"/>
        <charset val="134"/>
      </rPr>
      <t>MCC140</t>
    </r>
    <r>
      <rPr>
        <sz val="8"/>
        <color theme="1"/>
        <rFont val="宋体"/>
        <charset val="134"/>
      </rPr>
      <t>，迪斯泰拖车</t>
    </r>
    <r>
      <rPr>
        <sz val="8"/>
        <color theme="1"/>
        <rFont val="Arial"/>
        <charset val="134"/>
      </rPr>
      <t xml:space="preserve"> </t>
    </r>
    <r>
      <rPr>
        <sz val="8"/>
        <color theme="1"/>
        <rFont val="宋体"/>
        <charset val="134"/>
      </rPr>
      <t>金凯抬头报关</t>
    </r>
  </si>
  <si>
    <r>
      <rPr>
        <sz val="8"/>
        <rFont val="宋体"/>
        <charset val="134"/>
      </rPr>
      <t>实际尾款</t>
    </r>
    <r>
      <rPr>
        <sz val="8"/>
        <rFont val="Arial"/>
        <charset val="134"/>
      </rPr>
      <t>$15487.07</t>
    </r>
  </si>
  <si>
    <t>J3783</t>
  </si>
  <si>
    <t>巴林 ALIF Muhammed</t>
  </si>
  <si>
    <r>
      <rPr>
        <sz val="8"/>
        <rFont val="Arial"/>
        <charset val="134"/>
      </rPr>
      <t xml:space="preserve">1x20' </t>
    </r>
    <r>
      <rPr>
        <sz val="8"/>
        <rFont val="宋体"/>
        <charset val="134"/>
      </rPr>
      <t>轻钢</t>
    </r>
  </si>
  <si>
    <t>xingang-BAHRAIN</t>
  </si>
  <si>
    <t>DHL2693711171低报发票 出CO 同J3642</t>
  </si>
  <si>
    <r>
      <rPr>
        <sz val="8"/>
        <color theme="1"/>
        <rFont val="宋体"/>
        <charset val="134"/>
      </rPr>
      <t>永鑫海订舱</t>
    </r>
    <r>
      <rPr>
        <sz val="8"/>
        <color theme="1"/>
        <rFont val="Arial"/>
        <charset val="134"/>
      </rPr>
      <t xml:space="preserve">OOCL950/980 </t>
    </r>
    <r>
      <rPr>
        <sz val="8"/>
        <color theme="1"/>
        <rFont val="宋体"/>
        <charset val="134"/>
      </rPr>
      <t>拖车报关</t>
    </r>
  </si>
  <si>
    <r>
      <rPr>
        <b/>
        <sz val="8"/>
        <rFont val="宋体"/>
        <charset val="134"/>
      </rPr>
      <t>实际尾款$</t>
    </r>
    <r>
      <rPr>
        <b/>
        <sz val="8"/>
        <rFont val="Arial"/>
        <charset val="134"/>
      </rPr>
      <t>14353</t>
    </r>
  </si>
  <si>
    <t>M3789-1</t>
  </si>
  <si>
    <t>埃及 BM （Ahmed Algareeb）</t>
  </si>
  <si>
    <r>
      <rPr>
        <sz val="8"/>
        <rFont val="Arial"/>
        <charset val="134"/>
      </rPr>
      <t>10</t>
    </r>
    <r>
      <rPr>
        <sz val="8"/>
        <rFont val="宋体"/>
        <charset val="134"/>
      </rPr>
      <t>石膏板</t>
    </r>
    <r>
      <rPr>
        <sz val="8"/>
        <rFont val="Arial"/>
        <charset val="134"/>
      </rPr>
      <t xml:space="preserve">+2x20' </t>
    </r>
    <r>
      <rPr>
        <sz val="8"/>
        <rFont val="宋体"/>
        <charset val="134"/>
      </rPr>
      <t>烤漆</t>
    </r>
  </si>
  <si>
    <t>QINGDAO-ALEXANDRIA OLD PORT, EGYPT</t>
  </si>
  <si>
    <t>DHL4056319890 低报发票 CO CCPIT 大使馆认证 177TCACAQ18709DA
177TCACAQ18709DB
烤漆发平邑跟千吉业的板子一起装，其中一个柜子需要事先打好托盘 全丝螺杆正常走天津同M3628-2 客户订舱</t>
  </si>
  <si>
    <r>
      <rPr>
        <sz val="8"/>
        <color theme="1"/>
        <rFont val="Arial"/>
        <charset val="134"/>
      </rPr>
      <t>ida</t>
    </r>
    <r>
      <rPr>
        <sz val="8"/>
        <color theme="1"/>
        <rFont val="宋体"/>
        <charset val="134"/>
      </rPr>
      <t>广州中寻订舱</t>
    </r>
    <r>
      <rPr>
        <sz val="8"/>
        <color theme="1"/>
        <rFont val="Arial"/>
        <charset val="134"/>
      </rPr>
      <t>MSC</t>
    </r>
    <r>
      <rPr>
        <sz val="8"/>
        <color theme="1"/>
        <rFont val="宋体"/>
        <charset val="134"/>
      </rPr>
      <t>，千吉业拖车报关</t>
    </r>
  </si>
  <si>
    <r>
      <rPr>
        <b/>
        <sz val="8"/>
        <color rgb="FF0000FF"/>
        <rFont val="Arial"/>
        <charset val="134"/>
      </rPr>
      <t>M3789-1</t>
    </r>
    <r>
      <rPr>
        <b/>
        <sz val="8"/>
        <color rgb="FF0000FF"/>
        <rFont val="宋体"/>
        <charset val="134"/>
      </rPr>
      <t>发票值</t>
    </r>
    <r>
      <rPr>
        <b/>
        <sz val="8"/>
        <color rgb="FF0000FF"/>
        <rFont val="Arial"/>
        <charset val="134"/>
      </rPr>
      <t>$69683.66</t>
    </r>
    <r>
      <rPr>
        <b/>
        <sz val="8"/>
        <color rgb="FF0000FF"/>
        <rFont val="宋体"/>
        <charset val="134"/>
      </rPr>
      <t>加上之前欠款</t>
    </r>
    <r>
      <rPr>
        <b/>
        <sz val="8"/>
        <color rgb="FF0000FF"/>
        <rFont val="Arial"/>
        <charset val="134"/>
      </rPr>
      <t xml:space="preserve">1126.59   </t>
    </r>
    <r>
      <rPr>
        <b/>
        <sz val="8"/>
        <color rgb="FF0000FF"/>
        <rFont val="宋体"/>
        <charset val="134"/>
      </rPr>
      <t>低报发票值</t>
    </r>
    <r>
      <rPr>
        <b/>
        <sz val="8"/>
        <color rgb="FF0000FF"/>
        <rFont val="Arial"/>
        <charset val="134"/>
      </rPr>
      <t>46405.395</t>
    </r>
  </si>
  <si>
    <t>M3789-2</t>
  </si>
  <si>
    <r>
      <rPr>
        <sz val="8"/>
        <rFont val="Arial"/>
        <charset val="134"/>
      </rPr>
      <t xml:space="preserve">1x20' </t>
    </r>
    <r>
      <rPr>
        <sz val="8"/>
        <rFont val="宋体"/>
        <charset val="134"/>
      </rPr>
      <t>全丝螺杆</t>
    </r>
  </si>
  <si>
    <t>Tianjin - ALEXANDRIA OLD PORT, EGYPT</t>
  </si>
  <si>
    <t>DHL7295578010 清关发票做认证 全丝螺杆正常走天津</t>
  </si>
  <si>
    <t>华海订舱，白沟源远拖车报关</t>
  </si>
  <si>
    <r>
      <rPr>
        <b/>
        <sz val="8"/>
        <color rgb="FF0000FF"/>
        <rFont val="宋体"/>
        <charset val="134"/>
      </rPr>
      <t>此前清零 低报发票值</t>
    </r>
    <r>
      <rPr>
        <b/>
        <sz val="8"/>
        <color rgb="FF0000FF"/>
        <rFont val="Arial"/>
        <charset val="134"/>
      </rPr>
      <t>22756</t>
    </r>
  </si>
  <si>
    <t>J3791</t>
  </si>
  <si>
    <t>伊朗 TOLIDI (Mehdi )</t>
  </si>
  <si>
    <r>
      <rPr>
        <sz val="8"/>
        <rFont val="宋体"/>
        <charset val="134"/>
      </rPr>
      <t>单据齐等款 单据已发客户 CO</t>
    </r>
    <r>
      <rPr>
        <sz val="8"/>
        <color rgb="FF0000FF"/>
        <rFont val="宋体"/>
        <charset val="134"/>
      </rPr>
      <t xml:space="preserve"> 电放</t>
    </r>
    <r>
      <rPr>
        <sz val="8"/>
        <rFont val="宋体"/>
        <charset val="134"/>
      </rPr>
      <t xml:space="preserve">   发货前再付USD11000,  尾款见提单 指定代理 同J3633 </t>
    </r>
  </si>
  <si>
    <r>
      <rPr>
        <sz val="8"/>
        <color theme="1"/>
        <rFont val="Arial"/>
        <charset val="134"/>
      </rPr>
      <t>seatek</t>
    </r>
    <r>
      <rPr>
        <sz val="8"/>
        <color theme="1"/>
        <rFont val="宋体"/>
        <charset val="134"/>
      </rPr>
      <t>订舱伊朗航运</t>
    </r>
    <r>
      <rPr>
        <sz val="8"/>
        <color theme="1"/>
        <rFont val="Arial"/>
        <charset val="134"/>
      </rPr>
      <t>,</t>
    </r>
    <r>
      <rPr>
        <sz val="8"/>
        <color theme="1"/>
        <rFont val="宋体"/>
        <charset val="134"/>
      </rPr>
      <t>会昌拖车买单报关</t>
    </r>
  </si>
  <si>
    <t>J3804</t>
  </si>
  <si>
    <t>济南潘奥 王侃杜Richard</t>
  </si>
  <si>
    <r>
      <rPr>
        <sz val="8"/>
        <rFont val="Arial"/>
        <charset val="134"/>
      </rPr>
      <t>2000</t>
    </r>
    <r>
      <rPr>
        <sz val="8"/>
        <rFont val="宋体"/>
        <charset val="134"/>
      </rPr>
      <t>只配件</t>
    </r>
  </si>
  <si>
    <t xml:space="preserve">箱单/发票
1，唛头。
2，需要厂子出一个检测报告（以自己厂名义出就行，可以不用第三方的）。报告上要有测试内容，测试结论，测试人员姓名，测试时间，出报告时间。然后报告上的产品品名和型号
3，运到临沂，运费到付。 
</t>
  </si>
  <si>
    <t>J3810</t>
  </si>
  <si>
    <t>印尼 PT ABADI Darman Jono</t>
  </si>
  <si>
    <r>
      <rPr>
        <sz val="8"/>
        <rFont val="Arial"/>
        <charset val="134"/>
      </rPr>
      <t xml:space="preserve">3x40HQ </t>
    </r>
    <r>
      <rPr>
        <sz val="8"/>
        <rFont val="宋体"/>
        <charset val="134"/>
      </rPr>
      <t>小付骨</t>
    </r>
    <r>
      <rPr>
        <sz val="8"/>
        <rFont val="Arial"/>
        <charset val="134"/>
      </rPr>
      <t xml:space="preserve"> </t>
    </r>
    <r>
      <rPr>
        <sz val="8"/>
        <rFont val="宋体"/>
        <charset val="134"/>
      </rPr>
      <t>轻钢</t>
    </r>
  </si>
  <si>
    <t>xingang-BELAWAN</t>
  </si>
  <si>
    <t xml:space="preserve">DHL3443690961 form E 客户要换收货人等消息   做CCIC船前检验  柜多是话一定申请21天免用箱，两三个柜14天免用箱就够 </t>
  </si>
  <si>
    <r>
      <rPr>
        <sz val="8"/>
        <color theme="1"/>
        <rFont val="宋体"/>
        <charset val="134"/>
      </rPr>
      <t>会昌订舱</t>
    </r>
    <r>
      <rPr>
        <sz val="8"/>
        <color theme="1"/>
        <rFont val="Arial"/>
        <charset val="134"/>
      </rPr>
      <t>MCC410</t>
    </r>
    <r>
      <rPr>
        <sz val="8"/>
        <color theme="1"/>
        <rFont val="宋体"/>
        <charset val="134"/>
      </rPr>
      <t>，会昌拖车报关</t>
    </r>
  </si>
  <si>
    <r>
      <rPr>
        <b/>
        <sz val="8"/>
        <rFont val="宋体"/>
        <charset val="134"/>
      </rPr>
      <t>实际尾款</t>
    </r>
    <r>
      <rPr>
        <b/>
        <sz val="8"/>
        <rFont val="Arial"/>
        <charset val="134"/>
      </rPr>
      <t>$43709.8</t>
    </r>
  </si>
  <si>
    <t>J3754</t>
  </si>
  <si>
    <t>埃及Otaiba/Esslam</t>
  </si>
  <si>
    <t xml:space="preserve">xingang-SOKHNA, EGYPT  </t>
  </si>
  <si>
    <t>DHL3300471576 CO CCPIT 埃及大使馆认证 样品50套一个柜子 正常报关不高报  低报金额问客户  同X3719</t>
  </si>
  <si>
    <t>固特威国际订舱PIL，会昌拖车，金凯抬头报关</t>
  </si>
  <si>
    <t>J3815</t>
  </si>
  <si>
    <r>
      <rPr>
        <sz val="8"/>
        <rFont val="宋体"/>
        <charset val="134"/>
      </rPr>
      <t>越南</t>
    </r>
    <r>
      <rPr>
        <sz val="8"/>
        <rFont val="Arial"/>
        <charset val="134"/>
      </rPr>
      <t xml:space="preserve"> DUC MINH (Quyen)</t>
    </r>
  </si>
  <si>
    <t>xingang-HAI PHONG PORT</t>
  </si>
  <si>
    <r>
      <rPr>
        <sz val="8"/>
        <rFont val="宋体"/>
        <charset val="134"/>
      </rPr>
      <t xml:space="preserve">DHL6449647702 </t>
    </r>
    <r>
      <rPr>
        <sz val="8"/>
        <rFont val="Arial"/>
        <charset val="134"/>
      </rPr>
      <t>form E</t>
    </r>
    <r>
      <rPr>
        <sz val="8"/>
        <rFont val="宋体"/>
        <charset val="134"/>
      </rPr>
      <t xml:space="preserve">(PE前的件数 单词不能断行) </t>
    </r>
    <r>
      <rPr>
        <sz val="8"/>
        <color rgb="FF0000FF"/>
        <rFont val="宋体"/>
        <charset val="134"/>
      </rPr>
      <t>出保险</t>
    </r>
    <r>
      <rPr>
        <sz val="8"/>
        <rFont val="Arial"/>
        <charset val="134"/>
      </rPr>
      <t xml:space="preserve"> </t>
    </r>
    <r>
      <rPr>
        <sz val="8"/>
        <rFont val="宋体"/>
        <charset val="134"/>
      </rPr>
      <t>问问客户还电放吗</t>
    </r>
    <r>
      <rPr>
        <sz val="8"/>
        <rFont val="Arial"/>
        <charset val="134"/>
      </rPr>
      <t xml:space="preserve">   </t>
    </r>
    <r>
      <rPr>
        <sz val="8"/>
        <rFont val="宋体"/>
        <charset val="134"/>
      </rPr>
      <t>同</t>
    </r>
    <r>
      <rPr>
        <sz val="8"/>
        <rFont val="Arial"/>
        <charset val="134"/>
      </rPr>
      <t xml:space="preserve">J3781  </t>
    </r>
  </si>
  <si>
    <r>
      <rPr>
        <sz val="8"/>
        <color theme="1"/>
        <rFont val="宋体"/>
        <charset val="134"/>
      </rPr>
      <t>会昌订舱</t>
    </r>
    <r>
      <rPr>
        <sz val="8"/>
        <color theme="1"/>
        <rFont val="Arial"/>
        <charset val="134"/>
      </rPr>
      <t>MCC140</t>
    </r>
    <r>
      <rPr>
        <sz val="8"/>
        <color theme="1"/>
        <rFont val="宋体"/>
        <charset val="134"/>
      </rPr>
      <t>，会昌拖车</t>
    </r>
    <r>
      <rPr>
        <sz val="8"/>
        <color theme="1"/>
        <rFont val="Arial"/>
        <charset val="134"/>
      </rPr>
      <t xml:space="preserve"> </t>
    </r>
    <r>
      <rPr>
        <sz val="8"/>
        <color theme="1"/>
        <rFont val="宋体"/>
        <charset val="134"/>
      </rPr>
      <t>金凯抬头报关</t>
    </r>
  </si>
  <si>
    <r>
      <rPr>
        <b/>
        <sz val="8"/>
        <rFont val="宋体"/>
        <charset val="134"/>
      </rPr>
      <t>实际尾款</t>
    </r>
    <r>
      <rPr>
        <b/>
        <sz val="8"/>
        <rFont val="Arial"/>
        <charset val="134"/>
      </rPr>
      <t>$14212.95</t>
    </r>
  </si>
  <si>
    <t>J3821</t>
  </si>
  <si>
    <r>
      <rPr>
        <sz val="8"/>
        <rFont val="Arial"/>
        <charset val="134"/>
      </rPr>
      <t>1x40HQ</t>
    </r>
    <r>
      <rPr>
        <sz val="8"/>
        <rFont val="宋体"/>
        <charset val="134"/>
      </rPr>
      <t>澳式轻钢</t>
    </r>
  </si>
  <si>
    <t xml:space="preserve">xingang-Melbourne Port ,  Australia  </t>
  </si>
  <si>
    <r>
      <rPr>
        <sz val="8"/>
        <rFont val="宋体"/>
        <charset val="134"/>
      </rPr>
      <t>单据齐等款 单据已发客户 黄色CO 木质证明</t>
    </r>
    <r>
      <rPr>
        <sz val="8"/>
        <color rgb="FF0000FF"/>
        <rFont val="宋体"/>
        <charset val="134"/>
      </rPr>
      <t xml:space="preserve"> </t>
    </r>
    <r>
      <rPr>
        <sz val="8"/>
        <rFont val="宋体"/>
        <charset val="134"/>
      </rPr>
      <t>限重26吨 再装一件64mm的老竖向（不带底筋的） 电放提单 同J3694</t>
    </r>
  </si>
  <si>
    <t>鑫顺源订舱中远，会昌拖车报关</t>
  </si>
  <si>
    <t>J3820</t>
  </si>
  <si>
    <r>
      <rPr>
        <sz val="8"/>
        <rFont val="Arial"/>
        <charset val="134"/>
      </rPr>
      <t>4x40</t>
    </r>
    <r>
      <rPr>
        <sz val="8"/>
        <rFont val="宋体"/>
        <charset val="134"/>
      </rPr>
      <t>小付骨</t>
    </r>
  </si>
  <si>
    <t>DHL7295781485 出form e 批给了21天免用箱 柜子少可以申请14天免用箱 同J3810</t>
  </si>
  <si>
    <r>
      <rPr>
        <sz val="8"/>
        <color theme="1"/>
        <rFont val="宋体"/>
        <charset val="134"/>
      </rPr>
      <t>迪斯泰订舱</t>
    </r>
    <r>
      <rPr>
        <sz val="8"/>
        <color theme="1"/>
        <rFont val="Arial"/>
        <charset val="134"/>
      </rPr>
      <t>MCC375</t>
    </r>
    <r>
      <rPr>
        <sz val="8"/>
        <color theme="1"/>
        <rFont val="宋体"/>
        <charset val="134"/>
      </rPr>
      <t>，拖车报关</t>
    </r>
  </si>
  <si>
    <t>J3822</t>
  </si>
  <si>
    <r>
      <rPr>
        <sz val="8"/>
        <rFont val="Arial"/>
        <charset val="134"/>
      </rPr>
      <t xml:space="preserve">1x20'  </t>
    </r>
    <r>
      <rPr>
        <sz val="8"/>
        <rFont val="宋体"/>
        <charset val="134"/>
      </rPr>
      <t>平面烤漆</t>
    </r>
    <r>
      <rPr>
        <sz val="8"/>
        <rFont val="Arial"/>
        <charset val="134"/>
      </rPr>
      <t>+</t>
    </r>
    <r>
      <rPr>
        <sz val="8"/>
        <rFont val="宋体"/>
        <charset val="134"/>
      </rPr>
      <t>哑铃</t>
    </r>
  </si>
  <si>
    <t xml:space="preserve">xingang-COCHIN, INDIA </t>
  </si>
  <si>
    <r>
      <rPr>
        <sz val="8"/>
        <color theme="1"/>
        <rFont val="宋体"/>
        <charset val="134"/>
      </rPr>
      <t>单据齐等款 单据已发客户 CO</t>
    </r>
    <r>
      <rPr>
        <sz val="8"/>
        <rFont val="宋体"/>
        <charset val="134"/>
      </rPr>
      <t xml:space="preserve"> 疫情快递不到印度 这单电放提单 同J3704 代理订舱</t>
    </r>
  </si>
  <si>
    <r>
      <rPr>
        <sz val="8"/>
        <color theme="1"/>
        <rFont val="宋体"/>
        <charset val="134"/>
      </rPr>
      <t>三联</t>
    </r>
    <r>
      <rPr>
        <sz val="8"/>
        <color theme="1"/>
        <rFont val="Arial"/>
        <charset val="134"/>
      </rPr>
      <t>summer</t>
    </r>
    <r>
      <rPr>
        <sz val="8"/>
        <color theme="1"/>
        <rFont val="宋体"/>
        <charset val="134"/>
      </rPr>
      <t>订舱长荣，迪斯泰拖车 分票报关</t>
    </r>
  </si>
  <si>
    <t>J3827</t>
  </si>
  <si>
    <r>
      <rPr>
        <sz val="8"/>
        <rFont val="宋体"/>
        <charset val="134"/>
      </rPr>
      <t>委内瑞拉</t>
    </r>
    <r>
      <rPr>
        <sz val="8"/>
        <rFont val="Arial"/>
        <charset val="134"/>
      </rPr>
      <t>HK BUILDCO (Steven)</t>
    </r>
  </si>
  <si>
    <r>
      <rPr>
        <sz val="8"/>
        <rFont val="Arial"/>
        <charset val="134"/>
      </rPr>
      <t xml:space="preserve">1x20‘  </t>
    </r>
    <r>
      <rPr>
        <sz val="8"/>
        <rFont val="宋体"/>
        <charset val="134"/>
      </rPr>
      <t>烤漆</t>
    </r>
    <r>
      <rPr>
        <sz val="8"/>
        <rFont val="Arial"/>
        <charset val="134"/>
      </rPr>
      <t>+</t>
    </r>
    <r>
      <rPr>
        <sz val="8"/>
        <rFont val="宋体"/>
        <charset val="134"/>
      </rPr>
      <t>纸带</t>
    </r>
  </si>
  <si>
    <t>单据齐等款 单据已发客户 CO 同J3660</t>
  </si>
  <si>
    <t>代理海德订舱HBS汉堡南美，会昌拖车，分票报关</t>
  </si>
  <si>
    <t>J3824-1</t>
  </si>
  <si>
    <t xml:space="preserve">xingang-SOHAR, OMAN </t>
  </si>
  <si>
    <t xml:space="preserve">DHL4733292012 CCPIT C/O 客户订舱 挑选比较干净的箱子，集装箱密封要好，有风险的宁可换箱子，控制生锈风险。  同J3630-1 </t>
  </si>
  <si>
    <t>世倡订舱长荣，会昌拖车报关</t>
  </si>
  <si>
    <t>J3824-2</t>
  </si>
  <si>
    <r>
      <rPr>
        <sz val="8"/>
        <rFont val="宋体"/>
        <charset val="134"/>
      </rPr>
      <t>DHL6697109565 CCPIT</t>
    </r>
    <r>
      <rPr>
        <sz val="8"/>
        <color rgb="FF0000FF"/>
        <rFont val="宋体"/>
        <charset val="134"/>
      </rPr>
      <t xml:space="preserve"> </t>
    </r>
    <r>
      <rPr>
        <sz val="8"/>
        <rFont val="宋体"/>
        <charset val="134"/>
      </rPr>
      <t xml:space="preserve">C/O 同J3630-1 </t>
    </r>
  </si>
  <si>
    <t>J3825</t>
  </si>
  <si>
    <t xml:space="preserve">xiangang-Jebel Ali,  UAE </t>
  </si>
  <si>
    <r>
      <rPr>
        <sz val="8"/>
        <rFont val="宋体"/>
        <charset val="134"/>
      </rPr>
      <t>DHL9060631425 CO</t>
    </r>
    <r>
      <rPr>
        <sz val="8"/>
        <color rgb="FF0000FF"/>
        <rFont val="宋体"/>
        <charset val="134"/>
      </rPr>
      <t xml:space="preserve"> </t>
    </r>
    <r>
      <rPr>
        <sz val="8"/>
        <rFont val="宋体"/>
        <charset val="134"/>
      </rPr>
      <t>挑选比较干净的箱子，集装箱密封要好，有风险的宁可换箱子，控制生锈风险。  同J3631-1</t>
    </r>
  </si>
  <si>
    <t>J3836</t>
  </si>
  <si>
    <t>澳大利亚Studwork(Mr. BRAD KEALEY)</t>
  </si>
  <si>
    <t>xingang -Melbourne Port ,  Australia</t>
  </si>
  <si>
    <t>单据已发客户 黄色CO 木质证明 电放提单 J3694单价有改动 多收了214.8美金 在J3836中扣掉 同J3694</t>
  </si>
  <si>
    <t>J3845</t>
  </si>
  <si>
    <r>
      <rPr>
        <sz val="8"/>
        <rFont val="Arial"/>
        <charset val="134"/>
      </rPr>
      <t xml:space="preserve">1x40H </t>
    </r>
    <r>
      <rPr>
        <sz val="8"/>
        <rFont val="宋体"/>
        <charset val="134"/>
      </rPr>
      <t>竖向沿地配件</t>
    </r>
  </si>
  <si>
    <t>出黄色CO 木质证明 电放提单 代理订舱 同J3836</t>
  </si>
  <si>
    <t>J3850</t>
  </si>
  <si>
    <t>沙特 Taliah（Hameed）</t>
  </si>
  <si>
    <r>
      <rPr>
        <sz val="8"/>
        <rFont val="Arial"/>
        <charset val="134"/>
      </rPr>
      <t xml:space="preserve">1x20‘ FCL </t>
    </r>
    <r>
      <rPr>
        <sz val="8"/>
        <rFont val="宋体"/>
        <charset val="134"/>
      </rPr>
      <t>轻钢</t>
    </r>
  </si>
  <si>
    <t>xingang-Riyadh, Saudi Arabia</t>
  </si>
  <si>
    <r>
      <rPr>
        <sz val="8"/>
        <color rgb="FF0000FF"/>
        <rFont val="宋体"/>
        <charset val="134"/>
      </rPr>
      <t>DHL1698493473</t>
    </r>
    <r>
      <rPr>
        <sz val="8"/>
        <rFont val="宋体"/>
        <charset val="134"/>
      </rPr>
      <t xml:space="preserve"> CCPIT CO</t>
    </r>
    <r>
      <rPr>
        <sz val="8"/>
        <color rgb="FF0000FF"/>
        <rFont val="宋体"/>
        <charset val="134"/>
      </rPr>
      <t xml:space="preserve"> </t>
    </r>
    <r>
      <rPr>
        <sz val="8"/>
        <rFont val="宋体"/>
        <charset val="134"/>
      </rPr>
      <t>赶不上就提前出SC   PC证8.15号到期 早点订舱发货  客户的VAT NO. 300041228300003 要显示在发票上，客户的PO号要显示在所有单据上 同J3713 代理订舱</t>
    </r>
  </si>
  <si>
    <t>深圳市革力订舱OOCL，会昌拖车报关</t>
  </si>
  <si>
    <r>
      <rPr>
        <b/>
        <sz val="8"/>
        <color rgb="FF0000FF"/>
        <rFont val="Arial"/>
        <charset val="134"/>
      </rPr>
      <t xml:space="preserve">TUV </t>
    </r>
    <r>
      <rPr>
        <b/>
        <sz val="8"/>
        <color rgb="FF0000FF"/>
        <rFont val="宋体"/>
        <charset val="134"/>
      </rPr>
      <t>费用</t>
    </r>
    <r>
      <rPr>
        <b/>
        <sz val="8"/>
        <color rgb="FF0000FF"/>
        <rFont val="Arial"/>
        <charset val="134"/>
      </rPr>
      <t>53.5</t>
    </r>
    <r>
      <rPr>
        <b/>
        <sz val="8"/>
        <color rgb="FF0000FF"/>
        <rFont val="宋体"/>
        <charset val="134"/>
      </rPr>
      <t>美金下单付</t>
    </r>
  </si>
  <si>
    <t>J3851</t>
  </si>
  <si>
    <r>
      <rPr>
        <sz val="8"/>
        <rFont val="Arial"/>
        <charset val="134"/>
      </rPr>
      <t xml:space="preserve">1x20GP </t>
    </r>
    <r>
      <rPr>
        <sz val="8"/>
        <rFont val="宋体"/>
        <charset val="134"/>
      </rPr>
      <t>烤漆</t>
    </r>
  </si>
  <si>
    <t>XINGANG-HAI PHONG PORT</t>
  </si>
  <si>
    <t>DHL8605995355 目的港14天免费期 form E(PE前的件数 单词不能断行) 出保险 同J3815</t>
  </si>
  <si>
    <r>
      <rPr>
        <sz val="8"/>
        <color theme="1"/>
        <rFont val="宋体"/>
        <charset val="134"/>
      </rPr>
      <t>会昌订舱</t>
    </r>
    <r>
      <rPr>
        <sz val="8"/>
        <color theme="1"/>
        <rFont val="Arial"/>
        <charset val="134"/>
      </rPr>
      <t>MCC100</t>
    </r>
    <r>
      <rPr>
        <sz val="8"/>
        <color theme="1"/>
        <rFont val="宋体"/>
        <charset val="134"/>
      </rPr>
      <t>，会昌拖车 金凯抬头报关</t>
    </r>
  </si>
  <si>
    <t>J3857</t>
  </si>
  <si>
    <r>
      <rPr>
        <sz val="8"/>
        <rFont val="Arial"/>
        <charset val="134"/>
      </rPr>
      <t xml:space="preserve">3x40HQ </t>
    </r>
    <r>
      <rPr>
        <sz val="8"/>
        <rFont val="宋体"/>
        <charset val="134"/>
      </rPr>
      <t>轻钢</t>
    </r>
  </si>
  <si>
    <t>DHL5541340571 3个柜14天免用箱 出Form E同J3810</t>
  </si>
  <si>
    <r>
      <rPr>
        <sz val="8"/>
        <color theme="1"/>
        <rFont val="宋体"/>
        <charset val="134"/>
      </rPr>
      <t>会昌订舱</t>
    </r>
    <r>
      <rPr>
        <sz val="8"/>
        <color theme="1"/>
        <rFont val="Arial"/>
        <charset val="134"/>
      </rPr>
      <t>MCC390</t>
    </r>
    <r>
      <rPr>
        <sz val="8"/>
        <color theme="1"/>
        <rFont val="宋体"/>
        <charset val="134"/>
      </rPr>
      <t>，会昌拖车报关</t>
    </r>
  </si>
  <si>
    <t>J3853</t>
  </si>
  <si>
    <t>迪拜 DANUBE 肖勇Henry</t>
  </si>
  <si>
    <r>
      <rPr>
        <sz val="8"/>
        <rFont val="Arial"/>
        <charset val="134"/>
      </rPr>
      <t xml:space="preserve">2x20GP </t>
    </r>
    <r>
      <rPr>
        <sz val="8"/>
        <rFont val="宋体"/>
        <charset val="134"/>
      </rPr>
      <t>轻钢</t>
    </r>
  </si>
  <si>
    <t>DHL4550830432 提新点箱子 防止生锈 只出CO 同J3825</t>
  </si>
  <si>
    <t>J3858</t>
  </si>
  <si>
    <t>xingang-NEW DELHI ,INDIA</t>
  </si>
  <si>
    <r>
      <rPr>
        <sz val="8"/>
        <rFont val="宋体"/>
        <charset val="134"/>
      </rPr>
      <t>电放提单</t>
    </r>
    <r>
      <rPr>
        <sz val="8"/>
        <rFont val="Arial"/>
        <charset val="134"/>
      </rPr>
      <t xml:space="preserve"> </t>
    </r>
    <r>
      <rPr>
        <sz val="8"/>
        <rFont val="宋体"/>
        <charset val="134"/>
      </rPr>
      <t>同</t>
    </r>
    <r>
      <rPr>
        <sz val="8"/>
        <rFont val="Arial"/>
        <charset val="134"/>
      </rPr>
      <t>J3766</t>
    </r>
  </si>
  <si>
    <r>
      <rPr>
        <sz val="8"/>
        <color theme="1"/>
        <rFont val="宋体"/>
        <charset val="134"/>
      </rPr>
      <t>会昌订舱</t>
    </r>
    <r>
      <rPr>
        <sz val="8"/>
        <color theme="1"/>
        <rFont val="Arial"/>
        <charset val="134"/>
      </rPr>
      <t>MSK1000</t>
    </r>
    <r>
      <rPr>
        <sz val="8"/>
        <color theme="1"/>
        <rFont val="宋体"/>
        <charset val="134"/>
      </rPr>
      <t>，会昌拖车 金凯抬头报关</t>
    </r>
  </si>
  <si>
    <t>J3861</t>
  </si>
  <si>
    <r>
      <rPr>
        <sz val="8"/>
        <rFont val="Arial"/>
        <charset val="134"/>
      </rPr>
      <t xml:space="preserve">1x20'  </t>
    </r>
    <r>
      <rPr>
        <sz val="8"/>
        <rFont val="宋体"/>
        <charset val="134"/>
      </rPr>
      <t>轻钢</t>
    </r>
  </si>
  <si>
    <t>DHL6086290221 低报发票 出CO 同J3783</t>
  </si>
  <si>
    <r>
      <rPr>
        <sz val="8"/>
        <color theme="1"/>
        <rFont val="宋体"/>
        <charset val="134"/>
      </rPr>
      <t>永鑫海</t>
    </r>
    <r>
      <rPr>
        <sz val="8"/>
        <color theme="1"/>
        <rFont val="Arial"/>
        <charset val="134"/>
      </rPr>
      <t>MSC1170/1180</t>
    </r>
    <r>
      <rPr>
        <sz val="8"/>
        <color theme="1"/>
        <rFont val="宋体"/>
        <charset val="134"/>
      </rPr>
      <t>，白沟拖车报关</t>
    </r>
  </si>
  <si>
    <t>J3859</t>
  </si>
  <si>
    <r>
      <rPr>
        <sz val="8"/>
        <rFont val="Arial"/>
        <charset val="134"/>
      </rPr>
      <t xml:space="preserve">1x20‘ </t>
    </r>
    <r>
      <rPr>
        <sz val="8"/>
        <rFont val="宋体"/>
        <charset val="134"/>
      </rPr>
      <t>平面烤漆</t>
    </r>
  </si>
  <si>
    <t>xingang-Abu Dhabi, UAE</t>
  </si>
  <si>
    <r>
      <rPr>
        <sz val="8"/>
        <color rgb="FF0000D4"/>
        <rFont val="宋体"/>
        <charset val="134"/>
      </rPr>
      <t>电放</t>
    </r>
    <r>
      <rPr>
        <sz val="8"/>
        <rFont val="宋体"/>
        <charset val="134"/>
      </rPr>
      <t xml:space="preserve"> 客户给了企业编码证书 CO拿了 箱子打胶 出保函 不能高报 电放其他单据发邮箱  同J3542</t>
    </r>
  </si>
  <si>
    <t>迪斯泰订舱MSC940，迪斯泰拖车 金凯抬头报关</t>
  </si>
  <si>
    <t>J3865</t>
  </si>
  <si>
    <r>
      <rPr>
        <sz val="8"/>
        <rFont val="Arial"/>
        <charset val="134"/>
      </rPr>
      <t>1x40H</t>
    </r>
    <r>
      <rPr>
        <sz val="8"/>
        <rFont val="宋体"/>
        <charset val="134"/>
      </rPr>
      <t>轻钢及配件</t>
    </r>
  </si>
  <si>
    <r>
      <rPr>
        <sz val="8"/>
        <rFont val="宋体"/>
        <charset val="134"/>
      </rPr>
      <t xml:space="preserve">放样品见邮件 打托  16小付骨做成10只一捆 </t>
    </r>
    <r>
      <rPr>
        <sz val="8"/>
        <color rgb="FF0000D4"/>
        <rFont val="宋体"/>
        <charset val="134"/>
      </rPr>
      <t>出黄色CO</t>
    </r>
    <r>
      <rPr>
        <sz val="8"/>
        <rFont val="宋体"/>
        <charset val="134"/>
      </rPr>
      <t xml:space="preserve"> 包装证明 同J3845</t>
    </r>
  </si>
  <si>
    <t>J3869</t>
  </si>
  <si>
    <t>伊朗 SEPAHAN（Mehrraz）</t>
  </si>
  <si>
    <t xml:space="preserve">xingang-Bandar Abbass, Iran </t>
  </si>
  <si>
    <t>CO 电放 发货前务必收到另10%款项 代理订舱  同J3444</t>
  </si>
  <si>
    <t>厦门金埕Kim订舱西海，会昌拖车，金凯报关</t>
  </si>
  <si>
    <t>J3871</t>
  </si>
  <si>
    <t>埃及 CONTRADEC Asmaa/Khalil</t>
  </si>
  <si>
    <r>
      <rPr>
        <sz val="8"/>
        <rFont val="Arial"/>
        <charset val="134"/>
      </rPr>
      <t xml:space="preserve">1x20  </t>
    </r>
    <r>
      <rPr>
        <sz val="8"/>
        <rFont val="宋体"/>
        <charset val="134"/>
      </rPr>
      <t>平面烤漆</t>
    </r>
  </si>
  <si>
    <t>XINGANG-alexandria old port</t>
  </si>
  <si>
    <r>
      <rPr>
        <sz val="8"/>
        <rFont val="宋体"/>
        <charset val="134"/>
      </rPr>
      <t xml:space="preserve">DHL1656193825 </t>
    </r>
    <r>
      <rPr>
        <sz val="8"/>
        <color rgb="FF0000D4"/>
        <rFont val="宋体"/>
        <charset val="134"/>
      </rPr>
      <t>DP还是TT？</t>
    </r>
    <r>
      <rPr>
        <sz val="8"/>
        <rFont val="宋体"/>
        <charset val="134"/>
      </rPr>
      <t>埃及认证 低报发票CCPIT CO 目的港与客户确认  目的港21天免用箱  样品显示 同J3699</t>
    </r>
  </si>
  <si>
    <r>
      <rPr>
        <sz val="8"/>
        <color theme="1"/>
        <rFont val="宋体"/>
        <charset val="134"/>
      </rPr>
      <t>千禧</t>
    </r>
    <r>
      <rPr>
        <sz val="8"/>
        <color theme="1"/>
        <rFont val="Arial"/>
        <charset val="134"/>
      </rPr>
      <t>Tina</t>
    </r>
    <r>
      <rPr>
        <sz val="8"/>
        <color theme="1"/>
        <rFont val="宋体"/>
        <charset val="134"/>
      </rPr>
      <t>订舱MSC，会昌拖车，金凯抬头报关</t>
    </r>
  </si>
  <si>
    <t>低报发票18578</t>
  </si>
  <si>
    <t>J3875</t>
  </si>
  <si>
    <r>
      <rPr>
        <sz val="8"/>
        <rFont val="Arial"/>
        <charset val="134"/>
      </rPr>
      <t>4x40HQ</t>
    </r>
    <r>
      <rPr>
        <sz val="8"/>
        <rFont val="宋体"/>
        <charset val="134"/>
      </rPr>
      <t>镀锌小付骨</t>
    </r>
  </si>
  <si>
    <t>XINGANG-BELAWAN</t>
  </si>
  <si>
    <t>DHL6086350756 form e 清关厚度用0.25MM 海运预付估计400USD/40H  申请21天免用箱 柜子少可以申请14天免用箱</t>
  </si>
  <si>
    <t>迪斯泰订舱MCC500，迪斯泰拖车报关</t>
  </si>
  <si>
    <t>J3879</t>
  </si>
  <si>
    <t>XINGANG-Jebel Ali,  UAE</t>
  </si>
  <si>
    <t>DHL2789748824 27号箱子车队出保函 提密封好的箱子 控制生锈出CO同J3853</t>
  </si>
  <si>
    <t>J3880</t>
  </si>
  <si>
    <t>xingang-SOHAR, OMAN</t>
  </si>
  <si>
    <t>DHL7795172383 长荣限重27吨 提密封好的箱子 控制生锈 CCPIT C/O 同J3824</t>
  </si>
  <si>
    <t>世倡订舱EMC，会昌拖车报关</t>
  </si>
  <si>
    <t>J3886</t>
  </si>
  <si>
    <r>
      <rPr>
        <sz val="8"/>
        <rFont val="Arial"/>
        <charset val="134"/>
      </rPr>
      <t xml:space="preserve">1x40HQ </t>
    </r>
    <r>
      <rPr>
        <sz val="8"/>
        <rFont val="宋体"/>
        <charset val="134"/>
      </rPr>
      <t>轻钢龙骨</t>
    </r>
  </si>
  <si>
    <t>出黄色CO 包装证明 同J3865</t>
  </si>
  <si>
    <t>鑫顺源订舱德祥TSL，会昌拖车报关</t>
  </si>
  <si>
    <t>J3887</t>
  </si>
  <si>
    <t>印度 KINGSTON Danny</t>
  </si>
  <si>
    <t>尾款用固定定金补 电放提单 其他单据发邮件同J3858</t>
  </si>
  <si>
    <r>
      <rPr>
        <sz val="8"/>
        <color theme="1"/>
        <rFont val="宋体"/>
        <charset val="134"/>
      </rPr>
      <t>誉洲订舱OOCL1625，誉洲拖车，</t>
    </r>
    <r>
      <rPr>
        <sz val="8"/>
        <color rgb="FFFF0000"/>
        <rFont val="宋体"/>
        <charset val="134"/>
      </rPr>
      <t>金凯抬头报关</t>
    </r>
  </si>
  <si>
    <t>J3889</t>
  </si>
  <si>
    <t>DHL1923462041 港口和客户确认 代理订舱 出CO 低报发票的CCPIT和埃及使馆认证 同J3659</t>
  </si>
  <si>
    <r>
      <rPr>
        <sz val="8"/>
        <color theme="1"/>
        <rFont val="宋体"/>
        <charset val="134"/>
      </rPr>
      <t>信航道Jessica订舱HPL，会昌拖车，</t>
    </r>
    <r>
      <rPr>
        <sz val="8"/>
        <color rgb="FFFF0000"/>
        <rFont val="宋体"/>
        <charset val="134"/>
      </rPr>
      <t>金凯抬头报关</t>
    </r>
  </si>
  <si>
    <t>J3842</t>
  </si>
  <si>
    <t>天津康宁/魏奇</t>
  </si>
  <si>
    <r>
      <rPr>
        <sz val="8"/>
        <rFont val="Arial"/>
        <charset val="134"/>
      </rPr>
      <t>4600</t>
    </r>
    <r>
      <rPr>
        <sz val="8"/>
        <rFont val="宋体"/>
        <charset val="134"/>
      </rPr>
      <t>只</t>
    </r>
    <r>
      <rPr>
        <sz val="8"/>
        <rFont val="Arial"/>
        <charset val="134"/>
      </rPr>
      <t>W</t>
    </r>
    <r>
      <rPr>
        <sz val="8"/>
        <rFont val="宋体"/>
        <charset val="134"/>
      </rPr>
      <t>边角</t>
    </r>
  </si>
  <si>
    <t xml:space="preserve">发散货到客户地址 运费预估为600，以实际发生为准。 </t>
  </si>
  <si>
    <t>J3895</t>
  </si>
  <si>
    <t>印度 PR Ceiling (Akash)</t>
  </si>
  <si>
    <t>XINGANG-piyala</t>
  </si>
  <si>
    <t>下一单港杂申请港杂2275 CO 目的港说代理安排  提单要电放 代理订舱 同J3707</t>
  </si>
  <si>
    <r>
      <rPr>
        <sz val="8"/>
        <color theme="1"/>
        <rFont val="宋体"/>
        <charset val="134"/>
      </rPr>
      <t xml:space="preserve">代理Winco Logistics订舱OOCL，会昌拖车 </t>
    </r>
    <r>
      <rPr>
        <sz val="8"/>
        <color rgb="FFFF0000"/>
        <rFont val="宋体"/>
        <charset val="134"/>
      </rPr>
      <t>金凯一达通报关</t>
    </r>
  </si>
  <si>
    <t>J3902</t>
  </si>
  <si>
    <t>DHL7770000000 form E(PE前的件数 单词不能断行) 出保险 目的港14天免费期  同J3851</t>
  </si>
  <si>
    <r>
      <rPr>
        <sz val="8"/>
        <color theme="1"/>
        <rFont val="宋体"/>
        <charset val="134"/>
      </rPr>
      <t>迪斯泰订舱中远170，迪斯泰拖车，</t>
    </r>
    <r>
      <rPr>
        <sz val="8"/>
        <color rgb="FFFF0000"/>
        <rFont val="宋体"/>
        <charset val="134"/>
      </rPr>
      <t>金凯抬头报关</t>
    </r>
  </si>
  <si>
    <t>J3906</t>
  </si>
  <si>
    <t xml:space="preserve">印度 MAB Jaison </t>
  </si>
  <si>
    <t>疫情 改电放了 港杂2205 正本 CO 同J3822</t>
  </si>
  <si>
    <r>
      <rPr>
        <sz val="8"/>
        <color theme="1"/>
        <rFont val="宋体"/>
        <charset val="134"/>
      </rPr>
      <t>三联shelly订舱MSC，汇昌拖车，</t>
    </r>
    <r>
      <rPr>
        <sz val="8"/>
        <color rgb="FFFF0000"/>
        <rFont val="宋体"/>
        <charset val="134"/>
      </rPr>
      <t>金凯抬头报关</t>
    </r>
  </si>
  <si>
    <t>J3908</t>
  </si>
  <si>
    <r>
      <rPr>
        <sz val="8"/>
        <rFont val="Arial"/>
        <charset val="134"/>
      </rPr>
      <t>1x40HQ</t>
    </r>
    <r>
      <rPr>
        <sz val="8"/>
        <rFont val="宋体"/>
        <charset val="134"/>
      </rPr>
      <t>轻钢</t>
    </r>
    <r>
      <rPr>
        <sz val="8"/>
        <rFont val="Arial"/>
        <charset val="134"/>
      </rPr>
      <t>+</t>
    </r>
    <r>
      <rPr>
        <sz val="8"/>
        <rFont val="宋体"/>
        <charset val="134"/>
      </rPr>
      <t>配件</t>
    </r>
  </si>
  <si>
    <t>单据齐等款 单据已发客户 出黄色CO 包装证明 同J3865</t>
  </si>
  <si>
    <t>鑫顺源订舱中远，白沟源远拖车报关</t>
  </si>
  <si>
    <t>J3904-1</t>
  </si>
  <si>
    <t>迪拜 GEMINI (Manoj)</t>
  </si>
  <si>
    <r>
      <rPr>
        <sz val="8"/>
        <rFont val="Arial"/>
        <charset val="134"/>
      </rPr>
      <t xml:space="preserve">3x20 </t>
    </r>
    <r>
      <rPr>
        <sz val="8"/>
        <rFont val="宋体"/>
        <charset val="134"/>
      </rPr>
      <t>轻钢</t>
    </r>
    <r>
      <rPr>
        <sz val="8"/>
        <rFont val="Arial"/>
        <charset val="134"/>
      </rPr>
      <t xml:space="preserve"> 0.35</t>
    </r>
  </si>
  <si>
    <t>DHL7650615033 CO 保险单 运费预算USD1300 严防生锈问题，挑选合格的集装箱  同J3753</t>
  </si>
  <si>
    <t>会昌订舱EMI1525，白沟源远拖车报关</t>
  </si>
  <si>
    <t>J3904-2</t>
  </si>
  <si>
    <r>
      <rPr>
        <sz val="8"/>
        <rFont val="Arial"/>
        <charset val="134"/>
      </rPr>
      <t xml:space="preserve">4x20 </t>
    </r>
    <r>
      <rPr>
        <sz val="8"/>
        <rFont val="宋体"/>
        <charset val="134"/>
      </rPr>
      <t>轻钢</t>
    </r>
    <r>
      <rPr>
        <sz val="8"/>
        <rFont val="Arial"/>
        <charset val="134"/>
      </rPr>
      <t xml:space="preserve"> 0.35</t>
    </r>
  </si>
  <si>
    <t>DHL4421485902 到港箱子坏了 保险单 出CO 客户承担150海运费共600美金 运费预算USD1300 严防生锈问题，挑选合格的集装箱 是之前有一次限重港口查了，保险起见控制在27.5 同J3753</t>
  </si>
  <si>
    <t>迪斯泰订舱EMI1782，巨东泽拖车报关</t>
  </si>
  <si>
    <t>J3914</t>
  </si>
  <si>
    <t>印度 VAISHVI Hiren KRISHNAV</t>
  </si>
  <si>
    <r>
      <rPr>
        <sz val="8"/>
        <rFont val="Arial"/>
        <charset val="134"/>
      </rPr>
      <t xml:space="preserve">2x20'  </t>
    </r>
    <r>
      <rPr>
        <sz val="8"/>
        <rFont val="宋体"/>
        <charset val="134"/>
      </rPr>
      <t>烤漆龙骨</t>
    </r>
  </si>
  <si>
    <r>
      <rPr>
        <sz val="8"/>
        <rFont val="宋体"/>
        <charset val="134"/>
      </rPr>
      <t>DHL3201707585 放绿茶和口罩</t>
    </r>
    <r>
      <rPr>
        <sz val="8"/>
        <color rgb="FF0000FF"/>
        <rFont val="宋体"/>
        <charset val="134"/>
      </rPr>
      <t xml:space="preserve"> </t>
    </r>
    <r>
      <rPr>
        <sz val="8"/>
        <rFont val="宋体"/>
        <charset val="134"/>
      </rPr>
      <t>CO 低报发票按客户给的做 电放 同J3758</t>
    </r>
  </si>
  <si>
    <r>
      <rPr>
        <sz val="8"/>
        <color theme="1"/>
        <rFont val="宋体"/>
        <charset val="134"/>
      </rPr>
      <t xml:space="preserve">骏海订舱MSC，会昌拖车 </t>
    </r>
    <r>
      <rPr>
        <sz val="8"/>
        <color rgb="FFFF0000"/>
        <rFont val="宋体"/>
        <charset val="134"/>
      </rPr>
      <t>金凯抬头报关</t>
    </r>
  </si>
  <si>
    <t>J3919-1</t>
  </si>
  <si>
    <r>
      <rPr>
        <sz val="8"/>
        <rFont val="Arial"/>
        <charset val="134"/>
      </rPr>
      <t>3x20GP</t>
    </r>
    <r>
      <rPr>
        <sz val="8"/>
        <rFont val="宋体"/>
        <charset val="134"/>
      </rPr>
      <t>轻钢</t>
    </r>
  </si>
  <si>
    <t>XINGANG-Jebel Ali, UAE</t>
  </si>
  <si>
    <r>
      <rPr>
        <sz val="8"/>
        <rFont val="宋体"/>
        <charset val="134"/>
      </rPr>
      <t>DHL2239189886 单 托班 CO MSC换单费不承担</t>
    </r>
    <r>
      <rPr>
        <sz val="8"/>
        <color rgb="FF0000FF"/>
        <rFont val="宋体"/>
        <charset val="134"/>
      </rPr>
      <t xml:space="preserve"> </t>
    </r>
    <r>
      <rPr>
        <sz val="8"/>
        <rFont val="宋体"/>
        <charset val="134"/>
      </rPr>
      <t>同J3879</t>
    </r>
  </si>
  <si>
    <t>世倡订舱CMA，会昌拖车报关</t>
  </si>
  <si>
    <t>LC</t>
  </si>
  <si>
    <r>
      <rPr>
        <b/>
        <sz val="8"/>
        <color rgb="FF0000FF"/>
        <rFont val="宋体"/>
        <charset val="134"/>
      </rPr>
      <t>补偿</t>
    </r>
    <r>
      <rPr>
        <b/>
        <sz val="8"/>
        <color rgb="FF0000FF"/>
        <rFont val="Arial"/>
        <charset val="134"/>
      </rPr>
      <t>3</t>
    </r>
    <r>
      <rPr>
        <b/>
        <sz val="8"/>
        <color rgb="FF0000FF"/>
        <rFont val="宋体"/>
        <charset val="134"/>
      </rPr>
      <t>个柜子</t>
    </r>
  </si>
  <si>
    <t>J3919-2</t>
  </si>
  <si>
    <r>
      <rPr>
        <sz val="8"/>
        <rFont val="Arial"/>
        <charset val="134"/>
      </rPr>
      <t xml:space="preserve">3x20GP </t>
    </r>
    <r>
      <rPr>
        <sz val="8"/>
        <rFont val="宋体"/>
        <charset val="134"/>
      </rPr>
      <t>轻钢</t>
    </r>
  </si>
  <si>
    <r>
      <rPr>
        <sz val="8"/>
        <color rgb="FF000000"/>
        <rFont val="宋体"/>
        <charset val="134"/>
      </rPr>
      <t xml:space="preserve">DHL7967630521 托班 船龄是8年 18预计23号开船 CO </t>
    </r>
    <r>
      <rPr>
        <sz val="8"/>
        <rFont val="宋体"/>
        <charset val="134"/>
      </rPr>
      <t>同J3879</t>
    </r>
  </si>
  <si>
    <t>世倡订舱ESL，会昌拖车报关</t>
  </si>
  <si>
    <t>J3919-2B</t>
  </si>
  <si>
    <t>2x20GP</t>
  </si>
  <si>
    <t>DHL8616770993单据齐等款 单据已发客户 船龄14年 CO 同J3879</t>
  </si>
  <si>
    <t>世倡订舱MSC，会昌拖车报关</t>
  </si>
  <si>
    <t>J3920-1B</t>
  </si>
  <si>
    <r>
      <rPr>
        <sz val="8"/>
        <color theme="1" tint="0.05"/>
        <rFont val="宋体"/>
        <charset val="134"/>
      </rPr>
      <t>DHL8531505500  BL+船证 CCPIT CO</t>
    </r>
    <r>
      <rPr>
        <sz val="8"/>
        <color rgb="FF0000FF"/>
        <rFont val="宋体"/>
        <charset val="134"/>
      </rPr>
      <t xml:space="preserve"> </t>
    </r>
    <r>
      <rPr>
        <sz val="8"/>
        <rFont val="宋体"/>
        <charset val="134"/>
      </rPr>
      <t>船证 shipment advice 汇票同J3880</t>
    </r>
  </si>
  <si>
    <t>世倡订舱CMA,会昌拖车报关</t>
  </si>
  <si>
    <r>
      <rPr>
        <b/>
        <sz val="8"/>
        <color rgb="FF0000FF"/>
        <rFont val="宋体"/>
        <charset val="134"/>
      </rPr>
      <t>补偿</t>
    </r>
    <r>
      <rPr>
        <b/>
        <sz val="8"/>
        <color rgb="FF0000FF"/>
        <rFont val="Arial"/>
        <charset val="134"/>
      </rPr>
      <t>1</t>
    </r>
    <r>
      <rPr>
        <b/>
        <sz val="8"/>
        <color rgb="FF0000FF"/>
        <rFont val="宋体"/>
        <charset val="134"/>
      </rPr>
      <t>个柜子，全部补完</t>
    </r>
  </si>
  <si>
    <t>J3920-1</t>
  </si>
  <si>
    <r>
      <rPr>
        <sz val="8"/>
        <rFont val="Arial"/>
        <charset val="134"/>
      </rPr>
      <t xml:space="preserve">6x20GP </t>
    </r>
    <r>
      <rPr>
        <sz val="8"/>
        <rFont val="宋体"/>
        <charset val="134"/>
      </rPr>
      <t>轻钢</t>
    </r>
  </si>
  <si>
    <r>
      <rPr>
        <sz val="8"/>
        <rFont val="宋体"/>
        <charset val="134"/>
      </rPr>
      <t>DHL1890003430号单据齐等款 单据已发客户 BL 出CCPIT</t>
    </r>
    <r>
      <rPr>
        <sz val="8"/>
        <color rgb="FF0000FF"/>
        <rFont val="宋体"/>
        <charset val="134"/>
      </rPr>
      <t xml:space="preserve"> </t>
    </r>
    <r>
      <rPr>
        <sz val="8"/>
        <rFont val="宋体"/>
        <charset val="134"/>
      </rPr>
      <t>CO同J3880</t>
    </r>
  </si>
  <si>
    <r>
      <rPr>
        <b/>
        <sz val="8"/>
        <color rgb="FF0000FF"/>
        <rFont val="宋体"/>
        <charset val="134"/>
      </rPr>
      <t>补偿</t>
    </r>
    <r>
      <rPr>
        <b/>
        <sz val="8"/>
        <color rgb="FF0000FF"/>
        <rFont val="Arial"/>
        <charset val="134"/>
      </rPr>
      <t>6</t>
    </r>
    <r>
      <rPr>
        <b/>
        <sz val="8"/>
        <color rgb="FF0000FF"/>
        <rFont val="宋体"/>
        <charset val="134"/>
      </rPr>
      <t>个柜子</t>
    </r>
  </si>
  <si>
    <t>J3920-2</t>
  </si>
  <si>
    <r>
      <rPr>
        <sz val="8"/>
        <color theme="1"/>
        <rFont val="宋体"/>
        <charset val="134"/>
      </rPr>
      <t xml:space="preserve">DHL8616779603单据齐等款 单据已发客户 BL CCPIT CO </t>
    </r>
    <r>
      <rPr>
        <sz val="8"/>
        <rFont val="宋体"/>
        <charset val="134"/>
      </rPr>
      <t>船证 shipment advice 汇票同J3880</t>
    </r>
  </si>
  <si>
    <t>J3920-2B</t>
  </si>
  <si>
    <r>
      <rPr>
        <sz val="8"/>
        <color theme="1"/>
        <rFont val="宋体"/>
        <charset val="134"/>
      </rPr>
      <t>DHL3173760774  CCPIT CO</t>
    </r>
    <r>
      <rPr>
        <sz val="8"/>
        <rFont val="宋体"/>
        <charset val="134"/>
      </rPr>
      <t xml:space="preserve"> 船证 船龄是9年 shipment advice 汇票同J3880</t>
    </r>
  </si>
  <si>
    <t>世倡订舱EMI，会昌拖车报关</t>
  </si>
  <si>
    <t>J3920-2C</t>
  </si>
  <si>
    <t>3x20GP</t>
  </si>
  <si>
    <t>DHL1418807250 单据齐等款 船龄9年 托班CCPIT CO</t>
  </si>
  <si>
    <t>J3923</t>
  </si>
  <si>
    <t>3x40HQ</t>
  </si>
  <si>
    <r>
      <rPr>
        <sz val="8"/>
        <rFont val="宋体"/>
        <charset val="134"/>
      </rPr>
      <t>等电放 DHL1656095092 托班 出form e 发人民币给徐老师</t>
    </r>
    <r>
      <rPr>
        <sz val="8"/>
        <color rgb="FF0000FF"/>
        <rFont val="宋体"/>
        <charset val="134"/>
      </rPr>
      <t xml:space="preserve">  </t>
    </r>
    <r>
      <rPr>
        <sz val="8"/>
        <rFont val="宋体"/>
        <charset val="134"/>
      </rPr>
      <t>报关美金 和保险用人民币客户承担1150*3海运费 费用加在发票上 规格0.24改成0.25出单据 海运预付估计750USD/40H  申请21天免用箱 柜子少可以申请14天免用箱同J3875</t>
    </r>
  </si>
  <si>
    <t>会昌订舱MCC2225,白沟源远拖车报关</t>
  </si>
  <si>
    <t>J3935</t>
  </si>
  <si>
    <r>
      <rPr>
        <sz val="8"/>
        <rFont val="Arial"/>
        <charset val="134"/>
      </rPr>
      <t>2x40HQ</t>
    </r>
    <r>
      <rPr>
        <sz val="8"/>
        <rFont val="宋体"/>
        <charset val="134"/>
      </rPr>
      <t>轻钢及配件</t>
    </r>
  </si>
  <si>
    <t>出黄色CO 第一个柜子最后一个金色的免费给客户补的 furring changel客户视频看  包装证明 同J3908</t>
  </si>
  <si>
    <t>鑫顺源订舱，会昌拖车报关</t>
  </si>
  <si>
    <t>J3936-1</t>
  </si>
  <si>
    <r>
      <rPr>
        <sz val="8"/>
        <rFont val="Arial"/>
        <charset val="134"/>
      </rPr>
      <t xml:space="preserve">3x40H </t>
    </r>
    <r>
      <rPr>
        <sz val="8"/>
        <rFont val="宋体"/>
        <charset val="134"/>
      </rPr>
      <t>小付骨</t>
    </r>
  </si>
  <si>
    <t>DHL2626355281  出form E 等海运费更新 出保险 海运费替客户承担500USD/40H  申请21天免用箱 柜子少可以申请14天免用箱 同J3923</t>
  </si>
  <si>
    <t>会昌订舱MCC2225/2250，会昌拖车报关</t>
  </si>
  <si>
    <t>J3936-2</t>
  </si>
  <si>
    <r>
      <rPr>
        <sz val="8"/>
        <rFont val="Arial"/>
        <charset val="134"/>
      </rPr>
      <t xml:space="preserve">2x40H </t>
    </r>
    <r>
      <rPr>
        <sz val="8"/>
        <rFont val="宋体"/>
        <charset val="134"/>
      </rPr>
      <t>小付骨</t>
    </r>
  </si>
  <si>
    <t>出form E 出保险 2个倒箱费是400 海运费替客户承担500USD/40H  申请21天免用箱 柜子少可以申请14天免用箱  同J3923</t>
  </si>
  <si>
    <t>会昌订舱MCC2250，白沟源远拖车报关</t>
  </si>
  <si>
    <t>J3937</t>
  </si>
  <si>
    <t>委内瑞拉HK BUILDCO (Steven)</t>
  </si>
  <si>
    <t>xingang-Buenaventura,  Colombia</t>
  </si>
  <si>
    <r>
      <rPr>
        <sz val="8"/>
        <color theme="1"/>
        <rFont val="宋体"/>
        <charset val="134"/>
      </rPr>
      <t>CO</t>
    </r>
    <r>
      <rPr>
        <sz val="8"/>
        <rFont val="宋体"/>
        <charset val="134"/>
      </rPr>
      <t xml:space="preserve"> 电放单据发邮箱？因为约定的发货人不是我方，务必要求货代承诺不能无款放单。  同J3619</t>
    </r>
  </si>
  <si>
    <r>
      <rPr>
        <sz val="8"/>
        <color theme="1"/>
        <rFont val="宋体"/>
        <charset val="134"/>
      </rPr>
      <t xml:space="preserve">深圳市正中时代Nicole Li订舱CMA， 会昌拖车 </t>
    </r>
    <r>
      <rPr>
        <sz val="8"/>
        <color rgb="FFFF0000"/>
        <rFont val="宋体"/>
        <charset val="134"/>
      </rPr>
      <t>金凯抬头报关</t>
    </r>
  </si>
  <si>
    <t>J3938</t>
  </si>
  <si>
    <t>单据齐等款 单据已发客户 CO shipper用金凯 电放单据发邮箱？ 同J3827</t>
  </si>
  <si>
    <r>
      <rPr>
        <sz val="8"/>
        <color theme="1"/>
        <rFont val="宋体"/>
        <charset val="134"/>
      </rPr>
      <t xml:space="preserve">上海正合freedmon订舱MSC，誉洲拖车 </t>
    </r>
    <r>
      <rPr>
        <sz val="8"/>
        <color rgb="FFFF0000"/>
        <rFont val="宋体"/>
        <charset val="134"/>
      </rPr>
      <t>金凯抬头报关</t>
    </r>
  </si>
  <si>
    <t>J3940</t>
  </si>
  <si>
    <t>4x20 轻钢</t>
  </si>
  <si>
    <t>xingang-Sohar , Oman</t>
  </si>
  <si>
    <t>DHL3165301381 单据齐等款 单据已发客户 出CCPIT CO 同J3920</t>
  </si>
  <si>
    <t>世倡订舱ESL，盛汇通拖车报关</t>
  </si>
  <si>
    <t>J3950</t>
  </si>
  <si>
    <t>美国/James Lee</t>
  </si>
  <si>
    <r>
      <rPr>
        <sz val="8"/>
        <rFont val="Arial"/>
        <charset val="134"/>
      </rPr>
      <t>1</t>
    </r>
    <r>
      <rPr>
        <sz val="8"/>
        <rFont val="宋体"/>
        <charset val="134"/>
      </rPr>
      <t>万只</t>
    </r>
    <r>
      <rPr>
        <sz val="8"/>
        <rFont val="Arial"/>
        <charset val="134"/>
      </rPr>
      <t xml:space="preserve"> </t>
    </r>
    <r>
      <rPr>
        <sz val="8"/>
        <rFont val="宋体"/>
        <charset val="134"/>
      </rPr>
      <t>几字边角</t>
    </r>
  </si>
  <si>
    <t>xingang-Long Beach, USA</t>
  </si>
  <si>
    <t>一达通的线下订单那个地方发一下货 按5000以下的简易模式，不用阿里报关 电放提单 客户订舱  50只一个纸箱，打木托 发货到港口，做拼箱 LCL 具体收货信息需要跟客户确定</t>
  </si>
  <si>
    <t>星海飞驰订舱报关</t>
  </si>
  <si>
    <t>J3948</t>
  </si>
  <si>
    <t>澳大利亚SA/Jarrad</t>
  </si>
  <si>
    <t>xingang-Adelaide,Australia</t>
  </si>
  <si>
    <t>出黄色CO 单拖昂 放中间 提单显示不能超25吨 超过不许货车拉货 也会产生额外费用同J3816</t>
  </si>
  <si>
    <t>指定代理ACON LOGISTICS，白沟源远拖车报关</t>
  </si>
  <si>
    <t>J3952</t>
  </si>
  <si>
    <r>
      <rPr>
        <sz val="8"/>
        <rFont val="Arial"/>
        <charset val="134"/>
      </rPr>
      <t xml:space="preserve">1x20’  </t>
    </r>
    <r>
      <rPr>
        <sz val="8"/>
        <rFont val="宋体"/>
        <charset val="134"/>
      </rPr>
      <t>平面烤漆</t>
    </r>
  </si>
  <si>
    <t xml:space="preserve">xingang-New Delhi , INDIA </t>
  </si>
  <si>
    <t>定金还剩1566.73美金补齐4千定金 电放提单 一般不走RCL  其他单据发邮件同J3887</t>
  </si>
  <si>
    <r>
      <rPr>
        <sz val="8"/>
        <color theme="1"/>
        <rFont val="宋体"/>
        <charset val="134"/>
      </rPr>
      <t>誉洲订舱OOCL2535，迪斯泰拖车，</t>
    </r>
    <r>
      <rPr>
        <sz val="8"/>
        <color rgb="FFFF0000"/>
        <rFont val="宋体"/>
        <charset val="134"/>
      </rPr>
      <t>金凯抬头报关</t>
    </r>
  </si>
  <si>
    <t>J3958-1</t>
  </si>
  <si>
    <r>
      <rPr>
        <sz val="8"/>
        <rFont val="Arial"/>
        <charset val="134"/>
      </rPr>
      <t xml:space="preserve">3x40FCL </t>
    </r>
    <r>
      <rPr>
        <sz val="8"/>
        <rFont val="宋体"/>
        <charset val="134"/>
      </rPr>
      <t>小付骨</t>
    </r>
  </si>
  <si>
    <t>DHL2465289956 买保险 出form E 海运费替客户承担500USD/40H  申请21天免用箱 柜子少可以申请14天免用箱 同J3936</t>
  </si>
  <si>
    <t>誉洲订舱OC1950/2000，盛汇通拖车报关</t>
  </si>
  <si>
    <t>J3959-1</t>
  </si>
  <si>
    <r>
      <rPr>
        <sz val="8"/>
        <rFont val="Arial"/>
        <charset val="134"/>
      </rPr>
      <t>2x20GP</t>
    </r>
    <r>
      <rPr>
        <sz val="8"/>
        <rFont val="宋体"/>
        <charset val="134"/>
      </rPr>
      <t>轻钢</t>
    </r>
    <r>
      <rPr>
        <sz val="8"/>
        <rFont val="Arial"/>
        <charset val="134"/>
      </rPr>
      <t>0.38</t>
    </r>
  </si>
  <si>
    <r>
      <rPr>
        <sz val="8"/>
        <rFont val="宋体"/>
        <charset val="134"/>
      </rPr>
      <t>DHL1155158491单据齐等款 单据已发客户 30托班 CCPIT</t>
    </r>
    <r>
      <rPr>
        <sz val="8"/>
        <color rgb="FF0000FF"/>
        <rFont val="宋体"/>
        <charset val="134"/>
      </rPr>
      <t xml:space="preserve"> CO</t>
    </r>
    <r>
      <rPr>
        <sz val="8"/>
        <rFont val="宋体"/>
        <charset val="134"/>
      </rPr>
      <t xml:space="preserve"> 倒箱400 放喷漆 同J3920</t>
    </r>
  </si>
  <si>
    <t>J3959-2</t>
  </si>
  <si>
    <r>
      <rPr>
        <sz val="8"/>
        <rFont val="Arial"/>
        <charset val="134"/>
      </rPr>
      <t>1x20GP</t>
    </r>
    <r>
      <rPr>
        <sz val="8"/>
        <rFont val="宋体"/>
        <charset val="134"/>
      </rPr>
      <t>轻钢</t>
    </r>
    <r>
      <rPr>
        <sz val="8"/>
        <rFont val="Arial"/>
        <charset val="134"/>
      </rPr>
      <t>0.38</t>
    </r>
  </si>
  <si>
    <t>DHL9549741180放喷漆 CCPIT CO 同J3920</t>
  </si>
  <si>
    <t>J3964</t>
  </si>
  <si>
    <r>
      <rPr>
        <sz val="8"/>
        <rFont val="Arial"/>
        <charset val="134"/>
      </rPr>
      <t xml:space="preserve">4x20  </t>
    </r>
    <r>
      <rPr>
        <sz val="8"/>
        <rFont val="宋体"/>
        <charset val="134"/>
      </rPr>
      <t>变高系列</t>
    </r>
    <r>
      <rPr>
        <sz val="8"/>
        <rFont val="Arial"/>
        <charset val="134"/>
      </rPr>
      <t>0.35mm</t>
    </r>
  </si>
  <si>
    <t>DHL5263609923 单据齐等款 单据已发客户 CO 4托班14号 保险单 箱子底部检查好 运费预算USD1850 超10%客户承担  严防生锈问题，挑选合格的集装箱 同J3904</t>
  </si>
  <si>
    <t>汇昌订舱EMI1450，迪斯泰拖车报关</t>
  </si>
  <si>
    <t>J3967</t>
  </si>
  <si>
    <r>
      <rPr>
        <sz val="8"/>
        <rFont val="Arial"/>
        <charset val="134"/>
      </rPr>
      <t>1x40HQ</t>
    </r>
    <r>
      <rPr>
        <sz val="8"/>
        <rFont val="宋体"/>
        <charset val="134"/>
      </rPr>
      <t>轻钢及配件</t>
    </r>
  </si>
  <si>
    <t>xingang-Melbourne,Australia</t>
  </si>
  <si>
    <t>出黄色CO 木质证明 同J3935</t>
  </si>
  <si>
    <t>鑫顺源订舱中远，盛汇通拖车报关</t>
  </si>
  <si>
    <t>J3968</t>
  </si>
  <si>
    <r>
      <rPr>
        <sz val="8"/>
        <rFont val="Arial"/>
        <charset val="134"/>
      </rPr>
      <t>9</t>
    </r>
    <r>
      <rPr>
        <sz val="8"/>
        <rFont val="宋体"/>
        <charset val="134"/>
      </rPr>
      <t>吨轻钢边角打孔边角变高</t>
    </r>
  </si>
  <si>
    <t>20号送到港 天津港拼箱</t>
  </si>
  <si>
    <t>M3962</t>
  </si>
  <si>
    <t>巴林 Altawasel Gate(Kurian)</t>
  </si>
  <si>
    <r>
      <rPr>
        <sz val="8"/>
        <rFont val="Arial"/>
        <charset val="134"/>
      </rPr>
      <t xml:space="preserve">1x20'  </t>
    </r>
    <r>
      <rPr>
        <sz val="8"/>
        <rFont val="宋体"/>
        <charset val="134"/>
      </rPr>
      <t>轻钢龙骨</t>
    </r>
    <r>
      <rPr>
        <sz val="8"/>
        <rFont val="Arial"/>
        <charset val="134"/>
      </rPr>
      <t>+</t>
    </r>
    <r>
      <rPr>
        <sz val="8"/>
        <rFont val="宋体"/>
        <charset val="134"/>
      </rPr>
      <t>干壁钉</t>
    </r>
    <r>
      <rPr>
        <sz val="8"/>
        <rFont val="Arial"/>
        <charset val="134"/>
      </rPr>
      <t>+</t>
    </r>
    <r>
      <rPr>
        <sz val="8"/>
        <rFont val="宋体"/>
        <charset val="134"/>
      </rPr>
      <t>检修口</t>
    </r>
  </si>
  <si>
    <r>
      <rPr>
        <sz val="8"/>
        <rFont val="宋体"/>
        <charset val="134"/>
      </rPr>
      <t>DHL7149719905 出CO 60% of final invoice做低报发票  M3962收装卸费150元，外采部分的 11件检修口有10件是8pc，1件4pc</t>
    </r>
    <r>
      <rPr>
        <sz val="8"/>
        <color rgb="FFFF0000"/>
        <rFont val="宋体"/>
        <charset val="134"/>
      </rPr>
      <t xml:space="preserve">
</t>
    </r>
    <r>
      <rPr>
        <sz val="8"/>
        <rFont val="宋体"/>
        <charset val="134"/>
      </rPr>
      <t xml:space="preserve"> MSC2499-50 更新了公司名 客户给了企业编码证书 同J3885</t>
    </r>
  </si>
  <si>
    <t>永鑫海MSC2499/2500，白沟源远拖车报关</t>
  </si>
  <si>
    <t>J3946</t>
  </si>
  <si>
    <r>
      <rPr>
        <sz val="8"/>
        <rFont val="Arial"/>
        <charset val="134"/>
      </rPr>
      <t xml:space="preserve">2x20 </t>
    </r>
    <r>
      <rPr>
        <sz val="8"/>
        <rFont val="宋体"/>
        <charset val="134"/>
      </rPr>
      <t>金银色烤漆龙骨</t>
    </r>
  </si>
  <si>
    <t>单据齐等款 单据已发客户 CO 两个箱子都修了 发货前付齐50%的款  指定代理 同J3791</t>
  </si>
  <si>
    <r>
      <rPr>
        <sz val="8"/>
        <color theme="1"/>
        <rFont val="Arial"/>
        <charset val="134"/>
      </rPr>
      <t>seatek</t>
    </r>
    <r>
      <rPr>
        <sz val="8"/>
        <color theme="1"/>
        <rFont val="宋体"/>
        <charset val="134"/>
      </rPr>
      <t>订舱伊朗航运，汇昌拖车报关</t>
    </r>
  </si>
  <si>
    <t>J3971</t>
  </si>
  <si>
    <t>等保单 改电放 CO 买保险 正本 同J3906</t>
  </si>
  <si>
    <r>
      <rPr>
        <sz val="8"/>
        <color theme="1"/>
        <rFont val="宋体"/>
        <charset val="134"/>
      </rPr>
      <t>誉洲订舱MSK</t>
    </r>
    <r>
      <rPr>
        <sz val="8"/>
        <color theme="1"/>
        <rFont val="Arial"/>
        <charset val="134"/>
      </rPr>
      <t>2000USD/2031</t>
    </r>
    <r>
      <rPr>
        <sz val="8"/>
        <color theme="1"/>
        <rFont val="宋体"/>
        <charset val="134"/>
      </rPr>
      <t>，誉洲拖车，</t>
    </r>
    <r>
      <rPr>
        <sz val="8"/>
        <color rgb="FFFF0000"/>
        <rFont val="宋体"/>
        <charset val="134"/>
      </rPr>
      <t>金凯抬头报关</t>
    </r>
  </si>
  <si>
    <t>J3972</t>
  </si>
  <si>
    <t>菲律宾 WOODBASED (Ben)</t>
  </si>
  <si>
    <r>
      <rPr>
        <sz val="8"/>
        <rFont val="Arial"/>
        <charset val="134"/>
      </rPr>
      <t xml:space="preserve">1x20' FCL </t>
    </r>
    <r>
      <rPr>
        <sz val="8"/>
        <rFont val="宋体"/>
        <charset val="134"/>
      </rPr>
      <t>轻钢</t>
    </r>
  </si>
  <si>
    <t>xingang-Manila South Port, Philippine</t>
  </si>
  <si>
    <t>DHL6838764181 Form E gigi0425@msn.com  这次不低报了 电放提单也打印出来寄给客户 电放提单 单据全部打印寄给客户 电放提单也打印 要申请21天免费箱使，和10天的免堆存，不用长荣 MCC？  SITC或者马士基可以选。客户还要求waive the container deposit同J3760</t>
  </si>
  <si>
    <r>
      <rPr>
        <sz val="8"/>
        <color theme="1"/>
        <rFont val="宋体"/>
        <charset val="134"/>
      </rPr>
      <t>迪斯泰</t>
    </r>
    <r>
      <rPr>
        <sz val="8"/>
        <color theme="1"/>
        <rFont val="Arial"/>
        <charset val="134"/>
      </rPr>
      <t>MCC</t>
    </r>
    <r>
      <rPr>
        <sz val="8"/>
        <color theme="1"/>
        <rFont val="宋体"/>
        <charset val="134"/>
      </rPr>
      <t>453，白沟源远拖车报关</t>
    </r>
  </si>
  <si>
    <t>J3975</t>
  </si>
  <si>
    <r>
      <rPr>
        <sz val="8"/>
        <rFont val="Arial"/>
        <charset val="134"/>
      </rPr>
      <t xml:space="preserve">4x20'GP </t>
    </r>
    <r>
      <rPr>
        <sz val="8"/>
        <rFont val="宋体"/>
        <charset val="134"/>
      </rPr>
      <t>轻钢</t>
    </r>
  </si>
  <si>
    <t>DHL9639487760 保险单 CO 12拖到18号 装了烤漆样品 按轻钢报 客户承担500海运费 严防生锈问题，挑选合格的集装箱 申请14天免用箱 同J3904</t>
  </si>
  <si>
    <r>
      <rPr>
        <sz val="8"/>
        <color theme="1"/>
        <rFont val="宋体"/>
        <charset val="134"/>
      </rPr>
      <t>迪斯泰订舱</t>
    </r>
    <r>
      <rPr>
        <sz val="8"/>
        <color theme="1"/>
        <rFont val="Arial"/>
        <charset val="134"/>
      </rPr>
      <t>EMI2530</t>
    </r>
    <r>
      <rPr>
        <sz val="8"/>
        <color theme="1"/>
        <rFont val="宋体"/>
        <charset val="134"/>
      </rPr>
      <t>，白沟源远拖车报关</t>
    </r>
  </si>
  <si>
    <t>J3976</t>
  </si>
  <si>
    <r>
      <rPr>
        <sz val="8"/>
        <rFont val="Arial"/>
        <charset val="134"/>
      </rPr>
      <t xml:space="preserve">2x20'GP </t>
    </r>
    <r>
      <rPr>
        <sz val="8"/>
        <rFont val="宋体"/>
        <charset val="134"/>
      </rPr>
      <t>轻钢</t>
    </r>
  </si>
  <si>
    <t>J3976+J4016-4一起发的 保险单 出CO 运费预算USD1800 申请14天免用箱 同J3904</t>
  </si>
  <si>
    <t>J3978-2</t>
  </si>
  <si>
    <t>DHL9840945881 发票减掉定金 1000一个柜子 也就是在发票上增加3000usd额外运费，不揉到价格里面 J3978-2+J4016-1一起发 保险单 出CO 运费预算USD1800 严防生锈问题，挑选合格的集装箱 申请14天免用箱 同J3904</t>
  </si>
  <si>
    <r>
      <rPr>
        <sz val="8"/>
        <color theme="1"/>
        <rFont val="宋体"/>
        <charset val="134"/>
      </rPr>
      <t>迪斯泰订舱</t>
    </r>
    <r>
      <rPr>
        <sz val="8"/>
        <color theme="1"/>
        <rFont val="Arial"/>
        <charset val="134"/>
      </rPr>
      <t>EMI3000</t>
    </r>
    <r>
      <rPr>
        <sz val="8"/>
        <color theme="1"/>
        <rFont val="宋体"/>
        <charset val="134"/>
      </rPr>
      <t>，白沟源远拖车报关</t>
    </r>
  </si>
  <si>
    <t>J3978-1</t>
  </si>
  <si>
    <t>DHL1051677270 单据齐等款 单据已发客户 我们担200， 客户担800整合到单价里 出CO 申请14天免用箱 发货时间与客户确认 同J3752</t>
  </si>
  <si>
    <t>汇昌订舱EMI2800，白沟源远拖车报关</t>
  </si>
  <si>
    <t>J3973</t>
  </si>
  <si>
    <t>单据齐等款 单据已发客户 CO 7号托到13号开船 港杂2550 shipper用金凯还是HK？用HK代理要承诺无款不放单 电放单据发邮箱？ 同J3938</t>
  </si>
  <si>
    <r>
      <rPr>
        <sz val="8"/>
        <color theme="1"/>
        <rFont val="宋体"/>
        <charset val="134"/>
      </rPr>
      <t>海德telin订舱HBS，会昌拖车，</t>
    </r>
    <r>
      <rPr>
        <sz val="8"/>
        <color rgb="FFFF0000"/>
        <rFont val="宋体"/>
        <charset val="134"/>
      </rPr>
      <t>金凯抬头报关</t>
    </r>
  </si>
  <si>
    <t>J3980</t>
  </si>
  <si>
    <t>xingang-ISTANBUL, AMBARLI PORT,  Turkey</t>
  </si>
  <si>
    <t>客户订舱</t>
  </si>
  <si>
    <r>
      <rPr>
        <sz val="8"/>
        <color theme="1"/>
        <rFont val="宋体"/>
        <charset val="134"/>
      </rPr>
      <t xml:space="preserve">拓航订舱箱东emc，盛汇通拖车 </t>
    </r>
    <r>
      <rPr>
        <sz val="8"/>
        <color rgb="FFFF0000"/>
        <rFont val="宋体"/>
        <charset val="134"/>
      </rPr>
      <t>金凯抬头报关</t>
    </r>
  </si>
  <si>
    <t>J3984</t>
  </si>
  <si>
    <t xml:space="preserve">阿布扎比THURAYA Okab </t>
  </si>
  <si>
    <t>单据齐等款 单据已发客户 CO 7托班13号 装样品 涉及结汇不高报 发给客户确认海运费 电放其他单据发邮箱 同J3859</t>
  </si>
  <si>
    <r>
      <rPr>
        <sz val="8"/>
        <color theme="1"/>
        <rFont val="宋体"/>
        <charset val="134"/>
      </rPr>
      <t xml:space="preserve">汇昌订舱MSK1300，汇昌拖车 </t>
    </r>
    <r>
      <rPr>
        <sz val="8"/>
        <color rgb="FFFF0000"/>
        <rFont val="宋体"/>
        <charset val="134"/>
      </rPr>
      <t>金凯抬头报关</t>
    </r>
  </si>
  <si>
    <t>J3988-1</t>
  </si>
  <si>
    <r>
      <rPr>
        <sz val="8"/>
        <rFont val="Arial"/>
        <charset val="134"/>
      </rPr>
      <t xml:space="preserve">2x40HQ </t>
    </r>
    <r>
      <rPr>
        <sz val="8"/>
        <rFont val="宋体"/>
        <charset val="134"/>
      </rPr>
      <t>轻钢</t>
    </r>
  </si>
  <si>
    <t>DHL1320835692 form E VO用吨的发票  清关用实际版按支数计价发票 最多装26.5吨 多拍照片 拍清楚 运费替客户承担500USD/40H  申请21天免用箱 柜子少可以申请14天免用箱 同J3936</t>
  </si>
  <si>
    <r>
      <rPr>
        <sz val="8"/>
        <color theme="1"/>
        <rFont val="宋体"/>
        <charset val="134"/>
      </rPr>
      <t>迪斯泰订舱MCC</t>
    </r>
    <r>
      <rPr>
        <sz val="8"/>
        <color theme="1"/>
        <rFont val="Arial"/>
        <charset val="134"/>
      </rPr>
      <t>1750/1800</t>
    </r>
    <r>
      <rPr>
        <sz val="8"/>
        <color theme="1"/>
        <rFont val="宋体"/>
        <charset val="134"/>
      </rPr>
      <t>，迪斯泰拖车报关</t>
    </r>
  </si>
  <si>
    <t>J3988-2</t>
  </si>
  <si>
    <t>DHL5263708354 form E 运费替客户承担500USD/40H  申请21天免用箱 柜子少可以申请14天免用箱 同J3936</t>
  </si>
  <si>
    <r>
      <rPr>
        <sz val="8"/>
        <color theme="1"/>
        <rFont val="宋体"/>
        <charset val="134"/>
      </rPr>
      <t>会昌订舱</t>
    </r>
    <r>
      <rPr>
        <sz val="8"/>
        <color theme="1"/>
        <rFont val="Arial"/>
        <charset val="134"/>
      </rPr>
      <t>MCC1900/1920</t>
    </r>
    <r>
      <rPr>
        <sz val="8"/>
        <color theme="1"/>
        <rFont val="宋体"/>
        <charset val="134"/>
      </rPr>
      <t>，白沟源远拖车报关</t>
    </r>
  </si>
  <si>
    <t>J3989</t>
  </si>
  <si>
    <r>
      <rPr>
        <sz val="8"/>
        <rFont val="宋体"/>
        <charset val="134"/>
      </rPr>
      <t xml:space="preserve">出黄色CO </t>
    </r>
    <r>
      <rPr>
        <sz val="8"/>
        <color rgb="FF000000"/>
        <rFont val="宋体"/>
        <charset val="134"/>
      </rPr>
      <t>发票扣掉1379美金 金色配件的款</t>
    </r>
    <r>
      <rPr>
        <sz val="8"/>
        <rFont val="宋体"/>
        <charset val="134"/>
      </rPr>
      <t xml:space="preserve"> 木质证明 同J3967</t>
    </r>
  </si>
  <si>
    <t>鑫顺源订舱TSL，汇昌拖车报关</t>
  </si>
  <si>
    <t>J3985</t>
  </si>
  <si>
    <t>阿尔及利亚SARL/Miloud</t>
  </si>
  <si>
    <r>
      <rPr>
        <sz val="8"/>
        <rFont val="Arial"/>
        <charset val="134"/>
      </rPr>
      <t xml:space="preserve">3x20' FCL </t>
    </r>
    <r>
      <rPr>
        <sz val="8"/>
        <rFont val="宋体"/>
        <charset val="134"/>
      </rPr>
      <t>烤漆</t>
    </r>
  </si>
  <si>
    <t>xingang-Bejaia ,Algeria</t>
  </si>
  <si>
    <t>TNT977144513 DA45天 海运费按照实际与客户商量  CO 4份箱单 4份发票 提单 贸促会认证  品质证明 合格证书
样品不显示 不算件重尺 同J3873</t>
  </si>
  <si>
    <r>
      <rPr>
        <sz val="8"/>
        <color theme="1"/>
        <rFont val="宋体"/>
        <charset val="134"/>
      </rPr>
      <t>永鑫海订舱MSC6084/6140，汇昌拖车，</t>
    </r>
    <r>
      <rPr>
        <sz val="8"/>
        <color rgb="FFFF0000"/>
        <rFont val="宋体"/>
        <charset val="134"/>
      </rPr>
      <t>金凯抬头报关</t>
    </r>
  </si>
  <si>
    <t>J3990</t>
  </si>
  <si>
    <t>DHL1761630161 徐老师出Form B 这次不低报了 正本 同J3914</t>
  </si>
  <si>
    <r>
      <rPr>
        <sz val="8"/>
        <color theme="1"/>
        <rFont val="宋体"/>
        <charset val="134"/>
      </rPr>
      <t>上海密尔克卫订舱长荣，会昌拖车，</t>
    </r>
    <r>
      <rPr>
        <sz val="8"/>
        <color rgb="FFFF0000"/>
        <rFont val="宋体"/>
        <charset val="134"/>
      </rPr>
      <t>金凯抬头报关</t>
    </r>
  </si>
  <si>
    <t>J3995</t>
  </si>
  <si>
    <t>5.6号到中转港 电放提单 一般不走RCL  其他单据发邮件同J3952</t>
  </si>
  <si>
    <r>
      <rPr>
        <sz val="8"/>
        <color theme="1"/>
        <rFont val="宋体"/>
        <charset val="134"/>
      </rPr>
      <t>誉洲订舱</t>
    </r>
    <r>
      <rPr>
        <sz val="8"/>
        <color theme="1"/>
        <rFont val="Arial"/>
        <charset val="134"/>
      </rPr>
      <t>CMA2200/</t>
    </r>
    <r>
      <rPr>
        <sz val="8"/>
        <color theme="1"/>
        <rFont val="宋体"/>
        <charset val="134"/>
      </rPr>
      <t>2314，誉洲拖车，</t>
    </r>
    <r>
      <rPr>
        <sz val="8"/>
        <color rgb="FFFF0000"/>
        <rFont val="宋体"/>
        <charset val="134"/>
      </rPr>
      <t>金凯一达通报关</t>
    </r>
  </si>
  <si>
    <t>J3991</t>
  </si>
  <si>
    <t>阿尔及利亚 Guechtal</t>
  </si>
  <si>
    <r>
      <rPr>
        <sz val="8"/>
        <rFont val="Arial"/>
        <charset val="134"/>
      </rPr>
      <t xml:space="preserve">4x20' GP </t>
    </r>
    <r>
      <rPr>
        <sz val="8"/>
        <rFont val="宋体"/>
        <charset val="134"/>
      </rPr>
      <t>烤漆</t>
    </r>
  </si>
  <si>
    <t>取消订单  海运费预估4700，按实际与客户商量 4份箱单 4份发票   提单 贸促会认证  品质证明 CO 合格证书  同J3873</t>
  </si>
  <si>
    <t>J4002</t>
  </si>
  <si>
    <t>单据齐等款 单据已发客户 电放 上保险 CO 同J3971</t>
  </si>
  <si>
    <r>
      <rPr>
        <sz val="8"/>
        <color theme="1"/>
        <rFont val="宋体"/>
        <charset val="134"/>
      </rPr>
      <t xml:space="preserve">誉洲订舱HMM4089/4090，誉洲拖车 </t>
    </r>
    <r>
      <rPr>
        <sz val="8"/>
        <color rgb="FFFF0000"/>
        <rFont val="宋体"/>
        <charset val="134"/>
      </rPr>
      <t>金凯一达通报关</t>
    </r>
  </si>
  <si>
    <t>J4001</t>
  </si>
  <si>
    <t>单据齐等款 单据已发客户 黄色CO 单拖昂 放中间 提单显示不能超25吨 同J3948</t>
  </si>
  <si>
    <r>
      <rPr>
        <sz val="8"/>
        <color theme="1"/>
        <rFont val="宋体"/>
        <charset val="134"/>
      </rPr>
      <t>指定代理</t>
    </r>
    <r>
      <rPr>
        <sz val="8"/>
        <color theme="1"/>
        <rFont val="Arial"/>
        <charset val="134"/>
      </rPr>
      <t xml:space="preserve">ACON LOGISTICS, </t>
    </r>
    <r>
      <rPr>
        <sz val="8"/>
        <color theme="1"/>
        <rFont val="宋体"/>
        <charset val="134"/>
      </rPr>
      <t>白沟源远拖车报关</t>
    </r>
  </si>
  <si>
    <t>J4008-2</t>
  </si>
  <si>
    <t>xingang-SHARJAH (ICD)</t>
  </si>
  <si>
    <t>DHL3082888874 CO 同J3919</t>
  </si>
  <si>
    <t>客户约号惠禾订舱EMI，白沟源远拖车报关</t>
  </si>
  <si>
    <t>J4008-1</t>
  </si>
  <si>
    <r>
      <rPr>
        <sz val="8"/>
        <rFont val="Arial"/>
        <charset val="134"/>
      </rPr>
      <t>2x20GP</t>
    </r>
    <r>
      <rPr>
        <sz val="8"/>
        <rFont val="宋体"/>
        <charset val="134"/>
      </rPr>
      <t>轻钢</t>
    </r>
  </si>
  <si>
    <t>DHL5764858735 单据齐等款 单据已发客户 2托6 CO 同J3919 3879</t>
  </si>
  <si>
    <t>J4009</t>
  </si>
  <si>
    <t>J3959-2+J4009一起发两个 CCPIT CO 同J3920</t>
  </si>
  <si>
    <t>世倡订舱MSC，汇昌拖车报关</t>
  </si>
  <si>
    <t>J4007</t>
  </si>
  <si>
    <t>单据齐等款 单据已发客户 26托班30 港杂2122+300 CO  提单要电放 代理订舱 同J3895</t>
  </si>
  <si>
    <r>
      <rPr>
        <sz val="8"/>
        <color theme="1"/>
        <rFont val="宋体"/>
        <charset val="134"/>
      </rPr>
      <t>青岛</t>
    </r>
    <r>
      <rPr>
        <sz val="8"/>
        <color theme="1"/>
        <rFont val="Arial"/>
        <charset val="134"/>
      </rPr>
      <t>VICKY</t>
    </r>
    <r>
      <rPr>
        <sz val="8"/>
        <color theme="1"/>
        <rFont val="宋体"/>
        <charset val="134"/>
      </rPr>
      <t>乐达订舱中远，盛汇通拖车</t>
    </r>
    <r>
      <rPr>
        <sz val="8"/>
        <color rgb="FFFF0000"/>
        <rFont val="宋体"/>
        <charset val="134"/>
      </rPr>
      <t>金凯一达通</t>
    </r>
  </si>
  <si>
    <t>J4012</t>
  </si>
  <si>
    <r>
      <rPr>
        <sz val="8"/>
        <rFont val="Arial"/>
        <charset val="134"/>
      </rPr>
      <t>4000</t>
    </r>
    <r>
      <rPr>
        <sz val="8"/>
        <rFont val="宋体"/>
        <charset val="134"/>
      </rPr>
      <t>只轻钢边角</t>
    </r>
  </si>
  <si>
    <t>13号货好发走 15天交货</t>
  </si>
  <si>
    <t>J4014</t>
  </si>
  <si>
    <t xml:space="preserve">xingang-India </t>
  </si>
  <si>
    <t>J4014甩24包开八字小骨 款付了客户订舱 我方货物总体积21.2个方，买方有约9个方的货从平邑运过来一起装，港杂陆运装箱费按重 同J3980</t>
  </si>
  <si>
    <r>
      <rPr>
        <sz val="8"/>
        <color theme="1"/>
        <rFont val="宋体"/>
        <charset val="134"/>
      </rPr>
      <t>拓航订舱</t>
    </r>
    <r>
      <rPr>
        <sz val="8"/>
        <color theme="1"/>
        <rFont val="Arial"/>
        <charset val="134"/>
      </rPr>
      <t>OOCL</t>
    </r>
    <r>
      <rPr>
        <sz val="8"/>
        <color theme="1"/>
        <rFont val="宋体"/>
        <charset val="134"/>
      </rPr>
      <t xml:space="preserve">，盛汇通拖车 </t>
    </r>
    <r>
      <rPr>
        <sz val="8"/>
        <color rgb="FFFF0000"/>
        <rFont val="宋体"/>
        <charset val="134"/>
      </rPr>
      <t>金凯抬头报关</t>
    </r>
  </si>
  <si>
    <t>J4016-4</t>
  </si>
  <si>
    <r>
      <rPr>
        <sz val="8"/>
        <rFont val="Arial"/>
        <charset val="134"/>
      </rPr>
      <t>2*20GP</t>
    </r>
    <r>
      <rPr>
        <sz val="8"/>
        <rFont val="宋体"/>
        <charset val="134"/>
      </rPr>
      <t>轻钢</t>
    </r>
  </si>
  <si>
    <r>
      <rPr>
        <sz val="8"/>
        <rFont val="宋体"/>
        <charset val="134"/>
      </rPr>
      <t xml:space="preserve">DHL8078311382 简单银行每次发客户确认 单据齐等款 单据已发客户J3976+J4016-4一起发的 </t>
    </r>
    <r>
      <rPr>
        <sz val="8"/>
        <color rgb="FFFF0000"/>
        <rFont val="宋体"/>
        <charset val="134"/>
      </rPr>
      <t>木工刨子</t>
    </r>
    <r>
      <rPr>
        <sz val="8"/>
        <rFont val="宋体"/>
        <charset val="134"/>
      </rPr>
      <t>HSCODE82053000 2000个 CO 保险单 箱子底部检查好 运费预算USD1450/PI1500 超10%客户承担  严防生锈问题，挑选合格的集装箱 同J3964</t>
    </r>
  </si>
  <si>
    <r>
      <rPr>
        <sz val="8"/>
        <color theme="1"/>
        <rFont val="宋体"/>
        <charset val="134"/>
      </rPr>
      <t>迪斯泰订舱</t>
    </r>
    <r>
      <rPr>
        <sz val="8"/>
        <color theme="1"/>
        <rFont val="Arial"/>
        <charset val="134"/>
      </rPr>
      <t>EMI4250/4350</t>
    </r>
    <r>
      <rPr>
        <sz val="8"/>
        <color theme="1"/>
        <rFont val="宋体"/>
        <charset val="134"/>
      </rPr>
      <t>，迪斯泰拖车 义乌浙江佳驰报关</t>
    </r>
  </si>
  <si>
    <t>J4016-1</t>
  </si>
  <si>
    <r>
      <rPr>
        <sz val="8"/>
        <rFont val="Arial"/>
        <charset val="134"/>
      </rPr>
      <t>1*20GP</t>
    </r>
    <r>
      <rPr>
        <sz val="8"/>
        <rFont val="宋体"/>
        <charset val="134"/>
      </rPr>
      <t>轻钢</t>
    </r>
  </si>
  <si>
    <t>发票减掉定金  1000一个柜子。 也就是在发票上增加3000usd额外运费，不揉到价格里面 CO 保险单 箱子底部检查好 运费预算USD1450 超10%客户承担  严防生锈问题，挑选合格的集装箱 申请14天免用箱 同J3964</t>
  </si>
  <si>
    <t>J4016-2</t>
  </si>
  <si>
    <r>
      <rPr>
        <sz val="8"/>
        <rFont val="Arial"/>
        <charset val="134"/>
      </rPr>
      <t>3*20GP</t>
    </r>
    <r>
      <rPr>
        <sz val="8"/>
        <rFont val="宋体"/>
        <charset val="134"/>
      </rPr>
      <t>轻钢</t>
    </r>
  </si>
  <si>
    <t>DHL9240228001 18托21 客户贴1295usd/con 发票减掉定金 做两个版本的发票1海运费揉到单价里 2海运费单列一行  CO 保险单 箱子底部检查好 运费预算USD1450 超10%客户承担  严防生锈问题，挑选合格的集装箱 申请14天免用箱 同J4016-1</t>
  </si>
  <si>
    <t>迪斯泰订舱MSC2914/2945，白沟源远拖车报关</t>
  </si>
  <si>
    <t>J4016-3</t>
  </si>
  <si>
    <r>
      <rPr>
        <sz val="8"/>
        <rFont val="Arial"/>
        <charset val="134"/>
      </rPr>
      <t>4*20GP</t>
    </r>
    <r>
      <rPr>
        <sz val="8"/>
        <rFont val="宋体"/>
        <charset val="134"/>
      </rPr>
      <t>轻钢</t>
    </r>
  </si>
  <si>
    <t>DHL4339279873 27托2 客户承担一个2420 做两个版本的发票1海运费揉到单价里 2海运费单列一行  CO 保险单 箱子底部检查好 运费预算USD1450/PI1500 超10%客户承担  严防生锈问题，挑选合格的集装箱 申请14天免用箱 同J4016-2</t>
  </si>
  <si>
    <t>会昌订舱EMI4050/4120，白沟源远拖车报关</t>
  </si>
  <si>
    <t>J4023</t>
  </si>
  <si>
    <t>29托班到18号船 出黄色CO 木质证明 同J3989</t>
  </si>
  <si>
    <t>鑫顺源订舱ONE，会昌拖车报关</t>
  </si>
  <si>
    <t>J4024</t>
  </si>
  <si>
    <t>DHL2113834774 form E 每个柜子显示25吨,实际装26.3吨 VO用吨的发票  清关用实际版按支数计价发票  生锈维修共2248美金 从这票开始5个柜子赔付450*5 运费替客户承担400USD/40H  申请21天免用箱 柜子少可以申请14天免用箱  同J3988</t>
  </si>
  <si>
    <t>会昌订舱MCC1860/1900，汇昌拖车报关</t>
  </si>
  <si>
    <t>J4033</t>
  </si>
  <si>
    <t>单据齐等款 单据已发客户 黄色CO 单拖昂 放中间 提单显示不能超25吨 超过不许货车拉货 也会产生额外费用同J4001</t>
  </si>
  <si>
    <r>
      <rPr>
        <sz val="8"/>
        <color theme="1"/>
        <rFont val="宋体"/>
        <charset val="134"/>
      </rPr>
      <t>指定代理</t>
    </r>
    <r>
      <rPr>
        <sz val="8"/>
        <color theme="1"/>
        <rFont val="Arial"/>
        <charset val="134"/>
      </rPr>
      <t>ACON LOGISTICS</t>
    </r>
    <r>
      <rPr>
        <sz val="8"/>
        <color theme="1"/>
        <rFont val="宋体"/>
        <charset val="134"/>
      </rPr>
      <t>，白沟源远拖车报关</t>
    </r>
  </si>
  <si>
    <t>J4035</t>
  </si>
  <si>
    <t>修箱了 电放提单 一般不走RCL 其他单据发邮件同J3995</t>
  </si>
  <si>
    <r>
      <rPr>
        <sz val="8"/>
        <color theme="1"/>
        <rFont val="宋体"/>
        <charset val="134"/>
      </rPr>
      <t>誉洲订舱</t>
    </r>
    <r>
      <rPr>
        <sz val="8"/>
        <color theme="1"/>
        <rFont val="Arial"/>
        <charset val="134"/>
      </rPr>
      <t>OC2525</t>
    </r>
    <r>
      <rPr>
        <sz val="8"/>
        <color theme="1"/>
        <rFont val="宋体"/>
        <charset val="134"/>
      </rPr>
      <t>，誉洲拖车</t>
    </r>
    <r>
      <rPr>
        <sz val="8"/>
        <color rgb="FFFF0000"/>
        <rFont val="宋体"/>
        <charset val="134"/>
      </rPr>
      <t>金凯抬头报关</t>
    </r>
  </si>
  <si>
    <r>
      <rPr>
        <b/>
        <sz val="8"/>
        <color rgb="FF0000FF"/>
        <rFont val="宋体"/>
        <charset val="134"/>
      </rPr>
      <t>多付</t>
    </r>
    <r>
      <rPr>
        <b/>
        <sz val="8"/>
        <color rgb="FF0000FF"/>
        <rFont val="Arial"/>
        <charset val="134"/>
      </rPr>
      <t>$4215.51</t>
    </r>
  </si>
  <si>
    <t>J4034</t>
  </si>
  <si>
    <t>DHL3145819412 本地费用2300 做金凯抬头FB不出CO了 低报发票按客户给的做 同J3914</t>
  </si>
  <si>
    <r>
      <rPr>
        <sz val="8"/>
        <color theme="1"/>
        <rFont val="宋体"/>
        <charset val="134"/>
      </rPr>
      <t>上海捷达订舱长荣，盛汇通拖车，</t>
    </r>
    <r>
      <rPr>
        <sz val="8"/>
        <color rgb="FFFF0000"/>
        <rFont val="宋体"/>
        <charset val="134"/>
      </rPr>
      <t>金凯抬头报关</t>
    </r>
  </si>
  <si>
    <t>J4020</t>
  </si>
  <si>
    <t>坦桑尼亚Ladwa</t>
  </si>
  <si>
    <r>
      <rPr>
        <sz val="8"/>
        <rFont val="Arial"/>
        <charset val="134"/>
      </rPr>
      <t xml:space="preserve">1x20’  </t>
    </r>
    <r>
      <rPr>
        <sz val="8"/>
        <rFont val="宋体"/>
        <charset val="134"/>
      </rPr>
      <t>活动房</t>
    </r>
  </si>
  <si>
    <t xml:space="preserve">xingang-Dar Es Salaam,  Tanzania </t>
  </si>
  <si>
    <t>TNT977144408 发走3套还剩1套 HScode 9406900090   CO</t>
  </si>
  <si>
    <t>汇昌订舱EMI3000/3060，汇昌拖车报关</t>
  </si>
  <si>
    <t>J4040</t>
  </si>
  <si>
    <t>阿曼AL LIWAN/ZAYAN</t>
  </si>
  <si>
    <t xml:space="preserve">xingang-Salalah,  Oman </t>
  </si>
  <si>
    <t>单据齐等款 单据已发客户 箱单发票签字盖章扫描 电放 4托8 低报CCPIT CO，低报做CIF不显示运费 低报改厚度？客户要求显示HScode 同J3894</t>
  </si>
  <si>
    <r>
      <rPr>
        <sz val="8"/>
        <color theme="1"/>
        <rFont val="宋体"/>
        <charset val="134"/>
      </rPr>
      <t>誉洲订舱</t>
    </r>
    <r>
      <rPr>
        <sz val="8"/>
        <color theme="1"/>
        <rFont val="Arial"/>
        <charset val="134"/>
      </rPr>
      <t>MSC4674/4680</t>
    </r>
    <r>
      <rPr>
        <sz val="8"/>
        <color theme="1"/>
        <rFont val="宋体"/>
        <charset val="134"/>
      </rPr>
      <t xml:space="preserve">，誉洲拖车 </t>
    </r>
    <r>
      <rPr>
        <sz val="8"/>
        <color rgb="FFFF0000"/>
        <rFont val="宋体"/>
        <charset val="134"/>
      </rPr>
      <t>金凯抬头报关</t>
    </r>
  </si>
  <si>
    <t>J4045</t>
  </si>
  <si>
    <t xml:space="preserve">天津康宁 魏奇 </t>
  </si>
  <si>
    <t>散货</t>
  </si>
  <si>
    <t>客户派车来运 箱单发票</t>
  </si>
  <si>
    <t>J4046</t>
  </si>
  <si>
    <t>1x20'  轻钢</t>
  </si>
  <si>
    <r>
      <rPr>
        <sz val="8"/>
        <rFont val="宋体"/>
        <charset val="134"/>
      </rPr>
      <t>单据齐等款 单据已发客户 黄色CO</t>
    </r>
    <r>
      <rPr>
        <sz val="8"/>
        <color rgb="FF0000FF"/>
        <rFont val="宋体"/>
        <charset val="134"/>
      </rPr>
      <t xml:space="preserve"> </t>
    </r>
    <r>
      <rPr>
        <sz val="8"/>
        <color theme="1"/>
        <rFont val="宋体"/>
        <charset val="134"/>
      </rPr>
      <t>1TSN018742</t>
    </r>
    <r>
      <rPr>
        <sz val="8"/>
        <rFont val="宋体"/>
        <charset val="134"/>
      </rPr>
      <t xml:space="preserve"> 26托3号 单拖昂 放中间 提单显示不能超25吨 超过不许货车拉货 也会产生额外费用同J4001</t>
    </r>
  </si>
  <si>
    <t>J4048</t>
  </si>
  <si>
    <t>5000只边角</t>
  </si>
  <si>
    <t>J4049</t>
  </si>
  <si>
    <t>1x20' 金色耐指纹烤漆</t>
  </si>
  <si>
    <t>xingang-HAIPHONG</t>
  </si>
  <si>
    <t>DHL8230438952 换船19托班到26  下单显示HSCODE form E(PE前的件数 单词不能断行) 出保险 目的港14天免费期  同J3902</t>
  </si>
  <si>
    <r>
      <rPr>
        <sz val="8"/>
        <color theme="1"/>
        <rFont val="宋体"/>
        <charset val="134"/>
      </rPr>
      <t>会昌订舱CMA700/</t>
    </r>
    <r>
      <rPr>
        <sz val="8"/>
        <color theme="1"/>
        <rFont val="Arial"/>
        <charset val="134"/>
      </rPr>
      <t>710</t>
    </r>
    <r>
      <rPr>
        <sz val="8"/>
        <color theme="1"/>
        <rFont val="宋体"/>
        <charset val="134"/>
      </rPr>
      <t xml:space="preserve">，会昌拖车 </t>
    </r>
    <r>
      <rPr>
        <sz val="8"/>
        <color rgb="FFFF0000"/>
        <rFont val="宋体"/>
        <charset val="134"/>
      </rPr>
      <t>金凯抬头报关</t>
    </r>
  </si>
  <si>
    <t>J4050</t>
  </si>
  <si>
    <t>1x40H 轻钢及配件</t>
  </si>
  <si>
    <t>单据齐等款 单据已发客户 验货时间通知经理 出黄色CO 木质证明 不超26吨 同J4023</t>
  </si>
  <si>
    <t>鑫顺源订舱中远，汇昌拖车报关</t>
  </si>
  <si>
    <t>J4051</t>
  </si>
  <si>
    <t>单据齐等款 单据已发客户 黄色CO 1TSN019861 单拖昂 放中间 提单显示不能超25吨 超过不许货车拉货 也会产生额外费用同J4033</t>
  </si>
  <si>
    <t>J4054</t>
  </si>
  <si>
    <t>xingang-India</t>
  </si>
  <si>
    <t>有外送的水泥板四件 潘奥抬头报关，放在门口的一节。可能会有300-400的外请叉车费用。 同J4014</t>
  </si>
  <si>
    <t>拓航订舱HPL 拓航拖车报关</t>
  </si>
  <si>
    <t>J4057</t>
  </si>
  <si>
    <t>27托2 电放提单 一般不走RCL 其他单据发邮件同J4035</t>
  </si>
  <si>
    <r>
      <rPr>
        <sz val="8"/>
        <color theme="1"/>
        <rFont val="宋体"/>
        <charset val="134"/>
      </rPr>
      <t xml:space="preserve">誉洲订舱OC2546/2550，誉洲拖车 </t>
    </r>
    <r>
      <rPr>
        <sz val="8"/>
        <color rgb="FFFF0000"/>
        <rFont val="宋体"/>
        <charset val="134"/>
      </rPr>
      <t>金凯一达通报关</t>
    </r>
  </si>
  <si>
    <t>J4059-1</t>
  </si>
  <si>
    <t>DHL6461984421 3托7 form E 生锈维修这票减掉450*2 运费替客户承担400USD/40H  申请21天免用箱 柜子少可以申请14天免用箱  同J4024</t>
  </si>
  <si>
    <r>
      <rPr>
        <sz val="8"/>
        <color theme="1"/>
        <rFont val="宋体"/>
        <charset val="134"/>
      </rPr>
      <t>迪斯泰订舱</t>
    </r>
    <r>
      <rPr>
        <sz val="8"/>
        <color theme="1"/>
        <rFont val="Arial"/>
        <charset val="134"/>
      </rPr>
      <t>MCC1653,</t>
    </r>
    <r>
      <rPr>
        <sz val="8"/>
        <color theme="1"/>
        <rFont val="宋体"/>
        <charset val="134"/>
      </rPr>
      <t>白沟源远拖车报关</t>
    </r>
  </si>
  <si>
    <t>J4059-2</t>
  </si>
  <si>
    <t>DHL3508835256 form E 每个柜子显示25吨,实际装26.3吨 VO用吨的发票  清关用实际版按支数计价发票 运费替客户承担400USD/40H  申请21天免用箱 柜子少可以申请14天免用箱  同J4024</t>
  </si>
  <si>
    <t>迪斯泰订舱MCC1753/1760，白沟源远拖车报关</t>
  </si>
  <si>
    <t>J4061</t>
  </si>
  <si>
    <t>xingang-Hamad</t>
  </si>
  <si>
    <t>改电放 23托11 改收货人 改发哈马德 箱单发票签字盖章扫描先发邮件 哈马德正本单据 低报CCPIT CO，低报做CIF不显示运费 低报改厚度？客户要求显示HScode 要在靠近柜门的所有箱子上贴小标贴和A4纸 同J4040</t>
  </si>
  <si>
    <r>
      <rPr>
        <sz val="8"/>
        <color theme="1"/>
        <rFont val="宋体"/>
        <charset val="134"/>
      </rPr>
      <t xml:space="preserve">迪斯泰订舱MSC3663，迪斯泰拖车 </t>
    </r>
    <r>
      <rPr>
        <sz val="8"/>
        <color rgb="FFFF0000"/>
        <rFont val="宋体"/>
        <charset val="134"/>
      </rPr>
      <t>金凯抬头报关</t>
    </r>
  </si>
  <si>
    <t>J4062</t>
  </si>
  <si>
    <t>xingang-Hamad , Qatar</t>
  </si>
  <si>
    <r>
      <rPr>
        <sz val="8"/>
        <color rgb="FF000000"/>
        <rFont val="宋体"/>
        <charset val="134"/>
      </rPr>
      <t>DHL7503997874 2托6 箱单发票签字盖章扫描先发邮件 低报发票CCPIT</t>
    </r>
    <r>
      <rPr>
        <sz val="8"/>
        <rFont val="宋体"/>
        <charset val="134"/>
      </rPr>
      <t xml:space="preserve"> CO  正本寄单地址和客户确认 要在靠近柜门的所有箱子上贴小标贴和A4纸 同J3903</t>
    </r>
  </si>
  <si>
    <r>
      <rPr>
        <sz val="8"/>
        <color theme="1"/>
        <rFont val="宋体"/>
        <charset val="134"/>
      </rPr>
      <t>迪斯泰订舱</t>
    </r>
    <r>
      <rPr>
        <sz val="8"/>
        <color theme="1"/>
        <rFont val="Arial"/>
        <charset val="134"/>
      </rPr>
      <t>MSC3814/3820</t>
    </r>
    <r>
      <rPr>
        <sz val="8"/>
        <color theme="1"/>
        <rFont val="宋体"/>
        <charset val="134"/>
      </rPr>
      <t xml:space="preserve">，迪斯泰拖车 </t>
    </r>
    <r>
      <rPr>
        <sz val="8"/>
        <color rgb="FFFF0000"/>
        <rFont val="宋体"/>
        <charset val="134"/>
      </rPr>
      <t>金凯抬头报关</t>
    </r>
  </si>
  <si>
    <t>J4063-1</t>
  </si>
  <si>
    <r>
      <rPr>
        <sz val="8"/>
        <rFont val="Arial"/>
        <charset val="134"/>
      </rPr>
      <t xml:space="preserve">3x20'  </t>
    </r>
    <r>
      <rPr>
        <sz val="8"/>
        <rFont val="宋体"/>
        <charset val="134"/>
      </rPr>
      <t>轻钢</t>
    </r>
  </si>
  <si>
    <t>DHL4980319223 16托21号 海运费3300 出CO 申请14天免用箱 发货时间与客户确认 同J3978-1</t>
  </si>
  <si>
    <t>迪斯泰订舱MSC3588，白沟源远拖车报关</t>
  </si>
  <si>
    <t>J4063-2</t>
  </si>
  <si>
    <t>DHL5050423792 按3900发客户承担270一个柜子，海运费核算3300 出CO 申请14天免用箱 发货时间与客户确认 同J3978-1</t>
  </si>
  <si>
    <r>
      <rPr>
        <sz val="8"/>
        <color theme="1"/>
        <rFont val="宋体"/>
        <charset val="134"/>
      </rPr>
      <t>迪斯泰订舱</t>
    </r>
    <r>
      <rPr>
        <sz val="8"/>
        <color theme="1"/>
        <rFont val="Arial"/>
        <charset val="134"/>
      </rPr>
      <t>EMI3850</t>
    </r>
    <r>
      <rPr>
        <sz val="8"/>
        <color theme="1"/>
        <rFont val="宋体"/>
        <charset val="134"/>
      </rPr>
      <t>，白沟源远拖车报关</t>
    </r>
  </si>
  <si>
    <t>J4065</t>
  </si>
  <si>
    <r>
      <rPr>
        <sz val="8"/>
        <rFont val="Arial"/>
        <charset val="134"/>
      </rPr>
      <t xml:space="preserve">1x40H </t>
    </r>
    <r>
      <rPr>
        <sz val="8"/>
        <rFont val="宋体"/>
        <charset val="134"/>
      </rPr>
      <t>轻钢及配件</t>
    </r>
  </si>
  <si>
    <t>单据已发客户 验货时间通知经理（客户号2021-032）出黄色CO 木质证明 同J4050</t>
  </si>
  <si>
    <t>J4060</t>
  </si>
  <si>
    <t>单据齐等款 单据已发客户 2号船换到12号船 不放单保函 倒箱费各承担一百 2300+电放费450 CO shipper用金凯还是HK？用HK代理要承诺无款不放单 电放 同J3937</t>
  </si>
  <si>
    <r>
      <rPr>
        <sz val="8"/>
        <color theme="1"/>
        <rFont val="宋体"/>
        <charset val="134"/>
      </rPr>
      <t xml:space="preserve">宁波达诺国际物流订舱CMA，会昌拖车 </t>
    </r>
    <r>
      <rPr>
        <sz val="8"/>
        <color rgb="FFFF0000"/>
        <rFont val="宋体"/>
        <charset val="134"/>
      </rPr>
      <t>金凯一达通报关</t>
    </r>
  </si>
  <si>
    <t>J4068</t>
  </si>
  <si>
    <t>DHL2740652364 8号船换到16号船 中骨纸箱已印好到厂，账上要多留USD500定金 做金凯抬头FB 低报发票按客户给的做 同J4034</t>
  </si>
  <si>
    <t>J4069-1</t>
  </si>
  <si>
    <t>DHL5831688354 form E 每个柜子显示25吨,实际装25.75吨 运费替客户承担400USD/40H  申请21天免用箱 柜子少可以申请14天免用箱  同J4024 3875</t>
  </si>
  <si>
    <t>迪斯泰订舱MCC1800,白沟源远拖车报关</t>
  </si>
  <si>
    <t>J4069-2</t>
  </si>
  <si>
    <t>DHL3868464515 form E 每个柜子显示25吨,实际装25.75吨 VO用吨的发票  清关用实际版按支数计价发票  运费替客户承担400USD/40H  申请21天免用箱 柜子少可以申请14天免用箱  同J4024 3875</t>
  </si>
  <si>
    <r>
      <rPr>
        <sz val="8"/>
        <color theme="1"/>
        <rFont val="宋体"/>
        <charset val="134"/>
      </rPr>
      <t>汇昌订舱</t>
    </r>
    <r>
      <rPr>
        <sz val="8"/>
        <color theme="1"/>
        <rFont val="Arial"/>
        <charset val="134"/>
      </rPr>
      <t>MCC1750/1755</t>
    </r>
    <r>
      <rPr>
        <sz val="8"/>
        <color theme="1"/>
        <rFont val="宋体"/>
        <charset val="134"/>
      </rPr>
      <t>，白沟源远拖车报关</t>
    </r>
  </si>
  <si>
    <t>J4070</t>
  </si>
  <si>
    <t>电放提单 一般不走RCL 其他单据发邮件同J4057</t>
  </si>
  <si>
    <r>
      <rPr>
        <sz val="8"/>
        <color theme="1"/>
        <rFont val="宋体"/>
        <charset val="134"/>
      </rPr>
      <t>誉洲订舱</t>
    </r>
    <r>
      <rPr>
        <sz val="8"/>
        <color theme="1"/>
        <rFont val="Arial"/>
        <charset val="134"/>
      </rPr>
      <t>OOCL2871/2875</t>
    </r>
    <r>
      <rPr>
        <sz val="8"/>
        <color theme="1"/>
        <rFont val="宋体"/>
        <charset val="134"/>
      </rPr>
      <t>，誉洲拖车</t>
    </r>
    <r>
      <rPr>
        <sz val="8"/>
        <color theme="1"/>
        <rFont val="Arial"/>
        <charset val="134"/>
      </rPr>
      <t xml:space="preserve"> </t>
    </r>
    <r>
      <rPr>
        <sz val="8"/>
        <color rgb="FFFF0000"/>
        <rFont val="宋体"/>
        <charset val="134"/>
      </rPr>
      <t>金凯抬头报关</t>
    </r>
  </si>
  <si>
    <t>J4073</t>
  </si>
  <si>
    <t>宁波Monica</t>
  </si>
  <si>
    <r>
      <rPr>
        <sz val="8"/>
        <rFont val="Arial"/>
        <charset val="134"/>
      </rPr>
      <t xml:space="preserve">1x20 </t>
    </r>
    <r>
      <rPr>
        <sz val="8"/>
        <rFont val="宋体"/>
        <charset val="134"/>
      </rPr>
      <t>轻钢</t>
    </r>
    <r>
      <rPr>
        <sz val="8"/>
        <rFont val="Arial"/>
        <charset val="134"/>
      </rPr>
      <t>+</t>
    </r>
    <r>
      <rPr>
        <sz val="8"/>
        <rFont val="宋体"/>
        <charset val="134"/>
      </rPr>
      <t>外送</t>
    </r>
  </si>
  <si>
    <t>外拼PVC和拖把 收装卸费400 客户订舱 拖车 同J3772</t>
  </si>
  <si>
    <t>客户订舱安排拖车报关</t>
  </si>
  <si>
    <t>J4078</t>
  </si>
  <si>
    <t>电放提单 一般不走RCL 其他单据发邮件同J4070</t>
  </si>
  <si>
    <r>
      <rPr>
        <sz val="8"/>
        <color theme="1"/>
        <rFont val="宋体"/>
        <charset val="134"/>
      </rPr>
      <t>誉洲订舱HMM3400，誉洲拖车，</t>
    </r>
    <r>
      <rPr>
        <sz val="8"/>
        <color rgb="FFFF0000"/>
        <rFont val="宋体"/>
        <charset val="134"/>
      </rPr>
      <t>金凯一达通报关</t>
    </r>
  </si>
  <si>
    <r>
      <rPr>
        <b/>
        <sz val="8"/>
        <color rgb="FF0000FF"/>
        <rFont val="Arial"/>
        <charset val="134"/>
      </rPr>
      <t>2021.10.7</t>
    </r>
    <r>
      <rPr>
        <b/>
        <sz val="8"/>
        <color rgb="FF0000FF"/>
        <rFont val="宋体"/>
        <charset val="134"/>
      </rPr>
      <t>收</t>
    </r>
    <r>
      <rPr>
        <b/>
        <sz val="8"/>
        <color rgb="FF0000FF"/>
        <rFont val="Arial"/>
        <charset val="134"/>
      </rPr>
      <t xml:space="preserve">17960 </t>
    </r>
    <r>
      <rPr>
        <b/>
        <sz val="8"/>
        <color rgb="FF0000FF"/>
        <rFont val="宋体"/>
        <charset val="134"/>
      </rPr>
      <t>水单</t>
    </r>
    <r>
      <rPr>
        <b/>
        <sz val="8"/>
        <color rgb="FF0000FF"/>
        <rFont val="Arial"/>
        <charset val="134"/>
      </rPr>
      <t>18010 13327.95</t>
    </r>
    <r>
      <rPr>
        <b/>
        <sz val="8"/>
        <color rgb="FF0000FF"/>
        <rFont val="宋体"/>
        <charset val="134"/>
      </rPr>
      <t>用于</t>
    </r>
    <r>
      <rPr>
        <b/>
        <sz val="8"/>
        <color rgb="FF0000FF"/>
        <rFont val="Arial"/>
        <charset val="134"/>
      </rPr>
      <t>J4078</t>
    </r>
    <r>
      <rPr>
        <b/>
        <sz val="8"/>
        <color rgb="FF0000FF"/>
        <rFont val="宋体"/>
        <charset val="134"/>
      </rPr>
      <t>尾款</t>
    </r>
    <r>
      <rPr>
        <b/>
        <sz val="8"/>
        <color rgb="FF0000FF"/>
        <rFont val="Arial"/>
        <charset val="134"/>
      </rPr>
      <t xml:space="preserve">  </t>
    </r>
    <r>
      <rPr>
        <b/>
        <sz val="8"/>
        <color rgb="FF0000FF"/>
        <rFont val="宋体"/>
        <charset val="134"/>
      </rPr>
      <t>多付</t>
    </r>
    <r>
      <rPr>
        <b/>
        <sz val="8"/>
        <color rgb="FF0000FF"/>
        <rFont val="Arial"/>
        <charset val="134"/>
      </rPr>
      <t>4682.05</t>
    </r>
  </si>
  <si>
    <t>J4079</t>
  </si>
  <si>
    <t>单据齐等款 单据已发客户 9托16 验货时间通知经理（客户号2021-035）出黄色CO 木质证明 同J4065</t>
  </si>
  <si>
    <t>鑫顺源订舱中远，小杜拖车报关</t>
  </si>
  <si>
    <t>J4082</t>
  </si>
  <si>
    <r>
      <rPr>
        <sz val="8"/>
        <rFont val="Arial"/>
        <charset val="134"/>
      </rPr>
      <t>5000</t>
    </r>
    <r>
      <rPr>
        <sz val="8"/>
        <rFont val="宋体"/>
        <charset val="134"/>
      </rPr>
      <t>只边角</t>
    </r>
  </si>
  <si>
    <t>15号货好发走 需要23号到山东 照片 唛头 J4048</t>
  </si>
  <si>
    <t>J4084-1</t>
  </si>
  <si>
    <t>DHL1300220165 有锁 锁单走 form E 申请21天免用箱 柜子少可以申请14天免用箱  同J4024</t>
  </si>
  <si>
    <t>迪斯泰订舱MCC1700/1730，白沟源远拖车报关</t>
  </si>
  <si>
    <t>J4084-2</t>
  </si>
  <si>
    <t>DHL5821077345 18号船统一换到25号船 form E 申请21天免用箱 柜子少可以申请14天免用箱  同J4024</t>
  </si>
  <si>
    <t>迪斯泰订舱MCC1953/1980，白沟源远拖车报关</t>
  </si>
  <si>
    <t>J4085</t>
  </si>
  <si>
    <r>
      <rPr>
        <sz val="8"/>
        <rFont val="Arial"/>
        <charset val="134"/>
      </rPr>
      <t xml:space="preserve">1x40HQ </t>
    </r>
    <r>
      <rPr>
        <sz val="8"/>
        <rFont val="宋体"/>
        <charset val="134"/>
      </rPr>
      <t>轻钢</t>
    </r>
  </si>
  <si>
    <t>CRF</t>
  </si>
  <si>
    <t>DHL4653286385 USD750/40GP 定40HQ Form E gigi0425@msn.com  低报吗 电放提单也打印出来寄给客户 电放提单 单据全部打印寄给客户 电放提单也打印 要申请21天免费箱使，和10天的免堆存，不用长荣 MCC？  SITC可以选。客户还要求waive the container deposit同J3972</t>
  </si>
  <si>
    <t>迪斯泰订舱海丰720，白沟源远拖车报关</t>
  </si>
  <si>
    <t>J4083</t>
  </si>
  <si>
    <t>TNT977144898 海运费核算9500 按照实际与客户商量  CO 4份箱单 4份发票 提单 贸促会认证  品质证明 合格证书
样品不显示 不算件重尺 同J3873 3985</t>
  </si>
  <si>
    <r>
      <rPr>
        <sz val="8"/>
        <color theme="1"/>
        <rFont val="宋体"/>
        <charset val="134"/>
      </rPr>
      <t>永鑫海订舱</t>
    </r>
    <r>
      <rPr>
        <sz val="8"/>
        <color theme="1"/>
        <rFont val="Arial"/>
        <charset val="134"/>
      </rPr>
      <t>CMA9250/9300,</t>
    </r>
    <r>
      <rPr>
        <sz val="8"/>
        <color theme="1"/>
        <rFont val="宋体"/>
        <charset val="134"/>
      </rPr>
      <t xml:space="preserve">会昌拖车 </t>
    </r>
    <r>
      <rPr>
        <sz val="8"/>
        <color rgb="FFFF0000"/>
        <rFont val="宋体"/>
        <charset val="134"/>
      </rPr>
      <t>金凯抬头报关</t>
    </r>
  </si>
  <si>
    <t>J4086</t>
  </si>
  <si>
    <t>迪拜Ali/Saif</t>
  </si>
  <si>
    <r>
      <rPr>
        <sz val="8"/>
        <rFont val="宋体"/>
        <charset val="134"/>
      </rPr>
      <t>不锈钢吊杆</t>
    </r>
    <r>
      <rPr>
        <sz val="8"/>
        <rFont val="Arial"/>
        <charset val="134"/>
      </rPr>
      <t>+</t>
    </r>
    <r>
      <rPr>
        <sz val="8"/>
        <rFont val="宋体"/>
        <charset val="134"/>
      </rPr>
      <t>弹簧片</t>
    </r>
    <r>
      <rPr>
        <sz val="8"/>
        <rFont val="Arial"/>
        <charset val="134"/>
      </rPr>
      <t xml:space="preserve"> </t>
    </r>
  </si>
  <si>
    <t>yiwu</t>
  </si>
  <si>
    <t>拍照片视频 发箱单发票 货代签收单  联系义乌的货代发货，义乌货代联系方式： 李林兵：13732436325</t>
  </si>
  <si>
    <t>J4091</t>
  </si>
  <si>
    <t>晋州欧亚/李灵环</t>
  </si>
  <si>
    <t>2000平米烤漆</t>
  </si>
  <si>
    <r>
      <rPr>
        <sz val="8"/>
        <color theme="1"/>
        <rFont val="宋体"/>
        <charset val="134"/>
      </rPr>
      <t>运费</t>
    </r>
    <r>
      <rPr>
        <sz val="8"/>
        <color theme="1"/>
        <rFont val="Arial"/>
        <charset val="134"/>
      </rPr>
      <t>600+300</t>
    </r>
  </si>
  <si>
    <t>J4093-1</t>
  </si>
  <si>
    <t>1*20GP烤漆</t>
  </si>
  <si>
    <t>xingang-mundra</t>
  </si>
  <si>
    <t>电放提单 一般不走RCL 其他单据发邮件同J4078</t>
  </si>
  <si>
    <r>
      <rPr>
        <sz val="8"/>
        <color theme="1"/>
        <rFont val="宋体"/>
        <charset val="134"/>
      </rPr>
      <t>惠禾订舱</t>
    </r>
    <r>
      <rPr>
        <sz val="8"/>
        <color theme="1"/>
        <rFont val="Arial"/>
        <charset val="134"/>
      </rPr>
      <t>TSL5300/5350</t>
    </r>
    <r>
      <rPr>
        <sz val="8"/>
        <color theme="1"/>
        <rFont val="宋体"/>
        <charset val="134"/>
      </rPr>
      <t>，惠禾拖车，</t>
    </r>
    <r>
      <rPr>
        <sz val="8"/>
        <color rgb="FFFF0000"/>
        <rFont val="宋体"/>
        <charset val="134"/>
      </rPr>
      <t>金凯一达通报关</t>
    </r>
  </si>
  <si>
    <t>J4093-2</t>
  </si>
  <si>
    <t>单据齐等款 单据已发客户 电放提单 一般不走RCL 其他单据发邮件同J4078</t>
  </si>
  <si>
    <r>
      <rPr>
        <sz val="8"/>
        <color theme="1"/>
        <rFont val="宋体"/>
        <charset val="134"/>
      </rPr>
      <t>惠禾订舱TSL5200/5250，惠禾拖车，</t>
    </r>
    <r>
      <rPr>
        <sz val="8"/>
        <color rgb="FFFF0000"/>
        <rFont val="宋体"/>
        <charset val="134"/>
      </rPr>
      <t>金凯一达通报关</t>
    </r>
  </si>
  <si>
    <r>
      <rPr>
        <b/>
        <sz val="8"/>
        <color rgb="FF0000FF"/>
        <rFont val="Arial"/>
        <charset val="134"/>
      </rPr>
      <t>2021.10.21</t>
    </r>
    <r>
      <rPr>
        <b/>
        <sz val="8"/>
        <color rgb="FF0000FF"/>
        <rFont val="宋体"/>
        <charset val="134"/>
      </rPr>
      <t>收</t>
    </r>
    <r>
      <rPr>
        <b/>
        <sz val="8"/>
        <color rgb="FF0000FF"/>
        <rFont val="Arial"/>
        <charset val="134"/>
      </rPr>
      <t xml:space="preserve">19978.78 </t>
    </r>
    <r>
      <rPr>
        <b/>
        <sz val="8"/>
        <color rgb="FF0000FF"/>
        <rFont val="宋体"/>
        <charset val="134"/>
      </rPr>
      <t>水单</t>
    </r>
    <r>
      <rPr>
        <b/>
        <sz val="8"/>
        <color rgb="FF0000FF"/>
        <rFont val="Arial"/>
        <charset val="134"/>
      </rPr>
      <t>2</t>
    </r>
    <r>
      <rPr>
        <b/>
        <sz val="8"/>
        <color rgb="FF0000FF"/>
        <rFont val="宋体"/>
        <charset val="134"/>
      </rPr>
      <t>万美金</t>
    </r>
    <r>
      <rPr>
        <b/>
        <sz val="8"/>
        <color rgb="FF0000FF"/>
        <rFont val="Arial"/>
        <charset val="134"/>
      </rPr>
      <t xml:space="preserve">  
J4093-1</t>
    </r>
    <r>
      <rPr>
        <b/>
        <sz val="8"/>
        <color rgb="FF0000FF"/>
        <rFont val="宋体"/>
        <charset val="134"/>
      </rPr>
      <t>用</t>
    </r>
    <r>
      <rPr>
        <b/>
        <sz val="8"/>
        <color rgb="FF0000FF"/>
        <rFont val="Arial"/>
        <charset val="134"/>
      </rPr>
      <t>5313.89    
J4093-2</t>
    </r>
    <r>
      <rPr>
        <b/>
        <sz val="8"/>
        <color rgb="FF0000FF"/>
        <rFont val="宋体"/>
        <charset val="134"/>
      </rPr>
      <t>用</t>
    </r>
    <r>
      <rPr>
        <b/>
        <sz val="8"/>
        <color rgb="FF0000FF"/>
        <rFont val="Arial"/>
        <charset val="134"/>
      </rPr>
      <t xml:space="preserve">14658.15   
</t>
    </r>
    <r>
      <rPr>
        <b/>
        <sz val="8"/>
        <color rgb="FF0000FF"/>
        <rFont val="宋体"/>
        <charset val="134"/>
      </rPr>
      <t>还剩</t>
    </r>
    <r>
      <rPr>
        <b/>
        <sz val="8"/>
        <color rgb="FF0000FF"/>
        <rFont val="Arial"/>
        <charset val="134"/>
      </rPr>
      <t xml:space="preserve">27.96
</t>
    </r>
  </si>
  <si>
    <t>J4095</t>
  </si>
  <si>
    <t>1x40H 轻钢</t>
  </si>
  <si>
    <t>xingang-Bahrain</t>
  </si>
  <si>
    <t>DHL6311183266 单据已发客户 迪斯泰给承担了倒箱费200 小样30套放集装箱里 装一个小车品牌诺力 低报比例问客户 出CO 60% of final invoice做低报发票  同M3962</t>
  </si>
  <si>
    <t>迪斯泰订舱MSC7698，白沟源远拖车报关</t>
  </si>
  <si>
    <t>J4098</t>
  </si>
  <si>
    <t>单据齐等款 单据已发客户 样品各20套 CO 同J4002</t>
  </si>
  <si>
    <r>
      <rPr>
        <sz val="8"/>
        <color theme="1"/>
        <rFont val="宋体"/>
        <charset val="134"/>
      </rPr>
      <t>惠禾订舱</t>
    </r>
    <r>
      <rPr>
        <sz val="8"/>
        <color theme="1"/>
        <rFont val="Arial"/>
        <charset val="134"/>
      </rPr>
      <t>HMM6100</t>
    </r>
    <r>
      <rPr>
        <sz val="8"/>
        <color theme="1"/>
        <rFont val="宋体"/>
        <charset val="134"/>
      </rPr>
      <t>，惠禾拖车，</t>
    </r>
    <r>
      <rPr>
        <sz val="8"/>
        <color rgb="FFFF0000"/>
        <rFont val="宋体"/>
        <charset val="134"/>
      </rPr>
      <t>金凯抬头报关</t>
    </r>
  </si>
  <si>
    <t>J4100</t>
  </si>
  <si>
    <t>单据齐等款 单据已发客户 能改JOY改JOY 验货时间通知经理（客户号2021-038）出黄色CO 木质证明 同J4079</t>
  </si>
  <si>
    <t>鑫顺源订舱ZIM，会昌拖车报关</t>
  </si>
  <si>
    <t>J4101</t>
  </si>
  <si>
    <r>
      <rPr>
        <sz val="8"/>
        <rFont val="Arial"/>
        <charset val="134"/>
      </rPr>
      <t>xingang-Mundra</t>
    </r>
    <r>
      <rPr>
        <sz val="8"/>
        <rFont val="宋体"/>
        <charset val="134"/>
      </rPr>
      <t>，</t>
    </r>
    <r>
      <rPr>
        <sz val="8"/>
        <rFont val="Arial"/>
        <charset val="134"/>
      </rPr>
      <t>NDIA</t>
    </r>
  </si>
  <si>
    <t>DHL5152069926 144/145. rupal ind. near manahar daing mill , komal international circle  , baroli road ,surat pin--394210港杂2200做金凯抬头FB 低报发票按客户给的做 同J4068</t>
  </si>
  <si>
    <r>
      <rPr>
        <sz val="8"/>
        <color theme="1"/>
        <rFont val="宋体"/>
        <charset val="134"/>
      </rPr>
      <t>浙江亚拓订舱MSC，会昌拖车，</t>
    </r>
    <r>
      <rPr>
        <sz val="8"/>
        <color rgb="FFFF0000"/>
        <rFont val="宋体"/>
        <charset val="134"/>
      </rPr>
      <t>金凯一达通报关</t>
    </r>
  </si>
  <si>
    <t>J4110</t>
  </si>
  <si>
    <r>
      <rPr>
        <sz val="8"/>
        <rFont val="Arial"/>
        <charset val="134"/>
      </rPr>
      <t>5000</t>
    </r>
    <r>
      <rPr>
        <sz val="8"/>
        <rFont val="宋体"/>
        <charset val="134"/>
      </rPr>
      <t>只轻钢边角</t>
    </r>
  </si>
  <si>
    <t>发平邑 照片 唛头 J4082</t>
  </si>
  <si>
    <t>J4109</t>
  </si>
  <si>
    <t>单据齐等款 单据已发客户 用Joy 验货时间通知经理（客户号2021-041）出黄色CO 木质证明 同J4100</t>
  </si>
  <si>
    <r>
      <rPr>
        <sz val="8"/>
        <color theme="1"/>
        <rFont val="宋体"/>
        <charset val="134"/>
      </rPr>
      <t>鑫顺源订舱</t>
    </r>
    <r>
      <rPr>
        <sz val="8"/>
        <color theme="1"/>
        <rFont val="Arial"/>
        <charset val="134"/>
      </rPr>
      <t>ONE</t>
    </r>
    <r>
      <rPr>
        <sz val="8"/>
        <color theme="1"/>
        <rFont val="宋体"/>
        <charset val="134"/>
      </rPr>
      <t>，会昌拖车报关</t>
    </r>
  </si>
  <si>
    <t>J4112-1</t>
  </si>
  <si>
    <t>DHL7732602054 16托23号 form E 出FORM E用的FOB值和实际付款差不多 跟客户核对  检验FOB值用840/吨  申请21天免用箱 柜子少可以申请14天免用箱  同J4084</t>
  </si>
  <si>
    <r>
      <rPr>
        <sz val="8"/>
        <color theme="1"/>
        <rFont val="宋体"/>
        <charset val="134"/>
      </rPr>
      <t>迪斯泰订舱</t>
    </r>
    <r>
      <rPr>
        <sz val="8"/>
        <color theme="1"/>
        <rFont val="Arial"/>
        <charset val="134"/>
      </rPr>
      <t>MCC2153/2200</t>
    </r>
    <r>
      <rPr>
        <sz val="8"/>
        <color theme="1"/>
        <rFont val="宋体"/>
        <charset val="134"/>
      </rPr>
      <t>，白沟源远拖车报关</t>
    </r>
  </si>
  <si>
    <t>J4112-2</t>
  </si>
  <si>
    <t>DHL2339549402 form E E用的FOB值和实际付款差不多 跟客户核对  检验FOB值用840/吨  申请21天免用箱 柜子少可以申请14天免用箱  同J4084</t>
  </si>
  <si>
    <t>迪斯泰订舱2053/2100，白沟源远拖车报关</t>
  </si>
  <si>
    <t>J4105</t>
  </si>
  <si>
    <t>单据齐等款 单据已发客户 CO 提单要电放 代理订舱 同J4007</t>
  </si>
  <si>
    <r>
      <rPr>
        <sz val="8"/>
        <color theme="1"/>
        <rFont val="宋体"/>
        <charset val="134"/>
      </rPr>
      <t>洋星通运订舱</t>
    </r>
    <r>
      <rPr>
        <sz val="8"/>
        <color theme="1"/>
        <rFont val="Arial"/>
        <charset val="134"/>
      </rPr>
      <t>CMA</t>
    </r>
    <r>
      <rPr>
        <sz val="8"/>
        <color theme="1"/>
        <rFont val="宋体"/>
        <charset val="134"/>
      </rPr>
      <t xml:space="preserve">，汇昌拖车 </t>
    </r>
    <r>
      <rPr>
        <sz val="8"/>
        <color rgb="FFFF0000"/>
        <rFont val="宋体"/>
        <charset val="134"/>
      </rPr>
      <t>金凯抬头报关</t>
    </r>
  </si>
  <si>
    <t>J4124</t>
  </si>
  <si>
    <t>XINGANG-Nhava Sheva</t>
  </si>
  <si>
    <t>库存和甩货J4014付齐了 外送龙骨 外送货如涉及装箱和港杂费分担 J4014</t>
  </si>
  <si>
    <r>
      <rPr>
        <sz val="8"/>
        <color theme="1"/>
        <rFont val="宋体"/>
        <charset val="134"/>
      </rPr>
      <t>拓航订舱，汇昌拖车</t>
    </r>
    <r>
      <rPr>
        <sz val="8"/>
        <color theme="1"/>
        <rFont val="Arial"/>
        <charset val="134"/>
      </rPr>
      <t xml:space="preserve"> </t>
    </r>
    <r>
      <rPr>
        <sz val="8"/>
        <color rgb="FFFF0000"/>
        <rFont val="宋体"/>
        <charset val="134"/>
      </rPr>
      <t>金凯抬头报关</t>
    </r>
  </si>
  <si>
    <r>
      <rPr>
        <b/>
        <sz val="8"/>
        <color rgb="FF0000FF"/>
        <rFont val="Arial"/>
        <charset val="134"/>
      </rPr>
      <t>2021.10.13</t>
    </r>
    <r>
      <rPr>
        <b/>
        <sz val="8"/>
        <color rgb="FF0000FF"/>
        <rFont val="宋体"/>
        <charset val="134"/>
      </rPr>
      <t>收</t>
    </r>
    <r>
      <rPr>
        <b/>
        <sz val="8"/>
        <color rgb="FF0000FF"/>
        <rFont val="Arial"/>
        <charset val="134"/>
      </rPr>
      <t>16182.04</t>
    </r>
    <r>
      <rPr>
        <b/>
        <sz val="8"/>
        <color rgb="FF0000FF"/>
        <rFont val="宋体"/>
        <charset val="134"/>
      </rPr>
      <t xml:space="preserve">用于J4124尾款13395+J4147定金2800
</t>
    </r>
  </si>
  <si>
    <t>J4121</t>
  </si>
  <si>
    <t>希望10天内货好 拍照片视频 发箱单发票 货代签收单  联系义乌的货代发货，义乌货代： 李林兵：13732436325 同J4086</t>
  </si>
  <si>
    <t>J4127-1</t>
  </si>
  <si>
    <t>xingang-New Delhi , INDIA</t>
  </si>
  <si>
    <t>12.2到皮帕瓦 单据齐等款 单据已发客户 电放提单 一般不走RCL 其他单据发邮件同J4093</t>
  </si>
  <si>
    <r>
      <rPr>
        <sz val="8"/>
        <color theme="1"/>
        <rFont val="宋体"/>
        <charset val="134"/>
      </rPr>
      <t>惠禾订舱CMA5000/5050，惠禾拖车，</t>
    </r>
    <r>
      <rPr>
        <sz val="8"/>
        <color rgb="FFFF0000"/>
        <rFont val="宋体"/>
        <charset val="134"/>
      </rPr>
      <t>金凯一达通报关</t>
    </r>
  </si>
  <si>
    <r>
      <rPr>
        <b/>
        <sz val="8"/>
        <color rgb="FF0000FF"/>
        <rFont val="Arial"/>
        <charset val="134"/>
      </rPr>
      <t>2021.12.15</t>
    </r>
    <r>
      <rPr>
        <b/>
        <sz val="8"/>
        <color rgb="FF0000FF"/>
        <rFont val="宋体"/>
        <charset val="134"/>
      </rPr>
      <t>水单</t>
    </r>
    <r>
      <rPr>
        <b/>
        <sz val="8"/>
        <color rgb="FF0000FF"/>
        <rFont val="Arial"/>
        <charset val="134"/>
      </rPr>
      <t>$19207  10284.55</t>
    </r>
    <r>
      <rPr>
        <b/>
        <sz val="8"/>
        <color rgb="FF0000FF"/>
        <rFont val="宋体"/>
        <charset val="134"/>
      </rPr>
      <t>用于</t>
    </r>
    <r>
      <rPr>
        <b/>
        <sz val="8"/>
        <color rgb="FF0000FF"/>
        <rFont val="Arial"/>
        <charset val="134"/>
      </rPr>
      <t>J4127-1</t>
    </r>
    <r>
      <rPr>
        <b/>
        <sz val="8"/>
        <color rgb="FF0000FF"/>
        <rFont val="宋体"/>
        <charset val="134"/>
      </rPr>
      <t>，</t>
    </r>
    <r>
      <rPr>
        <b/>
        <sz val="8"/>
        <color rgb="FF0000FF"/>
        <rFont val="Arial"/>
        <charset val="134"/>
      </rPr>
      <t>$8922.45</t>
    </r>
    <r>
      <rPr>
        <b/>
        <sz val="8"/>
        <color rgb="FF0000FF"/>
        <rFont val="宋体"/>
        <charset val="134"/>
      </rPr>
      <t>用于</t>
    </r>
    <r>
      <rPr>
        <b/>
        <sz val="8"/>
        <color rgb="FF0000FF"/>
        <rFont val="Arial"/>
        <charset val="134"/>
      </rPr>
      <t xml:space="preserve">J4127-2 </t>
    </r>
  </si>
  <si>
    <t>J4127-2</t>
  </si>
  <si>
    <t>12.10到皮帕瓦 单据齐等款 单据已发客户 at least 10 days gap  电放提单 一般不走RCL 其他单据发邮件同J4093</t>
  </si>
  <si>
    <r>
      <rPr>
        <sz val="8"/>
        <color theme="1"/>
        <rFont val="宋体"/>
        <charset val="134"/>
      </rPr>
      <t>惠禾订舱</t>
    </r>
    <r>
      <rPr>
        <sz val="8"/>
        <color theme="1"/>
        <rFont val="Arial"/>
        <charset val="134"/>
      </rPr>
      <t>CMA4200/4250,</t>
    </r>
    <r>
      <rPr>
        <sz val="8"/>
        <color theme="1"/>
        <rFont val="宋体"/>
        <charset val="134"/>
      </rPr>
      <t xml:space="preserve">惠禾拖车 </t>
    </r>
    <r>
      <rPr>
        <sz val="8"/>
        <color rgb="FFFF0000"/>
        <rFont val="宋体"/>
        <charset val="134"/>
      </rPr>
      <t>金凯抬头报关</t>
    </r>
  </si>
  <si>
    <r>
      <rPr>
        <b/>
        <sz val="8"/>
        <color rgb="FF0000FF"/>
        <rFont val="宋体"/>
        <charset val="134"/>
      </rPr>
      <t>2021.12.30水单$21827.73 多付</t>
    </r>
    <r>
      <rPr>
        <b/>
        <sz val="8"/>
        <color rgb="FF0000FF"/>
        <rFont val="Arial"/>
        <charset val="134"/>
      </rPr>
      <t>51</t>
    </r>
    <r>
      <rPr>
        <b/>
        <sz val="8"/>
        <color rgb="FF0000FF"/>
        <rFont val="宋体"/>
        <charset val="134"/>
      </rPr>
      <t>美金 J4167用掉</t>
    </r>
  </si>
  <si>
    <t>J4107</t>
  </si>
  <si>
    <t>1500平米 镜面金和镜面银</t>
  </si>
  <si>
    <t>XINGANG-Istanbul</t>
  </si>
  <si>
    <t>DHL8429977776 客户要改正本？26号船托到7号 发到土耳其Istanbul的拼箱</t>
  </si>
  <si>
    <r>
      <rPr>
        <sz val="8"/>
        <color theme="1"/>
        <rFont val="宋体"/>
        <charset val="134"/>
      </rPr>
      <t xml:space="preserve">汇昌订舱中远550,汇昌报关 </t>
    </r>
    <r>
      <rPr>
        <sz val="8"/>
        <color rgb="FFFF0000"/>
        <rFont val="宋体"/>
        <charset val="134"/>
      </rPr>
      <t>金凯抬头报关</t>
    </r>
  </si>
  <si>
    <r>
      <rPr>
        <b/>
        <sz val="8"/>
        <color rgb="FF0000FF"/>
        <rFont val="宋体"/>
        <charset val="134"/>
      </rPr>
      <t>一共付</t>
    </r>
    <r>
      <rPr>
        <b/>
        <sz val="8"/>
        <color rgb="FF0000FF"/>
        <rFont val="Arial"/>
        <charset val="134"/>
      </rPr>
      <t>5119.68</t>
    </r>
    <r>
      <rPr>
        <b/>
        <sz val="8"/>
        <color rgb="FF0000FF"/>
        <rFont val="宋体"/>
        <charset val="134"/>
      </rPr>
      <t>美金</t>
    </r>
    <r>
      <rPr>
        <b/>
        <sz val="8"/>
        <color rgb="FF0000FF"/>
        <rFont val="Arial"/>
        <charset val="134"/>
      </rPr>
      <t xml:space="preserve">  </t>
    </r>
    <r>
      <rPr>
        <b/>
        <sz val="8"/>
        <color rgb="FF0000FF"/>
        <rFont val="宋体"/>
        <charset val="134"/>
      </rPr>
      <t>多的以人民币退回了</t>
    </r>
  </si>
  <si>
    <t>J4133</t>
  </si>
  <si>
    <t>单据齐等款 单据已发客户 用Joy 验货时间通知经理（客户号2021-043）出黄色CO 木质证明 同J4109</t>
  </si>
  <si>
    <t>鑫顺源订舱德祥，小杜拖车报关</t>
  </si>
  <si>
    <t>J4134</t>
  </si>
  <si>
    <r>
      <rPr>
        <sz val="8"/>
        <rFont val="Arial"/>
        <charset val="134"/>
      </rPr>
      <t>1x40HQ</t>
    </r>
    <r>
      <rPr>
        <sz val="8"/>
        <rFont val="宋体"/>
        <charset val="134"/>
      </rPr>
      <t>轻钢</t>
    </r>
  </si>
  <si>
    <t>DHL4325433556 出CO 60% of final invoice做低报发票  同J4095</t>
  </si>
  <si>
    <t>迪斯泰订舱中远6736，白沟源远拖车报关</t>
  </si>
  <si>
    <t>J4139-1</t>
  </si>
  <si>
    <t>xingang-salalah</t>
  </si>
  <si>
    <t>28号船换船预计5号开船 改发到阿曼 要在靠近柜门的所有箱子上贴小标贴和A4纸 箱单发票签字盖章扫描 CCPIT 电放低报</t>
  </si>
  <si>
    <r>
      <rPr>
        <sz val="8"/>
        <color theme="1"/>
        <rFont val="宋体"/>
        <charset val="134"/>
      </rPr>
      <t>永鑫海订舱</t>
    </r>
    <r>
      <rPr>
        <sz val="8"/>
        <color theme="1"/>
        <rFont val="Arial"/>
        <charset val="134"/>
      </rPr>
      <t>CMA4800</t>
    </r>
    <r>
      <rPr>
        <sz val="8"/>
        <color theme="1"/>
        <rFont val="宋体"/>
        <charset val="134"/>
      </rPr>
      <t xml:space="preserve">，汇昌拖车 </t>
    </r>
    <r>
      <rPr>
        <sz val="8"/>
        <color rgb="FFFF0000"/>
        <rFont val="宋体"/>
        <charset val="134"/>
      </rPr>
      <t>金凯一达通报关</t>
    </r>
  </si>
  <si>
    <t>J4139-2</t>
  </si>
  <si>
    <t>单据齐做电放 收货人？ 箱单发票签字盖章扫描先发邮件 低报发票CCPIT CO  正本寄单地址和客户确认 要在靠近柜门的所有箱子上贴小标贴和A4纸 同J4061/4062</t>
  </si>
  <si>
    <r>
      <rPr>
        <sz val="8"/>
        <color theme="1"/>
        <rFont val="宋体"/>
        <charset val="134"/>
      </rPr>
      <t>永鑫海订舱</t>
    </r>
    <r>
      <rPr>
        <sz val="8"/>
        <color theme="1"/>
        <rFont val="Arial"/>
        <charset val="134"/>
      </rPr>
      <t>MSC4150</t>
    </r>
    <r>
      <rPr>
        <sz val="8"/>
        <color theme="1"/>
        <rFont val="宋体"/>
        <charset val="134"/>
      </rPr>
      <t xml:space="preserve">，汇昌拖车 </t>
    </r>
    <r>
      <rPr>
        <sz val="8"/>
        <color rgb="FFFF0000"/>
        <rFont val="宋体"/>
        <charset val="134"/>
      </rPr>
      <t>金凯抬头报关</t>
    </r>
  </si>
  <si>
    <t>J4140</t>
  </si>
  <si>
    <t>单据齐等款 单据已发客户 要在靠近柜门的所有箱子上贴小标贴和A4纸 箱单发票签字盖章扫描 电放低报CCPIT CO，低报做CIF不显示运费 客户要求显示HScode 同J4040</t>
  </si>
  <si>
    <r>
      <rPr>
        <sz val="8"/>
        <color theme="1"/>
        <rFont val="宋体"/>
        <charset val="134"/>
      </rPr>
      <t xml:space="preserve">迪斯泰订舱HPL4800，迪斯泰拖车 </t>
    </r>
    <r>
      <rPr>
        <sz val="8"/>
        <color rgb="FFFF0000"/>
        <rFont val="宋体"/>
        <charset val="134"/>
      </rPr>
      <t>金凯一达通报关</t>
    </r>
  </si>
  <si>
    <t>J4141</t>
  </si>
  <si>
    <t>单据齐等款 单据已发客户 240元的换单费  PO 71191  CO 因为约定的发货人不是我方，务必要求货代承诺不能无款放单。  同J4060</t>
  </si>
  <si>
    <r>
      <rPr>
        <sz val="8"/>
        <color theme="1"/>
        <rFont val="宋体"/>
        <charset val="134"/>
      </rPr>
      <t xml:space="preserve">广州海德订舱长荣，汇昌拖车 </t>
    </r>
    <r>
      <rPr>
        <sz val="8"/>
        <color rgb="FFFF0000"/>
        <rFont val="宋体"/>
        <charset val="134"/>
      </rPr>
      <t>金凯抬头报关</t>
    </r>
  </si>
  <si>
    <t>J4138-1</t>
  </si>
  <si>
    <t>xingang-sohar Oman</t>
  </si>
  <si>
    <t>DHL8078478623 出CO 申请14天免用箱 发货时间与客户确认 同J4063</t>
  </si>
  <si>
    <r>
      <rPr>
        <sz val="8"/>
        <color theme="1"/>
        <rFont val="宋体"/>
        <charset val="134"/>
      </rPr>
      <t>汇昌订舱</t>
    </r>
    <r>
      <rPr>
        <sz val="8"/>
        <color theme="1"/>
        <rFont val="Arial"/>
        <charset val="134"/>
      </rPr>
      <t>EMI3850</t>
    </r>
    <r>
      <rPr>
        <sz val="8"/>
        <color theme="1"/>
        <rFont val="宋体"/>
        <charset val="134"/>
      </rPr>
      <t>，汇昌拖车 义乌报关</t>
    </r>
  </si>
  <si>
    <t>J4138-2</t>
  </si>
  <si>
    <t>DHL2516514206 A票查验 目的港14天 出CO 申请14天免用箱 发货时间与客户确认 同J4063</t>
  </si>
  <si>
    <t>永鑫海订舱RCL5185/4900，汇昌拖车 义乌报关</t>
  </si>
  <si>
    <t>J4143-1</t>
  </si>
  <si>
    <r>
      <rPr>
        <sz val="8"/>
        <rFont val="Arial"/>
        <charset val="134"/>
      </rPr>
      <t xml:space="preserve">5x20GP </t>
    </r>
    <r>
      <rPr>
        <sz val="8"/>
        <rFont val="宋体"/>
        <charset val="134"/>
      </rPr>
      <t>轻钢</t>
    </r>
  </si>
  <si>
    <t>DHL8078479253  一个箱子给您退1200，到时每个箱子收您拖车费650 CO 保险单 箱子底部检查好 严防生锈问题，挑选合格的集装箱 申请14天免用箱 同J4016</t>
  </si>
  <si>
    <r>
      <rPr>
        <sz val="8"/>
        <color theme="1"/>
        <rFont val="宋体"/>
        <charset val="134"/>
      </rPr>
      <t>汇昌订舱</t>
    </r>
    <r>
      <rPr>
        <sz val="8"/>
        <color theme="1"/>
        <rFont val="Arial"/>
        <charset val="134"/>
      </rPr>
      <t>EMI3800</t>
    </r>
    <r>
      <rPr>
        <sz val="8"/>
        <color theme="1"/>
        <rFont val="宋体"/>
        <charset val="134"/>
      </rPr>
      <t>，小杜拖车报关</t>
    </r>
  </si>
  <si>
    <t>J4143-2</t>
  </si>
  <si>
    <t>DHL2516514512 做两个版本的发票1海运费揉到单价里 2海运费单列一行  CO 保险单 箱子底部检查好 严防生锈问题，挑选合格的集装箱 申请14天免用箱 同J4016</t>
  </si>
  <si>
    <t>汇昌订舱Volt4050/4600汇昌拖车，义乌报关</t>
  </si>
  <si>
    <t>J4143-3</t>
  </si>
  <si>
    <t>DHL8078477750 做两个版本的发票1海运费揉到单价里 2海运费单列一行  CO 保险单 箱子底部检查好 严防生锈问题，挑选合格的集装箱 申请14天免用箱 同J4016</t>
  </si>
  <si>
    <t>迪斯泰订舱MSC4700,迪斯泰拖车报关</t>
  </si>
  <si>
    <t>J4142</t>
  </si>
  <si>
    <t>DHL6454252556下单显示HSCODE 730890 form E(PE前的件数 单词不能断行) 出保险 目的港14天免费期  同J4049</t>
  </si>
  <si>
    <r>
      <rPr>
        <sz val="8"/>
        <color theme="1"/>
        <rFont val="宋体"/>
        <charset val="134"/>
      </rPr>
      <t xml:space="preserve">永鑫海订舱海丰1865/1500，会昌拖车 </t>
    </r>
    <r>
      <rPr>
        <sz val="8"/>
        <color rgb="FFFF0000"/>
        <rFont val="宋体"/>
        <charset val="134"/>
      </rPr>
      <t>金凯抬头报关</t>
    </r>
  </si>
  <si>
    <t>J4137-1</t>
  </si>
  <si>
    <t>印尼PT.INDO/James</t>
  </si>
  <si>
    <r>
      <rPr>
        <sz val="8"/>
        <rFont val="Arial"/>
        <charset val="134"/>
      </rPr>
      <t>1x40H</t>
    </r>
    <r>
      <rPr>
        <sz val="8"/>
        <rFont val="宋体"/>
        <charset val="134"/>
      </rPr>
      <t>小付骨</t>
    </r>
  </si>
  <si>
    <t xml:space="preserve">DHL6968344736 FORM E Hcode7308.90 品名 收货人 企业编码问客户 电放   </t>
  </si>
  <si>
    <t>迪斯泰订舱MCC2500，迪斯泰拖车 义乌报关</t>
  </si>
  <si>
    <t>J4137-2</t>
  </si>
  <si>
    <t>DHL1960149660 品名 收货人 企业编码问客户 FORM E Hcode7308.90</t>
  </si>
  <si>
    <t>迪斯泰订舱ONE3550/3200,白沟源远拖车报关</t>
  </si>
  <si>
    <r>
      <rPr>
        <b/>
        <sz val="8"/>
        <color rgb="FF0000FF"/>
        <rFont val="宋体"/>
        <charset val="134"/>
      </rPr>
      <t>先放单</t>
    </r>
    <r>
      <rPr>
        <b/>
        <sz val="8"/>
        <color rgb="FF0000FF"/>
        <rFont val="Arial"/>
        <charset val="134"/>
      </rPr>
      <t xml:space="preserve"> </t>
    </r>
    <r>
      <rPr>
        <b/>
        <sz val="8"/>
        <color rgb="FF0000FF"/>
        <rFont val="宋体"/>
        <charset val="134"/>
      </rPr>
      <t>用</t>
    </r>
    <r>
      <rPr>
        <b/>
        <sz val="8"/>
        <color rgb="FF0000FF"/>
        <rFont val="Arial"/>
        <charset val="134"/>
      </rPr>
      <t>J4204</t>
    </r>
    <r>
      <rPr>
        <b/>
        <sz val="8"/>
        <color rgb="FF0000FF"/>
        <rFont val="宋体"/>
        <charset val="134"/>
      </rPr>
      <t>定金抵</t>
    </r>
  </si>
  <si>
    <t>J4144</t>
  </si>
  <si>
    <t>DHL2754402092 关注到港时间 12月订舱1月到港 Use Lexus as consignee? 定40HQ Form E 低报吗 电放提单也打印出来寄给客户 电放提单 单据全部打印寄给客户 电放提单也打印 要申请21天免费箱使，和10天的免堆存，不用长荣 MSKMCC？  SITC可以选。客户还要求waive the container deposit同J4085</t>
  </si>
  <si>
    <r>
      <rPr>
        <sz val="8"/>
        <color theme="1"/>
        <rFont val="宋体"/>
        <charset val="134"/>
      </rPr>
      <t>誉洲订舱中远1300/</t>
    </r>
    <r>
      <rPr>
        <sz val="8"/>
        <color theme="1"/>
        <rFont val="Arial"/>
        <charset val="134"/>
      </rPr>
      <t>1350</t>
    </r>
    <r>
      <rPr>
        <sz val="8"/>
        <color theme="1"/>
        <rFont val="宋体"/>
        <charset val="134"/>
      </rPr>
      <t>，白沟源远拖车报关</t>
    </r>
  </si>
  <si>
    <t>J4145</t>
  </si>
  <si>
    <t>单据齐等款 单据已发客户 8换船到17保险 CO 同J4098</t>
  </si>
  <si>
    <r>
      <rPr>
        <sz val="8"/>
        <color theme="1"/>
        <rFont val="宋体"/>
        <charset val="134"/>
      </rPr>
      <t>惠禾订舱</t>
    </r>
    <r>
      <rPr>
        <sz val="8"/>
        <color theme="1"/>
        <rFont val="Arial"/>
        <charset val="134"/>
      </rPr>
      <t>HMM5250/5300</t>
    </r>
    <r>
      <rPr>
        <sz val="8"/>
        <color theme="1"/>
        <rFont val="宋体"/>
        <charset val="134"/>
      </rPr>
      <t xml:space="preserve">，惠禾拖车 </t>
    </r>
    <r>
      <rPr>
        <sz val="8"/>
        <color rgb="FFFF0000"/>
        <rFont val="宋体"/>
        <charset val="134"/>
      </rPr>
      <t>金凯一达通报关</t>
    </r>
  </si>
  <si>
    <t>J4146-1</t>
  </si>
  <si>
    <r>
      <rPr>
        <sz val="8"/>
        <rFont val="Arial"/>
        <charset val="134"/>
      </rPr>
      <t xml:space="preserve">2*40HQ </t>
    </r>
    <r>
      <rPr>
        <sz val="8"/>
        <rFont val="宋体"/>
        <charset val="134"/>
      </rPr>
      <t>小付骨</t>
    </r>
  </si>
  <si>
    <t>DHL5704675852 form E 提单货重25/28吨 运费替客户承担400USD/40H  申请21天免用箱 柜子少可以申请14天免用箱  同J4112 3820</t>
  </si>
  <si>
    <r>
      <rPr>
        <sz val="8"/>
        <color theme="1"/>
        <rFont val="宋体"/>
        <charset val="134"/>
      </rPr>
      <t>迪斯泰订舱</t>
    </r>
    <r>
      <rPr>
        <sz val="8"/>
        <color theme="1"/>
        <rFont val="Arial"/>
        <charset val="134"/>
      </rPr>
      <t>MCC3250/3253,</t>
    </r>
    <r>
      <rPr>
        <sz val="8"/>
        <color theme="1"/>
        <rFont val="宋体"/>
        <charset val="134"/>
      </rPr>
      <t>迪斯泰拖车 义乌报关</t>
    </r>
  </si>
  <si>
    <t>J4146-2</t>
  </si>
  <si>
    <t>DHL8258608061 两个提单号 13混 改稠州银行
 form E 申请21天免用箱 柜子少可以申请14天免用箱  同J4112 3820</t>
  </si>
  <si>
    <t>迪斯泰订舱MCC3800，迪斯泰拖车 义乌报关</t>
  </si>
  <si>
    <t>J4108</t>
  </si>
  <si>
    <r>
      <rPr>
        <sz val="8"/>
        <rFont val="Arial"/>
        <charset val="134"/>
      </rPr>
      <t>1x40HQ</t>
    </r>
    <r>
      <rPr>
        <sz val="8"/>
        <rFont val="宋体"/>
        <charset val="134"/>
      </rPr>
      <t>轻钢龙骨</t>
    </r>
    <r>
      <rPr>
        <sz val="8"/>
        <rFont val="Arial"/>
        <charset val="134"/>
      </rPr>
      <t>+</t>
    </r>
    <r>
      <rPr>
        <sz val="8"/>
        <rFont val="宋体"/>
        <charset val="134"/>
      </rPr>
      <t>外送</t>
    </r>
  </si>
  <si>
    <t>客户安排车 有外送吗 同J4073</t>
  </si>
  <si>
    <t>J4147</t>
  </si>
  <si>
    <t>1x20'  烤漆</t>
  </si>
  <si>
    <t>临沂市金九路与临册路交汇处南200米路西 同J4124</t>
  </si>
  <si>
    <t>J4153-1</t>
  </si>
  <si>
    <t>DHL3781008976 25拖31 目的港8天 form E 提单货重25吨 运费替客户承担400USD/40H  申请21天免用箱 柜子少可以申请14天免用箱  同J4146</t>
  </si>
  <si>
    <t>迪斯泰订舱MCC3983，迪斯泰拖车 义乌报关</t>
  </si>
  <si>
    <t>J4153-2</t>
  </si>
  <si>
    <t>DHL2103095665 目的港8天 form E 提单货重25吨 运费替客户承担400USD/40H  申请21天免用箱 柜子少可以申请14天免用箱  同J4146</t>
  </si>
  <si>
    <r>
      <rPr>
        <sz val="8"/>
        <color theme="1"/>
        <rFont val="宋体"/>
        <charset val="134"/>
      </rPr>
      <t>迪斯泰订舱</t>
    </r>
    <r>
      <rPr>
        <sz val="8"/>
        <color theme="1"/>
        <rFont val="Arial"/>
        <charset val="134"/>
      </rPr>
      <t>MCC4033</t>
    </r>
    <r>
      <rPr>
        <sz val="8"/>
        <color theme="1"/>
        <rFont val="宋体"/>
        <charset val="134"/>
      </rPr>
      <t>，迪斯泰拖车 义乌报关</t>
    </r>
  </si>
  <si>
    <t>J4157</t>
  </si>
  <si>
    <t>5000只轻钢边角</t>
  </si>
  <si>
    <t>山东省临沂市平邑县铜石镇平邑华晨石膏建材有限公司  贴标签 发平邑 照片 唛头 J4110</t>
  </si>
  <si>
    <t>J4156</t>
  </si>
  <si>
    <t>美国Ashco/Ash</t>
  </si>
  <si>
    <r>
      <rPr>
        <sz val="8"/>
        <rFont val="Arial"/>
        <charset val="134"/>
      </rPr>
      <t>4000</t>
    </r>
    <r>
      <rPr>
        <sz val="8"/>
        <rFont val="宋体"/>
        <charset val="134"/>
      </rPr>
      <t>平米烤漆</t>
    </r>
    <r>
      <rPr>
        <sz val="8"/>
        <rFont val="Arial"/>
        <charset val="134"/>
      </rPr>
      <t>+</t>
    </r>
    <r>
      <rPr>
        <sz val="8"/>
        <rFont val="宋体"/>
        <charset val="134"/>
      </rPr>
      <t>配件</t>
    </r>
  </si>
  <si>
    <t>货好 发到佛山装箱</t>
  </si>
  <si>
    <t>J4158</t>
  </si>
  <si>
    <t>印尼 PT.DASAPRAKARSA（Chris）</t>
  </si>
  <si>
    <r>
      <rPr>
        <sz val="8"/>
        <rFont val="Arial"/>
        <charset val="134"/>
      </rPr>
      <t>1x40H</t>
    </r>
    <r>
      <rPr>
        <sz val="8"/>
        <rFont val="宋体"/>
        <charset val="134"/>
      </rPr>
      <t>轻钢</t>
    </r>
  </si>
  <si>
    <t>13拖18 高箱单价按0.5011 留点定金在账上 两个柜子改成一个高箱 Form E J3666  J3745</t>
  </si>
  <si>
    <t>迪斯泰订舱4133，迪斯泰拖车 义务报关</t>
  </si>
  <si>
    <t>J4161</t>
  </si>
  <si>
    <t>xingang-sohar, Oman</t>
  </si>
  <si>
    <t>单据齐等款 单据已发客户 要在靠近柜门的所有箱子上贴小标贴和A4纸 箱单发票签字盖章扫描 电放低报CCPIT CO，低报做CIF不显示运费 客户要求显示HScode 同J4140</t>
  </si>
  <si>
    <r>
      <rPr>
        <sz val="8"/>
        <color theme="1"/>
        <rFont val="宋体"/>
        <charset val="134"/>
      </rPr>
      <t>迪斯泰订舱</t>
    </r>
    <r>
      <rPr>
        <sz val="8"/>
        <color theme="1"/>
        <rFont val="Arial"/>
        <charset val="134"/>
      </rPr>
      <t>HPL4800</t>
    </r>
    <r>
      <rPr>
        <sz val="8"/>
        <color theme="1"/>
        <rFont val="宋体"/>
        <charset val="134"/>
      </rPr>
      <t xml:space="preserve">，迪斯泰拖车 </t>
    </r>
    <r>
      <rPr>
        <sz val="8"/>
        <color rgb="FFFF0000"/>
        <rFont val="宋体"/>
        <charset val="134"/>
      </rPr>
      <t>金凯一达通报关</t>
    </r>
  </si>
  <si>
    <t>J4162</t>
  </si>
  <si>
    <t>1x20‘ 烤漆</t>
  </si>
  <si>
    <t>DHL3706032326 承担300美金 下单显示HSCODE form E(PE前的件数 单词不能断行) 出保险 目的港14天免费期  同J4142</t>
  </si>
  <si>
    <r>
      <rPr>
        <sz val="8"/>
        <color theme="1"/>
        <rFont val="宋体"/>
        <charset val="134"/>
      </rPr>
      <t>永鑫海订舱海丰</t>
    </r>
    <r>
      <rPr>
        <sz val="8"/>
        <rFont val="宋体"/>
        <charset val="134"/>
      </rPr>
      <t>2225</t>
    </r>
    <r>
      <rPr>
        <sz val="8"/>
        <color theme="1"/>
        <rFont val="宋体"/>
        <charset val="134"/>
      </rPr>
      <t xml:space="preserve">/1925，汇昌拖车 </t>
    </r>
    <r>
      <rPr>
        <sz val="8"/>
        <color rgb="FFFF0000"/>
        <rFont val="宋体"/>
        <charset val="134"/>
      </rPr>
      <t>金凯一达通报关</t>
    </r>
  </si>
  <si>
    <t>J4159</t>
  </si>
  <si>
    <r>
      <rPr>
        <sz val="8"/>
        <rFont val="Arial"/>
        <charset val="134"/>
      </rPr>
      <t xml:space="preserve">1x20  </t>
    </r>
    <r>
      <rPr>
        <sz val="8"/>
        <rFont val="宋体"/>
        <charset val="134"/>
      </rPr>
      <t>轻钢龙骨</t>
    </r>
  </si>
  <si>
    <t>单据齐等款 单据已发客户 黄色CO 单拖昂 放中间 提单显示不能超25吨 超过不许货车拉货 也会产生额外费用同J4051</t>
  </si>
  <si>
    <r>
      <rPr>
        <sz val="8"/>
        <color theme="1"/>
        <rFont val="宋体"/>
        <charset val="134"/>
      </rPr>
      <t>指定代理</t>
    </r>
    <r>
      <rPr>
        <sz val="8"/>
        <color theme="1"/>
        <rFont val="Arial"/>
        <charset val="134"/>
      </rPr>
      <t>ACON LOGISTICS,</t>
    </r>
    <r>
      <rPr>
        <sz val="8"/>
        <color theme="1"/>
        <rFont val="宋体"/>
        <charset val="134"/>
      </rPr>
      <t>汇昌拖车，义乌报关</t>
    </r>
  </si>
  <si>
    <t>J4166</t>
  </si>
  <si>
    <t>11拖24 用Joy PO号2021-047 验货时间通知经理（客户号）出黄色CO 木质证明 同J4133</t>
  </si>
  <si>
    <t>鑫顺源订舱CMA，会昌拖车报关</t>
  </si>
  <si>
    <t>J4167</t>
  </si>
  <si>
    <t>30拖4 电放提单 一般不走RCL 同J4127</t>
  </si>
  <si>
    <r>
      <rPr>
        <sz val="8"/>
        <color theme="1"/>
        <rFont val="宋体"/>
        <charset val="134"/>
      </rPr>
      <t xml:space="preserve">惠禾订舱KMTC4700/4750，惠禾拖车 </t>
    </r>
    <r>
      <rPr>
        <sz val="8"/>
        <color rgb="FFFF0000"/>
        <rFont val="宋体"/>
        <charset val="134"/>
      </rPr>
      <t>金凯抬头报关</t>
    </r>
  </si>
  <si>
    <t>J4165</t>
  </si>
  <si>
    <t>单据齐等款 单据已发客户 CO 因为约定的发货人不是我方，务必要求货代承诺不能无款放单。  同J4060 4141</t>
  </si>
  <si>
    <r>
      <rPr>
        <sz val="8"/>
        <color theme="1"/>
        <rFont val="宋体"/>
        <charset val="134"/>
      </rPr>
      <t>广州海德订舱，汇昌拖车</t>
    </r>
    <r>
      <rPr>
        <sz val="8"/>
        <color rgb="FFFF0000"/>
        <rFont val="宋体"/>
        <charset val="134"/>
      </rPr>
      <t xml:space="preserve"> 金凯抬头报关</t>
    </r>
  </si>
  <si>
    <t>J4173</t>
  </si>
  <si>
    <t>DHL1548717575 13托 改发到迪拜 出CO 申请14天免用箱 发货时间与客户确认 同J4063 4138</t>
  </si>
  <si>
    <r>
      <rPr>
        <sz val="8"/>
        <color theme="1"/>
        <rFont val="宋体"/>
        <charset val="134"/>
      </rPr>
      <t>汇昌订舱</t>
    </r>
    <r>
      <rPr>
        <sz val="8"/>
        <color theme="1"/>
        <rFont val="Arial"/>
        <charset val="134"/>
      </rPr>
      <t>CMA3850/3900</t>
    </r>
    <r>
      <rPr>
        <sz val="8"/>
        <color theme="1"/>
        <rFont val="宋体"/>
        <charset val="134"/>
      </rPr>
      <t>，汇昌拖车报关</t>
    </r>
  </si>
  <si>
    <t>J4169-1</t>
  </si>
  <si>
    <t>货好</t>
  </si>
  <si>
    <t>划线器装到迪拜 CO 保险单 箱子底部检查好 严防生锈问题，挑选合格的集装箱 申请14天免用箱 同J4143</t>
  </si>
  <si>
    <t>J4169-2</t>
  </si>
  <si>
    <t>J4184</t>
  </si>
  <si>
    <t>良辰木艺/皮娜</t>
  </si>
  <si>
    <t>澳式主骨</t>
  </si>
  <si>
    <t>发安能</t>
  </si>
  <si>
    <t>J4183</t>
  </si>
  <si>
    <t>5000只深麻点边角</t>
  </si>
  <si>
    <t>发山东</t>
  </si>
  <si>
    <t>J4181</t>
  </si>
  <si>
    <t>单据齐等款 单据已发客户 CO 提单要电放 代理订舱 同J4007 4105</t>
  </si>
  <si>
    <r>
      <rPr>
        <sz val="8"/>
        <color theme="1"/>
        <rFont val="宋体"/>
        <charset val="134"/>
      </rPr>
      <t xml:space="preserve">代理miniya订舱中远，迪斯泰拖车 </t>
    </r>
    <r>
      <rPr>
        <sz val="8"/>
        <color rgb="FFFF0000"/>
        <rFont val="宋体"/>
        <charset val="134"/>
      </rPr>
      <t>金凯抬头报关</t>
    </r>
  </si>
  <si>
    <t>J4189</t>
  </si>
  <si>
    <t>单据齐等款 单据已发客户 保险 CO 同J4098 4145</t>
  </si>
  <si>
    <r>
      <rPr>
        <sz val="8"/>
        <color theme="1"/>
        <rFont val="宋体"/>
        <charset val="134"/>
      </rPr>
      <t xml:space="preserve">惠禾订舱CMA5100/5150，惠禾拖车2400 </t>
    </r>
    <r>
      <rPr>
        <sz val="8"/>
        <color rgb="FFFF0000"/>
        <rFont val="宋体"/>
        <charset val="134"/>
      </rPr>
      <t>金凯一达通报关</t>
    </r>
  </si>
  <si>
    <t>J4190</t>
  </si>
  <si>
    <t xml:space="preserve">1x20’ 烤漆 </t>
  </si>
  <si>
    <r>
      <rPr>
        <sz val="8"/>
        <color theme="1"/>
        <rFont val="宋体"/>
        <charset val="134"/>
      </rPr>
      <t>客户订舱，迪斯泰拖车</t>
    </r>
    <r>
      <rPr>
        <sz val="8"/>
        <color theme="1"/>
        <rFont val="Arial"/>
        <charset val="134"/>
      </rPr>
      <t xml:space="preserve"> </t>
    </r>
    <r>
      <rPr>
        <sz val="8"/>
        <color rgb="FFFF0000"/>
        <rFont val="宋体"/>
        <charset val="134"/>
      </rPr>
      <t>金凯抬头报关</t>
    </r>
  </si>
  <si>
    <t>J4195</t>
  </si>
  <si>
    <t>单据齐等款 单据已发客户 J4195+J4196一起发的 用Joy 验货时间通知经理（客户号2021-050）出黄色CO 木质证明 同J4166</t>
  </si>
  <si>
    <t>鑫顺源订舱，会昌拖车 鑫顺源报关</t>
  </si>
  <si>
    <t>J4196</t>
  </si>
  <si>
    <t>用Joy 验货时间通知经理（客户号2021-051）出黄色CO 木质证明 同J4166</t>
  </si>
  <si>
    <t>J4200</t>
  </si>
  <si>
    <r>
      <rPr>
        <sz val="8"/>
        <rFont val="Arial"/>
        <charset val="134"/>
      </rPr>
      <t xml:space="preserve">1*40HQ </t>
    </r>
    <r>
      <rPr>
        <sz val="8"/>
        <rFont val="宋体"/>
        <charset val="134"/>
      </rPr>
      <t>小付骨</t>
    </r>
  </si>
  <si>
    <t>DHL5034880900 form E 提单货重28吨 申请21天免用箱 柜子少可以申请14天免用箱  同J4146</t>
  </si>
  <si>
    <t>迪斯泰订舱MCC4133，迪斯泰拖车报关</t>
  </si>
  <si>
    <t>J4203</t>
  </si>
  <si>
    <t>1x20’ 烤漆</t>
  </si>
  <si>
    <t>装矿棉板 送到厂里了 J4190</t>
  </si>
  <si>
    <r>
      <rPr>
        <sz val="8"/>
        <color theme="1"/>
        <rFont val="宋体"/>
        <charset val="134"/>
      </rPr>
      <t>代理订舱</t>
    </r>
    <r>
      <rPr>
        <sz val="8"/>
        <color theme="1"/>
        <rFont val="Arial"/>
        <charset val="134"/>
      </rPr>
      <t>MSC</t>
    </r>
    <r>
      <rPr>
        <sz val="8"/>
        <color theme="1"/>
        <rFont val="宋体"/>
        <charset val="134"/>
      </rPr>
      <t xml:space="preserve">，盛汇通拖车 </t>
    </r>
    <r>
      <rPr>
        <sz val="8"/>
        <color rgb="FFFF0000"/>
        <rFont val="宋体"/>
        <charset val="134"/>
      </rPr>
      <t>金凯抬头报关</t>
    </r>
  </si>
  <si>
    <t>J4204-1</t>
  </si>
  <si>
    <t>北京DHL6831253030 吊顶结构件    材质： 热镀锌钢板  加工： 冷弯成型，压槽，冲字。  报 7308 9000  FORM E Hcode7308.90 电放 同J4137</t>
  </si>
  <si>
    <t>迪斯泰订舱MCC2711 迪斯泰拖车 义乌报关</t>
  </si>
  <si>
    <t>J4204-2</t>
  </si>
  <si>
    <t>北京DHL3654192076 FORM E Hcode7308.90 电放 同J4137</t>
  </si>
  <si>
    <t>盛汇通订舱MCC2680/2750，盛汇通拖车 义乌报关</t>
  </si>
  <si>
    <t>J4211</t>
  </si>
  <si>
    <t>佛山格罗博/魏翔</t>
  </si>
  <si>
    <r>
      <rPr>
        <sz val="8"/>
        <rFont val="Arial"/>
        <charset val="134"/>
      </rPr>
      <t>5000</t>
    </r>
    <r>
      <rPr>
        <sz val="8"/>
        <rFont val="宋体"/>
        <charset val="134"/>
      </rPr>
      <t>个红色变高吊</t>
    </r>
  </si>
  <si>
    <t>运到佛山</t>
  </si>
  <si>
    <t>J4212</t>
  </si>
  <si>
    <t>印度Nand/Jack</t>
  </si>
  <si>
    <t xml:space="preserve">xingang-Chennai </t>
  </si>
  <si>
    <t>电放 CO 买家是进口代理商，实际收货人根据客户要求。</t>
  </si>
  <si>
    <r>
      <rPr>
        <sz val="8"/>
        <color theme="1"/>
        <rFont val="宋体"/>
        <charset val="134"/>
      </rPr>
      <t>代理</t>
    </r>
    <r>
      <rPr>
        <sz val="8"/>
        <color theme="1"/>
        <rFont val="Arial"/>
        <charset val="134"/>
      </rPr>
      <t>SINOWAY</t>
    </r>
    <r>
      <rPr>
        <sz val="8"/>
        <color theme="1"/>
        <rFont val="宋体"/>
        <charset val="134"/>
      </rPr>
      <t xml:space="preserve">订舱，盛汇通拖车 </t>
    </r>
    <r>
      <rPr>
        <sz val="8"/>
        <color rgb="FFFF0000"/>
        <rFont val="宋体"/>
        <charset val="134"/>
      </rPr>
      <t>金凯一达通报关</t>
    </r>
  </si>
  <si>
    <t>J4214</t>
  </si>
  <si>
    <t>单据齐等款 单据已发客户 验货时间通知经理（客户号2022-001）出黄色CO 木质证明 同J4196</t>
  </si>
  <si>
    <t>J4206</t>
  </si>
  <si>
    <r>
      <rPr>
        <sz val="8"/>
        <rFont val="Arial"/>
        <charset val="134"/>
      </rPr>
      <t xml:space="preserve">1x20' FCL </t>
    </r>
    <r>
      <rPr>
        <sz val="8"/>
        <rFont val="宋体"/>
        <charset val="134"/>
      </rPr>
      <t>烤漆龙骨</t>
    </r>
  </si>
  <si>
    <t>xingang-HAZIRA,NDIA</t>
  </si>
  <si>
    <r>
      <t>提单未拿</t>
    </r>
    <r>
      <rPr>
        <sz val="8"/>
        <rFont val="宋体"/>
        <charset val="134"/>
      </rPr>
      <t xml:space="preserve"> 做金凯抬头FB  同J4101</t>
    </r>
  </si>
  <si>
    <r>
      <rPr>
        <sz val="8"/>
        <color theme="1"/>
        <rFont val="宋体"/>
        <charset val="134"/>
      </rPr>
      <t>浙江亚拓订舱长荣,汇昌拖车</t>
    </r>
    <r>
      <rPr>
        <sz val="8"/>
        <color rgb="FFFF0000"/>
        <rFont val="宋体"/>
        <charset val="134"/>
      </rPr>
      <t>华悦抬头报关 华悦9710</t>
    </r>
  </si>
  <si>
    <t>J4220</t>
  </si>
  <si>
    <t>xingang-Adelaide</t>
  </si>
  <si>
    <t>单据齐等款 单据已发客户 黄色CO 单拖昂 放中间 提单显示不能超25吨 超过不许货车拉货 也会产生额外费用同J4159</t>
  </si>
  <si>
    <t>指定代理ACON LOGISTICS，会昌拖车报关</t>
  </si>
  <si>
    <t>J4221-2</t>
  </si>
  <si>
    <r>
      <rPr>
        <sz val="8"/>
        <rFont val="Arial"/>
        <charset val="134"/>
      </rPr>
      <t xml:space="preserve">2x40H  </t>
    </r>
    <r>
      <rPr>
        <sz val="8"/>
        <rFont val="宋体"/>
        <charset val="134"/>
      </rPr>
      <t>小付骨</t>
    </r>
  </si>
  <si>
    <r>
      <rPr>
        <sz val="8"/>
        <color rgb="FF0000FF"/>
        <rFont val="宋体"/>
        <charset val="134"/>
      </rPr>
      <t>22号下午装箱 21号全天报数据</t>
    </r>
    <r>
      <rPr>
        <sz val="8"/>
        <rFont val="宋体"/>
        <charset val="134"/>
      </rPr>
      <t xml:space="preserve"> form E 提单显示26.66吨 申请21天免用箱 柜子少可以申请14天免用箱  同J4146 4200</t>
    </r>
  </si>
  <si>
    <t>迪斯泰订舱MCC2804/2840，迪斯泰拖车报关</t>
  </si>
  <si>
    <t>J4221-1</t>
  </si>
  <si>
    <t>DHL3339911890 加50买到12天免用箱 form E 提单显示26.66吨 申请21天免用箱 柜子少可以申请14天免用箱  同J4146 4200</t>
  </si>
  <si>
    <r>
      <rPr>
        <sz val="8"/>
        <color theme="1"/>
        <rFont val="宋体"/>
        <charset val="134"/>
      </rPr>
      <t>迪斯泰订舱</t>
    </r>
    <r>
      <rPr>
        <sz val="8"/>
        <color theme="1"/>
        <rFont val="Arial"/>
        <charset val="134"/>
      </rPr>
      <t>MCC2914/2980</t>
    </r>
    <r>
      <rPr>
        <sz val="8"/>
        <color theme="1"/>
        <rFont val="宋体"/>
        <charset val="134"/>
      </rPr>
      <t>，小杜拖车报关</t>
    </r>
  </si>
  <si>
    <t>J4223</t>
  </si>
  <si>
    <r>
      <rPr>
        <sz val="8"/>
        <rFont val="Arial"/>
        <charset val="134"/>
      </rPr>
      <t>5000</t>
    </r>
    <r>
      <rPr>
        <sz val="8"/>
        <rFont val="宋体"/>
        <charset val="134"/>
      </rPr>
      <t>只打孔边角</t>
    </r>
  </si>
  <si>
    <t>发山东平邑华晨</t>
  </si>
  <si>
    <t>J4224</t>
  </si>
  <si>
    <r>
      <rPr>
        <sz val="8"/>
        <rFont val="Arial"/>
        <charset val="134"/>
      </rPr>
      <t xml:space="preserve">1x40H  </t>
    </r>
    <r>
      <rPr>
        <sz val="8"/>
        <rFont val="宋体"/>
        <charset val="134"/>
      </rPr>
      <t>小付骨</t>
    </r>
  </si>
  <si>
    <t>FORM E Hcode7308.90 电放 同J4204</t>
  </si>
  <si>
    <t>J4222</t>
  </si>
  <si>
    <r>
      <rPr>
        <sz val="8"/>
        <rFont val="Arial"/>
        <charset val="134"/>
      </rPr>
      <t xml:space="preserve">1x20GP </t>
    </r>
    <r>
      <rPr>
        <sz val="8"/>
        <rFont val="宋体"/>
        <charset val="134"/>
      </rPr>
      <t>烤漆龙骨</t>
    </r>
  </si>
  <si>
    <t>给客户优惠200海运费 CO 发给客户确认海运费 电放其他单据发邮箱 同J3859 3984</t>
  </si>
  <si>
    <r>
      <t xml:space="preserve">永鑫海订舱MSC3862/4062，永鑫海拖车 </t>
    </r>
    <r>
      <rPr>
        <sz val="8"/>
        <color rgb="FFFF0000"/>
        <rFont val="宋体"/>
        <charset val="134"/>
      </rPr>
      <t>金凯一达通报关</t>
    </r>
  </si>
  <si>
    <t>J4225</t>
  </si>
  <si>
    <t>DHL4394604336 金色 显示HSCODE form E(PE前的件数 单词不能断行) 出保险 目的港14天免费期  同J4142 4162</t>
  </si>
  <si>
    <r>
      <rPr>
        <sz val="8"/>
        <color theme="1"/>
        <rFont val="宋体"/>
        <charset val="134"/>
      </rPr>
      <t>汇昌订舱中远1500</t>
    </r>
    <r>
      <rPr>
        <sz val="8"/>
        <color theme="1"/>
        <rFont val="Arial"/>
        <charset val="134"/>
      </rPr>
      <t>/1540</t>
    </r>
    <r>
      <rPr>
        <sz val="8"/>
        <color theme="1"/>
        <rFont val="宋体"/>
        <charset val="134"/>
      </rPr>
      <t>，盛汇通拖车</t>
    </r>
    <r>
      <rPr>
        <sz val="8"/>
        <color theme="1"/>
        <rFont val="Arial"/>
        <charset val="134"/>
      </rPr>
      <t xml:space="preserve"> </t>
    </r>
    <r>
      <rPr>
        <sz val="8"/>
        <color rgb="FFFF0000"/>
        <rFont val="宋体"/>
        <charset val="134"/>
      </rPr>
      <t>金凯抬头报关</t>
    </r>
  </si>
  <si>
    <r>
      <rPr>
        <b/>
        <sz val="8"/>
        <color rgb="FF0000FF"/>
        <rFont val="宋体"/>
        <charset val="134"/>
      </rPr>
      <t>水单</t>
    </r>
    <r>
      <rPr>
        <b/>
        <sz val="8"/>
        <color rgb="FF0000FF"/>
        <rFont val="Arial"/>
        <charset val="134"/>
      </rPr>
      <t>28480.53</t>
    </r>
  </si>
  <si>
    <t>J4226</t>
  </si>
  <si>
    <t>单据齐等款 单据已发客户 DHL1607356892 发电放字样带日期的提单付款 显示HSCODE form E(PE前的件数 单词不能断行) 出保险 目的港14天免费期  同J4142 4162</t>
  </si>
  <si>
    <r>
      <rPr>
        <sz val="8"/>
        <color theme="1"/>
        <rFont val="宋体"/>
        <charset val="134"/>
      </rPr>
      <t>汇昌订舱海丰1540</t>
    </r>
    <r>
      <rPr>
        <sz val="8"/>
        <color theme="1"/>
        <rFont val="Arial"/>
        <charset val="134"/>
      </rPr>
      <t>/1550</t>
    </r>
    <r>
      <rPr>
        <sz val="8"/>
        <color theme="1"/>
        <rFont val="宋体"/>
        <charset val="134"/>
      </rPr>
      <t>，盛汇通拖车</t>
    </r>
    <r>
      <rPr>
        <sz val="8"/>
        <color theme="1"/>
        <rFont val="Arial"/>
        <charset val="134"/>
      </rPr>
      <t xml:space="preserve"> </t>
    </r>
    <r>
      <rPr>
        <sz val="8"/>
        <color rgb="FFFF0000"/>
        <rFont val="宋体"/>
        <charset val="134"/>
      </rPr>
      <t>金凯一达通报关</t>
    </r>
  </si>
  <si>
    <t>J4227</t>
  </si>
  <si>
    <t>单据齐等款 单据已发客户 如果新增加的配件实在赶不上这批，就装J4243里面 验货时间通知经理（客户号2022-004）不超26吨 出黄色CO 木质证明 同J4214</t>
  </si>
  <si>
    <t>J4216</t>
  </si>
  <si>
    <r>
      <rPr>
        <sz val="8"/>
        <rFont val="Arial"/>
        <charset val="134"/>
      </rPr>
      <t xml:space="preserve">3x20‘ </t>
    </r>
    <r>
      <rPr>
        <sz val="8"/>
        <rFont val="宋体"/>
        <charset val="134"/>
      </rPr>
      <t>烤漆</t>
    </r>
  </si>
  <si>
    <t>xingang-Bejaia,Algeria</t>
  </si>
  <si>
    <t>海运费核算9300 按照实际与客户商量  CO 4份箱单 4份发票 提单 贸促会认证  品质证明 合格证书
样品不显示 不算件重尺 同J3985 4083</t>
  </si>
  <si>
    <r>
      <rPr>
        <sz val="8"/>
        <color theme="1"/>
        <rFont val="宋体"/>
        <charset val="134"/>
      </rPr>
      <t xml:space="preserve">永鑫海订舱MSC10020/10050，小杜拖车 </t>
    </r>
    <r>
      <rPr>
        <sz val="8"/>
        <color rgb="FFFF0000"/>
        <rFont val="宋体"/>
        <charset val="134"/>
      </rPr>
      <t>金凯抬头报关</t>
    </r>
  </si>
  <si>
    <t>J4228</t>
  </si>
  <si>
    <t>xingang-HAMAD</t>
  </si>
  <si>
    <t>DHL2320875115 要在靠近柜门的所有箱子上贴小标贴和A4纸 箱单发票签字盖章扫描 电放低报CCPIT CO，低报做CIF不显示运费 客户要求显示HScode 同J4139-2</t>
  </si>
  <si>
    <r>
      <rPr>
        <sz val="8"/>
        <color theme="1"/>
        <rFont val="宋体"/>
        <charset val="134"/>
      </rPr>
      <t xml:space="preserve">永鑫海MSC3020/3030，汇昌拖车 </t>
    </r>
    <r>
      <rPr>
        <sz val="8"/>
        <color rgb="FFFF0000"/>
        <rFont val="宋体"/>
        <charset val="134"/>
      </rPr>
      <t>金凯抬头报关</t>
    </r>
  </si>
  <si>
    <t>J4232</t>
  </si>
  <si>
    <r>
      <rPr>
        <sz val="8"/>
        <rFont val="Arial"/>
        <charset val="134"/>
      </rPr>
      <t>4</t>
    </r>
    <r>
      <rPr>
        <sz val="8"/>
        <rFont val="宋体"/>
        <charset val="134"/>
      </rPr>
      <t>吨澳式主骨</t>
    </r>
  </si>
  <si>
    <t>J4231-3</t>
  </si>
  <si>
    <r>
      <rPr>
        <sz val="8"/>
        <rFont val="Arial"/>
        <charset val="134"/>
      </rPr>
      <t xml:space="preserve">1x40H </t>
    </r>
    <r>
      <rPr>
        <sz val="8"/>
        <rFont val="宋体"/>
        <charset val="134"/>
      </rPr>
      <t>小付骨</t>
    </r>
  </si>
  <si>
    <t>换金凯德银账户 FORM E Hcode7308.90 电放 同J4204 4224</t>
  </si>
  <si>
    <t>J4231-1</t>
  </si>
  <si>
    <t>DHL1448579134 FORM E Hcode7308.90 电放 同J4204 4224</t>
  </si>
  <si>
    <r>
      <rPr>
        <sz val="8"/>
        <color theme="1"/>
        <rFont val="宋体"/>
        <charset val="134"/>
      </rPr>
      <t>迪斯泰订舱</t>
    </r>
    <r>
      <rPr>
        <sz val="8"/>
        <color theme="1"/>
        <rFont val="Arial"/>
        <charset val="134"/>
      </rPr>
      <t>MCC2497/2520</t>
    </r>
    <r>
      <rPr>
        <sz val="8"/>
        <color theme="1"/>
        <rFont val="宋体"/>
        <charset val="134"/>
      </rPr>
      <t>，小杜拖车报关</t>
    </r>
  </si>
  <si>
    <t>J4231-2</t>
  </si>
  <si>
    <t>FORM E Hcode7308.90 电放</t>
  </si>
  <si>
    <t>迪斯泰订舱MCC2814/2850，小杜拖车报关</t>
  </si>
  <si>
    <t>J4236</t>
  </si>
  <si>
    <t>23号到孟买新 电放提单 一般不走RCL 同J4127 4167</t>
  </si>
  <si>
    <r>
      <rPr>
        <sz val="8"/>
        <color theme="1"/>
        <rFont val="宋体"/>
        <charset val="134"/>
      </rPr>
      <t>惠禾订舱</t>
    </r>
    <r>
      <rPr>
        <sz val="8"/>
        <color theme="1"/>
        <rFont val="Arial"/>
        <charset val="134"/>
      </rPr>
      <t>CMA2850</t>
    </r>
    <r>
      <rPr>
        <sz val="8"/>
        <color theme="1"/>
        <rFont val="宋体"/>
        <charset val="134"/>
      </rPr>
      <t xml:space="preserve">，惠禾拖车 </t>
    </r>
    <r>
      <rPr>
        <sz val="8"/>
        <color rgb="FFFF0000"/>
        <rFont val="宋体"/>
        <charset val="134"/>
      </rPr>
      <t>金凯抬头报关</t>
    </r>
  </si>
  <si>
    <t>J4243</t>
  </si>
  <si>
    <r>
      <rPr>
        <sz val="8"/>
        <rFont val="Arial"/>
        <charset val="134"/>
      </rPr>
      <t xml:space="preserve">1x40'  </t>
    </r>
    <r>
      <rPr>
        <sz val="8"/>
        <rFont val="宋体"/>
        <charset val="134"/>
      </rPr>
      <t>轻钢</t>
    </r>
    <r>
      <rPr>
        <sz val="8"/>
        <rFont val="Arial"/>
        <charset val="134"/>
      </rPr>
      <t>+</t>
    </r>
    <r>
      <rPr>
        <sz val="8"/>
        <rFont val="宋体"/>
        <charset val="134"/>
      </rPr>
      <t>配件</t>
    </r>
  </si>
  <si>
    <t>26拖5 J4243+J4244 验货时间通知经理（客户号2022-008）不超26吨 出黄色CO 木质证明 同J4227</t>
  </si>
  <si>
    <t>鑫顺源订舱，小杜拖车报关</t>
  </si>
  <si>
    <t>J4244</t>
  </si>
  <si>
    <t>预计14号货好 验货时间通知经理（客户号）不超26吨 出黄色CO 木质证明 同J4227</t>
  </si>
  <si>
    <t>J4251</t>
  </si>
  <si>
    <t>迪拜FRAMES/Sunil</t>
  </si>
  <si>
    <r>
      <rPr>
        <sz val="8"/>
        <rFont val="Arial"/>
        <charset val="134"/>
      </rPr>
      <t xml:space="preserve">1x20+1x40H  </t>
    </r>
    <r>
      <rPr>
        <sz val="8"/>
        <rFont val="宋体"/>
        <charset val="134"/>
      </rPr>
      <t>轻钢龙骨</t>
    </r>
  </si>
  <si>
    <t>xingang-SHARJAH  ICD,  UAE</t>
  </si>
  <si>
    <t>单据齐等款 单据已发客户 8拖 两个港口客户都到 和客户确认 Jebel Ali, UAE SHARJAH  ICD 同J3862 3890</t>
  </si>
  <si>
    <r>
      <rPr>
        <sz val="8"/>
        <color theme="1"/>
        <rFont val="宋体"/>
        <charset val="134"/>
      </rPr>
      <t>惠禾约号订舱</t>
    </r>
    <r>
      <rPr>
        <sz val="8"/>
        <color theme="1"/>
        <rFont val="Arial"/>
        <charset val="134"/>
      </rPr>
      <t xml:space="preserve">EMI, </t>
    </r>
    <r>
      <rPr>
        <sz val="8"/>
        <color theme="1"/>
        <rFont val="宋体"/>
        <charset val="134"/>
      </rPr>
      <t>小杜拖车报关</t>
    </r>
  </si>
  <si>
    <t>J4252</t>
  </si>
  <si>
    <r>
      <rPr>
        <sz val="8"/>
        <rFont val="Arial"/>
        <charset val="134"/>
      </rPr>
      <t xml:space="preserve">1x20‘  </t>
    </r>
    <r>
      <rPr>
        <sz val="8"/>
        <rFont val="宋体"/>
        <charset val="134"/>
      </rPr>
      <t>烤漆</t>
    </r>
  </si>
  <si>
    <t>料齐 同J4190 J4203</t>
  </si>
  <si>
    <t>J4254</t>
  </si>
  <si>
    <t>要在靠近柜门的所有箱子上贴小标贴和A4纸 箱单发票签字盖章扫描 电放低报CCPIT CO，低报做CIF不显示运费 客户要求显示HScode 同J4161 4228</t>
  </si>
  <si>
    <r>
      <rPr>
        <sz val="8"/>
        <color theme="1"/>
        <rFont val="宋体"/>
        <charset val="134"/>
      </rPr>
      <t xml:space="preserve">永鑫海订舱5590，汇昌拖车 </t>
    </r>
    <r>
      <rPr>
        <sz val="8"/>
        <color rgb="FFFF0000"/>
        <rFont val="宋体"/>
        <charset val="134"/>
      </rPr>
      <t>金凯抬头报关</t>
    </r>
  </si>
  <si>
    <t>J4255</t>
  </si>
  <si>
    <t>加拿大Pacific/Jerry</t>
  </si>
  <si>
    <r>
      <rPr>
        <sz val="8"/>
        <rFont val="Arial"/>
        <charset val="134"/>
      </rPr>
      <t xml:space="preserve">1x20’  </t>
    </r>
    <r>
      <rPr>
        <sz val="8"/>
        <rFont val="宋体"/>
        <charset val="134"/>
      </rPr>
      <t>轻钢大边角</t>
    </r>
  </si>
  <si>
    <t>xingang-Vancouver,  CANADA</t>
  </si>
  <si>
    <t>28拖2 加拿大币报关 加托盘整个货物重量不能超过26.5吨</t>
  </si>
  <si>
    <r>
      <rPr>
        <sz val="8"/>
        <color theme="1"/>
        <rFont val="宋体"/>
        <charset val="134"/>
      </rPr>
      <t>誉洲订舱</t>
    </r>
    <r>
      <rPr>
        <sz val="8"/>
        <color theme="1"/>
        <rFont val="Arial"/>
        <charset val="134"/>
      </rPr>
      <t>CMA6500/6580</t>
    </r>
    <r>
      <rPr>
        <sz val="8"/>
        <color theme="1"/>
        <rFont val="宋体"/>
        <charset val="134"/>
      </rPr>
      <t>，誉洲拖车报关</t>
    </r>
  </si>
  <si>
    <t>J4256</t>
  </si>
  <si>
    <t>保险 CO 同J4145 4189</t>
  </si>
  <si>
    <t>深圳市三联订舱</t>
  </si>
  <si>
    <t>J4259</t>
  </si>
  <si>
    <t>已放舱 等报数据时间 出CO 60% of final invoice做低报发票  同J4095 4134</t>
  </si>
  <si>
    <t>代理Gateway订舱HPL</t>
  </si>
  <si>
    <t>J4257</t>
  </si>
  <si>
    <r>
      <rPr>
        <sz val="8"/>
        <rFont val="Arial"/>
        <charset val="134"/>
      </rPr>
      <t>1x40HQ</t>
    </r>
    <r>
      <rPr>
        <sz val="8"/>
        <rFont val="宋体"/>
        <charset val="134"/>
      </rPr>
      <t>收边条</t>
    </r>
  </si>
  <si>
    <t>加拿大币报关 加托盘整个货物重量不能超过26.5吨   实际发货与合同不一致的话 需要在实际发票上标红 备注，客户改PO再付款</t>
  </si>
  <si>
    <t>CAD30567.6</t>
  </si>
  <si>
    <t>J4260</t>
  </si>
  <si>
    <r>
      <rPr>
        <sz val="8"/>
        <rFont val="Arial"/>
        <charset val="134"/>
      </rPr>
      <t xml:space="preserve">1x40HQ </t>
    </r>
    <r>
      <rPr>
        <sz val="8"/>
        <rFont val="宋体"/>
        <charset val="134"/>
      </rPr>
      <t>打孔沿地和开平板</t>
    </r>
  </si>
  <si>
    <t>特别注意每托重量不超过1.36吨 加托盘整个货物重量不能超过26.5吨  实际发货与合同不一致的话 需要在实际发票上标红 备注，客户改PO再付款</t>
  </si>
  <si>
    <t>J4263</t>
  </si>
  <si>
    <t>1x20 边角</t>
  </si>
  <si>
    <t>箱子放中间 特别注意每托重量不超过1.36吨 加托盘整个货物重量不能超过26.5吨</t>
  </si>
  <si>
    <t>誉洲订舱CMA6500/6580，誉洲拖车报关</t>
  </si>
  <si>
    <r>
      <rPr>
        <b/>
        <sz val="8"/>
        <color rgb="FF0000FF"/>
        <rFont val="宋体"/>
        <charset val="134"/>
      </rPr>
      <t>定金退回收取手续费</t>
    </r>
    <r>
      <rPr>
        <b/>
        <sz val="8"/>
        <color rgb="FF0000FF"/>
        <rFont val="Arial"/>
        <charset val="134"/>
      </rPr>
      <t xml:space="preserve">CAD25 </t>
    </r>
    <r>
      <rPr>
        <b/>
        <sz val="8"/>
        <color rgb="FF0000FF"/>
        <rFont val="宋体"/>
        <charset val="134"/>
      </rPr>
      <t>咱们付</t>
    </r>
  </si>
  <si>
    <t>J4269</t>
  </si>
  <si>
    <t>2x40HQ小付骨</t>
  </si>
  <si>
    <t>DHL7544691862 机检+人工13天免用箱实际海运费2450 (2500 买箱使加50美金) form E 提单显示26.66吨 申请21天免用箱 柜子少可以申请14天免用箱  同4200 4221 J4112</t>
  </si>
  <si>
    <r>
      <rPr>
        <sz val="8"/>
        <color theme="1"/>
        <rFont val="宋体"/>
        <charset val="134"/>
      </rPr>
      <t>迪斯泰订舱</t>
    </r>
    <r>
      <rPr>
        <sz val="8"/>
        <color theme="1"/>
        <rFont val="Arial"/>
        <charset val="134"/>
      </rPr>
      <t>2500/2550</t>
    </r>
    <r>
      <rPr>
        <sz val="8"/>
        <color theme="1"/>
        <rFont val="宋体"/>
        <charset val="134"/>
      </rPr>
      <t>，迪斯泰拖车报关</t>
    </r>
  </si>
  <si>
    <t>J4271</t>
  </si>
  <si>
    <t>3x20‘  烤漆</t>
  </si>
  <si>
    <t>同JJ4203 4252</t>
  </si>
  <si>
    <t>J4272</t>
  </si>
  <si>
    <t>厦门雅卓/王中和</t>
  </si>
  <si>
    <t>窄边平面烤漆龙骨2800平米</t>
  </si>
  <si>
    <t>J4277</t>
  </si>
  <si>
    <t>1x40HQ 打孔沿地和开平板</t>
  </si>
  <si>
    <t>箱子放中间 特别注意每托重量不超过1.36吨 加托盘整个货物重量不能超过26.5吨 同J4260   实际发货与合同不一致的话 需要在实际发票上标红 备注，客户改PO再付款</t>
  </si>
  <si>
    <t>J4278</t>
  </si>
  <si>
    <t>箱子放中间 特别注意每托重量不超过1.36吨 加托盘整个货物重量不能超过26.5吨 同J4260  实际发货与合同不一致的话 需要在实际发票上标红 备注，客户改PO再付款</t>
  </si>
  <si>
    <t>J4279</t>
  </si>
  <si>
    <t>J4280</t>
  </si>
  <si>
    <t>台湾SCAN/Jessica</t>
  </si>
  <si>
    <t>5000只U型骨</t>
  </si>
  <si>
    <t>3825运费 一周内货好</t>
  </si>
  <si>
    <t>J4282</t>
  </si>
  <si>
    <t>义乌亿诚/章财</t>
  </si>
  <si>
    <t>6000个义乌吊件</t>
  </si>
  <si>
    <t>J4823</t>
  </si>
  <si>
    <t>1x20'  烤漆龙骨</t>
  </si>
  <si>
    <t>电放提单 一般不走RCL 同J4167 4236</t>
  </si>
  <si>
    <t>J4286</t>
  </si>
  <si>
    <r>
      <rPr>
        <sz val="8"/>
        <rFont val="宋体"/>
        <charset val="134"/>
      </rPr>
      <t>单据齐等款 单据已发客户</t>
    </r>
    <r>
      <rPr>
        <sz val="8"/>
        <color rgb="FFFF0000"/>
        <rFont val="宋体"/>
        <charset val="134"/>
      </rPr>
      <t xml:space="preserve">  </t>
    </r>
    <r>
      <rPr>
        <sz val="8"/>
        <rFont val="宋体"/>
        <charset val="134"/>
      </rPr>
      <t>验货时间通知经理（客户号2022-012）不超26吨 出黄色CO 木质证明 同J4244</t>
    </r>
  </si>
  <si>
    <t>鑫顺源订舱MSK，小杜拖车报关</t>
  </si>
  <si>
    <t>J4287</t>
  </si>
  <si>
    <t>黄色CO 单拖昂 放中间 提单显示不能超25吨 同J4220</t>
  </si>
  <si>
    <r>
      <rPr>
        <sz val="8"/>
        <color theme="1"/>
        <rFont val="宋体"/>
        <charset val="134"/>
      </rPr>
      <t>指定代理</t>
    </r>
    <r>
      <rPr>
        <sz val="8"/>
        <color theme="1"/>
        <rFont val="Arial"/>
        <charset val="134"/>
      </rPr>
      <t>ACON LOGISTICS</t>
    </r>
    <r>
      <rPr>
        <sz val="8"/>
        <color theme="1"/>
        <rFont val="宋体"/>
        <charset val="134"/>
      </rPr>
      <t>订舱MSC，小杜拖车报关</t>
    </r>
  </si>
  <si>
    <t>J4288</t>
  </si>
  <si>
    <r>
      <rPr>
        <sz val="8"/>
        <rFont val="Arial"/>
        <charset val="134"/>
      </rPr>
      <t xml:space="preserve">1x20'  </t>
    </r>
    <r>
      <rPr>
        <sz val="8"/>
        <rFont val="宋体"/>
        <charset val="134"/>
      </rPr>
      <t>烤漆龙骨</t>
    </r>
  </si>
  <si>
    <t>CO 因为约定的发货人不是我方，务必要求货代承诺不能无款放单。  同J4060 4141 4165</t>
  </si>
  <si>
    <t>J4289</t>
  </si>
  <si>
    <t>J4295</t>
  </si>
  <si>
    <t>验货时间通知经理（客户号2022-013）不超26吨 出黄色CO 木质证明 同J4244 4286</t>
  </si>
  <si>
    <t>J4296</t>
  </si>
  <si>
    <t>验货时间通知经理（客户号2022-014）不超26吨 出黄色CO 木质证明 同J4244 4286</t>
  </si>
  <si>
    <t>J4298</t>
  </si>
  <si>
    <r>
      <rPr>
        <sz val="8"/>
        <rFont val="Arial"/>
        <charset val="134"/>
      </rPr>
      <t xml:space="preserve">4x40‘H </t>
    </r>
    <r>
      <rPr>
        <sz val="8"/>
        <rFont val="宋体"/>
        <charset val="134"/>
      </rPr>
      <t>小付骨</t>
    </r>
  </si>
  <si>
    <t>FORM E Hcode7308.90 电放 同J4204 4224 4231</t>
  </si>
  <si>
    <t>J4301</t>
  </si>
  <si>
    <t>同J4271</t>
  </si>
  <si>
    <t>J4299</t>
  </si>
  <si>
    <r>
      <rPr>
        <sz val="8"/>
        <rFont val="Arial"/>
        <charset val="134"/>
      </rPr>
      <t xml:space="preserve">3x20' </t>
    </r>
    <r>
      <rPr>
        <sz val="8"/>
        <rFont val="宋体"/>
        <charset val="134"/>
      </rPr>
      <t>轻钢</t>
    </r>
    <r>
      <rPr>
        <sz val="8"/>
        <rFont val="Arial"/>
        <charset val="134"/>
      </rPr>
      <t>0.35mm</t>
    </r>
  </si>
  <si>
    <t>目的港14天 出CO 申请14天免用箱 发货时间与客户确认 同J4063 4138-2</t>
  </si>
  <si>
    <t>J4300</t>
  </si>
  <si>
    <r>
      <rPr>
        <sz val="8"/>
        <rFont val="Arial"/>
        <charset val="134"/>
      </rPr>
      <t xml:space="preserve">4x20‘ </t>
    </r>
    <r>
      <rPr>
        <sz val="8"/>
        <rFont val="宋体"/>
        <charset val="134"/>
      </rPr>
      <t>轻钢</t>
    </r>
    <r>
      <rPr>
        <sz val="8"/>
        <rFont val="Arial"/>
        <charset val="134"/>
      </rPr>
      <t>0.35mm</t>
    </r>
  </si>
  <si>
    <t>出CO 申请14天免用箱 发货时间与客户确认 同J4173</t>
  </si>
  <si>
    <t>J4304</t>
  </si>
  <si>
    <t>保险 CO 同J4145 4189 4256</t>
  </si>
  <si>
    <t>J4305</t>
  </si>
  <si>
    <t>验货时间通知经理（客户号2022-017）不超26吨 出黄色CO 木质证明 同J4244 4286 4296</t>
  </si>
  <si>
    <t>J4303</t>
  </si>
  <si>
    <t>CO 提单要电放 代理订舱 同J4105 4181</t>
  </si>
  <si>
    <t>J4308</t>
  </si>
  <si>
    <t>发电放字样带日期的提单付款 显示HSCODE form E(PE前的件数 单词不能断行) 出保险 目的港14天免费期  同J4142 4162</t>
  </si>
  <si>
    <t>J4309</t>
  </si>
  <si>
    <r>
      <rPr>
        <sz val="8"/>
        <rFont val="Arial"/>
        <charset val="134"/>
      </rPr>
      <t xml:space="preserve">5x40' </t>
    </r>
    <r>
      <rPr>
        <sz val="8"/>
        <rFont val="宋体"/>
        <charset val="134"/>
      </rPr>
      <t>小付骨</t>
    </r>
  </si>
  <si>
    <t>form E 提单显示26.66吨 申请21天免用箱 柜子少可以申请14天免用箱  同4200 4221 4269</t>
  </si>
  <si>
    <t>J4314</t>
  </si>
  <si>
    <t>直接在原料厂装箱 Steel Strips Materials to produce wall angle   （品名订舱前再与客户确认一次）    显示HSCODE form E(PE前的件数 单词不能断行) 出保险 目的港14天免费期  同J4142 4162 4308</t>
  </si>
  <si>
    <t>J4318</t>
  </si>
  <si>
    <t>郑州佳合兴</t>
  </si>
  <si>
    <r>
      <rPr>
        <sz val="8"/>
        <rFont val="Arial"/>
        <charset val="134"/>
      </rPr>
      <t>1000</t>
    </r>
    <r>
      <rPr>
        <sz val="8"/>
        <rFont val="宋体"/>
        <charset val="134"/>
      </rPr>
      <t>只烤漆</t>
    </r>
    <r>
      <rPr>
        <sz val="8"/>
        <rFont val="Arial"/>
        <charset val="134"/>
      </rPr>
      <t>W</t>
    </r>
    <r>
      <rPr>
        <sz val="8"/>
        <rFont val="宋体"/>
        <charset val="134"/>
      </rPr>
      <t>边角</t>
    </r>
  </si>
  <si>
    <t>发物流 450元到盐城滨海 1688 下单，付的支付宝</t>
  </si>
  <si>
    <t>J4315</t>
  </si>
  <si>
    <t>验货时间通知经理（客户号2022-018）不超26吨 出黄色CO 木质证明 同J4286 4296 4305</t>
  </si>
  <si>
    <t>J4316</t>
  </si>
  <si>
    <t>验货时间通知经理（客户号2022-019）不超26吨 出黄色CO 木质证明 同J4286 4296 4305</t>
  </si>
  <si>
    <t>X3558</t>
  </si>
  <si>
    <t>Qingdao-Sokhna</t>
  </si>
  <si>
    <r>
      <rPr>
        <b/>
        <sz val="8"/>
        <rFont val="Arial"/>
        <charset val="134"/>
      </rPr>
      <t xml:space="preserve">DHL1543236306  J3552+X3558 </t>
    </r>
    <r>
      <rPr>
        <b/>
        <sz val="8"/>
        <rFont val="宋体"/>
        <charset val="134"/>
      </rPr>
      <t>应付</t>
    </r>
    <r>
      <rPr>
        <b/>
        <sz val="8"/>
        <rFont val="Arial"/>
        <charset val="134"/>
      </rPr>
      <t>4480.5+3034.84</t>
    </r>
    <r>
      <rPr>
        <b/>
        <sz val="8"/>
        <rFont val="宋体"/>
        <charset val="134"/>
      </rPr>
      <t>共收到</t>
    </r>
    <r>
      <rPr>
        <b/>
        <sz val="8"/>
        <rFont val="Arial"/>
        <charset val="134"/>
      </rPr>
      <t>7473.50</t>
    </r>
  </si>
  <si>
    <t>华迈国际订舱，千吉业拖车报关</t>
  </si>
  <si>
    <t>USD10154.16+USD3034.84</t>
  </si>
  <si>
    <t>X3567</t>
  </si>
  <si>
    <r>
      <rPr>
        <b/>
        <sz val="8"/>
        <rFont val="Arial"/>
        <charset val="134"/>
      </rPr>
      <t>DHL</t>
    </r>
    <r>
      <rPr>
        <b/>
        <sz val="8"/>
        <rFont val="宋体"/>
        <charset val="134"/>
      </rPr>
      <t>：</t>
    </r>
    <r>
      <rPr>
        <b/>
        <sz val="8"/>
        <rFont val="Arial"/>
        <charset val="134"/>
      </rPr>
      <t>1543194940</t>
    </r>
  </si>
  <si>
    <r>
      <rPr>
        <sz val="8"/>
        <color theme="1"/>
        <rFont val="Arial"/>
        <charset val="134"/>
      </rPr>
      <t>联达环球订舱</t>
    </r>
    <r>
      <rPr>
        <sz val="8"/>
        <color theme="1"/>
        <rFont val="Arial"/>
        <charset val="134"/>
      </rPr>
      <t>875/930</t>
    </r>
    <r>
      <rPr>
        <sz val="8"/>
        <color theme="1"/>
        <rFont val="宋体"/>
        <charset val="134"/>
      </rPr>
      <t>客户，皇华拖车报关</t>
    </r>
  </si>
  <si>
    <t>X3570</t>
  </si>
  <si>
    <r>
      <rPr>
        <sz val="8"/>
        <rFont val="Arial"/>
        <charset val="134"/>
      </rPr>
      <t xml:space="preserve">9x20 </t>
    </r>
    <r>
      <rPr>
        <sz val="8"/>
        <rFont val="宋体"/>
        <charset val="134"/>
      </rPr>
      <t>硅钙板</t>
    </r>
  </si>
  <si>
    <t>xingang-Jebel ali</t>
  </si>
  <si>
    <r>
      <rPr>
        <b/>
        <sz val="8"/>
        <rFont val="Arial"/>
        <charset val="134"/>
      </rPr>
      <t>DHL</t>
    </r>
    <r>
      <rPr>
        <b/>
        <sz val="8"/>
        <rFont val="宋体"/>
        <charset val="134"/>
      </rPr>
      <t>：</t>
    </r>
    <r>
      <rPr>
        <b/>
        <sz val="8"/>
        <rFont val="Arial"/>
        <charset val="134"/>
      </rPr>
      <t>1162456680</t>
    </r>
  </si>
  <si>
    <r>
      <rPr>
        <sz val="8"/>
        <color theme="1"/>
        <rFont val="Arial"/>
        <charset val="134"/>
      </rPr>
      <t>迪斯泰订舱拖车报关</t>
    </r>
    <r>
      <rPr>
        <sz val="8"/>
        <color theme="1"/>
        <rFont val="Arial"/>
        <charset val="134"/>
      </rPr>
      <t>902/915, 
APL,</t>
    </r>
    <r>
      <rPr>
        <sz val="8"/>
        <color theme="1"/>
        <rFont val="宋体"/>
        <charset val="134"/>
      </rPr>
      <t>拖车费</t>
    </r>
    <r>
      <rPr>
        <sz val="8"/>
        <color theme="1"/>
        <rFont val="Arial"/>
        <charset val="134"/>
      </rPr>
      <t>2800</t>
    </r>
  </si>
  <si>
    <t>X3581-1</t>
  </si>
  <si>
    <r>
      <rPr>
        <sz val="8"/>
        <rFont val="Arial"/>
        <charset val="134"/>
      </rPr>
      <t>印度</t>
    </r>
    <r>
      <rPr>
        <sz val="8"/>
        <rFont val="Arial"/>
        <charset val="134"/>
      </rPr>
      <t xml:space="preserve"> ANGI </t>
    </r>
    <r>
      <rPr>
        <sz val="8"/>
        <rFont val="宋体"/>
        <charset val="134"/>
      </rPr>
      <t>（</t>
    </r>
    <r>
      <rPr>
        <sz val="8"/>
        <rFont val="Arial"/>
        <charset val="134"/>
      </rPr>
      <t>Jayesh</t>
    </r>
    <r>
      <rPr>
        <sz val="8"/>
        <rFont val="宋体"/>
        <charset val="134"/>
      </rPr>
      <t>）</t>
    </r>
  </si>
  <si>
    <r>
      <rPr>
        <sz val="8"/>
        <rFont val="Arial"/>
        <charset val="134"/>
      </rPr>
      <t>1x40</t>
    </r>
    <r>
      <rPr>
        <sz val="8"/>
        <rFont val="宋体"/>
        <charset val="134"/>
      </rPr>
      <t>矿棉板</t>
    </r>
  </si>
  <si>
    <t>xingang-nava sheva</t>
  </si>
  <si>
    <t>DHL: 21 6944 0685</t>
  </si>
  <si>
    <t>深圳和新订舱，会昌拖车报关</t>
  </si>
  <si>
    <t>X3581-2</t>
  </si>
  <si>
    <r>
      <rPr>
        <sz val="8"/>
        <rFont val="Arial"/>
        <charset val="134"/>
      </rPr>
      <t>1x20</t>
    </r>
    <r>
      <rPr>
        <sz val="8"/>
        <rFont val="宋体"/>
        <charset val="134"/>
      </rPr>
      <t>石膏板</t>
    </r>
  </si>
  <si>
    <t>qingdao-nava sheva</t>
  </si>
  <si>
    <t>海盟订舱，皇华拖车报关</t>
  </si>
  <si>
    <t>X3604</t>
  </si>
  <si>
    <r>
      <rPr>
        <sz val="8"/>
        <rFont val="Arial"/>
        <charset val="134"/>
      </rPr>
      <t>单号</t>
    </r>
    <r>
      <rPr>
        <sz val="8"/>
        <rFont val="Arial"/>
        <charset val="134"/>
      </rPr>
      <t xml:space="preserve">2979272892 </t>
    </r>
    <r>
      <rPr>
        <sz val="8"/>
        <rFont val="宋体"/>
        <charset val="134"/>
      </rPr>
      <t>等保单和</t>
    </r>
    <r>
      <rPr>
        <sz val="8"/>
        <rFont val="Arial"/>
        <charset val="134"/>
      </rPr>
      <t>BL, CO</t>
    </r>
    <r>
      <rPr>
        <sz val="8"/>
        <rFont val="宋体"/>
        <charset val="134"/>
      </rPr>
      <t>拿了</t>
    </r>
    <r>
      <rPr>
        <sz val="8"/>
        <rFont val="Arial"/>
        <charset val="134"/>
      </rPr>
      <t xml:space="preserve"> D/P</t>
    </r>
  </si>
  <si>
    <r>
      <rPr>
        <sz val="8"/>
        <color theme="1"/>
        <rFont val="Arial"/>
        <charset val="134"/>
      </rPr>
      <t>联达环球订舱</t>
    </r>
    <r>
      <rPr>
        <sz val="8"/>
        <color theme="1"/>
        <rFont val="Arial"/>
        <charset val="134"/>
      </rPr>
      <t>625/675</t>
    </r>
    <r>
      <rPr>
        <sz val="8"/>
        <color theme="1"/>
        <rFont val="宋体"/>
        <charset val="134"/>
      </rPr>
      <t>，皇华拖车</t>
    </r>
  </si>
  <si>
    <t>X3598</t>
  </si>
  <si>
    <r>
      <rPr>
        <sz val="8"/>
        <rFont val="Arial"/>
        <charset val="134"/>
      </rPr>
      <t>土耳其</t>
    </r>
    <r>
      <rPr>
        <sz val="8"/>
        <rFont val="Arial"/>
        <charset val="134"/>
      </rPr>
      <t xml:space="preserve"> ASTAV Ertugrul</t>
    </r>
  </si>
  <si>
    <r>
      <rPr>
        <sz val="8"/>
        <rFont val="Arial"/>
        <charset val="134"/>
      </rPr>
      <t>2x20</t>
    </r>
    <r>
      <rPr>
        <sz val="8"/>
        <rFont val="宋体"/>
        <charset val="134"/>
      </rPr>
      <t>彩涂卷</t>
    </r>
  </si>
  <si>
    <t>xingang-IZMIT</t>
  </si>
  <si>
    <r>
      <rPr>
        <sz val="8"/>
        <rFont val="Arial"/>
        <charset val="134"/>
      </rPr>
      <t xml:space="preserve">DHL3720107263 </t>
    </r>
    <r>
      <rPr>
        <sz val="8"/>
        <rFont val="宋体"/>
        <charset val="134"/>
      </rPr>
      <t>深圳陈小姐出</t>
    </r>
    <r>
      <rPr>
        <sz val="8"/>
        <rFont val="Arial"/>
        <charset val="134"/>
      </rPr>
      <t>CO ,</t>
    </r>
    <r>
      <rPr>
        <sz val="8"/>
        <rFont val="宋体"/>
        <charset val="134"/>
      </rPr>
      <t>厂子</t>
    </r>
    <r>
      <rPr>
        <sz val="8"/>
        <rFont val="Arial"/>
        <charset val="134"/>
      </rPr>
      <t xml:space="preserve">mill report </t>
    </r>
    <r>
      <rPr>
        <sz val="8"/>
        <rFont val="宋体"/>
        <charset val="134"/>
      </rPr>
      <t>会昌加固</t>
    </r>
    <r>
      <rPr>
        <sz val="8"/>
        <rFont val="Arial"/>
        <charset val="134"/>
      </rPr>
      <t>1000+650</t>
    </r>
  </si>
  <si>
    <t>嘉林国际货运订舱，会昌加固报关</t>
  </si>
  <si>
    <t>X3613</t>
  </si>
  <si>
    <r>
      <rPr>
        <sz val="8"/>
        <rFont val="Arial"/>
        <charset val="134"/>
      </rPr>
      <t>2x20</t>
    </r>
    <r>
      <rPr>
        <sz val="8"/>
        <rFont val="宋体"/>
        <charset val="134"/>
      </rPr>
      <t>彩涂板</t>
    </r>
  </si>
  <si>
    <r>
      <rPr>
        <sz val="8"/>
        <rFont val="Arial"/>
        <charset val="134"/>
      </rPr>
      <t xml:space="preserve">DHL5248612320  </t>
    </r>
    <r>
      <rPr>
        <sz val="8"/>
        <rFont val="宋体"/>
        <charset val="134"/>
      </rPr>
      <t>提醒工厂贴条形码</t>
    </r>
    <r>
      <rPr>
        <sz val="8"/>
        <rFont val="Arial"/>
        <charset val="134"/>
      </rPr>
      <t xml:space="preserve"> </t>
    </r>
    <r>
      <rPr>
        <sz val="8"/>
        <rFont val="宋体"/>
        <charset val="134"/>
      </rPr>
      <t>明辉达</t>
    </r>
    <r>
      <rPr>
        <sz val="8"/>
        <rFont val="Arial"/>
        <charset val="134"/>
      </rPr>
      <t xml:space="preserve">CO CCPIT </t>
    </r>
  </si>
  <si>
    <r>
      <rPr>
        <sz val="8"/>
        <color theme="1"/>
        <rFont val="Arial"/>
        <charset val="134"/>
      </rPr>
      <t>指定代理深圳顺锐达，会昌拖车</t>
    </r>
    <r>
      <rPr>
        <sz val="8"/>
        <color theme="1"/>
        <rFont val="Arial"/>
        <charset val="134"/>
      </rPr>
      <t>2950</t>
    </r>
    <r>
      <rPr>
        <sz val="8"/>
        <color theme="1"/>
        <rFont val="宋体"/>
        <charset val="134"/>
      </rPr>
      <t>一个</t>
    </r>
  </si>
  <si>
    <t>X3645</t>
  </si>
  <si>
    <r>
      <rPr>
        <sz val="8"/>
        <rFont val="Arial"/>
        <charset val="134"/>
      </rPr>
      <t>10x20</t>
    </r>
    <r>
      <rPr>
        <sz val="8"/>
        <rFont val="宋体"/>
        <charset val="134"/>
      </rPr>
      <t>石膏板</t>
    </r>
  </si>
  <si>
    <r>
      <rPr>
        <b/>
        <sz val="8"/>
        <rFont val="Arial"/>
        <charset val="134"/>
      </rPr>
      <t>DHL3874218902 CO</t>
    </r>
    <r>
      <rPr>
        <b/>
        <sz val="8"/>
        <rFont val="宋体"/>
        <charset val="134"/>
      </rPr>
      <t>拿了</t>
    </r>
    <r>
      <rPr>
        <b/>
        <sz val="8"/>
        <rFont val="Arial"/>
        <charset val="134"/>
      </rPr>
      <t xml:space="preserve"> </t>
    </r>
    <r>
      <rPr>
        <b/>
        <sz val="8"/>
        <rFont val="宋体"/>
        <charset val="134"/>
      </rPr>
      <t>发</t>
    </r>
    <r>
      <rPr>
        <b/>
        <sz val="8"/>
        <rFont val="Arial"/>
        <charset val="134"/>
      </rPr>
      <t>10</t>
    </r>
    <r>
      <rPr>
        <b/>
        <sz val="8"/>
        <rFont val="宋体"/>
        <charset val="134"/>
      </rPr>
      <t>个柜剩下两个下次发在</t>
    </r>
    <r>
      <rPr>
        <b/>
        <sz val="8"/>
        <rFont val="Arial"/>
        <charset val="134"/>
      </rPr>
      <t xml:space="preserve">X3647 </t>
    </r>
    <r>
      <rPr>
        <b/>
        <sz val="8"/>
        <rFont val="宋体"/>
        <charset val="134"/>
      </rPr>
      <t>同</t>
    </r>
    <r>
      <rPr>
        <b/>
        <sz val="8"/>
        <rFont val="Arial"/>
        <charset val="134"/>
      </rPr>
      <t xml:space="preserve">X3604 </t>
    </r>
    <r>
      <rPr>
        <b/>
        <sz val="8"/>
        <rFont val="宋体"/>
        <charset val="134"/>
      </rPr>
      <t>加上海运费保险费</t>
    </r>
    <r>
      <rPr>
        <b/>
        <sz val="8"/>
        <rFont val="Arial"/>
        <charset val="134"/>
      </rPr>
      <t xml:space="preserve">   D/P</t>
    </r>
  </si>
  <si>
    <r>
      <rPr>
        <sz val="8"/>
        <color theme="1"/>
        <rFont val="Arial"/>
        <charset val="134"/>
      </rPr>
      <t>张晋山订舱</t>
    </r>
    <r>
      <rPr>
        <sz val="8"/>
        <color theme="1"/>
        <rFont val="Arial"/>
        <charset val="134"/>
      </rPr>
      <t>1000</t>
    </r>
    <r>
      <rPr>
        <sz val="8"/>
        <color theme="1"/>
        <rFont val="宋体"/>
        <charset val="134"/>
      </rPr>
      <t>，皇华拖车报关</t>
    </r>
  </si>
  <si>
    <t>X3647</t>
  </si>
  <si>
    <r>
      <rPr>
        <sz val="8"/>
        <rFont val="华文宋体"/>
        <charset val="134"/>
      </rPr>
      <t>迪拜</t>
    </r>
    <r>
      <rPr>
        <sz val="8"/>
        <rFont val="Arial"/>
        <charset val="134"/>
      </rPr>
      <t xml:space="preserve"> GEMINI (Manoj)</t>
    </r>
  </si>
  <si>
    <r>
      <rPr>
        <sz val="8"/>
        <rFont val="宋体"/>
        <charset val="134"/>
      </rPr>
      <t>DHL4148168625</t>
    </r>
    <r>
      <rPr>
        <sz val="8"/>
        <rFont val="Arial"/>
        <charset val="134"/>
      </rPr>
      <t xml:space="preserve">
 CO </t>
    </r>
    <r>
      <rPr>
        <sz val="8"/>
        <rFont val="宋体"/>
        <charset val="134"/>
      </rPr>
      <t>保单</t>
    </r>
    <r>
      <rPr>
        <sz val="8"/>
        <rFont val="Arial"/>
        <charset val="134"/>
      </rPr>
      <t xml:space="preserve"> </t>
    </r>
    <r>
      <rPr>
        <sz val="8"/>
        <rFont val="宋体"/>
        <charset val="134"/>
      </rPr>
      <t>加上</t>
    </r>
    <r>
      <rPr>
        <sz val="8"/>
        <rFont val="Arial"/>
        <charset val="134"/>
      </rPr>
      <t>X3645</t>
    </r>
    <r>
      <rPr>
        <sz val="8"/>
        <rFont val="宋体"/>
        <charset val="134"/>
      </rPr>
      <t>剩下的两个柜子，一共是</t>
    </r>
    <r>
      <rPr>
        <sz val="8"/>
        <rFont val="Arial"/>
        <charset val="134"/>
      </rPr>
      <t>14</t>
    </r>
    <r>
      <rPr>
        <sz val="8"/>
        <rFont val="宋体"/>
        <charset val="134"/>
      </rPr>
      <t>个柜子一起发走。争取春节前能发，关注一下海运费变化</t>
    </r>
  </si>
  <si>
    <r>
      <rPr>
        <sz val="8"/>
        <color theme="1"/>
        <rFont val="Arial"/>
        <charset val="134"/>
      </rPr>
      <t>张晋山订舱</t>
    </r>
    <r>
      <rPr>
        <sz val="8"/>
        <color theme="1"/>
        <rFont val="Arial"/>
        <charset val="134"/>
      </rPr>
      <t>ESL1250/1280</t>
    </r>
    <r>
      <rPr>
        <sz val="8"/>
        <color theme="1"/>
        <rFont val="宋体"/>
        <charset val="134"/>
      </rPr>
      <t>，皇华拖车报关</t>
    </r>
  </si>
  <si>
    <t>X3672</t>
  </si>
  <si>
    <r>
      <rPr>
        <sz val="8"/>
        <rFont val="Arial"/>
        <charset val="134"/>
      </rPr>
      <t>2x20</t>
    </r>
    <r>
      <rPr>
        <sz val="8"/>
        <rFont val="宋体"/>
        <charset val="134"/>
      </rPr>
      <t>彩涂带</t>
    </r>
  </si>
  <si>
    <r>
      <rPr>
        <sz val="8"/>
        <rFont val="Arial"/>
        <charset val="134"/>
      </rPr>
      <t xml:space="preserve">DHL3790079403 </t>
    </r>
    <r>
      <rPr>
        <sz val="8"/>
        <rFont val="宋体"/>
        <charset val="134"/>
      </rPr>
      <t>明辉达</t>
    </r>
    <r>
      <rPr>
        <sz val="8"/>
        <rFont val="Arial"/>
        <charset val="134"/>
      </rPr>
      <t xml:space="preserve">CO CCPIT </t>
    </r>
    <r>
      <rPr>
        <sz val="8"/>
        <color rgb="FF0000FF"/>
        <rFont val="Arial"/>
        <charset val="134"/>
      </rPr>
      <t>27</t>
    </r>
    <r>
      <rPr>
        <sz val="8"/>
        <color rgb="FF0000FF"/>
        <rFont val="宋体"/>
        <charset val="134"/>
      </rPr>
      <t>号到大曼港口</t>
    </r>
  </si>
  <si>
    <t>顺锐达订舱，拉倒港口会昌加固</t>
  </si>
  <si>
    <t>X3634 -1</t>
  </si>
  <si>
    <r>
      <rPr>
        <sz val="8"/>
        <rFont val="Arial"/>
        <charset val="134"/>
      </rPr>
      <t>沙特</t>
    </r>
    <r>
      <rPr>
        <sz val="8"/>
        <rFont val="Arial"/>
        <charset val="134"/>
      </rPr>
      <t xml:space="preserve"> OXGEN/Muhammed</t>
    </r>
  </si>
  <si>
    <r>
      <rPr>
        <sz val="8"/>
        <rFont val="Arial"/>
        <charset val="134"/>
      </rPr>
      <t>1x20</t>
    </r>
    <r>
      <rPr>
        <sz val="8"/>
        <rFont val="宋体"/>
        <charset val="134"/>
      </rPr>
      <t>空调支架</t>
    </r>
  </si>
  <si>
    <t>xingang-DAMMAM ,SAUDI ARABIA</t>
  </si>
  <si>
    <r>
      <rPr>
        <sz val="8"/>
        <rFont val="Arial"/>
        <charset val="134"/>
      </rPr>
      <t>.-1 -2</t>
    </r>
    <r>
      <rPr>
        <sz val="8"/>
        <rFont val="宋体"/>
        <charset val="134"/>
      </rPr>
      <t>一起寄</t>
    </r>
    <r>
      <rPr>
        <sz val="8"/>
        <rFont val="Arial"/>
        <charset val="134"/>
      </rPr>
      <t xml:space="preserve"> DHL9879774575</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BL</t>
    </r>
    <r>
      <rPr>
        <sz val="8"/>
        <rFont val="宋体"/>
        <charset val="134"/>
      </rPr>
      <t>扫描件给了</t>
    </r>
    <r>
      <rPr>
        <sz val="8"/>
        <rFont val="Arial"/>
        <charset val="134"/>
      </rPr>
      <t>CCPIT CO</t>
    </r>
    <r>
      <rPr>
        <sz val="8"/>
        <rFont val="宋体"/>
        <charset val="134"/>
      </rPr>
      <t>拿了</t>
    </r>
  </si>
  <si>
    <r>
      <rPr>
        <sz val="8"/>
        <color theme="1"/>
        <rFont val="宋体"/>
        <charset val="134"/>
      </rPr>
      <t>指定代理</t>
    </r>
    <r>
      <rPr>
        <sz val="8"/>
        <color theme="1"/>
        <rFont val="Arial"/>
        <charset val="134"/>
      </rPr>
      <t>cathy</t>
    </r>
    <r>
      <rPr>
        <sz val="8"/>
        <color theme="1"/>
        <rFont val="宋体"/>
        <charset val="134"/>
      </rPr>
      <t>订舱，会昌拖车</t>
    </r>
  </si>
  <si>
    <t>X3634-2</t>
  </si>
  <si>
    <r>
      <rPr>
        <sz val="8"/>
        <rFont val="Arial"/>
        <charset val="134"/>
      </rPr>
      <t>1x20</t>
    </r>
    <r>
      <rPr>
        <sz val="8"/>
        <rFont val="宋体"/>
        <charset val="134"/>
      </rPr>
      <t>橡胶垫</t>
    </r>
  </si>
  <si>
    <t>guangzhou-DAMMAM</t>
  </si>
  <si>
    <r>
      <rPr>
        <sz val="8"/>
        <rFont val="Arial"/>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t>
    </r>
    <r>
      <rPr>
        <sz val="8"/>
        <rFont val="Arial"/>
        <charset val="134"/>
      </rPr>
      <t xml:space="preserve">CO CCPIT  </t>
    </r>
    <r>
      <rPr>
        <sz val="8"/>
        <rFont val="宋体"/>
        <charset val="134"/>
      </rPr>
      <t>走广州港</t>
    </r>
  </si>
  <si>
    <r>
      <rPr>
        <sz val="8"/>
        <color theme="1"/>
        <rFont val="Arial"/>
        <charset val="134"/>
      </rPr>
      <t>指定代理</t>
    </r>
    <r>
      <rPr>
        <sz val="8"/>
        <color theme="1"/>
        <rFont val="Arial"/>
        <charset val="134"/>
      </rPr>
      <t>cathy</t>
    </r>
    <r>
      <rPr>
        <sz val="8"/>
        <color theme="1"/>
        <rFont val="宋体"/>
        <charset val="134"/>
      </rPr>
      <t>订舱</t>
    </r>
    <r>
      <rPr>
        <sz val="8"/>
        <color theme="1"/>
        <rFont val="Arial"/>
        <charset val="134"/>
      </rPr>
      <t>,cathy</t>
    </r>
    <r>
      <rPr>
        <sz val="8"/>
        <color theme="1"/>
        <rFont val="宋体"/>
        <charset val="134"/>
      </rPr>
      <t>拖车报关</t>
    </r>
  </si>
  <si>
    <t>X3625</t>
  </si>
  <si>
    <r>
      <rPr>
        <sz val="8"/>
        <rFont val="Arial"/>
        <charset val="134"/>
      </rPr>
      <t>埃及</t>
    </r>
    <r>
      <rPr>
        <sz val="8"/>
        <rFont val="Arial"/>
        <charset val="134"/>
      </rPr>
      <t xml:space="preserve"> DECORAMA(Goma)</t>
    </r>
  </si>
  <si>
    <r>
      <rPr>
        <sz val="8"/>
        <rFont val="Arial"/>
        <charset val="134"/>
      </rPr>
      <t>1x40</t>
    </r>
    <r>
      <rPr>
        <sz val="8"/>
        <rFont val="宋体"/>
        <charset val="134"/>
      </rPr>
      <t>遮阳布</t>
    </r>
  </si>
  <si>
    <r>
      <rPr>
        <sz val="8"/>
        <rFont val="宋体"/>
        <charset val="134"/>
      </rPr>
      <t>和</t>
    </r>
    <r>
      <rPr>
        <sz val="8"/>
        <rFont val="Arial"/>
        <charset val="134"/>
      </rPr>
      <t>X3644-1</t>
    </r>
    <r>
      <rPr>
        <sz val="8"/>
        <rFont val="宋体"/>
        <charset val="134"/>
      </rPr>
      <t>一起寄走的</t>
    </r>
    <r>
      <rPr>
        <sz val="8"/>
        <rFont val="Arial"/>
        <charset val="134"/>
      </rPr>
      <t xml:space="preserve"> </t>
    </r>
    <r>
      <rPr>
        <sz val="8"/>
        <rFont val="宋体"/>
        <charset val="134"/>
      </rPr>
      <t>明辉达出</t>
    </r>
    <r>
      <rPr>
        <sz val="8"/>
        <rFont val="Arial"/>
        <charset val="134"/>
      </rPr>
      <t>CO</t>
    </r>
    <r>
      <rPr>
        <sz val="8"/>
        <rFont val="宋体"/>
        <charset val="134"/>
      </rPr>
      <t>和埃及使馆认证</t>
    </r>
  </si>
  <si>
    <t>宁波甬兰物流，工厂安排拖车报关</t>
  </si>
  <si>
    <t>X3644-1</t>
  </si>
  <si>
    <r>
      <rPr>
        <sz val="8"/>
        <color theme="1"/>
        <rFont val="Arial"/>
        <charset val="134"/>
      </rPr>
      <t xml:space="preserve">DHL6168975901 </t>
    </r>
    <r>
      <rPr>
        <sz val="8"/>
        <color theme="1"/>
        <rFont val="宋体"/>
        <charset val="134"/>
      </rPr>
      <t>明辉达出</t>
    </r>
    <r>
      <rPr>
        <sz val="8"/>
        <color theme="1"/>
        <rFont val="Arial"/>
        <charset val="134"/>
      </rPr>
      <t>CO</t>
    </r>
    <r>
      <rPr>
        <sz val="8"/>
        <color theme="1"/>
        <rFont val="宋体"/>
        <charset val="134"/>
      </rPr>
      <t>和埃及使馆认证</t>
    </r>
  </si>
  <si>
    <r>
      <rPr>
        <sz val="8"/>
        <color theme="1"/>
        <rFont val="Arial"/>
        <charset val="134"/>
      </rPr>
      <t>COCO</t>
    </r>
    <r>
      <rPr>
        <sz val="8"/>
        <color theme="1"/>
        <rFont val="宋体"/>
        <charset val="134"/>
      </rPr>
      <t>订舱</t>
    </r>
    <r>
      <rPr>
        <sz val="8"/>
        <color theme="1"/>
        <rFont val="Arial"/>
        <charset val="134"/>
      </rPr>
      <t xml:space="preserve"> </t>
    </r>
    <r>
      <rPr>
        <sz val="8"/>
        <color theme="1"/>
        <rFont val="宋体"/>
        <charset val="134"/>
      </rPr>
      <t>工厂</t>
    </r>
    <r>
      <rPr>
        <sz val="8"/>
        <color theme="1"/>
        <rFont val="Arial"/>
        <charset val="134"/>
      </rPr>
      <t>Linda</t>
    </r>
    <r>
      <rPr>
        <sz val="8"/>
        <color theme="1"/>
        <rFont val="宋体"/>
        <charset val="134"/>
      </rPr>
      <t>拖车报关</t>
    </r>
  </si>
  <si>
    <t>X3644-2</t>
  </si>
  <si>
    <r>
      <rPr>
        <sz val="8"/>
        <color rgb="FF0000FF"/>
        <rFont val="宋体"/>
        <charset val="134"/>
      </rPr>
      <t>DHL8527635771 出CO+CCPIT</t>
    </r>
    <r>
      <rPr>
        <sz val="8"/>
        <rFont val="宋体"/>
        <charset val="134"/>
      </rPr>
      <t>埃及使馆认证</t>
    </r>
  </si>
  <si>
    <t>华海通运订舱中远，工厂Linda安排拖车报关</t>
  </si>
  <si>
    <t>X3701</t>
  </si>
  <si>
    <r>
      <rPr>
        <sz val="8"/>
        <rFont val="宋体"/>
        <charset val="134"/>
      </rPr>
      <t>沙特</t>
    </r>
    <r>
      <rPr>
        <sz val="8"/>
        <rFont val="Arial"/>
        <charset val="134"/>
      </rPr>
      <t xml:space="preserve"> FORCE (Pervaiz)</t>
    </r>
  </si>
  <si>
    <r>
      <rPr>
        <sz val="8"/>
        <rFont val="Arial"/>
        <charset val="134"/>
      </rPr>
      <t xml:space="preserve">1x40H </t>
    </r>
    <r>
      <rPr>
        <sz val="8"/>
        <rFont val="宋体"/>
        <charset val="134"/>
      </rPr>
      <t>纸箱片</t>
    </r>
  </si>
  <si>
    <t>xingang-Sharjah, UAE</t>
  </si>
  <si>
    <r>
      <rPr>
        <sz val="8"/>
        <rFont val="宋体"/>
        <charset val="134"/>
      </rPr>
      <t>DHL9868943700 CCPIT  CO 目的港只批给12天免用箱 发票海运费多加</t>
    </r>
    <r>
      <rPr>
        <sz val="8"/>
        <rFont val="Arial"/>
        <charset val="134"/>
      </rPr>
      <t>100</t>
    </r>
    <r>
      <rPr>
        <sz val="8"/>
        <rFont val="宋体"/>
        <charset val="134"/>
      </rPr>
      <t>美金。</t>
    </r>
    <r>
      <rPr>
        <sz val="8"/>
        <rFont val="Arial"/>
        <charset val="134"/>
      </rPr>
      <t xml:space="preserve">   </t>
    </r>
    <r>
      <rPr>
        <sz val="8"/>
        <rFont val="宋体"/>
        <charset val="134"/>
      </rPr>
      <t>国外联系人：</t>
    </r>
    <r>
      <rPr>
        <sz val="8"/>
        <rFont val="Arial"/>
        <charset val="134"/>
      </rPr>
      <t xml:space="preserve"> France Wang  </t>
    </r>
    <r>
      <rPr>
        <sz val="8"/>
        <rFont val="宋体"/>
        <charset val="134"/>
      </rPr>
      <t>王鸿</t>
    </r>
    <r>
      <rPr>
        <sz val="8"/>
        <rFont val="Arial"/>
        <charset val="134"/>
      </rPr>
      <t xml:space="preserve"> 
1398186 1610  
Email:  </t>
    </r>
    <r>
      <rPr>
        <sz val="8"/>
        <rFont val="宋体"/>
        <charset val="134"/>
      </rPr>
      <t>王鸿</t>
    </r>
    <r>
      <rPr>
        <sz val="8"/>
        <rFont val="Arial"/>
        <charset val="134"/>
      </rPr>
      <t xml:space="preserve"> </t>
    </r>
    <r>
      <rPr>
        <sz val="8"/>
        <rFont val="宋体"/>
        <charset val="134"/>
      </rPr>
      <t>沙特</t>
    </r>
    <r>
      <rPr>
        <sz val="8"/>
        <rFont val="Arial"/>
        <charset val="134"/>
      </rPr>
      <t xml:space="preserve">DAR HANI &lt;daralhani01@aliyun.com&gt;
</t>
    </r>
    <r>
      <rPr>
        <sz val="8"/>
        <rFont val="宋体"/>
        <charset val="134"/>
      </rPr>
      <t>微信：</t>
    </r>
    <r>
      <rPr>
        <sz val="8"/>
        <rFont val="Arial"/>
        <charset val="134"/>
      </rPr>
      <t xml:space="preserve"> qq305661807  </t>
    </r>
  </si>
  <si>
    <r>
      <rPr>
        <sz val="8"/>
        <color theme="1"/>
        <rFont val="宋体"/>
        <charset val="134"/>
      </rPr>
      <t>迪斯泰订舱</t>
    </r>
    <r>
      <rPr>
        <sz val="8"/>
        <color theme="1"/>
        <rFont val="Arial"/>
        <charset val="134"/>
      </rPr>
      <t xml:space="preserve"> </t>
    </r>
    <r>
      <rPr>
        <sz val="8"/>
        <color theme="1"/>
        <rFont val="宋体"/>
        <charset val="134"/>
      </rPr>
      <t>中远</t>
    </r>
    <r>
      <rPr>
        <sz val="8"/>
        <color theme="1"/>
        <rFont val="Arial"/>
        <charset val="134"/>
      </rPr>
      <t>1652/1655</t>
    </r>
    <r>
      <rPr>
        <sz val="8"/>
        <color theme="1"/>
        <rFont val="宋体"/>
        <charset val="134"/>
      </rPr>
      <t>，迪斯泰拖车报关</t>
    </r>
  </si>
  <si>
    <r>
      <rPr>
        <b/>
        <sz val="8"/>
        <color rgb="FF0000FF"/>
        <rFont val="宋体"/>
        <charset val="134"/>
      </rPr>
      <t>实际尾款</t>
    </r>
    <r>
      <rPr>
        <b/>
        <sz val="8"/>
        <color rgb="FF0000FF"/>
        <rFont val="Arial"/>
        <charset val="134"/>
      </rPr>
      <t>9034.96</t>
    </r>
  </si>
  <si>
    <t>X3757</t>
  </si>
  <si>
    <r>
      <rPr>
        <sz val="8"/>
        <rFont val="Arial"/>
        <charset val="134"/>
      </rPr>
      <t>2x20</t>
    </r>
    <r>
      <rPr>
        <sz val="8"/>
        <rFont val="Cambria"/>
        <charset val="134"/>
      </rPr>
      <t>彩涂带</t>
    </r>
  </si>
  <si>
    <r>
      <rPr>
        <sz val="8"/>
        <rFont val="宋体"/>
        <charset val="134"/>
      </rPr>
      <t>DHL1856333636 CO CCPIT</t>
    </r>
    <r>
      <rPr>
        <sz val="8"/>
        <color rgb="FF0000FF"/>
        <rFont val="宋体"/>
        <charset val="134"/>
      </rPr>
      <t xml:space="preserve">  </t>
    </r>
    <r>
      <rPr>
        <sz val="8"/>
        <rFont val="宋体"/>
        <charset val="134"/>
      </rPr>
      <t>减掉赔付金额</t>
    </r>
    <r>
      <rPr>
        <sz val="8"/>
        <rFont val="Arial"/>
        <charset val="134"/>
      </rPr>
      <t xml:space="preserve">  </t>
    </r>
    <r>
      <rPr>
        <sz val="8"/>
        <rFont val="宋体"/>
        <charset val="134"/>
      </rPr>
      <t>港杂费3404同</t>
    </r>
    <r>
      <rPr>
        <sz val="8"/>
        <rFont val="Arial"/>
        <charset val="134"/>
      </rPr>
      <t xml:space="preserve">X3672 </t>
    </r>
    <r>
      <rPr>
        <sz val="8"/>
        <rFont val="宋体"/>
        <charset val="134"/>
      </rPr>
      <t>港口装箱加固</t>
    </r>
    <r>
      <rPr>
        <sz val="8"/>
        <rFont val="Arial"/>
        <charset val="134"/>
      </rPr>
      <t xml:space="preserve"> </t>
    </r>
  </si>
  <si>
    <t>顺锐达订舱，会昌港口加固装柜报关</t>
  </si>
  <si>
    <r>
      <rPr>
        <b/>
        <sz val="8"/>
        <rFont val="宋体"/>
        <charset val="134"/>
      </rPr>
      <t>实际尾款</t>
    </r>
    <r>
      <rPr>
        <b/>
        <sz val="8"/>
        <rFont val="Arial"/>
        <charset val="134"/>
      </rPr>
      <t>$34224.71</t>
    </r>
  </si>
  <si>
    <t>X3763</t>
  </si>
  <si>
    <r>
      <rPr>
        <sz val="8"/>
        <rFont val="宋体"/>
        <charset val="134"/>
      </rPr>
      <t>埃及</t>
    </r>
    <r>
      <rPr>
        <sz val="8"/>
        <rFont val="Arial"/>
        <charset val="134"/>
      </rPr>
      <t xml:space="preserve"> DECORAMA(Goma)</t>
    </r>
  </si>
  <si>
    <r>
      <rPr>
        <sz val="8"/>
        <rFont val="Arial"/>
        <charset val="134"/>
      </rPr>
      <t xml:space="preserve">1x20 </t>
    </r>
    <r>
      <rPr>
        <sz val="8"/>
        <rFont val="宋体"/>
        <charset val="134"/>
      </rPr>
      <t>百叶窗配件</t>
    </r>
  </si>
  <si>
    <r>
      <rPr>
        <sz val="8"/>
        <rFont val="宋体"/>
        <charset val="134"/>
      </rPr>
      <t>DHL8256302272 其他单据已发客户</t>
    </r>
    <r>
      <rPr>
        <sz val="8"/>
        <rFont val="Arial"/>
        <charset val="134"/>
      </rPr>
      <t xml:space="preserve"> </t>
    </r>
    <r>
      <rPr>
        <sz val="8"/>
        <rFont val="宋体"/>
        <charset val="134"/>
      </rPr>
      <t>发票</t>
    </r>
    <r>
      <rPr>
        <sz val="8"/>
        <rFont val="Arial"/>
        <charset val="134"/>
      </rPr>
      <t xml:space="preserve"> </t>
    </r>
    <r>
      <rPr>
        <sz val="8"/>
        <rFont val="宋体"/>
        <charset val="134"/>
      </rPr>
      <t>产地证大使馆认证</t>
    </r>
  </si>
  <si>
    <t>代理订舱中远，工厂拖车</t>
  </si>
  <si>
    <t>X3747</t>
  </si>
  <si>
    <t>DHL7071569702 CO CCPIT 大使馆认证 宁波胡启平</t>
  </si>
  <si>
    <t>固特威国际订舱EMC，工厂拖车报关</t>
  </si>
  <si>
    <t>X3782-2</t>
  </si>
  <si>
    <t>沙特 OXGEN/Muhammed</t>
  </si>
  <si>
    <r>
      <rPr>
        <sz val="8"/>
        <rFont val="Arial"/>
        <charset val="134"/>
      </rPr>
      <t xml:space="preserve">1x20' FCL </t>
    </r>
    <r>
      <rPr>
        <sz val="8"/>
        <rFont val="宋体"/>
        <charset val="134"/>
      </rPr>
      <t>橡胶垫</t>
    </r>
  </si>
  <si>
    <t>NANSHA NEW PORT-DAMMAM ,SAUDI ARABIA</t>
  </si>
  <si>
    <r>
      <rPr>
        <sz val="8"/>
        <color rgb="FF0000FF"/>
        <rFont val="宋体"/>
        <charset val="134"/>
      </rPr>
      <t>单据齐等款 单据已发客户</t>
    </r>
    <r>
      <rPr>
        <sz val="8"/>
        <rFont val="宋体"/>
        <charset val="134"/>
      </rPr>
      <t xml:space="preserve"> 操作同X3634 客户订舱</t>
    </r>
  </si>
  <si>
    <r>
      <rPr>
        <sz val="8"/>
        <color theme="1"/>
        <rFont val="宋体"/>
        <charset val="134"/>
      </rPr>
      <t>指定代理</t>
    </r>
    <r>
      <rPr>
        <sz val="8"/>
        <color theme="1"/>
        <rFont val="Arial"/>
        <charset val="134"/>
      </rPr>
      <t>cathy</t>
    </r>
    <r>
      <rPr>
        <sz val="8"/>
        <color theme="1"/>
        <rFont val="宋体"/>
        <charset val="134"/>
      </rPr>
      <t>订舱HMM</t>
    </r>
    <r>
      <rPr>
        <sz val="8"/>
        <color theme="1"/>
        <rFont val="Arial"/>
        <charset val="134"/>
      </rPr>
      <t>,cathy</t>
    </r>
    <r>
      <rPr>
        <sz val="8"/>
        <color theme="1"/>
        <rFont val="宋体"/>
        <charset val="134"/>
      </rPr>
      <t>拖车报关</t>
    </r>
  </si>
  <si>
    <r>
      <rPr>
        <sz val="8"/>
        <rFont val="宋体"/>
        <charset val="134"/>
      </rPr>
      <t>实际尾款</t>
    </r>
    <r>
      <rPr>
        <sz val="8"/>
        <rFont val="Arial"/>
        <charset val="134"/>
      </rPr>
      <t>$19533.88</t>
    </r>
  </si>
  <si>
    <t>X3782-1</t>
  </si>
  <si>
    <r>
      <rPr>
        <sz val="8"/>
        <rFont val="Arial"/>
        <charset val="134"/>
      </rPr>
      <t xml:space="preserve">1x20' FCL </t>
    </r>
    <r>
      <rPr>
        <sz val="8"/>
        <rFont val="宋体"/>
        <charset val="134"/>
      </rPr>
      <t>空调器支架</t>
    </r>
  </si>
  <si>
    <r>
      <rPr>
        <sz val="8"/>
        <rFont val="宋体"/>
        <charset val="134"/>
      </rPr>
      <t xml:space="preserve">单据齐等款 单据已发客户 </t>
    </r>
    <r>
      <rPr>
        <sz val="8"/>
        <color rgb="FF0000FF"/>
        <rFont val="宋体"/>
        <charset val="134"/>
      </rPr>
      <t>提单盖大陆公章 关系函盖两个章 单放保函改工厂圆章</t>
    </r>
    <r>
      <rPr>
        <sz val="8"/>
        <rFont val="宋体"/>
        <charset val="134"/>
      </rPr>
      <t xml:space="preserve">  CCPIT CO 等信电放提单 其他单据不邮寄 空调器支架价格低报到2， 橡胶垫低报到0.2  操作同X3634 客户订舱</t>
    </r>
  </si>
  <si>
    <t>指定代理cathy订舱ONE，迪斯泰拖车报关</t>
  </si>
  <si>
    <r>
      <rPr>
        <sz val="8"/>
        <rFont val="宋体"/>
        <charset val="134"/>
      </rPr>
      <t>实际尾款</t>
    </r>
    <r>
      <rPr>
        <sz val="8"/>
        <rFont val="Arial"/>
        <charset val="134"/>
      </rPr>
      <t>$20977.96</t>
    </r>
  </si>
  <si>
    <t>X3719</t>
  </si>
  <si>
    <r>
      <rPr>
        <sz val="8"/>
        <rFont val="Arial"/>
        <charset val="134"/>
      </rPr>
      <t xml:space="preserve">21x20GP </t>
    </r>
    <r>
      <rPr>
        <sz val="8"/>
        <rFont val="宋体"/>
        <charset val="134"/>
      </rPr>
      <t>石膏板</t>
    </r>
  </si>
  <si>
    <t>QINGDAO-SOKHNA, EGYPT</t>
  </si>
  <si>
    <t xml:space="preserve">DHL6826202736 CO CCPIT 埃及大使馆认证 每个柜子75套样品  装柜要求 客户的email： Esslam Hegazy &lt;otaiba.decormaster@gmail.com&gt;
手机：0020-114 443 6733  
微信一会儿推给你。 
提单抬头直接用千吉业。 </t>
  </si>
  <si>
    <t>COCO固特威国际货代，千吉业拖车报关</t>
  </si>
  <si>
    <t>D3798</t>
  </si>
  <si>
    <t>埃及 DECORAMA(Goma)</t>
  </si>
  <si>
    <r>
      <rPr>
        <sz val="8"/>
        <rFont val="Arial"/>
        <charset val="134"/>
      </rPr>
      <t>1X45HQ</t>
    </r>
    <r>
      <rPr>
        <sz val="8"/>
        <rFont val="宋体"/>
        <charset val="134"/>
      </rPr>
      <t>卷帘布</t>
    </r>
  </si>
  <si>
    <t>DHL4801823036 BL CCPIT CO 大使馆认证</t>
  </si>
  <si>
    <t>华海Mandy订舱，代理拖车报关</t>
  </si>
  <si>
    <t>X3883</t>
  </si>
  <si>
    <r>
      <rPr>
        <sz val="8"/>
        <rFont val="Arial"/>
        <charset val="134"/>
      </rPr>
      <t xml:space="preserve">25x20‘ </t>
    </r>
    <r>
      <rPr>
        <sz val="8"/>
        <rFont val="宋体"/>
        <charset val="134"/>
      </rPr>
      <t>石膏板</t>
    </r>
  </si>
  <si>
    <t>等客户消息 CO CCPIT 埃及大使馆认证  提单抬头直接用皇华 这个订单直接走的皇华，实际采购价格0.64USD。 定金USD13500.
同X3719</t>
  </si>
  <si>
    <t>X3907</t>
  </si>
  <si>
    <t>沙特 FORCE (Pervaiz)</t>
  </si>
  <si>
    <r>
      <rPr>
        <sz val="8"/>
        <rFont val="Arial"/>
        <charset val="134"/>
      </rPr>
      <t>1x20'</t>
    </r>
    <r>
      <rPr>
        <sz val="8"/>
        <rFont val="宋体"/>
        <charset val="134"/>
      </rPr>
      <t>纸箱</t>
    </r>
  </si>
  <si>
    <t>DHL6557549456 CO CCPIT   同X3701</t>
  </si>
  <si>
    <t>迪斯泰订舱CMA1325，迪斯泰拖车报关</t>
  </si>
  <si>
    <t>X3899</t>
  </si>
  <si>
    <r>
      <rPr>
        <sz val="8"/>
        <rFont val="Arial"/>
        <charset val="134"/>
      </rPr>
      <t>1x40'HQ</t>
    </r>
    <r>
      <rPr>
        <sz val="8"/>
        <rFont val="宋体"/>
        <charset val="134"/>
      </rPr>
      <t>纸箱</t>
    </r>
  </si>
  <si>
    <t>纸箱工厂直接联系姚志刚   CCPIT  CO 同X3701</t>
  </si>
  <si>
    <t>迪斯泰订舱CMA2000，迪斯泰拖车报关</t>
  </si>
  <si>
    <t>X3932</t>
  </si>
  <si>
    <t>尼日利亚 Gbadetrade(Gbadebo)</t>
  </si>
  <si>
    <r>
      <rPr>
        <sz val="8"/>
        <rFont val="宋体"/>
        <charset val="134"/>
      </rPr>
      <t>PVC石膏板 散货船（大概</t>
    </r>
    <r>
      <rPr>
        <sz val="8"/>
        <rFont val="Arial"/>
        <charset val="134"/>
      </rPr>
      <t>6</t>
    </r>
    <r>
      <rPr>
        <sz val="8"/>
        <rFont val="宋体"/>
        <charset val="134"/>
      </rPr>
      <t>个柜子的量）</t>
    </r>
  </si>
  <si>
    <r>
      <rPr>
        <sz val="8"/>
        <color rgb="FFFF0000"/>
        <rFont val="Arial"/>
        <charset val="134"/>
      </rPr>
      <t>Lianyungang</t>
    </r>
    <r>
      <rPr>
        <sz val="8"/>
        <rFont val="Arial"/>
        <charset val="134"/>
      </rPr>
      <t xml:space="preserve"> , China-Tin can Port,Nigeria</t>
    </r>
  </si>
  <si>
    <t>DHL2061613890 58美金/立方 装货前务必确认款到账 SONCAP  SC PC form M都打印一份寄给客户 目的港申请21天免用箱 客户指定ZIM的船 同X3744</t>
  </si>
  <si>
    <t>连云港骏辉订舱订舱，皇华拖车报关</t>
  </si>
  <si>
    <t>X3870</t>
  </si>
  <si>
    <t>阿根廷RESSIA/Mr Augusto</t>
  </si>
  <si>
    <t>1x40H PVC石膏板+龙骨</t>
  </si>
  <si>
    <t xml:space="preserve">QINGDAO-San Rafael, Argentina  </t>
  </si>
  <si>
    <t>DHL5653831606 电放提单 其他单据快递给客户 万家，提前跟客户要一下单据方面的具体要求</t>
  </si>
  <si>
    <t>中正Janssu订舱HPL,万家拖车报关</t>
  </si>
  <si>
    <r>
      <rPr>
        <b/>
        <sz val="8"/>
        <color rgb="FF0000FF"/>
        <rFont val="宋体"/>
        <charset val="134"/>
      </rPr>
      <t>实际到账</t>
    </r>
    <r>
      <rPr>
        <b/>
        <sz val="8"/>
        <color rgb="FF0000FF"/>
        <rFont val="Arial"/>
        <charset val="134"/>
      </rPr>
      <t>$5096.61</t>
    </r>
  </si>
  <si>
    <t>D3888-1</t>
  </si>
  <si>
    <t>1x40'HQ遮阳布</t>
  </si>
  <si>
    <t>DHL5653823125 CO+CCPIT埃及使馆认证 同X3644</t>
  </si>
  <si>
    <t>华海Mandy订舱中远，</t>
  </si>
  <si>
    <t>D3951+D3913</t>
  </si>
  <si>
    <t>1X40HQ面料+遮阳布</t>
  </si>
  <si>
    <r>
      <rPr>
        <sz val="8"/>
        <color rgb="FFFF0000"/>
        <rFont val="宋体"/>
        <charset val="134"/>
      </rPr>
      <t xml:space="preserve">收齐23000美金再放单 </t>
    </r>
    <r>
      <rPr>
        <sz val="8"/>
        <rFont val="宋体"/>
        <charset val="134"/>
      </rPr>
      <t>D3951+D3913一起发的 D3951工厂绍兴富士 微信群  D3913这是我们来报关的，而且用华悦报关退税的，需要工厂开增值税发票。 
报关的品名要跟他们开票的品名一致，提前确认下海关编码什么的。 
浙江西大门，工厂联系人： 柳春萍15958588517   微信：jessica19861224</t>
    </r>
  </si>
  <si>
    <t>华海通运订舱中远，富士拖车报关</t>
  </si>
  <si>
    <t>D3901</t>
  </si>
  <si>
    <t>1x20GP窗帘配件</t>
  </si>
  <si>
    <t>DHL3386028763 CO CCPIT 1.12埃及认证 联系人Rachel胡启平  窗帘配件</t>
  </si>
  <si>
    <t>华海通运订舱长荣，拖车报关</t>
  </si>
  <si>
    <t>X3986</t>
  </si>
  <si>
    <t>1x40'HQ纸箱</t>
  </si>
  <si>
    <t>DHL6056830570 CCPIT  CO  纸箱工厂直接联系姚志刚  同X3899</t>
  </si>
  <si>
    <t>迪斯泰订舱中远2780，迪斯泰拖车报关</t>
  </si>
  <si>
    <t>X3999</t>
  </si>
  <si>
    <t>土耳其 ASTAV Ertugrul</t>
  </si>
  <si>
    <t>2x20'  彩涂卷</t>
  </si>
  <si>
    <t>xingang-Yarimca, Turkey</t>
  </si>
  <si>
    <t>DHL6268262066 CO ,厂子mill report 港杂3600 走华悦退税， 颜色厚度光泽度重量等照片都留齐 报关前核实好开票品名和规格
客户需要派人验货，所以要提前跟客户打招呼  同X3598</t>
  </si>
  <si>
    <t>AAA订舱MSC，誉洲加固华悦报关</t>
  </si>
  <si>
    <t>X4004</t>
  </si>
  <si>
    <t>PVC石膏板 散货船</t>
  </si>
  <si>
    <t>DHL2320066685 第一次压车费1000货代承担500   海运费88/90 注意工厂以.595x0.595计算面积，给客户按0.6*0.6计算 保险保发货人  SONCAP  SC PC form M都打印一份寄给客户 同X3932</t>
  </si>
  <si>
    <t>绍兴智欧国际货运,皇华送货</t>
  </si>
  <si>
    <t>X4025</t>
  </si>
  <si>
    <r>
      <rPr>
        <sz val="8"/>
        <rFont val="宋体"/>
        <charset val="134"/>
      </rPr>
      <t>单据齐等款 单据已发客户 CCPIT</t>
    </r>
    <r>
      <rPr>
        <sz val="8"/>
        <color rgb="FF0000FF"/>
        <rFont val="宋体"/>
        <charset val="134"/>
      </rPr>
      <t xml:space="preserve"> </t>
    </r>
    <r>
      <rPr>
        <sz val="8"/>
        <rFont val="宋体"/>
        <charset val="134"/>
      </rPr>
      <t>CO SC证书，提单号：MEDUT6611775 还是找蒂氏检测魏经理，一个证书2000元 等信电放提单 其他单据不邮寄 操作同X3782 客户订舱</t>
    </r>
  </si>
  <si>
    <t>指定代理cathy订舱MSC，白沟源远拖车报关</t>
  </si>
  <si>
    <t>X4030</t>
  </si>
  <si>
    <r>
      <rPr>
        <sz val="8"/>
        <color rgb="FFFF0000"/>
        <rFont val="Arial"/>
        <charset val="134"/>
      </rPr>
      <t>NANSHA</t>
    </r>
    <r>
      <rPr>
        <sz val="8"/>
        <rFont val="Arial"/>
        <charset val="134"/>
      </rPr>
      <t>-DAMMAM ,SAUDI ARABIA</t>
    </r>
  </si>
  <si>
    <t>单据齐等款 单据已发客户 港杂加拖车2735+200 CCPIT CO 等信电放提单 其他单据不邮寄 空调器支架价格低报到2， 橡胶垫低报到0.2  操作同X3782 客户订舱</t>
  </si>
  <si>
    <t>指定代理cathy订舱中远,代理拖车报关</t>
  </si>
  <si>
    <t>X4026</t>
  </si>
  <si>
    <r>
      <rPr>
        <sz val="8"/>
        <rFont val="Arial"/>
        <charset val="134"/>
      </rPr>
      <t xml:space="preserve">3x40HQ  </t>
    </r>
    <r>
      <rPr>
        <sz val="8"/>
        <rFont val="宋体"/>
        <charset val="134"/>
      </rPr>
      <t>烤漆</t>
    </r>
    <r>
      <rPr>
        <sz val="8"/>
        <rFont val="Arial"/>
        <charset val="134"/>
      </rPr>
      <t>+</t>
    </r>
    <r>
      <rPr>
        <sz val="8"/>
        <rFont val="宋体"/>
        <charset val="134"/>
      </rPr>
      <t>石膏板</t>
    </r>
  </si>
  <si>
    <t>DHL1820277712 在智利出单 装箱前结尾款 电放提单 其他单据快递给客户 万家，需要提前确认发票 确定后数量不能变 同X3870</t>
  </si>
  <si>
    <t>鼎岭frank订舱,万家拖车报关</t>
  </si>
  <si>
    <t>X4036</t>
  </si>
  <si>
    <r>
      <rPr>
        <sz val="8"/>
        <rFont val="Arial"/>
        <charset val="134"/>
      </rPr>
      <t xml:space="preserve">1x40H </t>
    </r>
    <r>
      <rPr>
        <sz val="8"/>
        <rFont val="宋体"/>
        <charset val="134"/>
      </rPr>
      <t>矿棉板</t>
    </r>
  </si>
  <si>
    <t xml:space="preserve">XINGANG-Bandar Abbass, Iran </t>
  </si>
  <si>
    <t>CO 客户已经支付了定金15000人民币。尾款也是付人民币 电放 J3869</t>
  </si>
  <si>
    <t>义乌汇博订舱伊朗航运，汇昌拖车报关3250</t>
  </si>
  <si>
    <t>X4039</t>
  </si>
  <si>
    <t>5.5号货好 海运费95/97 注意工厂以.595x0.595计算面积，给客户按0.6*0.6计算  SONCAP  SC PC form M都打印一份寄给客户 同X4004</t>
  </si>
  <si>
    <t>X4053</t>
  </si>
  <si>
    <t>1x40H 矿棉板</t>
  </si>
  <si>
    <t>xingang-Tin can Port,Nigeria</t>
  </si>
  <si>
    <t>DHL2886711590 25托3号 SONCAP SC PC form M都打印一份寄给客户 目的港申请21天免用箱 客户指定ZIM的船同X3823</t>
  </si>
  <si>
    <t>誉洲订舱MSC12670，白沟源远拖车报关2600+100</t>
  </si>
  <si>
    <t>D4042</t>
  </si>
  <si>
    <t>1*20GP 遮阳布</t>
  </si>
  <si>
    <t>DHL2888117326 D4042+D4031一起寄走 绍兴富士 CO+CCPIT埃及使馆认证</t>
  </si>
  <si>
    <t>华海Mandy订舱中远 富士拖车报关</t>
  </si>
  <si>
    <t>D4031</t>
  </si>
  <si>
    <t>1*40HQ 遮阳布</t>
  </si>
  <si>
    <t>无锡eric CO+CCPIT埃及使馆认证</t>
  </si>
  <si>
    <t>华海Mandy订舱长荣 华海拖车报关</t>
  </si>
  <si>
    <t>X4072</t>
  </si>
  <si>
    <t>1x40H 纸箱片</t>
  </si>
  <si>
    <t>DHL3089898943 托班 CCPIT  CO  纸箱工厂直接联系姚志刚  同X3986</t>
  </si>
  <si>
    <t>迪斯泰OOCL6754，白沟源远拖车报关1600</t>
  </si>
  <si>
    <t>X4104</t>
  </si>
  <si>
    <t>1x20'  彩涂卷</t>
  </si>
  <si>
    <t>DHL1811895514 shipper Joy 目的港？不能超26.4吨？ 厂子mill report
客户需要派人验货，所以要提前跟客户打招呼  同X3999</t>
  </si>
  <si>
    <t>上海革力订舱MSK，堆场装箱加固，小杜买单报关</t>
  </si>
  <si>
    <t>D4099</t>
  </si>
  <si>
    <t>DHL2373257176 13托18 按实际货值上保险 无锡eric CO+CCPIT埃及使馆认证</t>
  </si>
  <si>
    <t>华海Mandy订舱HMM 华海拖车报关</t>
  </si>
  <si>
    <t>D4094</t>
  </si>
  <si>
    <t>1x20GP</t>
  </si>
  <si>
    <t xml:space="preserve">DHL6061136734上传到cargox上的提单copy要特别找我要，不能把这个电子件直接上传，埃及那边有要求的  盐城 Rachel Hu，13777197780   这是第一批在ACI这种模式下走，对文件要求高一些。看附件的ACI的详细信息，最终单据的信息要跟这些保持一致。D3901 </t>
  </si>
  <si>
    <t>深圳市森洋国际订舱，森洋拖车报关</t>
  </si>
  <si>
    <t>D4199</t>
  </si>
  <si>
    <t>1x40HQ</t>
  </si>
  <si>
    <t>SHANGHAI-Sokhna</t>
  </si>
  <si>
    <t>DHL3718874994 无锡eric 上传到cargox上的提单copy要特别找我要，不能把这个电子件直接上传，埃及那边有要求的 看附件的ACI的详细信息，最终单据的信息要跟这些保持一致。D4094</t>
  </si>
  <si>
    <t>X4245</t>
  </si>
  <si>
    <t>预计能赶上月底的船 这单走华悦信保报关退税，流程按9710跨境电商的走  在智利出单 装箱前结尾款 电放提单 其他单据快递给客户 需要提前确认发票 确定后数量不能变 同X3870 4026</t>
  </si>
  <si>
    <t>凯瑞德约号订舱</t>
  </si>
  <si>
    <t>X4215</t>
  </si>
  <si>
    <t>1x40HQ 矿棉板</t>
  </si>
  <si>
    <t>DHL6862549735 报关：华悦信保走9710模式
退税：需要退税，开票品名等信息需要跟工厂提前确认好。SONCAP SC PC form M都打印一份寄给客户 目的港申请21天免用箱 客户指定ZIM的船同X3823 4053</t>
  </si>
  <si>
    <r>
      <rPr>
        <sz val="8"/>
        <color theme="1"/>
        <rFont val="宋体"/>
        <charset val="134"/>
      </rPr>
      <t xml:space="preserve">永鑫海订舱ZIM9300，永鑫海拖车 </t>
    </r>
    <r>
      <rPr>
        <sz val="8"/>
        <color rgb="FFFF0000"/>
        <rFont val="宋体"/>
        <charset val="134"/>
      </rPr>
      <t>9710华悦汇昌报关</t>
    </r>
  </si>
  <si>
    <t>X4253</t>
  </si>
  <si>
    <r>
      <rPr>
        <sz val="8"/>
        <color rgb="FFFF0000"/>
        <rFont val="Arial"/>
        <charset val="134"/>
      </rPr>
      <t>QINGDAO</t>
    </r>
    <r>
      <rPr>
        <sz val="8"/>
        <rFont val="Arial"/>
        <charset val="134"/>
      </rPr>
      <t>-DAMMAM ,SAUDI ARABIA</t>
    </r>
  </si>
  <si>
    <t>23拖27 走9710， 开票退税 CCPIT CO SC证书，等信电放提单 其他单据不邮寄 同X4025 X3782-1</t>
  </si>
  <si>
    <r>
      <rPr>
        <sz val="8"/>
        <color theme="1"/>
        <rFont val="宋体"/>
        <charset val="134"/>
      </rPr>
      <t xml:space="preserve">指定代理cathy订舱CMA，飞杰拖车 泽源报关 </t>
    </r>
    <r>
      <rPr>
        <sz val="8"/>
        <color rgb="FFFF0000"/>
        <rFont val="宋体"/>
        <charset val="134"/>
      </rPr>
      <t>9710模式</t>
    </r>
  </si>
  <si>
    <t>Tina</t>
  </si>
  <si>
    <t>J3283-1-T</t>
  </si>
  <si>
    <t>T</t>
  </si>
  <si>
    <r>
      <rPr>
        <sz val="9"/>
        <rFont val="Arial"/>
        <charset val="134"/>
      </rPr>
      <t>阿曼</t>
    </r>
    <r>
      <rPr>
        <sz val="9"/>
        <rFont val="Arial"/>
        <charset val="134"/>
      </rPr>
      <t>Khareef R Trading (Zayan)</t>
    </r>
  </si>
  <si>
    <r>
      <rPr>
        <sz val="9"/>
        <rFont val="Arial"/>
        <charset val="134"/>
      </rPr>
      <t>1x20</t>
    </r>
    <r>
      <rPr>
        <sz val="9"/>
        <rFont val="宋体"/>
        <charset val="134"/>
      </rPr>
      <t>轻钢龙骨</t>
    </r>
  </si>
  <si>
    <r>
      <rPr>
        <sz val="9"/>
        <color indexed="8"/>
        <rFont val="Arial"/>
        <charset val="134"/>
      </rPr>
      <t>会昌订舱拖车报关，</t>
    </r>
    <r>
      <rPr>
        <sz val="9"/>
        <color indexed="8"/>
        <rFont val="Arial"/>
        <charset val="134"/>
      </rPr>
      <t>1185</t>
    </r>
    <r>
      <rPr>
        <sz val="9"/>
        <color indexed="8"/>
        <rFont val="宋体"/>
        <charset val="134"/>
      </rPr>
      <t>美金，报客户</t>
    </r>
    <r>
      <rPr>
        <sz val="9"/>
        <color indexed="8"/>
        <rFont val="Arial"/>
        <charset val="134"/>
      </rPr>
      <t>1185</t>
    </r>
  </si>
  <si>
    <t>J3283-2-T</t>
  </si>
  <si>
    <r>
      <rPr>
        <sz val="9"/>
        <rFont val="Arial"/>
        <charset val="134"/>
      </rPr>
      <t>2x20</t>
    </r>
    <r>
      <rPr>
        <sz val="9"/>
        <rFont val="宋体"/>
        <charset val="134"/>
      </rPr>
      <t>轻钢龙骨</t>
    </r>
  </si>
  <si>
    <r>
      <rPr>
        <sz val="9"/>
        <color indexed="8"/>
        <rFont val="Arial"/>
        <charset val="134"/>
      </rPr>
      <t>会昌订舱拖车报关，</t>
    </r>
    <r>
      <rPr>
        <sz val="9"/>
        <color indexed="8"/>
        <rFont val="Arial"/>
        <charset val="134"/>
      </rPr>
      <t>625</t>
    </r>
    <r>
      <rPr>
        <sz val="9"/>
        <color indexed="8"/>
        <rFont val="宋体"/>
        <charset val="134"/>
      </rPr>
      <t>美金，报客户</t>
    </r>
    <r>
      <rPr>
        <sz val="9"/>
        <color indexed="8"/>
        <rFont val="Arial"/>
        <charset val="134"/>
      </rPr>
      <t>650</t>
    </r>
  </si>
  <si>
    <t>J3283-3-T</t>
  </si>
  <si>
    <t>J3287-T</t>
  </si>
  <si>
    <r>
      <rPr>
        <sz val="9"/>
        <rFont val="Arial"/>
        <charset val="134"/>
      </rPr>
      <t>迪拜</t>
    </r>
    <r>
      <rPr>
        <sz val="9"/>
        <rFont val="Arial"/>
        <charset val="134"/>
      </rPr>
      <t>Al Maraghi (Sunil)</t>
    </r>
  </si>
  <si>
    <r>
      <rPr>
        <sz val="9"/>
        <rFont val="Arial"/>
        <charset val="134"/>
      </rPr>
      <t>1x20+1x40</t>
    </r>
    <r>
      <rPr>
        <sz val="9"/>
        <rFont val="宋体"/>
        <charset val="134"/>
      </rPr>
      <t>轻钢龙骨</t>
    </r>
  </si>
  <si>
    <r>
      <rPr>
        <sz val="9"/>
        <color theme="1"/>
        <rFont val="Arial"/>
        <charset val="134"/>
      </rPr>
      <t xml:space="preserve"> 9</t>
    </r>
    <r>
      <rPr>
        <sz val="9"/>
        <color indexed="8"/>
        <rFont val="宋体"/>
        <charset val="134"/>
      </rPr>
      <t>月</t>
    </r>
    <r>
      <rPr>
        <sz val="9"/>
        <color indexed="8"/>
        <rFont val="Arial"/>
        <charset val="134"/>
      </rPr>
      <t>20</t>
    </r>
    <r>
      <rPr>
        <sz val="9"/>
        <color indexed="8"/>
        <rFont val="宋体"/>
        <charset val="134"/>
      </rPr>
      <t>号打余款</t>
    </r>
  </si>
  <si>
    <r>
      <rPr>
        <sz val="9"/>
        <color indexed="8"/>
        <rFont val="Arial"/>
        <charset val="134"/>
      </rPr>
      <t>会昌订舱拖车报关，</t>
    </r>
    <r>
      <rPr>
        <sz val="9"/>
        <color indexed="8"/>
        <rFont val="Arial"/>
        <charset val="134"/>
      </rPr>
      <t>550</t>
    </r>
    <r>
      <rPr>
        <sz val="9"/>
        <color indexed="8"/>
        <rFont val="宋体"/>
        <charset val="134"/>
      </rPr>
      <t>美金，报客户</t>
    </r>
    <r>
      <rPr>
        <sz val="9"/>
        <color indexed="8"/>
        <rFont val="Arial"/>
        <charset val="134"/>
      </rPr>
      <t>550</t>
    </r>
  </si>
  <si>
    <t>J3288-T</t>
  </si>
  <si>
    <r>
      <rPr>
        <sz val="9"/>
        <rFont val="宋体"/>
        <charset val="134"/>
      </rPr>
      <t>迪拜</t>
    </r>
    <r>
      <rPr>
        <sz val="9"/>
        <rFont val="Arial"/>
        <charset val="134"/>
      </rPr>
      <t>Al Maraghi (Sunil)</t>
    </r>
  </si>
  <si>
    <r>
      <rPr>
        <sz val="9"/>
        <rFont val="Arial"/>
        <charset val="134"/>
      </rPr>
      <t>1x20</t>
    </r>
    <r>
      <rPr>
        <sz val="9"/>
        <rFont val="宋体"/>
        <charset val="134"/>
      </rPr>
      <t>烤漆龙骨</t>
    </r>
  </si>
  <si>
    <t>J3293-T</t>
  </si>
  <si>
    <r>
      <rPr>
        <sz val="8"/>
        <rFont val="Arial"/>
        <charset val="134"/>
      </rPr>
      <t>巴林</t>
    </r>
    <r>
      <rPr>
        <sz val="8"/>
        <rFont val="Arial"/>
        <charset val="134"/>
      </rPr>
      <t>Altawasel Gate(Kurian)</t>
    </r>
  </si>
  <si>
    <r>
      <rPr>
        <sz val="8"/>
        <rFont val="Arial"/>
        <charset val="134"/>
      </rPr>
      <t>1x40</t>
    </r>
    <r>
      <rPr>
        <sz val="8"/>
        <rFont val="宋体"/>
        <charset val="134"/>
      </rPr>
      <t>轻钢龙骨</t>
    </r>
  </si>
  <si>
    <r>
      <rPr>
        <sz val="8"/>
        <rFont val="Arial"/>
        <charset val="134"/>
      </rPr>
      <t>已寄单，提单</t>
    </r>
    <r>
      <rPr>
        <sz val="8"/>
        <rFont val="Arial"/>
        <charset val="134"/>
      </rPr>
      <t>OK</t>
    </r>
    <r>
      <rPr>
        <sz val="8"/>
        <rFont val="宋体"/>
        <charset val="134"/>
      </rPr>
      <t>，</t>
    </r>
    <r>
      <rPr>
        <sz val="8"/>
        <rFont val="Arial"/>
        <charset val="134"/>
      </rPr>
      <t>CO-OK</t>
    </r>
  </si>
  <si>
    <r>
      <rPr>
        <sz val="8"/>
        <color indexed="8"/>
        <rFont val="Arial"/>
        <charset val="134"/>
      </rPr>
      <t>天津骄洋货代订舱拖车报关</t>
    </r>
    <r>
      <rPr>
        <sz val="8"/>
        <color indexed="8"/>
        <rFont val="Arial"/>
        <charset val="134"/>
      </rPr>
      <t xml:space="preserve">cosco </t>
    </r>
    <r>
      <rPr>
        <sz val="8"/>
        <color indexed="8"/>
        <rFont val="Cambria"/>
        <charset val="134"/>
      </rPr>
      <t>船</t>
    </r>
    <r>
      <rPr>
        <sz val="8"/>
        <color indexed="8"/>
        <rFont val="Arial"/>
        <charset val="134"/>
      </rPr>
      <t xml:space="preserve"> 775</t>
    </r>
    <r>
      <rPr>
        <sz val="8"/>
        <color indexed="8"/>
        <rFont val="Cambria"/>
        <charset val="134"/>
      </rPr>
      <t>美金，给客户报的也是</t>
    </r>
    <r>
      <rPr>
        <sz val="8"/>
        <color indexed="8"/>
        <rFont val="Arial"/>
        <charset val="134"/>
      </rPr>
      <t>775</t>
    </r>
    <r>
      <rPr>
        <sz val="8"/>
        <color indexed="8"/>
        <rFont val="Cambria"/>
        <charset val="134"/>
      </rPr>
      <t>美金</t>
    </r>
  </si>
  <si>
    <t>J3294-1-T</t>
  </si>
  <si>
    <r>
      <rPr>
        <sz val="8"/>
        <rFont val="Arial"/>
        <charset val="134"/>
      </rPr>
      <t>阿曼</t>
    </r>
    <r>
      <rPr>
        <sz val="8"/>
        <rFont val="Arial"/>
        <charset val="134"/>
      </rPr>
      <t>Khareef R Trading (Zayan)</t>
    </r>
  </si>
  <si>
    <r>
      <rPr>
        <sz val="8"/>
        <rFont val="Arial"/>
        <charset val="134"/>
      </rPr>
      <t>2x20</t>
    </r>
    <r>
      <rPr>
        <sz val="8"/>
        <rFont val="宋体"/>
        <charset val="134"/>
      </rPr>
      <t>轻钢龙骨</t>
    </r>
  </si>
  <si>
    <r>
      <rPr>
        <sz val="8"/>
        <rFont val="Arial"/>
        <charset val="134"/>
      </rPr>
      <t>已寄单，</t>
    </r>
    <r>
      <rPr>
        <sz val="8"/>
        <rFont val="Arial"/>
        <charset val="134"/>
      </rPr>
      <t>9</t>
    </r>
    <r>
      <rPr>
        <sz val="8"/>
        <rFont val="宋体"/>
        <charset val="134"/>
      </rPr>
      <t>月</t>
    </r>
    <r>
      <rPr>
        <sz val="8"/>
        <rFont val="Arial"/>
        <charset val="134"/>
      </rPr>
      <t>2</t>
    </r>
    <r>
      <rPr>
        <sz val="8"/>
        <rFont val="宋体"/>
        <charset val="134"/>
      </rPr>
      <t>号装</t>
    </r>
    <r>
      <rPr>
        <sz val="8"/>
        <rFont val="Arial"/>
        <charset val="134"/>
      </rPr>
      <t>2*20GP</t>
    </r>
  </si>
  <si>
    <r>
      <rPr>
        <sz val="8"/>
        <color indexed="8"/>
        <rFont val="Arial"/>
        <charset val="134"/>
      </rPr>
      <t>汇昌订舱</t>
    </r>
    <r>
      <rPr>
        <sz val="8"/>
        <color indexed="8"/>
        <rFont val="Arial"/>
        <charset val="134"/>
      </rPr>
      <t>SAF</t>
    </r>
    <r>
      <rPr>
        <sz val="8"/>
        <color indexed="8"/>
        <rFont val="宋体"/>
        <charset val="134"/>
      </rPr>
      <t>，拖车，报关。</t>
    </r>
    <r>
      <rPr>
        <sz val="8"/>
        <color indexed="8"/>
        <rFont val="Arial"/>
        <charset val="134"/>
      </rPr>
      <t>Salalah</t>
    </r>
    <r>
      <rPr>
        <sz val="8"/>
        <color indexed="8"/>
        <rFont val="宋体"/>
        <charset val="134"/>
      </rPr>
      <t>海运费</t>
    </r>
    <r>
      <rPr>
        <sz val="8"/>
        <color indexed="8"/>
        <rFont val="Arial"/>
        <charset val="134"/>
      </rPr>
      <t>1200,</t>
    </r>
    <r>
      <rPr>
        <sz val="8"/>
        <color indexed="8"/>
        <rFont val="宋体"/>
        <charset val="134"/>
      </rPr>
      <t>报客户</t>
    </r>
    <r>
      <rPr>
        <sz val="8"/>
        <color indexed="8"/>
        <rFont val="Arial"/>
        <charset val="134"/>
      </rPr>
      <t>1200</t>
    </r>
    <r>
      <rPr>
        <sz val="8"/>
        <color indexed="8"/>
        <rFont val="宋体"/>
        <charset val="134"/>
      </rPr>
      <t>，</t>
    </r>
    <r>
      <rPr>
        <sz val="8"/>
        <color indexed="8"/>
        <rFont val="Arial"/>
        <charset val="134"/>
      </rPr>
      <t>Sohar650</t>
    </r>
    <r>
      <rPr>
        <sz val="8"/>
        <color indexed="8"/>
        <rFont val="宋体"/>
        <charset val="134"/>
      </rPr>
      <t>，报客户</t>
    </r>
    <r>
      <rPr>
        <sz val="8"/>
        <color indexed="8"/>
        <rFont val="Arial"/>
        <charset val="134"/>
      </rPr>
      <t>651</t>
    </r>
  </si>
  <si>
    <t>J3294-2-T</t>
  </si>
  <si>
    <r>
      <rPr>
        <sz val="8"/>
        <rFont val="Arial"/>
        <charset val="134"/>
      </rPr>
      <t>款齐已寄单</t>
    </r>
    <r>
      <rPr>
        <sz val="8"/>
        <color indexed="8"/>
        <rFont val="Arial"/>
        <charset val="134"/>
      </rPr>
      <t xml:space="preserve"> </t>
    </r>
    <r>
      <rPr>
        <sz val="8"/>
        <color indexed="8"/>
        <rFont val="宋体"/>
        <charset val="134"/>
      </rPr>
      <t>船已开，需要</t>
    </r>
    <r>
      <rPr>
        <sz val="8"/>
        <color indexed="8"/>
        <rFont val="Arial"/>
        <charset val="134"/>
      </rPr>
      <t>34</t>
    </r>
    <r>
      <rPr>
        <sz val="8"/>
        <color indexed="8"/>
        <rFont val="Cambria"/>
        <charset val="134"/>
      </rPr>
      <t>天</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</si>
  <si>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Sohar650</t>
    </r>
    <r>
      <rPr>
        <sz val="8"/>
        <color indexed="8"/>
        <rFont val="宋体"/>
        <charset val="134"/>
      </rPr>
      <t>，报客户</t>
    </r>
    <r>
      <rPr>
        <sz val="8"/>
        <color indexed="8"/>
        <rFont val="Arial"/>
        <charset val="134"/>
      </rPr>
      <t>650</t>
    </r>
  </si>
  <si>
    <t>J3294-3-T</t>
  </si>
  <si>
    <r>
      <rPr>
        <sz val="8"/>
        <rFont val="Arial"/>
        <charset val="134"/>
      </rPr>
      <t>1x20</t>
    </r>
    <r>
      <rPr>
        <sz val="8"/>
        <rFont val="宋体"/>
        <charset val="134"/>
      </rPr>
      <t>轻钢龙骨</t>
    </r>
  </si>
  <si>
    <r>
      <rPr>
        <sz val="8"/>
        <color indexed="8"/>
        <rFont val="Arial"/>
        <charset val="134"/>
      </rPr>
      <t>款齐已寄单</t>
    </r>
    <r>
      <rPr>
        <sz val="8"/>
        <color indexed="8"/>
        <rFont val="Arial"/>
        <charset val="134"/>
      </rPr>
      <t xml:space="preserve"> CO-OK</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</si>
  <si>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Salalah-1185</t>
    </r>
    <r>
      <rPr>
        <sz val="8"/>
        <color indexed="8"/>
        <rFont val="宋体"/>
        <charset val="134"/>
      </rPr>
      <t>，报客户</t>
    </r>
    <r>
      <rPr>
        <sz val="8"/>
        <color indexed="8"/>
        <rFont val="Arial"/>
        <charset val="134"/>
      </rPr>
      <t>1185</t>
    </r>
  </si>
  <si>
    <t>J3295-T</t>
  </si>
  <si>
    <r>
      <rPr>
        <sz val="8"/>
        <rFont val="Arial"/>
        <charset val="134"/>
      </rPr>
      <t>尼日利亚</t>
    </r>
    <r>
      <rPr>
        <sz val="8"/>
        <rFont val="Arial"/>
        <charset val="134"/>
      </rPr>
      <t>LUXEMBOURG(Ebere)</t>
    </r>
  </si>
  <si>
    <r>
      <rPr>
        <sz val="8"/>
        <rFont val="Arial"/>
        <charset val="134"/>
      </rPr>
      <t>3x20</t>
    </r>
    <r>
      <rPr>
        <sz val="8"/>
        <rFont val="宋体"/>
        <charset val="134"/>
      </rPr>
      <t>轻钢龙骨</t>
    </r>
  </si>
  <si>
    <t>xingang-tincan</t>
  </si>
  <si>
    <t>DHL:2886465654</t>
  </si>
  <si>
    <r>
      <rPr>
        <sz val="8"/>
        <rFont val="Arial"/>
        <charset val="134"/>
      </rPr>
      <t>会昌订舱</t>
    </r>
    <r>
      <rPr>
        <sz val="8"/>
        <rFont val="Arial"/>
        <charset val="134"/>
      </rPr>
      <t>2250</t>
    </r>
    <r>
      <rPr>
        <sz val="8"/>
        <rFont val="宋体"/>
        <charset val="134"/>
      </rPr>
      <t>，拖车报关</t>
    </r>
  </si>
  <si>
    <t>10000+10000+10000+10000+10000</t>
  </si>
  <si>
    <t>J3296-T</t>
  </si>
  <si>
    <r>
      <rPr>
        <sz val="8"/>
        <rFont val="Arial"/>
        <charset val="134"/>
      </rPr>
      <t>山东华勤</t>
    </r>
    <r>
      <rPr>
        <sz val="8"/>
        <rFont val="Arial"/>
        <charset val="134"/>
      </rPr>
      <t xml:space="preserve"> -(Rex)</t>
    </r>
  </si>
  <si>
    <r>
      <rPr>
        <sz val="8"/>
        <rFont val="Arial"/>
        <charset val="134"/>
      </rPr>
      <t>3.5</t>
    </r>
    <r>
      <rPr>
        <sz val="8"/>
        <rFont val="宋体"/>
        <charset val="134"/>
      </rPr>
      <t>吨轻钢龙骨</t>
    </r>
  </si>
  <si>
    <t xml:space="preserve">EXW </t>
  </si>
  <si>
    <r>
      <rPr>
        <sz val="8"/>
        <rFont val="Arial"/>
        <charset val="134"/>
      </rPr>
      <t>临沂</t>
    </r>
    <r>
      <rPr>
        <sz val="8"/>
        <rFont val="Arial"/>
        <charset val="134"/>
      </rPr>
      <t>,</t>
    </r>
    <r>
      <rPr>
        <sz val="8"/>
        <rFont val="宋体"/>
        <charset val="134"/>
      </rPr>
      <t>出厂前付清</t>
    </r>
  </si>
  <si>
    <r>
      <rPr>
        <sz val="8"/>
        <color rgb="FF000000"/>
        <rFont val="Arial"/>
        <charset val="134"/>
      </rPr>
      <t>11.27</t>
    </r>
    <r>
      <rPr>
        <sz val="8"/>
        <color indexed="8"/>
        <rFont val="宋体"/>
        <charset val="134"/>
      </rPr>
      <t>日已发走</t>
    </r>
    <r>
      <rPr>
        <sz val="8"/>
        <color indexed="8"/>
        <rFont val="Arial"/>
        <charset val="134"/>
      </rPr>
      <t>,</t>
    </r>
    <r>
      <rPr>
        <sz val="8"/>
        <color indexed="8"/>
        <rFont val="宋体"/>
        <charset val="134"/>
      </rPr>
      <t>货款已经收齐，已经给了进仓地图了，运费客户到付</t>
    </r>
  </si>
  <si>
    <t>J3308-1-T</t>
  </si>
  <si>
    <r>
      <rPr>
        <sz val="8"/>
        <rFont val="Arial"/>
        <charset val="134"/>
      </rPr>
      <t>阿曼</t>
    </r>
    <r>
      <rPr>
        <sz val="8"/>
        <rFont val="Arial"/>
        <charset val="134"/>
      </rPr>
      <t xml:space="preserve">Zayan Khareef </t>
    </r>
  </si>
  <si>
    <r>
      <rPr>
        <sz val="8"/>
        <rFont val="Arial"/>
        <charset val="134"/>
      </rPr>
      <t xml:space="preserve">1x20+1x40‘ </t>
    </r>
    <r>
      <rPr>
        <sz val="8"/>
        <rFont val="宋体"/>
        <charset val="134"/>
      </rPr>
      <t>轻钢龙骨</t>
    </r>
    <r>
      <rPr>
        <sz val="8"/>
        <rFont val="Arial"/>
        <charset val="134"/>
      </rPr>
      <t>(</t>
    </r>
    <r>
      <rPr>
        <sz val="8"/>
        <rFont val="宋体"/>
        <charset val="134"/>
      </rPr>
      <t>提单日</t>
    </r>
    <r>
      <rPr>
        <sz val="8"/>
        <rFont val="Arial"/>
        <charset val="134"/>
      </rPr>
      <t>15</t>
    </r>
    <r>
      <rPr>
        <sz val="8"/>
        <rFont val="宋体"/>
        <charset val="134"/>
      </rPr>
      <t>天内付款）</t>
    </r>
  </si>
  <si>
    <r>
      <rPr>
        <sz val="8"/>
        <color indexed="8"/>
        <rFont val="Arial"/>
        <charset val="134"/>
      </rPr>
      <t>款齐已寄单，</t>
    </r>
    <r>
      <rPr>
        <sz val="8"/>
        <color indexed="8"/>
        <rFont val="Arial"/>
        <charset val="134"/>
      </rPr>
      <t>CO-OK</t>
    </r>
  </si>
  <si>
    <r>
      <rPr>
        <sz val="8"/>
        <color indexed="8"/>
        <rFont val="Arial"/>
        <charset val="134"/>
      </rPr>
      <t>会昌订舱拖车报关，小柜</t>
    </r>
    <r>
      <rPr>
        <sz val="8"/>
        <color indexed="8"/>
        <rFont val="Arial"/>
        <charset val="134"/>
      </rPr>
      <t>675,</t>
    </r>
    <r>
      <rPr>
        <sz val="8"/>
        <color indexed="8"/>
        <rFont val="宋体"/>
        <charset val="134"/>
      </rPr>
      <t>大柜</t>
    </r>
    <r>
      <rPr>
        <sz val="8"/>
        <color indexed="8"/>
        <rFont val="Arial"/>
        <charset val="134"/>
      </rPr>
      <t>700</t>
    </r>
    <r>
      <rPr>
        <sz val="8"/>
        <color indexed="8"/>
        <rFont val="宋体"/>
        <charset val="134"/>
      </rPr>
      <t>美金，报客户也是一样的</t>
    </r>
  </si>
  <si>
    <t>J3308-2-T</t>
  </si>
  <si>
    <r>
      <rPr>
        <sz val="8"/>
        <rFont val="Arial"/>
        <charset val="134"/>
      </rPr>
      <t xml:space="preserve">1x20 </t>
    </r>
    <r>
      <rPr>
        <sz val="8"/>
        <rFont val="宋体"/>
        <charset val="134"/>
      </rPr>
      <t>轻钢龙骨</t>
    </r>
    <r>
      <rPr>
        <sz val="8"/>
        <rFont val="Arial"/>
        <charset val="134"/>
      </rPr>
      <t>(</t>
    </r>
    <r>
      <rPr>
        <sz val="8"/>
        <rFont val="宋体"/>
        <charset val="134"/>
      </rPr>
      <t>提单日</t>
    </r>
    <r>
      <rPr>
        <sz val="8"/>
        <rFont val="Arial"/>
        <charset val="134"/>
      </rPr>
      <t>17</t>
    </r>
    <r>
      <rPr>
        <sz val="8"/>
        <rFont val="宋体"/>
        <charset val="134"/>
      </rPr>
      <t>天内付款）</t>
    </r>
  </si>
  <si>
    <r>
      <rPr>
        <sz val="8"/>
        <color indexed="8"/>
        <rFont val="Arial"/>
        <charset val="134"/>
      </rPr>
      <t>已寄单，</t>
    </r>
    <r>
      <rPr>
        <sz val="8"/>
        <color indexed="8"/>
        <rFont val="Arial"/>
        <charset val="134"/>
      </rPr>
      <t>9.28</t>
    </r>
    <r>
      <rPr>
        <sz val="8"/>
        <color indexed="8"/>
        <rFont val="宋体"/>
        <charset val="134"/>
      </rPr>
      <t>日装完了货，</t>
    </r>
    <r>
      <rPr>
        <sz val="8"/>
        <color indexed="8"/>
        <rFont val="Arial"/>
        <charset val="134"/>
      </rPr>
      <t>CO</t>
    </r>
    <r>
      <rPr>
        <sz val="8"/>
        <color indexed="8"/>
        <rFont val="宋体"/>
        <charset val="134"/>
      </rPr>
      <t>已在系统中做了</t>
    </r>
  </si>
  <si>
    <r>
      <rPr>
        <sz val="8"/>
        <color indexed="8"/>
        <rFont val="Arial"/>
        <charset val="134"/>
      </rPr>
      <t>会昌订舱拖车报关，小柜</t>
    </r>
    <r>
      <rPr>
        <sz val="8"/>
        <color indexed="8"/>
        <rFont val="Arial"/>
        <charset val="134"/>
      </rPr>
      <t>625,</t>
    </r>
    <r>
      <rPr>
        <sz val="8"/>
        <color indexed="8"/>
        <rFont val="宋体"/>
        <charset val="134"/>
      </rPr>
      <t>报客户</t>
    </r>
    <r>
      <rPr>
        <sz val="8"/>
        <color indexed="8"/>
        <rFont val="Arial"/>
        <charset val="134"/>
      </rPr>
      <t>650</t>
    </r>
  </si>
  <si>
    <t>J3314-T</t>
  </si>
  <si>
    <r>
      <rPr>
        <sz val="8"/>
        <rFont val="Arial"/>
        <charset val="134"/>
      </rPr>
      <t>澳大利亚</t>
    </r>
    <r>
      <rPr>
        <sz val="8"/>
        <rFont val="Arial"/>
        <charset val="134"/>
      </rPr>
      <t xml:space="preserve">Robert </t>
    </r>
  </si>
  <si>
    <r>
      <rPr>
        <sz val="8"/>
        <rFont val="Arial"/>
        <charset val="134"/>
      </rPr>
      <t>2x20</t>
    </r>
    <r>
      <rPr>
        <sz val="8"/>
        <rFont val="宋体"/>
        <charset val="134"/>
      </rPr>
      <t>轻钢龙骨</t>
    </r>
    <r>
      <rPr>
        <sz val="8"/>
        <rFont val="Arial"/>
        <charset val="134"/>
      </rPr>
      <t>FOB</t>
    </r>
  </si>
  <si>
    <t>xingang -Brisbane,Australia</t>
  </si>
  <si>
    <r>
      <rPr>
        <sz val="8"/>
        <rFont val="Arial"/>
        <charset val="134"/>
      </rPr>
      <t>款到已电放。</t>
    </r>
    <r>
      <rPr>
        <sz val="8"/>
        <rFont val="Arial"/>
        <charset val="134"/>
      </rPr>
      <t>10.9</t>
    </r>
    <r>
      <rPr>
        <sz val="8"/>
        <rFont val="宋体"/>
        <charset val="134"/>
      </rPr>
      <t>日已装，外采崔经理的，上票是</t>
    </r>
    <r>
      <rPr>
        <sz val="8"/>
        <rFont val="Arial"/>
        <charset val="134"/>
      </rPr>
      <t>J2891</t>
    </r>
    <r>
      <rPr>
        <sz val="8"/>
        <rFont val="宋体"/>
        <charset val="134"/>
      </rPr>
      <t>，需要特殊优惠产地证深圳出，木质证明出</t>
    </r>
    <r>
      <rPr>
        <sz val="8"/>
        <rFont val="Arial"/>
        <charset val="134"/>
      </rPr>
      <t>PDF</t>
    </r>
    <r>
      <rPr>
        <sz val="8"/>
        <rFont val="宋体"/>
        <charset val="134"/>
      </rPr>
      <t>的，提单正本，其余单据需要邮寄</t>
    </r>
  </si>
  <si>
    <r>
      <rPr>
        <sz val="8"/>
        <color indexed="8"/>
        <rFont val="Arial"/>
        <charset val="134"/>
      </rPr>
      <t>会昌订舱拖车报关</t>
    </r>
    <r>
      <rPr>
        <sz val="8"/>
        <color indexed="8"/>
        <rFont val="Arial"/>
        <charset val="134"/>
      </rPr>
      <t>550</t>
    </r>
    <r>
      <rPr>
        <sz val="8"/>
        <color indexed="8"/>
        <rFont val="宋体"/>
        <charset val="134"/>
      </rPr>
      <t>美金，报客户</t>
    </r>
    <r>
      <rPr>
        <sz val="8"/>
        <color indexed="8"/>
        <rFont val="Arial"/>
        <charset val="134"/>
      </rPr>
      <t>550</t>
    </r>
  </si>
  <si>
    <t>J3316-T</t>
  </si>
  <si>
    <r>
      <rPr>
        <sz val="8"/>
        <rFont val="Arial"/>
        <charset val="134"/>
      </rPr>
      <t>澳大利亚</t>
    </r>
    <r>
      <rPr>
        <sz val="8"/>
        <rFont val="Arial"/>
        <charset val="134"/>
      </rPr>
      <t>SA/Jarrad</t>
    </r>
  </si>
  <si>
    <r>
      <rPr>
        <sz val="8"/>
        <rFont val="Arial"/>
        <charset val="134"/>
      </rPr>
      <t xml:space="preserve">1x20fcl </t>
    </r>
    <r>
      <rPr>
        <sz val="8"/>
        <rFont val="宋体"/>
        <charset val="134"/>
      </rPr>
      <t>轻钢龙骨</t>
    </r>
    <r>
      <rPr>
        <sz val="8"/>
        <rFont val="Arial"/>
        <charset val="134"/>
      </rPr>
      <t>FOB</t>
    </r>
  </si>
  <si>
    <t>xingang -Adelaide,Australia</t>
  </si>
  <si>
    <r>
      <rPr>
        <sz val="8"/>
        <rFont val="Arial"/>
        <charset val="134"/>
      </rPr>
      <t>外采崔经理的货物，指定货代</t>
    </r>
    <r>
      <rPr>
        <sz val="8"/>
        <rFont val="Arial"/>
        <charset val="134"/>
      </rPr>
      <t>,</t>
    </r>
    <r>
      <rPr>
        <sz val="8"/>
        <rFont val="宋体"/>
        <charset val="134"/>
      </rPr>
      <t>特殊优惠产地证深圳已出，木质证明出</t>
    </r>
    <r>
      <rPr>
        <sz val="8"/>
        <rFont val="Arial"/>
        <charset val="134"/>
      </rPr>
      <t>PDF</t>
    </r>
    <r>
      <rPr>
        <sz val="8"/>
        <rFont val="宋体"/>
        <charset val="134"/>
      </rPr>
      <t>的已出，提单已安排电放，其余单据需要邮寄。</t>
    </r>
  </si>
  <si>
    <r>
      <rPr>
        <sz val="8"/>
        <color indexed="8"/>
        <rFont val="Arial"/>
        <charset val="134"/>
      </rPr>
      <t>指定代理</t>
    </r>
    <r>
      <rPr>
        <sz val="8"/>
        <color indexed="8"/>
        <rFont val="Arial"/>
        <charset val="134"/>
      </rPr>
      <t>ACON LOGISTICS</t>
    </r>
    <r>
      <rPr>
        <sz val="8"/>
        <color indexed="8"/>
        <rFont val="宋体"/>
        <charset val="134"/>
      </rPr>
      <t>，会昌拖车报关</t>
    </r>
  </si>
  <si>
    <t>J3320-1-T</t>
  </si>
  <si>
    <r>
      <rPr>
        <sz val="8"/>
        <rFont val="Arial"/>
        <charset val="134"/>
      </rPr>
      <t>2x20</t>
    </r>
    <r>
      <rPr>
        <sz val="8"/>
        <rFont val="宋体"/>
        <charset val="134"/>
      </rPr>
      <t>轻钢龙</t>
    </r>
  </si>
  <si>
    <t>xingang -sohar</t>
  </si>
  <si>
    <r>
      <rPr>
        <sz val="8"/>
        <color theme="1"/>
        <rFont val="Arial"/>
        <charset val="134"/>
      </rPr>
      <t>10.21</t>
    </r>
    <r>
      <rPr>
        <sz val="8"/>
        <color indexed="8"/>
        <rFont val="宋体"/>
        <charset val="134"/>
      </rPr>
      <t>日已装，正本提单有了，</t>
    </r>
    <r>
      <rPr>
        <sz val="8"/>
        <color indexed="8"/>
        <rFont val="Arial"/>
        <charset val="134"/>
      </rPr>
      <t>CO</t>
    </r>
    <r>
      <rPr>
        <sz val="8"/>
        <color indexed="8"/>
        <rFont val="宋体"/>
        <charset val="134"/>
      </rPr>
      <t>齐，等款寄单。</t>
    </r>
  </si>
  <si>
    <r>
      <rPr>
        <sz val="8"/>
        <rFont val="Arial"/>
        <charset val="134"/>
      </rPr>
      <t>会昌订舱直航船</t>
    </r>
    <r>
      <rPr>
        <sz val="8"/>
        <rFont val="Arial"/>
        <charset val="134"/>
      </rPr>
      <t>675</t>
    </r>
    <r>
      <rPr>
        <sz val="8"/>
        <rFont val="宋体"/>
        <charset val="134"/>
      </rPr>
      <t>美金，报客户也是</t>
    </r>
    <r>
      <rPr>
        <sz val="8"/>
        <rFont val="Arial"/>
        <charset val="134"/>
      </rPr>
      <t>675</t>
    </r>
  </si>
  <si>
    <t>J3320-2-T</t>
  </si>
  <si>
    <r>
      <rPr>
        <sz val="8"/>
        <rFont val="Arial"/>
        <charset val="134"/>
      </rPr>
      <t xml:space="preserve">1x40HC </t>
    </r>
    <r>
      <rPr>
        <sz val="8"/>
        <rFont val="宋体"/>
        <charset val="134"/>
      </rPr>
      <t>轻钢龙骨</t>
    </r>
    <r>
      <rPr>
        <sz val="8"/>
        <rFont val="Arial"/>
        <charset val="134"/>
      </rPr>
      <t>(</t>
    </r>
    <r>
      <rPr>
        <sz val="8"/>
        <rFont val="宋体"/>
        <charset val="134"/>
      </rPr>
      <t>白沟融资）</t>
    </r>
  </si>
  <si>
    <t>xingang-salalah, Oman</t>
  </si>
  <si>
    <r>
      <rPr>
        <sz val="8"/>
        <color theme="1"/>
        <rFont val="Arial"/>
        <charset val="134"/>
      </rPr>
      <t>10.23</t>
    </r>
    <r>
      <rPr>
        <sz val="8"/>
        <color indexed="8"/>
        <rFont val="宋体"/>
        <charset val="134"/>
      </rPr>
      <t>日已装，提单</t>
    </r>
    <r>
      <rPr>
        <sz val="8"/>
        <color indexed="8"/>
        <rFont val="Arial"/>
        <charset val="134"/>
      </rPr>
      <t>CO</t>
    </r>
    <r>
      <rPr>
        <sz val="8"/>
        <color indexed="8"/>
        <rFont val="宋体"/>
        <charset val="134"/>
      </rPr>
      <t>都有了，等款寄单。</t>
    </r>
  </si>
  <si>
    <r>
      <rPr>
        <sz val="8"/>
        <rFont val="Arial"/>
        <charset val="134"/>
      </rPr>
      <t>会昌订舱拖车报关</t>
    </r>
    <r>
      <rPr>
        <sz val="8"/>
        <rFont val="Arial"/>
        <charset val="134"/>
      </rPr>
      <t>SAF</t>
    </r>
    <r>
      <rPr>
        <sz val="8"/>
        <rFont val="宋体"/>
        <charset val="134"/>
      </rPr>
      <t>的船</t>
    </r>
    <r>
      <rPr>
        <sz val="8"/>
        <rFont val="Arial"/>
        <charset val="134"/>
      </rPr>
      <t>1650USD</t>
    </r>
    <r>
      <rPr>
        <sz val="8"/>
        <rFont val="宋体"/>
        <charset val="134"/>
      </rPr>
      <t>，报客户</t>
    </r>
    <r>
      <rPr>
        <sz val="8"/>
        <rFont val="Arial"/>
        <charset val="134"/>
      </rPr>
      <t>1650USD</t>
    </r>
  </si>
  <si>
    <t>J3320-3-T</t>
  </si>
  <si>
    <r>
      <rPr>
        <sz val="8"/>
        <rFont val="Arial"/>
        <charset val="134"/>
      </rPr>
      <t xml:space="preserve">2x20 </t>
    </r>
    <r>
      <rPr>
        <sz val="8"/>
        <rFont val="宋体"/>
        <charset val="134"/>
      </rPr>
      <t>轻钢龙骨</t>
    </r>
    <r>
      <rPr>
        <sz val="8"/>
        <rFont val="Arial"/>
        <charset val="134"/>
      </rPr>
      <t>(</t>
    </r>
    <r>
      <rPr>
        <sz val="8"/>
        <rFont val="宋体"/>
        <charset val="134"/>
      </rPr>
      <t>白沟融资）</t>
    </r>
  </si>
  <si>
    <r>
      <rPr>
        <sz val="8"/>
        <rFont val="Arial"/>
        <charset val="134"/>
      </rPr>
      <t>天津永瀚订舱</t>
    </r>
    <r>
      <rPr>
        <sz val="8"/>
        <rFont val="Arial"/>
        <charset val="134"/>
      </rPr>
      <t>EMI</t>
    </r>
    <r>
      <rPr>
        <sz val="8"/>
        <rFont val="宋体"/>
        <charset val="134"/>
      </rPr>
      <t>周六船</t>
    </r>
    <r>
      <rPr>
        <sz val="8"/>
        <rFont val="Arial"/>
        <charset val="134"/>
      </rPr>
      <t>727</t>
    </r>
    <r>
      <rPr>
        <sz val="8"/>
        <rFont val="宋体"/>
        <charset val="134"/>
      </rPr>
      <t>，报客户也是</t>
    </r>
    <r>
      <rPr>
        <sz val="8"/>
        <rFont val="Arial"/>
        <charset val="134"/>
      </rPr>
      <t>750</t>
    </r>
    <r>
      <rPr>
        <sz val="8"/>
        <rFont val="宋体"/>
        <charset val="134"/>
      </rPr>
      <t>，天津永瀚拖车报关</t>
    </r>
  </si>
  <si>
    <t>J3327-T</t>
  </si>
  <si>
    <r>
      <rPr>
        <sz val="8"/>
        <rFont val="Arial"/>
        <charset val="134"/>
      </rPr>
      <t>迪拜</t>
    </r>
    <r>
      <rPr>
        <sz val="8"/>
        <rFont val="Arial"/>
        <charset val="134"/>
      </rPr>
      <t xml:space="preserve">Maraghi/Sunil </t>
    </r>
  </si>
  <si>
    <r>
      <rPr>
        <sz val="8"/>
        <rFont val="Arial"/>
        <charset val="134"/>
      </rPr>
      <t xml:space="preserve">1x20fcl +1x40hc </t>
    </r>
    <r>
      <rPr>
        <sz val="8"/>
        <rFont val="宋体"/>
        <charset val="134"/>
      </rPr>
      <t>轻钢</t>
    </r>
  </si>
  <si>
    <r>
      <rPr>
        <sz val="8"/>
        <rFont val="Arial"/>
        <charset val="134"/>
      </rPr>
      <t>款到已寄单，</t>
    </r>
    <r>
      <rPr>
        <sz val="8"/>
        <rFont val="Arial"/>
        <charset val="134"/>
      </rPr>
      <t>10.21</t>
    </r>
    <r>
      <rPr>
        <sz val="8"/>
        <rFont val="宋体"/>
        <charset val="134"/>
      </rPr>
      <t>日已装，提单有了，</t>
    </r>
    <r>
      <rPr>
        <sz val="8"/>
        <rFont val="Arial"/>
        <charset val="134"/>
      </rPr>
      <t>CO</t>
    </r>
    <r>
      <rPr>
        <sz val="8"/>
        <rFont val="宋体"/>
        <charset val="134"/>
      </rPr>
      <t>齐了</t>
    </r>
  </si>
  <si>
    <r>
      <rPr>
        <sz val="8"/>
        <color indexed="8"/>
        <rFont val="Arial"/>
        <charset val="134"/>
      </rPr>
      <t>指定代理</t>
    </r>
    <r>
      <rPr>
        <sz val="8"/>
        <color indexed="8"/>
        <rFont val="Arial"/>
        <charset val="134"/>
      </rPr>
      <t>Randy--</t>
    </r>
    <r>
      <rPr>
        <sz val="8"/>
        <color indexed="8"/>
        <rFont val="宋体"/>
        <charset val="134"/>
      </rPr>
      <t>迪拜指定货代，会昌拖车报关，合并成</t>
    </r>
    <r>
      <rPr>
        <sz val="8"/>
        <color indexed="8"/>
        <rFont val="Arial"/>
        <charset val="134"/>
      </rPr>
      <t>1</t>
    </r>
    <r>
      <rPr>
        <sz val="8"/>
        <color indexed="8"/>
        <rFont val="宋体"/>
        <charset val="134"/>
      </rPr>
      <t>个提单，两票报关</t>
    </r>
    <r>
      <rPr>
        <sz val="8"/>
        <color indexed="8"/>
        <rFont val="Arial"/>
        <charset val="134"/>
      </rPr>
      <t>1</t>
    </r>
    <r>
      <rPr>
        <sz val="8"/>
        <color indexed="8"/>
        <rFont val="宋体"/>
        <charset val="134"/>
      </rPr>
      <t>票提单</t>
    </r>
  </si>
  <si>
    <t>J3334-T</t>
  </si>
  <si>
    <r>
      <rPr>
        <sz val="8"/>
        <rFont val="Arial"/>
        <charset val="134"/>
      </rPr>
      <t>迪拜</t>
    </r>
    <r>
      <rPr>
        <sz val="8"/>
        <rFont val="Arial"/>
        <charset val="134"/>
      </rPr>
      <t>Maraghi/Sunil</t>
    </r>
  </si>
  <si>
    <r>
      <rPr>
        <sz val="8"/>
        <rFont val="Arial"/>
        <charset val="134"/>
      </rPr>
      <t xml:space="preserve"> 1x20fcl </t>
    </r>
    <r>
      <rPr>
        <sz val="8"/>
        <rFont val="宋体"/>
        <charset val="134"/>
      </rPr>
      <t>烤漆龙骨</t>
    </r>
  </si>
  <si>
    <r>
      <rPr>
        <sz val="8"/>
        <rFont val="Arial"/>
        <charset val="134"/>
      </rPr>
      <t>款到已寄单，</t>
    </r>
    <r>
      <rPr>
        <sz val="8"/>
        <rFont val="Arial"/>
        <charset val="134"/>
      </rPr>
      <t>10.24</t>
    </r>
    <r>
      <rPr>
        <sz val="8"/>
        <rFont val="宋体"/>
        <charset val="134"/>
      </rPr>
      <t>日已装，提单有了，</t>
    </r>
    <r>
      <rPr>
        <sz val="8"/>
        <rFont val="Arial"/>
        <charset val="134"/>
      </rPr>
      <t>CO</t>
    </r>
    <r>
      <rPr>
        <sz val="8"/>
        <rFont val="宋体"/>
        <charset val="134"/>
      </rPr>
      <t>齐了</t>
    </r>
  </si>
  <si>
    <t>J3335-T</t>
  </si>
  <si>
    <r>
      <rPr>
        <sz val="8"/>
        <rFont val="Arial"/>
        <charset val="134"/>
      </rPr>
      <t xml:space="preserve"> 1x20fcl+1x40’</t>
    </r>
    <r>
      <rPr>
        <sz val="8"/>
        <rFont val="宋体"/>
        <charset val="134"/>
      </rPr>
      <t>轻钢龙骨</t>
    </r>
  </si>
  <si>
    <r>
      <rPr>
        <sz val="8"/>
        <color indexed="8"/>
        <rFont val="Arial"/>
        <charset val="134"/>
      </rPr>
      <t>会昌订舱</t>
    </r>
    <r>
      <rPr>
        <sz val="8"/>
        <color indexed="8"/>
        <rFont val="Arial"/>
        <charset val="134"/>
      </rPr>
      <t>625</t>
    </r>
    <r>
      <rPr>
        <sz val="8"/>
        <color indexed="8"/>
        <rFont val="宋体"/>
        <charset val="134"/>
      </rPr>
      <t>美金，报客户也是</t>
    </r>
    <r>
      <rPr>
        <sz val="8"/>
        <color indexed="8"/>
        <rFont val="Arial"/>
        <charset val="134"/>
      </rPr>
      <t>625</t>
    </r>
    <r>
      <rPr>
        <sz val="8"/>
        <color indexed="8"/>
        <rFont val="宋体"/>
        <charset val="134"/>
      </rPr>
      <t>美金，大小都是</t>
    </r>
    <r>
      <rPr>
        <sz val="8"/>
        <color indexed="8"/>
        <rFont val="Arial"/>
        <charset val="134"/>
      </rPr>
      <t>625</t>
    </r>
    <r>
      <rPr>
        <sz val="8"/>
        <color indexed="8"/>
        <rFont val="宋体"/>
        <charset val="134"/>
      </rPr>
      <t>，会昌拖车报关</t>
    </r>
  </si>
  <si>
    <t xml:space="preserve">J3330-T </t>
  </si>
  <si>
    <r>
      <rPr>
        <sz val="8"/>
        <rFont val="Arial"/>
        <charset val="134"/>
      </rPr>
      <t>阿曼</t>
    </r>
    <r>
      <rPr>
        <sz val="8"/>
        <rFont val="Arial"/>
        <charset val="134"/>
      </rPr>
      <t xml:space="preserve">zayan (Khareef Ali </t>
    </r>
    <r>
      <rPr>
        <sz val="8"/>
        <rFont val="宋体"/>
        <charset val="134"/>
      </rPr>
      <t>）</t>
    </r>
  </si>
  <si>
    <r>
      <rPr>
        <sz val="8"/>
        <rFont val="Arial"/>
        <charset val="134"/>
      </rPr>
      <t>1*20GP</t>
    </r>
    <r>
      <rPr>
        <sz val="8"/>
        <rFont val="宋体"/>
        <charset val="134"/>
      </rPr>
      <t>烤漆</t>
    </r>
  </si>
  <si>
    <t>xingang--salalah</t>
  </si>
  <si>
    <r>
      <rPr>
        <sz val="8"/>
        <color indexed="8"/>
        <rFont val="Arial"/>
        <charset val="134"/>
      </rPr>
      <t>会昌订舱赫伯</t>
    </r>
    <r>
      <rPr>
        <sz val="8"/>
        <color indexed="8"/>
        <rFont val="Arial"/>
        <charset val="134"/>
      </rPr>
      <t>880USD</t>
    </r>
    <r>
      <rPr>
        <sz val="8"/>
        <color indexed="8"/>
        <rFont val="宋体"/>
        <charset val="134"/>
      </rPr>
      <t>，报客户</t>
    </r>
    <r>
      <rPr>
        <sz val="8"/>
        <color indexed="8"/>
        <rFont val="Arial"/>
        <charset val="134"/>
      </rPr>
      <t>880</t>
    </r>
    <r>
      <rPr>
        <sz val="8"/>
        <color indexed="8"/>
        <rFont val="宋体"/>
        <charset val="134"/>
      </rPr>
      <t>，会昌拖车报关</t>
    </r>
  </si>
  <si>
    <t>J3338-T</t>
  </si>
  <si>
    <r>
      <rPr>
        <sz val="8"/>
        <rFont val="宋体"/>
        <charset val="134"/>
      </rPr>
      <t>巴林</t>
    </r>
    <r>
      <rPr>
        <sz val="8"/>
        <rFont val="Arial"/>
        <charset val="134"/>
      </rPr>
      <t xml:space="preserve">Altawasel/Kurain </t>
    </r>
  </si>
  <si>
    <r>
      <rPr>
        <sz val="8"/>
        <rFont val="Arial"/>
        <charset val="134"/>
      </rPr>
      <t>1x20</t>
    </r>
    <r>
      <rPr>
        <sz val="8"/>
        <rFont val="宋体"/>
        <charset val="134"/>
      </rPr>
      <t>轻钢</t>
    </r>
    <r>
      <rPr>
        <sz val="8"/>
        <rFont val="Arial"/>
        <charset val="134"/>
      </rPr>
      <t>Fur Main An 0.42mm</t>
    </r>
    <r>
      <rPr>
        <sz val="8"/>
        <rFont val="宋体"/>
        <charset val="134"/>
      </rPr>
      <t>，配件</t>
    </r>
    <r>
      <rPr>
        <sz val="8"/>
        <rFont val="Arial"/>
        <charset val="134"/>
      </rPr>
      <t xml:space="preserve"> </t>
    </r>
  </si>
  <si>
    <r>
      <rPr>
        <sz val="8"/>
        <color indexed="8"/>
        <rFont val="Arial"/>
        <charset val="134"/>
      </rPr>
      <t>会昌报价中远船</t>
    </r>
    <r>
      <rPr>
        <sz val="8"/>
        <color indexed="8"/>
        <rFont val="Arial"/>
        <charset val="134"/>
      </rPr>
      <t>850</t>
    </r>
    <r>
      <rPr>
        <sz val="8"/>
        <color indexed="8"/>
        <rFont val="宋体"/>
        <charset val="134"/>
      </rPr>
      <t>，报客户</t>
    </r>
    <r>
      <rPr>
        <sz val="8"/>
        <color indexed="8"/>
        <rFont val="Arial"/>
        <charset val="134"/>
      </rPr>
      <t>850</t>
    </r>
    <r>
      <rPr>
        <sz val="8"/>
        <color indexed="8"/>
        <rFont val="宋体"/>
        <charset val="134"/>
      </rPr>
      <t>，会昌拖车报关</t>
    </r>
  </si>
  <si>
    <t>J3342-T</t>
  </si>
  <si>
    <r>
      <rPr>
        <sz val="8"/>
        <rFont val="Arial"/>
        <charset val="134"/>
      </rPr>
      <t>义乌开航</t>
    </r>
    <r>
      <rPr>
        <sz val="8"/>
        <rFont val="Arial"/>
        <charset val="134"/>
      </rPr>
      <t>/</t>
    </r>
    <r>
      <rPr>
        <sz val="8"/>
        <rFont val="宋体"/>
        <charset val="134"/>
      </rPr>
      <t>林平</t>
    </r>
    <r>
      <rPr>
        <sz val="8"/>
        <rFont val="Arial"/>
        <charset val="134"/>
      </rPr>
      <t xml:space="preserve"> </t>
    </r>
  </si>
  <si>
    <r>
      <rPr>
        <sz val="8"/>
        <rFont val="Arial"/>
        <charset val="134"/>
      </rPr>
      <t>1x20GP</t>
    </r>
    <r>
      <rPr>
        <sz val="8"/>
        <rFont val="宋体"/>
        <charset val="134"/>
      </rPr>
      <t>烤漆</t>
    </r>
  </si>
  <si>
    <r>
      <rPr>
        <sz val="8"/>
        <rFont val="Arial"/>
        <charset val="134"/>
      </rPr>
      <t>xingang-</t>
    </r>
    <r>
      <rPr>
        <sz val="8"/>
        <rFont val="宋体"/>
        <charset val="134"/>
      </rPr>
      <t>南美</t>
    </r>
  </si>
  <si>
    <r>
      <rPr>
        <sz val="8"/>
        <color indexed="8"/>
        <rFont val="Arial"/>
        <charset val="134"/>
      </rPr>
      <t>等款安排电放。正本提单扫描件有了，付货代港杂催王姐。</t>
    </r>
    <r>
      <rPr>
        <sz val="8"/>
        <color indexed="8"/>
        <rFont val="Arial"/>
        <charset val="134"/>
      </rPr>
      <t>11.18</t>
    </r>
    <r>
      <rPr>
        <sz val="8"/>
        <color indexed="8"/>
        <rFont val="宋体"/>
        <charset val="134"/>
      </rPr>
      <t>日已装，单据已发客户</t>
    </r>
  </si>
  <si>
    <t>指定代理天天，会昌拖车报关</t>
  </si>
  <si>
    <r>
      <rPr>
        <sz val="8"/>
        <rFont val="Arial"/>
        <charset val="134"/>
      </rPr>
      <t>137035.5</t>
    </r>
    <r>
      <rPr>
        <sz val="8"/>
        <rFont val="宋体"/>
        <charset val="134"/>
      </rPr>
      <t>人民币</t>
    </r>
  </si>
  <si>
    <r>
      <rPr>
        <sz val="8"/>
        <rFont val="Arial"/>
        <charset val="134"/>
      </rPr>
      <t>41110</t>
    </r>
    <r>
      <rPr>
        <sz val="8"/>
        <rFont val="宋体"/>
        <charset val="134"/>
      </rPr>
      <t>人民币</t>
    </r>
  </si>
  <si>
    <t xml:space="preserve">J3343-T </t>
  </si>
  <si>
    <r>
      <rPr>
        <sz val="8"/>
        <rFont val="Arial"/>
        <charset val="134"/>
      </rPr>
      <t>利比亚</t>
    </r>
    <r>
      <rPr>
        <sz val="8"/>
        <rFont val="Arial"/>
        <charset val="134"/>
      </rPr>
      <t xml:space="preserve">Al-Etha/Salah Shanab </t>
    </r>
  </si>
  <si>
    <r>
      <rPr>
        <sz val="8"/>
        <rFont val="Arial"/>
        <charset val="134"/>
      </rPr>
      <t>1X20FCL</t>
    </r>
    <r>
      <rPr>
        <sz val="8"/>
        <rFont val="宋体"/>
        <charset val="134"/>
      </rPr>
      <t>轻钢龙骨</t>
    </r>
    <r>
      <rPr>
        <sz val="8"/>
        <rFont val="Arial"/>
        <charset val="134"/>
      </rPr>
      <t xml:space="preserve">  </t>
    </r>
  </si>
  <si>
    <t>XINGANG-MISURATA,LIBYA</t>
  </si>
  <si>
    <r>
      <rPr>
        <sz val="8"/>
        <color indexed="8"/>
        <rFont val="Arial"/>
        <charset val="134"/>
      </rPr>
      <t>指定代理青岛侨丰订舱，会昌拖车报关</t>
    </r>
    <r>
      <rPr>
        <sz val="8"/>
        <color indexed="8"/>
        <rFont val="Arial"/>
        <charset val="134"/>
      </rPr>
      <t xml:space="preserve">
</t>
    </r>
  </si>
  <si>
    <t>J3345-T</t>
  </si>
  <si>
    <r>
      <rPr>
        <sz val="8"/>
        <rFont val="Arial"/>
        <charset val="134"/>
      </rPr>
      <t>科威特</t>
    </r>
    <r>
      <rPr>
        <sz val="8"/>
        <rFont val="Arial"/>
        <charset val="134"/>
      </rPr>
      <t>Sterling(Iqbal)</t>
    </r>
  </si>
  <si>
    <r>
      <rPr>
        <sz val="8"/>
        <rFont val="Arial"/>
        <charset val="134"/>
      </rPr>
      <t>1x40H</t>
    </r>
    <r>
      <rPr>
        <sz val="8"/>
        <rFont val="宋体"/>
        <charset val="134"/>
      </rPr>
      <t>轻钢龙骨</t>
    </r>
  </si>
  <si>
    <t xml:space="preserve">xingang-shoaibah port </t>
  </si>
  <si>
    <r>
      <rPr>
        <sz val="8"/>
        <color indexed="8"/>
        <rFont val="Arial"/>
        <charset val="134"/>
      </rPr>
      <t>会昌订舱拖车报关，</t>
    </r>
    <r>
      <rPr>
        <sz val="8"/>
        <color indexed="8"/>
        <rFont val="Arial"/>
        <charset val="134"/>
      </rPr>
      <t>950</t>
    </r>
    <r>
      <rPr>
        <sz val="8"/>
        <color indexed="8"/>
        <rFont val="宋体"/>
        <charset val="134"/>
      </rPr>
      <t>美金，报客户</t>
    </r>
    <r>
      <rPr>
        <sz val="8"/>
        <color indexed="8"/>
        <rFont val="Arial"/>
        <charset val="134"/>
      </rPr>
      <t>960</t>
    </r>
    <r>
      <rPr>
        <sz val="8"/>
        <color indexed="8"/>
        <rFont val="宋体"/>
        <charset val="134"/>
      </rPr>
      <t>美金，</t>
    </r>
    <r>
      <rPr>
        <sz val="8"/>
        <color indexed="8"/>
        <rFont val="Arial"/>
        <charset val="134"/>
      </rPr>
      <t>COSCO</t>
    </r>
    <r>
      <rPr>
        <sz val="8"/>
        <color indexed="8"/>
        <rFont val="宋体"/>
        <charset val="134"/>
      </rPr>
      <t>的船，迪拜转，</t>
    </r>
    <r>
      <rPr>
        <sz val="8"/>
        <color indexed="8"/>
        <rFont val="Arial"/>
        <charset val="134"/>
      </rPr>
      <t>37</t>
    </r>
    <r>
      <rPr>
        <sz val="8"/>
        <color indexed="8"/>
        <rFont val="宋体"/>
        <charset val="134"/>
      </rPr>
      <t>天到，会昌拖车报关</t>
    </r>
  </si>
  <si>
    <t>J3348-T</t>
  </si>
  <si>
    <r>
      <rPr>
        <sz val="8"/>
        <rFont val="Arial"/>
        <charset val="134"/>
      </rPr>
      <t xml:space="preserve"> 1x40hc 50</t>
    </r>
    <r>
      <rPr>
        <sz val="8"/>
        <rFont val="宋体"/>
        <charset val="134"/>
      </rPr>
      <t>竖向</t>
    </r>
    <r>
      <rPr>
        <sz val="8"/>
        <rFont val="Arial"/>
        <charset val="134"/>
      </rPr>
      <t xml:space="preserve"> 0.46mm</t>
    </r>
  </si>
  <si>
    <t>xingang-Shuwikh port</t>
  </si>
  <si>
    <r>
      <rPr>
        <sz val="8"/>
        <color indexed="8"/>
        <rFont val="Arial"/>
        <charset val="134"/>
      </rPr>
      <t>会昌小杜报价</t>
    </r>
    <r>
      <rPr>
        <sz val="8"/>
        <color indexed="8"/>
        <rFont val="Arial"/>
        <charset val="134"/>
      </rPr>
      <t>980</t>
    </r>
    <r>
      <rPr>
        <sz val="8"/>
        <color indexed="8"/>
        <rFont val="宋体"/>
        <charset val="134"/>
      </rPr>
      <t>美金</t>
    </r>
    <r>
      <rPr>
        <sz val="8"/>
        <color indexed="8"/>
        <rFont val="Arial"/>
        <charset val="134"/>
      </rPr>
      <t>,</t>
    </r>
    <r>
      <rPr>
        <sz val="8"/>
        <color indexed="8"/>
        <rFont val="宋体"/>
        <charset val="134"/>
      </rPr>
      <t>中远的船，迪拜中转，</t>
    </r>
    <r>
      <rPr>
        <sz val="8"/>
        <color indexed="8"/>
        <rFont val="Arial"/>
        <charset val="134"/>
      </rPr>
      <t>36</t>
    </r>
    <r>
      <rPr>
        <sz val="8"/>
        <color indexed="8"/>
        <rFont val="宋体"/>
        <charset val="134"/>
      </rPr>
      <t>天左右到。报客户</t>
    </r>
    <r>
      <rPr>
        <sz val="8"/>
        <color indexed="8"/>
        <rFont val="Arial"/>
        <charset val="134"/>
      </rPr>
      <t>980</t>
    </r>
    <r>
      <rPr>
        <sz val="8"/>
        <color indexed="8"/>
        <rFont val="宋体"/>
        <charset val="134"/>
      </rPr>
      <t>美金</t>
    </r>
  </si>
  <si>
    <t>J3347-T</t>
  </si>
  <si>
    <r>
      <rPr>
        <sz val="8"/>
        <rFont val="Arial"/>
        <charset val="134"/>
      </rPr>
      <t>阿曼</t>
    </r>
    <r>
      <rPr>
        <sz val="8"/>
        <rFont val="Arial"/>
        <charset val="134"/>
      </rPr>
      <t xml:space="preserve">Khareef/ZAYAN </t>
    </r>
  </si>
  <si>
    <r>
      <rPr>
        <sz val="8"/>
        <rFont val="Arial"/>
        <charset val="134"/>
      </rPr>
      <t>4x20+1x40</t>
    </r>
    <r>
      <rPr>
        <sz val="8"/>
        <rFont val="宋体"/>
        <charset val="134"/>
      </rPr>
      <t>轻钢</t>
    </r>
  </si>
  <si>
    <t>xingang-Salalah,Oman</t>
  </si>
  <si>
    <r>
      <rPr>
        <sz val="8"/>
        <color indexed="8"/>
        <rFont val="Arial"/>
        <charset val="134"/>
      </rPr>
      <t>周天华</t>
    </r>
    <r>
      <rPr>
        <sz val="8"/>
        <color indexed="8"/>
        <rFont val="Arial"/>
        <charset val="134"/>
      </rPr>
      <t xml:space="preserve"> </t>
    </r>
    <r>
      <rPr>
        <sz val="8"/>
        <color indexed="8"/>
        <rFont val="宋体"/>
        <charset val="134"/>
      </rPr>
      <t>订舱</t>
    </r>
    <r>
      <rPr>
        <sz val="8"/>
        <color indexed="8"/>
        <rFont val="Arial"/>
        <charset val="134"/>
      </rPr>
      <t>1100/1600</t>
    </r>
    <r>
      <rPr>
        <sz val="8"/>
        <color indexed="8"/>
        <rFont val="宋体"/>
        <charset val="134"/>
      </rPr>
      <t>，会昌拖车报关</t>
    </r>
  </si>
  <si>
    <t>J3360-2</t>
  </si>
  <si>
    <r>
      <rPr>
        <sz val="8"/>
        <rFont val="Arial"/>
        <charset val="134"/>
      </rPr>
      <t>阿曼</t>
    </r>
    <r>
      <rPr>
        <sz val="8"/>
        <rFont val="Arial"/>
        <charset val="134"/>
      </rPr>
      <t xml:space="preserve">Zayan </t>
    </r>
  </si>
  <si>
    <r>
      <rPr>
        <sz val="8"/>
        <rFont val="Arial"/>
        <charset val="134"/>
      </rPr>
      <t>3x20FCL</t>
    </r>
    <r>
      <rPr>
        <sz val="8"/>
        <rFont val="宋体"/>
        <charset val="134"/>
      </rPr>
      <t>轻钢龙骨</t>
    </r>
  </si>
  <si>
    <r>
      <rPr>
        <sz val="8"/>
        <rFont val="Arial"/>
        <charset val="134"/>
      </rPr>
      <t>DHL</t>
    </r>
    <r>
      <rPr>
        <sz val="8"/>
        <rFont val="宋体"/>
        <charset val="134"/>
      </rPr>
      <t>：</t>
    </r>
    <r>
      <rPr>
        <sz val="8"/>
        <rFont val="Arial"/>
        <charset val="134"/>
      </rPr>
      <t>33 7936 4461</t>
    </r>
  </si>
  <si>
    <r>
      <rPr>
        <sz val="8"/>
        <color indexed="8"/>
        <rFont val="Arial"/>
        <charset val="134"/>
      </rPr>
      <t>周天华</t>
    </r>
    <r>
      <rPr>
        <sz val="8"/>
        <color indexed="8"/>
        <rFont val="Arial"/>
        <charset val="134"/>
      </rPr>
      <t xml:space="preserve"> </t>
    </r>
    <r>
      <rPr>
        <sz val="8"/>
        <color indexed="8"/>
        <rFont val="宋体"/>
        <charset val="134"/>
      </rPr>
      <t>订舱，会昌拖车报关</t>
    </r>
  </si>
  <si>
    <t>J3356-T</t>
  </si>
  <si>
    <r>
      <rPr>
        <sz val="8"/>
        <rFont val="Arial"/>
        <charset val="134"/>
      </rPr>
      <t>迪拜</t>
    </r>
    <r>
      <rPr>
        <sz val="8"/>
        <rFont val="Arial"/>
        <charset val="134"/>
      </rPr>
      <t xml:space="preserve">Sunil </t>
    </r>
  </si>
  <si>
    <r>
      <rPr>
        <sz val="8"/>
        <rFont val="Arial"/>
        <charset val="134"/>
      </rPr>
      <t>1x20fcl+1x40hc</t>
    </r>
    <r>
      <rPr>
        <sz val="8"/>
        <rFont val="宋体"/>
        <charset val="134"/>
      </rPr>
      <t>轻钢龙骨</t>
    </r>
  </si>
  <si>
    <r>
      <rPr>
        <sz val="8"/>
        <color indexed="8"/>
        <rFont val="Arial"/>
        <charset val="134"/>
      </rPr>
      <t>指定货代星高国际</t>
    </r>
    <r>
      <rPr>
        <sz val="8"/>
        <color indexed="8"/>
        <rFont val="Arial"/>
        <charset val="134"/>
      </rPr>
      <t>Chirely</t>
    </r>
    <r>
      <rPr>
        <sz val="8"/>
        <color indexed="8"/>
        <rFont val="宋体"/>
        <charset val="134"/>
      </rPr>
      <t>，会昌拖车报关</t>
    </r>
  </si>
  <si>
    <t>J3357-T</t>
  </si>
  <si>
    <r>
      <rPr>
        <sz val="8"/>
        <rFont val="Arial"/>
        <charset val="134"/>
      </rPr>
      <t>1x20fcl</t>
    </r>
    <r>
      <rPr>
        <sz val="8"/>
        <rFont val="宋体"/>
        <charset val="134"/>
      </rPr>
      <t>烤漆龙骨</t>
    </r>
  </si>
  <si>
    <t xml:space="preserve">  </t>
  </si>
  <si>
    <t>J3367-T</t>
  </si>
  <si>
    <r>
      <rPr>
        <sz val="8"/>
        <rFont val="Arial"/>
        <charset val="134"/>
      </rPr>
      <t>巴林</t>
    </r>
    <r>
      <rPr>
        <sz val="8"/>
        <rFont val="Arial"/>
        <charset val="134"/>
      </rPr>
      <t xml:space="preserve">Kurian </t>
    </r>
  </si>
  <si>
    <r>
      <rPr>
        <sz val="8"/>
        <rFont val="Arial"/>
        <charset val="134"/>
      </rPr>
      <t>1*20fcl</t>
    </r>
    <r>
      <rPr>
        <sz val="8"/>
        <rFont val="宋体"/>
        <charset val="134"/>
      </rPr>
      <t>轻钢龙骨</t>
    </r>
  </si>
  <si>
    <r>
      <rPr>
        <sz val="8"/>
        <color indexed="8"/>
        <rFont val="Arial"/>
        <charset val="134"/>
      </rPr>
      <t>会昌报价</t>
    </r>
    <r>
      <rPr>
        <sz val="8"/>
        <color indexed="8"/>
        <rFont val="Arial"/>
        <charset val="134"/>
      </rPr>
      <t>MSC</t>
    </r>
    <r>
      <rPr>
        <sz val="8"/>
        <color indexed="8"/>
        <rFont val="宋体"/>
        <charset val="134"/>
      </rPr>
      <t>的船</t>
    </r>
    <r>
      <rPr>
        <sz val="8"/>
        <color indexed="8"/>
        <rFont val="Arial"/>
        <charset val="134"/>
      </rPr>
      <t>900</t>
    </r>
    <r>
      <rPr>
        <sz val="8"/>
        <color indexed="8"/>
        <rFont val="宋体"/>
        <charset val="134"/>
      </rPr>
      <t>美金，</t>
    </r>
    <r>
      <rPr>
        <sz val="8"/>
        <color indexed="8"/>
        <rFont val="Arial"/>
        <charset val="134"/>
      </rPr>
      <t>34</t>
    </r>
    <r>
      <rPr>
        <sz val="8"/>
        <color indexed="8"/>
        <rFont val="宋体"/>
        <charset val="134"/>
      </rPr>
      <t>天左右到宁波转。报客户</t>
    </r>
    <r>
      <rPr>
        <sz val="8"/>
        <color indexed="8"/>
        <rFont val="Arial"/>
        <charset val="134"/>
      </rPr>
      <t>900</t>
    </r>
    <r>
      <rPr>
        <sz val="8"/>
        <color indexed="8"/>
        <rFont val="宋体"/>
        <charset val="134"/>
      </rPr>
      <t>美金</t>
    </r>
  </si>
  <si>
    <t>J3394</t>
  </si>
  <si>
    <r>
      <rPr>
        <sz val="8"/>
        <rFont val="Arial"/>
        <charset val="134"/>
      </rPr>
      <t>2.12</t>
    </r>
    <r>
      <rPr>
        <sz val="8"/>
        <rFont val="宋体"/>
        <charset val="134"/>
      </rPr>
      <t>提单电放了</t>
    </r>
  </si>
  <si>
    <r>
      <rPr>
        <sz val="8"/>
        <color rgb="FF000000"/>
        <rFont val="宋体"/>
        <charset val="134"/>
      </rPr>
      <t>指定代理</t>
    </r>
    <r>
      <rPr>
        <sz val="8"/>
        <color rgb="FF000000"/>
        <rFont val="Arial"/>
        <charset val="134"/>
      </rPr>
      <t>ACON LOGISTICS</t>
    </r>
    <r>
      <rPr>
        <sz val="8"/>
        <color rgb="FF000000"/>
        <rFont val="宋体"/>
        <charset val="134"/>
      </rPr>
      <t>，会昌拖车报关</t>
    </r>
  </si>
  <si>
    <t xml:space="preserve">J3405 </t>
  </si>
  <si>
    <r>
      <rPr>
        <sz val="8"/>
        <rFont val="Arial"/>
        <charset val="134"/>
      </rPr>
      <t xml:space="preserve">1x20 +1x40 </t>
    </r>
    <r>
      <rPr>
        <sz val="8"/>
        <rFont val="宋体"/>
        <charset val="134"/>
      </rPr>
      <t>轻钢</t>
    </r>
  </si>
  <si>
    <t>DHL:44 3591 2471</t>
  </si>
  <si>
    <t>星高订舱，会昌拖车报关</t>
  </si>
  <si>
    <t>J3418</t>
  </si>
  <si>
    <r>
      <rPr>
        <sz val="8"/>
        <rFont val="Arial"/>
        <charset val="134"/>
      </rPr>
      <t>巴林</t>
    </r>
    <r>
      <rPr>
        <sz val="8"/>
        <rFont val="Arial"/>
        <charset val="134"/>
      </rPr>
      <t xml:space="preserve"> Altawasel Gate (Kurian)</t>
    </r>
  </si>
  <si>
    <t>DHL:28 9142 9483</t>
  </si>
  <si>
    <r>
      <rPr>
        <sz val="9"/>
        <color theme="1"/>
        <rFont val="Arial"/>
        <charset val="134"/>
      </rPr>
      <t>会昌订舱</t>
    </r>
    <r>
      <rPr>
        <sz val="9"/>
        <color indexed="8"/>
        <rFont val="Arial"/>
        <charset val="134"/>
      </rPr>
      <t>1100/1130</t>
    </r>
    <r>
      <rPr>
        <sz val="9"/>
        <color theme="1"/>
        <rFont val="宋体"/>
        <charset val="134"/>
      </rPr>
      <t>，拖车报关</t>
    </r>
  </si>
  <si>
    <t>J3420</t>
  </si>
  <si>
    <r>
      <rPr>
        <sz val="8"/>
        <rFont val="Arial"/>
        <charset val="134"/>
      </rPr>
      <t>利比亚</t>
    </r>
    <r>
      <rPr>
        <sz val="8"/>
        <rFont val="Arial"/>
        <charset val="134"/>
      </rPr>
      <t xml:space="preserve"> Al-Etha/Salah Shanab </t>
    </r>
  </si>
  <si>
    <r>
      <rPr>
        <sz val="8"/>
        <rFont val="Arial"/>
        <charset val="134"/>
      </rPr>
      <t xml:space="preserve">1*20 </t>
    </r>
    <r>
      <rPr>
        <sz val="8"/>
        <rFont val="宋体"/>
        <charset val="134"/>
      </rPr>
      <t>轻钢龙骨</t>
    </r>
  </si>
  <si>
    <r>
      <rPr>
        <sz val="8"/>
        <rFont val="Arial"/>
        <charset val="134"/>
      </rPr>
      <t>xingang-</t>
    </r>
    <r>
      <rPr>
        <sz val="8"/>
        <rFont val="宋体"/>
        <charset val="134"/>
      </rPr>
      <t>利比亚</t>
    </r>
  </si>
  <si>
    <r>
      <rPr>
        <sz val="9"/>
        <rFont val="Arial"/>
        <charset val="134"/>
      </rPr>
      <t>电放提单</t>
    </r>
    <r>
      <rPr>
        <sz val="9"/>
        <rFont val="Arial"/>
        <charset val="134"/>
      </rPr>
      <t>2.22</t>
    </r>
  </si>
  <si>
    <t>J3425</t>
  </si>
  <si>
    <r>
      <rPr>
        <sz val="8"/>
        <rFont val="Arial"/>
        <charset val="134"/>
      </rPr>
      <t>阿曼</t>
    </r>
    <r>
      <rPr>
        <sz val="8"/>
        <rFont val="Arial"/>
        <charset val="134"/>
      </rPr>
      <t xml:space="preserve"> Khareef (Zayan )</t>
    </r>
  </si>
  <si>
    <r>
      <rPr>
        <sz val="9"/>
        <rFont val="Arial"/>
        <charset val="134"/>
      </rPr>
      <t>DHL</t>
    </r>
    <r>
      <rPr>
        <sz val="9"/>
        <rFont val="宋体"/>
        <charset val="134"/>
      </rPr>
      <t>：</t>
    </r>
    <r>
      <rPr>
        <sz val="9"/>
        <rFont val="Arial"/>
        <charset val="134"/>
      </rPr>
      <t xml:space="preserve"> 29 5861 7351</t>
    </r>
  </si>
  <si>
    <r>
      <rPr>
        <sz val="8"/>
        <color theme="1"/>
        <rFont val="Arial"/>
        <charset val="134"/>
      </rPr>
      <t>捷运达订舱</t>
    </r>
    <r>
      <rPr>
        <sz val="8"/>
        <color theme="1"/>
        <rFont val="Arial"/>
        <charset val="134"/>
      </rPr>
      <t>1125</t>
    </r>
    <r>
      <rPr>
        <sz val="8"/>
        <color theme="1"/>
        <rFont val="宋体"/>
        <charset val="134"/>
      </rPr>
      <t>，拖车报关</t>
    </r>
  </si>
  <si>
    <t>J3426-1</t>
  </si>
  <si>
    <t>1x20+1x40</t>
  </si>
  <si>
    <t>DHL:66 9949 9133</t>
  </si>
  <si>
    <r>
      <rPr>
        <sz val="8"/>
        <color theme="1"/>
        <rFont val="Arial"/>
        <charset val="134"/>
      </rPr>
      <t>捷运达订舱</t>
    </r>
    <r>
      <rPr>
        <sz val="8"/>
        <color theme="1"/>
        <rFont val="Arial"/>
        <charset val="134"/>
      </rPr>
      <t>1125/1650</t>
    </r>
    <r>
      <rPr>
        <sz val="8"/>
        <color theme="1"/>
        <rFont val="宋体"/>
        <charset val="134"/>
      </rPr>
      <t>，拖车报关</t>
    </r>
  </si>
  <si>
    <t>J3437</t>
  </si>
  <si>
    <r>
      <rPr>
        <sz val="8"/>
        <rFont val="Arial"/>
        <charset val="134"/>
      </rPr>
      <t>迪拜</t>
    </r>
    <r>
      <rPr>
        <sz val="8"/>
        <rFont val="Arial"/>
        <charset val="134"/>
      </rPr>
      <t xml:space="preserve"> Maraghi (Sunil)</t>
    </r>
  </si>
  <si>
    <t>DHL:846958 3356</t>
  </si>
  <si>
    <r>
      <rPr>
        <sz val="8"/>
        <color theme="1"/>
        <rFont val="Arial"/>
        <charset val="134"/>
      </rPr>
      <t>会昌订舱</t>
    </r>
    <r>
      <rPr>
        <sz val="8"/>
        <color theme="1"/>
        <rFont val="Arial"/>
        <charset val="134"/>
      </rPr>
      <t>920</t>
    </r>
    <r>
      <rPr>
        <sz val="8"/>
        <color theme="1"/>
        <rFont val="宋体"/>
        <charset val="134"/>
      </rPr>
      <t>，拖车报关</t>
    </r>
  </si>
  <si>
    <t>J3438-1</t>
  </si>
  <si>
    <r>
      <rPr>
        <sz val="8"/>
        <rFont val="Arial"/>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</si>
  <si>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t>xingang-Brisbane</t>
  </si>
  <si>
    <r>
      <rPr>
        <sz val="9"/>
        <color theme="1"/>
        <rFont val="Arial"/>
        <charset val="134"/>
      </rPr>
      <t>电放</t>
    </r>
    <r>
      <rPr>
        <sz val="9"/>
        <color indexed="8"/>
        <rFont val="Arial"/>
        <charset val="134"/>
      </rPr>
      <t>BL2019.4.22</t>
    </r>
  </si>
  <si>
    <r>
      <rPr>
        <sz val="8"/>
        <color theme="1"/>
        <rFont val="Arial"/>
        <charset val="134"/>
      </rPr>
      <t>会昌订舱</t>
    </r>
    <r>
      <rPr>
        <sz val="8"/>
        <color theme="1"/>
        <rFont val="Arial"/>
        <charset val="134"/>
      </rPr>
      <t>580</t>
    </r>
    <r>
      <rPr>
        <sz val="8"/>
        <color theme="1"/>
        <rFont val="宋体"/>
        <charset val="134"/>
      </rPr>
      <t>拖车报关</t>
    </r>
  </si>
  <si>
    <t>J3438-2</t>
  </si>
  <si>
    <r>
      <rPr>
        <sz val="9"/>
        <rFont val="Arial"/>
        <charset val="134"/>
      </rPr>
      <t>5.16</t>
    </r>
    <r>
      <rPr>
        <sz val="9"/>
        <rFont val="宋体"/>
        <charset val="134"/>
      </rPr>
      <t>电放</t>
    </r>
  </si>
  <si>
    <r>
      <rPr>
        <sz val="8"/>
        <color theme="1"/>
        <rFont val="Arial"/>
        <charset val="134"/>
      </rPr>
      <t>中振订舱</t>
    </r>
    <r>
      <rPr>
        <sz val="8"/>
        <color indexed="8"/>
        <rFont val="Arial"/>
        <charset val="134"/>
      </rPr>
      <t>570</t>
    </r>
    <r>
      <rPr>
        <sz val="8"/>
        <color theme="1"/>
        <rFont val="宋体"/>
        <charset val="134"/>
      </rPr>
      <t>，拖车报关</t>
    </r>
  </si>
  <si>
    <t>J3442</t>
  </si>
  <si>
    <r>
      <rPr>
        <sz val="9"/>
        <color rgb="FF000000"/>
        <rFont val="Arial"/>
        <charset val="134"/>
      </rPr>
      <t>DHL</t>
    </r>
    <r>
      <rPr>
        <sz val="9"/>
        <color indexed="8"/>
        <rFont val="宋体"/>
        <charset val="134"/>
      </rPr>
      <t>：</t>
    </r>
    <r>
      <rPr>
        <sz val="9"/>
        <color rgb="FF000000"/>
        <rFont val="Arial"/>
        <charset val="134"/>
      </rPr>
      <t xml:space="preserve"> 29 5861 7351</t>
    </r>
  </si>
  <si>
    <r>
      <rPr>
        <sz val="8"/>
        <rFont val="Arial"/>
        <charset val="134"/>
      </rPr>
      <t>捷运达订舱</t>
    </r>
    <r>
      <rPr>
        <sz val="8"/>
        <rFont val="Arial"/>
        <charset val="134"/>
      </rPr>
      <t>1180</t>
    </r>
    <r>
      <rPr>
        <sz val="8"/>
        <rFont val="宋体"/>
        <charset val="134"/>
      </rPr>
      <t>，拖车报关</t>
    </r>
  </si>
  <si>
    <t>J3443-1</t>
  </si>
  <si>
    <t>3x20+1x40</t>
  </si>
  <si>
    <t>DHL:10 4634 2356</t>
  </si>
  <si>
    <r>
      <rPr>
        <sz val="8"/>
        <rFont val="Arial"/>
        <charset val="134"/>
      </rPr>
      <t>会昌订舱</t>
    </r>
    <r>
      <rPr>
        <sz val="8"/>
        <rFont val="Arial"/>
        <charset val="134"/>
      </rPr>
      <t>1220/1720</t>
    </r>
    <r>
      <rPr>
        <sz val="8"/>
        <rFont val="宋体"/>
        <charset val="134"/>
      </rPr>
      <t>，拖车报关</t>
    </r>
  </si>
  <si>
    <t>J3443-2</t>
  </si>
  <si>
    <t xml:space="preserve">DHL 3176706676  </t>
  </si>
  <si>
    <r>
      <rPr>
        <sz val="8"/>
        <color theme="1"/>
        <rFont val="Arial"/>
        <charset val="134"/>
      </rPr>
      <t>会昌订舱</t>
    </r>
    <r>
      <rPr>
        <sz val="8"/>
        <color theme="1"/>
        <rFont val="Arial"/>
        <charset val="134"/>
      </rPr>
      <t>KMKC</t>
    </r>
    <r>
      <rPr>
        <sz val="8"/>
        <color theme="1"/>
        <rFont val="宋体"/>
        <charset val="134"/>
      </rPr>
      <t>，拖车报关</t>
    </r>
  </si>
  <si>
    <t>J3468</t>
  </si>
  <si>
    <t>DHL:66 6005 0316</t>
  </si>
  <si>
    <r>
      <rPr>
        <sz val="8"/>
        <color theme="1"/>
        <rFont val="Arial"/>
        <charset val="134"/>
      </rPr>
      <t>会昌订舱</t>
    </r>
    <r>
      <rPr>
        <sz val="8"/>
        <color theme="1"/>
        <rFont val="Arial"/>
        <charset val="134"/>
      </rPr>
      <t>SAF1400</t>
    </r>
    <r>
      <rPr>
        <sz val="8"/>
        <color theme="1"/>
        <rFont val="宋体"/>
        <charset val="134"/>
      </rPr>
      <t>，拖车报关</t>
    </r>
  </si>
  <si>
    <t>J3449</t>
  </si>
  <si>
    <r>
      <rPr>
        <sz val="8"/>
        <rFont val="Arial"/>
        <charset val="134"/>
      </rPr>
      <t>利比亚</t>
    </r>
    <r>
      <rPr>
        <sz val="8"/>
        <rFont val="Arial"/>
        <charset val="134"/>
      </rPr>
      <t xml:space="preserve"> ALQWAED(Salah)</t>
    </r>
  </si>
  <si>
    <r>
      <rPr>
        <sz val="8"/>
        <rFont val="Arial"/>
        <charset val="134"/>
      </rPr>
      <t xml:space="preserve">1x20 +1x40 </t>
    </r>
    <r>
      <rPr>
        <sz val="8"/>
        <rFont val="Cambria"/>
        <charset val="134"/>
      </rPr>
      <t>轻钢</t>
    </r>
  </si>
  <si>
    <t>xingang-MISURATA</t>
  </si>
  <si>
    <r>
      <rPr>
        <sz val="8"/>
        <color rgb="FF000000"/>
        <rFont val="Arial"/>
        <charset val="134"/>
      </rPr>
      <t>4.19</t>
    </r>
    <r>
      <rPr>
        <sz val="8"/>
        <color indexed="8"/>
        <rFont val="宋体"/>
        <charset val="134"/>
      </rPr>
      <t>电放</t>
    </r>
    <r>
      <rPr>
        <sz val="8"/>
        <color rgb="FF000000"/>
        <rFont val="Arial"/>
        <charset val="134"/>
      </rPr>
      <t>BL</t>
    </r>
  </si>
  <si>
    <t>小洪订舱，捷运达拖车报关</t>
  </si>
  <si>
    <t>J3457</t>
  </si>
  <si>
    <r>
      <rPr>
        <sz val="8"/>
        <rFont val="Arial"/>
        <charset val="134"/>
      </rPr>
      <t xml:space="preserve">1x20 </t>
    </r>
    <r>
      <rPr>
        <sz val="8"/>
        <rFont val="宋体"/>
        <charset val="134"/>
      </rPr>
      <t>烤漆边角</t>
    </r>
  </si>
  <si>
    <r>
      <rPr>
        <sz val="9"/>
        <color theme="1"/>
        <rFont val="Arial"/>
        <charset val="134"/>
      </rPr>
      <t>DHL</t>
    </r>
    <r>
      <rPr>
        <sz val="9"/>
        <color theme="1"/>
        <rFont val="宋体"/>
        <charset val="134"/>
      </rPr>
      <t>：</t>
    </r>
    <r>
      <rPr>
        <sz val="9"/>
        <color theme="1"/>
        <rFont val="Arial"/>
        <charset val="134"/>
      </rPr>
      <t>6317046035</t>
    </r>
  </si>
  <si>
    <r>
      <rPr>
        <sz val="8"/>
        <color theme="1"/>
        <rFont val="Arial"/>
        <charset val="134"/>
      </rPr>
      <t>会昌订舱</t>
    </r>
    <r>
      <rPr>
        <sz val="8"/>
        <color theme="1"/>
        <rFont val="Arial"/>
        <charset val="134"/>
      </rPr>
      <t>1350</t>
    </r>
    <r>
      <rPr>
        <sz val="8"/>
        <color indexed="8"/>
        <rFont val="Arial"/>
        <charset val="134"/>
      </rPr>
      <t>COSCO</t>
    </r>
    <r>
      <rPr>
        <sz val="8"/>
        <color theme="1"/>
        <rFont val="宋体"/>
        <charset val="134"/>
      </rPr>
      <t>，拖车报关</t>
    </r>
  </si>
  <si>
    <t>J3463</t>
  </si>
  <si>
    <r>
      <rPr>
        <sz val="8"/>
        <rFont val="Arial"/>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</si>
  <si>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1x20</t>
    </r>
    <r>
      <rPr>
        <sz val="8"/>
        <rFont val="宋体"/>
        <charset val="134"/>
      </rPr>
      <t>小付骨</t>
    </r>
  </si>
  <si>
    <t>xingang-JAKARTA</t>
  </si>
  <si>
    <t>单据齐，已发客户</t>
  </si>
  <si>
    <t>DHL: 41 7585 8621</t>
  </si>
  <si>
    <r>
      <rPr>
        <sz val="8"/>
        <color theme="1"/>
        <rFont val="Arial"/>
        <charset val="134"/>
      </rPr>
      <t>中振订舱</t>
    </r>
    <r>
      <rPr>
        <sz val="8"/>
        <color theme="1"/>
        <rFont val="Arial"/>
        <charset val="134"/>
      </rPr>
      <t>450</t>
    </r>
    <r>
      <rPr>
        <sz val="8"/>
        <color theme="1"/>
        <rFont val="宋体"/>
        <charset val="134"/>
      </rPr>
      <t>，拖车报关</t>
    </r>
  </si>
  <si>
    <r>
      <rPr>
        <b/>
        <sz val="8"/>
        <color rgb="FF0000FF"/>
        <rFont val="Arial"/>
        <charset val="134"/>
      </rPr>
      <t>多了</t>
    </r>
    <r>
      <rPr>
        <b/>
        <sz val="8"/>
        <color rgb="FF0000FF"/>
        <rFont val="Arial"/>
        <charset val="134"/>
      </rPr>
      <t>270</t>
    </r>
  </si>
  <si>
    <t>J3473</t>
  </si>
  <si>
    <r>
      <rPr>
        <sz val="8"/>
        <rFont val="Arial"/>
        <charset val="134"/>
      </rPr>
      <t>1x20 W</t>
    </r>
    <r>
      <rPr>
        <sz val="8"/>
        <rFont val="宋体"/>
        <charset val="134"/>
      </rPr>
      <t>边角轻钢</t>
    </r>
  </si>
  <si>
    <t>xingang-Shuwaikh port</t>
  </si>
  <si>
    <r>
      <rPr>
        <sz val="9"/>
        <rFont val="Arial"/>
        <charset val="134"/>
      </rPr>
      <t>DHL</t>
    </r>
    <r>
      <rPr>
        <sz val="9"/>
        <rFont val="宋体"/>
        <charset val="134"/>
      </rPr>
      <t>：</t>
    </r>
    <r>
      <rPr>
        <sz val="9"/>
        <rFont val="Arial"/>
        <charset val="134"/>
      </rPr>
      <t>57 3336 0264</t>
    </r>
  </si>
  <si>
    <r>
      <rPr>
        <sz val="8"/>
        <color theme="1"/>
        <rFont val="Arial"/>
        <charset val="134"/>
      </rPr>
      <t>捷运达订舱</t>
    </r>
    <r>
      <rPr>
        <sz val="8"/>
        <color theme="1"/>
        <rFont val="Arial"/>
        <charset val="134"/>
      </rPr>
      <t>1192</t>
    </r>
    <r>
      <rPr>
        <sz val="8"/>
        <color theme="1"/>
        <rFont val="宋体"/>
        <charset val="134"/>
      </rPr>
      <t>，拖车报关</t>
    </r>
  </si>
  <si>
    <t>10000+12000</t>
  </si>
  <si>
    <t>J3474</t>
  </si>
  <si>
    <r>
      <rPr>
        <sz val="8"/>
        <rFont val="Arial"/>
        <charset val="134"/>
      </rPr>
      <t xml:space="preserve">1x20 </t>
    </r>
    <r>
      <rPr>
        <sz val="8"/>
        <rFont val="Cambria"/>
        <charset val="134"/>
      </rPr>
      <t>轻钢</t>
    </r>
  </si>
  <si>
    <r>
      <rPr>
        <b/>
        <sz val="8"/>
        <rFont val="Arial"/>
        <charset val="134"/>
      </rPr>
      <t>DHL</t>
    </r>
    <r>
      <rPr>
        <b/>
        <sz val="8"/>
        <rFont val="宋体"/>
        <charset val="134"/>
      </rPr>
      <t>：</t>
    </r>
    <r>
      <rPr>
        <b/>
        <sz val="8"/>
        <rFont val="Arial"/>
        <charset val="134"/>
      </rPr>
      <t>57 3336 0264</t>
    </r>
  </si>
  <si>
    <r>
      <rPr>
        <sz val="8"/>
        <color theme="1"/>
        <rFont val="Arial"/>
        <charset val="134"/>
      </rPr>
      <t>捷运达订舱</t>
    </r>
    <r>
      <rPr>
        <sz val="8"/>
        <color theme="1"/>
        <rFont val="Arial"/>
        <charset val="134"/>
      </rPr>
      <t>1420</t>
    </r>
    <r>
      <rPr>
        <sz val="8"/>
        <color theme="1"/>
        <rFont val="宋体"/>
        <charset val="134"/>
      </rPr>
      <t>，拖车报关</t>
    </r>
  </si>
  <si>
    <t>J3480</t>
  </si>
  <si>
    <r>
      <rPr>
        <sz val="8"/>
        <rFont val="Arial"/>
        <charset val="134"/>
      </rPr>
      <t xml:space="preserve">1x20+1x40HQ </t>
    </r>
    <r>
      <rPr>
        <sz val="8"/>
        <rFont val="Cambria"/>
        <charset val="134"/>
      </rPr>
      <t>轻钢</t>
    </r>
  </si>
  <si>
    <r>
      <rPr>
        <b/>
        <sz val="8"/>
        <rFont val="Arial"/>
        <charset val="134"/>
      </rPr>
      <t>DHL</t>
    </r>
    <r>
      <rPr>
        <b/>
        <sz val="8"/>
        <rFont val="宋体"/>
        <charset val="134"/>
      </rPr>
      <t>：</t>
    </r>
    <r>
      <rPr>
        <b/>
        <sz val="8"/>
        <rFont val="Arial"/>
        <charset val="134"/>
      </rPr>
      <t>58 2556 8000</t>
    </r>
  </si>
  <si>
    <t>华海通订舱，会昌拖车报关</t>
  </si>
  <si>
    <t>J3484</t>
  </si>
  <si>
    <r>
      <rPr>
        <sz val="8"/>
        <rFont val="宋体"/>
        <charset val="134"/>
      </rPr>
      <t>特立尼达</t>
    </r>
    <r>
      <rPr>
        <sz val="8"/>
        <rFont val="Arial"/>
        <charset val="134"/>
      </rPr>
      <t xml:space="preserve"> SAMSON/Stephen</t>
    </r>
  </si>
  <si>
    <t>xingang-</t>
  </si>
  <si>
    <t>DHL:7866830812</t>
  </si>
  <si>
    <t>恒通国际订舱，会昌车</t>
  </si>
  <si>
    <t>5000+5000+10000</t>
  </si>
  <si>
    <t>J3485</t>
  </si>
  <si>
    <r>
      <rPr>
        <b/>
        <sz val="9"/>
        <rFont val="Arial"/>
        <charset val="134"/>
      </rPr>
      <t>提单电放</t>
    </r>
    <r>
      <rPr>
        <b/>
        <sz val="9"/>
        <rFont val="Arial"/>
        <charset val="134"/>
      </rPr>
      <t>5.29</t>
    </r>
  </si>
  <si>
    <t>佩联订舱，捷运达车子</t>
  </si>
  <si>
    <t>J3295-2</t>
  </si>
  <si>
    <t>xingang-Apapa</t>
  </si>
  <si>
    <t>DHL:16 07971842</t>
  </si>
  <si>
    <t>J3494</t>
  </si>
  <si>
    <r>
      <rPr>
        <sz val="8"/>
        <rFont val="Arial"/>
        <charset val="134"/>
      </rPr>
      <t>2x20+1x40</t>
    </r>
    <r>
      <rPr>
        <sz val="8"/>
        <rFont val="宋体"/>
        <charset val="134"/>
      </rPr>
      <t>轻钢</t>
    </r>
  </si>
  <si>
    <t>DHL:18 1183 9002</t>
  </si>
  <si>
    <r>
      <rPr>
        <sz val="8"/>
        <color theme="1"/>
        <rFont val="Arial"/>
        <charset val="134"/>
      </rPr>
      <t>捷运达订舱</t>
    </r>
    <r>
      <rPr>
        <sz val="8"/>
        <color theme="1"/>
        <rFont val="Arial"/>
        <charset val="134"/>
      </rPr>
      <t>1082/1087</t>
    </r>
    <r>
      <rPr>
        <sz val="8"/>
        <color theme="1"/>
        <rFont val="宋体"/>
        <charset val="134"/>
      </rPr>
      <t>，拖车报关</t>
    </r>
  </si>
  <si>
    <t>J3495</t>
  </si>
  <si>
    <t>DHL:36 6122 1616</t>
  </si>
  <si>
    <r>
      <rPr>
        <sz val="8"/>
        <color theme="1"/>
        <rFont val="Arial"/>
        <charset val="134"/>
      </rPr>
      <t>中振订舱</t>
    </r>
    <r>
      <rPr>
        <sz val="8"/>
        <color indexed="8"/>
        <rFont val="Arial"/>
        <charset val="134"/>
      </rPr>
      <t>1380</t>
    </r>
    <r>
      <rPr>
        <sz val="8"/>
        <color theme="1"/>
        <rFont val="宋体"/>
        <charset val="134"/>
      </rPr>
      <t>，拖车买单报关</t>
    </r>
  </si>
  <si>
    <t>J3493</t>
  </si>
  <si>
    <t>DHL:25 9636 5483</t>
  </si>
  <si>
    <t>捷运达订舱，拖车报关</t>
  </si>
  <si>
    <t>J3518-1</t>
  </si>
  <si>
    <r>
      <rPr>
        <sz val="8"/>
        <rFont val="宋体"/>
        <charset val="134"/>
      </rPr>
      <t>阿曼</t>
    </r>
    <r>
      <rPr>
        <sz val="8"/>
        <rFont val="Arial"/>
        <charset val="134"/>
      </rPr>
      <t xml:space="preserve"> Khareef (Zayan )</t>
    </r>
  </si>
  <si>
    <t>DHL: 53 2690 9114</t>
  </si>
  <si>
    <t>中振订舱，买单拖车报关</t>
  </si>
  <si>
    <t>J3525</t>
  </si>
  <si>
    <r>
      <rPr>
        <sz val="8"/>
        <rFont val="Arial"/>
        <charset val="134"/>
      </rPr>
      <t>山东</t>
    </r>
    <r>
      <rPr>
        <sz val="8"/>
        <rFont val="Arial"/>
        <charset val="134"/>
      </rPr>
      <t>Roney</t>
    </r>
  </si>
  <si>
    <r>
      <rPr>
        <sz val="8"/>
        <rFont val="Arial"/>
        <charset val="134"/>
      </rPr>
      <t>3000</t>
    </r>
    <r>
      <rPr>
        <sz val="8"/>
        <rFont val="宋体"/>
        <charset val="134"/>
      </rPr>
      <t>平米烤漆</t>
    </r>
  </si>
  <si>
    <t>J3522-1</t>
  </si>
  <si>
    <t>DHL:27 8489 5562</t>
  </si>
  <si>
    <t>天津誉周，会昌拖车报关</t>
  </si>
  <si>
    <t>J3522-2</t>
  </si>
  <si>
    <r>
      <rPr>
        <sz val="8"/>
        <rFont val="华文宋体"/>
        <charset val="134"/>
      </rPr>
      <t>阿曼</t>
    </r>
    <r>
      <rPr>
        <sz val="8"/>
        <rFont val="Arial"/>
        <charset val="134"/>
      </rPr>
      <t xml:space="preserve"> Khareef (Zayan )</t>
    </r>
  </si>
  <si>
    <t>DHL: 58 7220 3433</t>
  </si>
  <si>
    <r>
      <rPr>
        <sz val="8"/>
        <color theme="1"/>
        <rFont val="Arial"/>
        <charset val="134"/>
      </rPr>
      <t>天津誉周</t>
    </r>
    <r>
      <rPr>
        <sz val="8"/>
        <color theme="1"/>
        <rFont val="Arial"/>
        <charset val="134"/>
      </rPr>
      <t>1452</t>
    </r>
    <r>
      <rPr>
        <sz val="8"/>
        <color theme="1"/>
        <rFont val="宋体"/>
        <charset val="134"/>
      </rPr>
      <t>，拖车报关</t>
    </r>
  </si>
  <si>
    <t>J3527</t>
  </si>
  <si>
    <t>菲律宾施先生</t>
  </si>
  <si>
    <t>xingang</t>
  </si>
  <si>
    <t>DHL8120809712</t>
  </si>
  <si>
    <t>J3536</t>
  </si>
  <si>
    <t>xiangang-shuwaikh</t>
  </si>
  <si>
    <t>DHL : 96 5619 9976</t>
  </si>
  <si>
    <r>
      <rPr>
        <sz val="8"/>
        <color theme="1"/>
        <rFont val="Arial"/>
        <charset val="134"/>
      </rPr>
      <t>捷运达订舱</t>
    </r>
    <r>
      <rPr>
        <sz val="8"/>
        <color theme="1"/>
        <rFont val="Arial"/>
        <charset val="134"/>
      </rPr>
      <t>1300</t>
    </r>
    <r>
      <rPr>
        <sz val="8"/>
        <color theme="1"/>
        <rFont val="宋体"/>
        <charset val="134"/>
      </rPr>
      <t>，拖车报关</t>
    </r>
  </si>
  <si>
    <t>5000+3878</t>
  </si>
  <si>
    <t>J3538</t>
  </si>
  <si>
    <r>
      <rPr>
        <sz val="8"/>
        <rFont val="Arial"/>
        <charset val="134"/>
      </rPr>
      <t>尼日利亚</t>
    </r>
    <r>
      <rPr>
        <sz val="8"/>
        <rFont val="Arial"/>
        <charset val="134"/>
      </rPr>
      <t>Ta Debo/Gbadebo</t>
    </r>
  </si>
  <si>
    <t>xingang-tin can</t>
  </si>
  <si>
    <t>DHL:72 5774 2144</t>
  </si>
  <si>
    <r>
      <rPr>
        <sz val="8"/>
        <color theme="1"/>
        <rFont val="Arial"/>
        <charset val="134"/>
      </rPr>
      <t>中振订舱</t>
    </r>
    <r>
      <rPr>
        <sz val="8"/>
        <color theme="1"/>
        <rFont val="Arial"/>
        <charset val="134"/>
      </rPr>
      <t>2600</t>
    </r>
    <r>
      <rPr>
        <sz val="8"/>
        <color theme="1"/>
        <rFont val="宋体"/>
        <charset val="134"/>
      </rPr>
      <t>，拖车报关</t>
    </r>
  </si>
  <si>
    <t>7000+5000</t>
  </si>
  <si>
    <t>J3541</t>
  </si>
  <si>
    <r>
      <rPr>
        <sz val="8"/>
        <rFont val="Arial"/>
        <charset val="134"/>
      </rPr>
      <t>1x40</t>
    </r>
    <r>
      <rPr>
        <sz val="8"/>
        <rFont val="宋体"/>
        <charset val="134"/>
      </rPr>
      <t>轻钢竖向</t>
    </r>
  </si>
  <si>
    <r>
      <rPr>
        <sz val="8"/>
        <color theme="1"/>
        <rFont val="Arial"/>
        <charset val="134"/>
      </rPr>
      <t>DHL</t>
    </r>
    <r>
      <rPr>
        <sz val="8"/>
        <color theme="1"/>
        <rFont val="宋体"/>
        <charset val="134"/>
      </rPr>
      <t>：</t>
    </r>
    <r>
      <rPr>
        <sz val="8"/>
        <color theme="1"/>
        <rFont val="Arial"/>
        <charset val="134"/>
      </rPr>
      <t>15 5922 6550</t>
    </r>
  </si>
  <si>
    <t>J3507</t>
  </si>
  <si>
    <r>
      <rPr>
        <sz val="8"/>
        <rFont val="宋体"/>
        <charset val="134"/>
      </rPr>
      <t>阿尔及利亚</t>
    </r>
    <r>
      <rPr>
        <sz val="8"/>
        <rFont val="Arial"/>
        <charset val="134"/>
      </rPr>
      <t>SARL/Miloud</t>
    </r>
  </si>
  <si>
    <t>Xinggang-Algeria</t>
  </si>
  <si>
    <r>
      <rPr>
        <sz val="8"/>
        <color rgb="FF000000"/>
        <rFont val="宋体"/>
        <charset val="134"/>
      </rPr>
      <t>国庆节前装的，当时装的太早，堆场不给落箱子，只能落在外面</t>
    </r>
    <r>
      <rPr>
        <sz val="8"/>
        <color rgb="FF000000"/>
        <rFont val="Arial"/>
        <charset val="134"/>
      </rPr>
      <t xml:space="preserve">RMB600 </t>
    </r>
    <r>
      <rPr>
        <sz val="8"/>
        <color rgb="FF000000"/>
        <rFont val="宋体"/>
        <charset val="134"/>
      </rPr>
      <t>海运费</t>
    </r>
    <r>
      <rPr>
        <sz val="8"/>
        <color rgb="FF000000"/>
        <rFont val="Arial"/>
        <charset val="134"/>
      </rPr>
      <t>PI</t>
    </r>
    <r>
      <rPr>
        <sz val="8"/>
        <color rgb="FF000000"/>
        <rFont val="宋体"/>
        <charset val="134"/>
      </rPr>
      <t>上</t>
    </r>
    <r>
      <rPr>
        <sz val="8"/>
        <color rgb="FF000000"/>
        <rFont val="Arial"/>
        <charset val="134"/>
      </rPr>
      <t xml:space="preserve">3002 </t>
    </r>
    <r>
      <rPr>
        <sz val="8"/>
        <color rgb="FF000000"/>
        <rFont val="宋体"/>
        <charset val="134"/>
      </rPr>
      <t>实际</t>
    </r>
    <r>
      <rPr>
        <sz val="8"/>
        <color rgb="FF000000"/>
        <rFont val="Arial"/>
        <charset val="134"/>
      </rPr>
      <t xml:space="preserve">3200 </t>
    </r>
    <r>
      <rPr>
        <sz val="8"/>
        <rFont val="Arial"/>
        <charset val="134"/>
      </rPr>
      <t xml:space="preserve">4copy Invoice </t>
    </r>
    <r>
      <rPr>
        <sz val="8"/>
        <rFont val="宋体"/>
        <charset val="134"/>
      </rPr>
      <t>贸促会证</t>
    </r>
    <r>
      <rPr>
        <sz val="8"/>
        <rFont val="Arial"/>
        <charset val="134"/>
      </rPr>
      <t xml:space="preserve"> </t>
    </r>
    <r>
      <rPr>
        <sz val="8"/>
        <rFont val="宋体"/>
        <charset val="134"/>
      </rPr>
      <t>品质证明</t>
    </r>
    <r>
      <rPr>
        <sz val="8"/>
        <rFont val="Arial"/>
        <charset val="134"/>
      </rPr>
      <t>,</t>
    </r>
    <r>
      <rPr>
        <sz val="8"/>
        <rFont val="宋体"/>
        <charset val="134"/>
      </rPr>
      <t>付款方式</t>
    </r>
    <r>
      <rPr>
        <sz val="8"/>
        <rFont val="Arial"/>
        <charset val="134"/>
      </rPr>
      <t>D/P CO</t>
    </r>
    <r>
      <rPr>
        <sz val="8"/>
        <rFont val="宋体"/>
        <charset val="134"/>
      </rPr>
      <t>拿了</t>
    </r>
  </si>
  <si>
    <r>
      <rPr>
        <sz val="8"/>
        <color theme="1"/>
        <rFont val="Arial"/>
        <charset val="134"/>
      </rPr>
      <t>会昌订舱</t>
    </r>
    <r>
      <rPr>
        <sz val="8"/>
        <color theme="1"/>
        <rFont val="Arial"/>
        <charset val="134"/>
      </rPr>
      <t>3200</t>
    </r>
    <r>
      <rPr>
        <sz val="8"/>
        <color theme="1"/>
        <rFont val="宋体"/>
        <charset val="134"/>
      </rPr>
      <t>，拖车报关</t>
    </r>
  </si>
  <si>
    <t>J3546</t>
  </si>
  <si>
    <r>
      <rPr>
        <sz val="8"/>
        <rFont val="Arial"/>
        <charset val="134"/>
      </rPr>
      <t>哥斯达黎加</t>
    </r>
    <r>
      <rPr>
        <sz val="8"/>
        <rFont val="Arial"/>
        <charset val="134"/>
      </rPr>
      <t xml:space="preserve"> Jorge</t>
    </r>
  </si>
  <si>
    <t>xiangang-Costa rica</t>
  </si>
  <si>
    <t>DHL: 34 4880 6620</t>
  </si>
  <si>
    <r>
      <rPr>
        <sz val="8"/>
        <color theme="1"/>
        <rFont val="Arial"/>
        <charset val="134"/>
      </rPr>
      <t>迪斯泰订舱</t>
    </r>
    <r>
      <rPr>
        <sz val="8"/>
        <color theme="1"/>
        <rFont val="Arial"/>
        <charset val="134"/>
      </rPr>
      <t>2380/2400</t>
    </r>
    <r>
      <rPr>
        <sz val="8"/>
        <color theme="1"/>
        <rFont val="宋体"/>
        <charset val="134"/>
      </rPr>
      <t>拖车报关</t>
    </r>
  </si>
  <si>
    <t>J3545</t>
  </si>
  <si>
    <r>
      <rPr>
        <b/>
        <sz val="8"/>
        <rFont val="Arial"/>
        <charset val="134"/>
      </rPr>
      <t>DHL</t>
    </r>
    <r>
      <rPr>
        <b/>
        <sz val="8"/>
        <rFont val="宋体"/>
        <charset val="134"/>
      </rPr>
      <t>：</t>
    </r>
    <r>
      <rPr>
        <b/>
        <sz val="8"/>
        <rFont val="Arial"/>
        <charset val="134"/>
      </rPr>
      <t>45 1861 7983</t>
    </r>
  </si>
  <si>
    <t>百盛通订舱，会昌拖车</t>
  </si>
  <si>
    <t>J3545-2</t>
  </si>
  <si>
    <t>DHL:35 9401 1503</t>
  </si>
  <si>
    <t>柏盛通订舱，会昌拖车</t>
  </si>
  <si>
    <t>J3560</t>
  </si>
  <si>
    <r>
      <rPr>
        <b/>
        <sz val="8"/>
        <color theme="1"/>
        <rFont val="Arial"/>
        <charset val="134"/>
      </rPr>
      <t>DHL</t>
    </r>
    <r>
      <rPr>
        <b/>
        <sz val="8"/>
        <color theme="1"/>
        <rFont val="宋体"/>
        <charset val="134"/>
      </rPr>
      <t>：</t>
    </r>
    <r>
      <rPr>
        <b/>
        <sz val="8"/>
        <color theme="1"/>
        <rFont val="Arial"/>
        <charset val="134"/>
      </rPr>
      <t xml:space="preserve"> 84 8773 8066</t>
    </r>
  </si>
  <si>
    <t>星高国际订舱，中振拖车报关</t>
  </si>
  <si>
    <t>J3584</t>
  </si>
  <si>
    <r>
      <rPr>
        <sz val="8"/>
        <color theme="1"/>
        <rFont val="Arial"/>
        <charset val="134"/>
      </rPr>
      <t>付款了</t>
    </r>
    <r>
      <rPr>
        <sz val="8"/>
        <color theme="1"/>
        <rFont val="Arial"/>
        <charset val="134"/>
      </rPr>
      <t xml:space="preserve">   </t>
    </r>
    <r>
      <rPr>
        <sz val="8"/>
        <color theme="1"/>
        <rFont val="宋体"/>
        <charset val="134"/>
      </rPr>
      <t>等收到款电放</t>
    </r>
    <r>
      <rPr>
        <sz val="8"/>
        <color theme="1"/>
        <rFont val="Arial"/>
        <charset val="134"/>
      </rPr>
      <t xml:space="preserve">  </t>
    </r>
    <r>
      <rPr>
        <sz val="8"/>
        <color theme="1"/>
        <rFont val="宋体"/>
        <charset val="134"/>
      </rPr>
      <t>深圳陈小姐黄色</t>
    </r>
    <r>
      <rPr>
        <sz val="8"/>
        <color theme="1"/>
        <rFont val="Arial"/>
        <charset val="134"/>
      </rPr>
      <t>CO</t>
    </r>
    <r>
      <rPr>
        <sz val="8"/>
        <color theme="1"/>
        <rFont val="宋体"/>
        <charset val="134"/>
      </rPr>
      <t>有了，木质证明</t>
    </r>
  </si>
  <si>
    <r>
      <rPr>
        <sz val="8"/>
        <color theme="1"/>
        <rFont val="Arial"/>
        <charset val="134"/>
      </rPr>
      <t>指定代理</t>
    </r>
    <r>
      <rPr>
        <sz val="8"/>
        <color theme="1"/>
        <rFont val="Arial"/>
        <charset val="134"/>
      </rPr>
      <t>ACON LOGISTICS</t>
    </r>
    <r>
      <rPr>
        <sz val="8"/>
        <color theme="1"/>
        <rFont val="宋体"/>
        <charset val="134"/>
      </rPr>
      <t>，会昌拖车报关</t>
    </r>
  </si>
  <si>
    <t>J3585</t>
  </si>
  <si>
    <r>
      <rPr>
        <sz val="8"/>
        <rFont val="宋体"/>
        <charset val="134"/>
      </rPr>
      <t>巴林</t>
    </r>
    <r>
      <rPr>
        <sz val="8"/>
        <rFont val="Arial"/>
        <charset val="134"/>
      </rPr>
      <t xml:space="preserve"> Altawasel Gate (Kurian)</t>
    </r>
  </si>
  <si>
    <r>
      <rPr>
        <b/>
        <sz val="8"/>
        <color rgb="FF0000FF"/>
        <rFont val="Arial"/>
        <charset val="134"/>
      </rPr>
      <t>DHL6888105501</t>
    </r>
    <r>
      <rPr>
        <b/>
        <sz val="8"/>
        <rFont val="Arial"/>
        <charset val="134"/>
      </rPr>
      <t xml:space="preserve"> BL</t>
    </r>
    <r>
      <rPr>
        <b/>
        <sz val="8"/>
        <rFont val="宋体"/>
        <charset val="134"/>
      </rPr>
      <t>正本到了</t>
    </r>
    <r>
      <rPr>
        <b/>
        <sz val="8"/>
        <rFont val="Arial"/>
        <charset val="134"/>
      </rPr>
      <t xml:space="preserve"> CO</t>
    </r>
    <r>
      <rPr>
        <b/>
        <sz val="8"/>
        <rFont val="宋体"/>
        <charset val="134"/>
      </rPr>
      <t>拿了</t>
    </r>
    <r>
      <rPr>
        <b/>
        <sz val="8"/>
        <rFont val="Arial"/>
        <charset val="134"/>
      </rPr>
      <t xml:space="preserve"> </t>
    </r>
    <r>
      <rPr>
        <b/>
        <sz val="8"/>
        <rFont val="宋体"/>
        <charset val="134"/>
      </rPr>
      <t>做低报发票</t>
    </r>
  </si>
  <si>
    <r>
      <rPr>
        <sz val="8"/>
        <color theme="1"/>
        <rFont val="宋体"/>
        <charset val="134"/>
      </rPr>
      <t>会昌</t>
    </r>
    <r>
      <rPr>
        <sz val="8"/>
        <color theme="1"/>
        <rFont val="Arial"/>
        <charset val="134"/>
      </rPr>
      <t>MSK900</t>
    </r>
    <r>
      <rPr>
        <sz val="8"/>
        <color theme="1"/>
        <rFont val="宋体"/>
        <charset val="134"/>
      </rPr>
      <t>拖车报关</t>
    </r>
  </si>
  <si>
    <t>J3587</t>
  </si>
  <si>
    <r>
      <rPr>
        <sz val="8"/>
        <color rgb="FF0000FF"/>
        <rFont val="Arial"/>
        <charset val="134"/>
      </rPr>
      <t xml:space="preserve">DHL7932269785 </t>
    </r>
    <r>
      <rPr>
        <sz val="8"/>
        <color theme="1"/>
        <rFont val="Arial"/>
        <charset val="134"/>
      </rPr>
      <t xml:space="preserve">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叉车钱付尾款时一块给</t>
    </r>
    <r>
      <rPr>
        <sz val="8"/>
        <color theme="1"/>
        <rFont val="Arial"/>
        <charset val="134"/>
      </rPr>
      <t>RMB 7280</t>
    </r>
    <r>
      <rPr>
        <sz val="8"/>
        <color theme="1"/>
        <rFont val="宋体"/>
        <charset val="134"/>
      </rPr>
      <t>元（</t>
    </r>
    <r>
      <rPr>
        <sz val="8"/>
        <color theme="1"/>
        <rFont val="Arial"/>
        <charset val="134"/>
      </rPr>
      <t>1040</t>
    </r>
    <r>
      <rPr>
        <sz val="8"/>
        <color theme="1"/>
        <rFont val="宋体"/>
        <charset val="134"/>
      </rPr>
      <t>美金）</t>
    </r>
  </si>
  <si>
    <r>
      <rPr>
        <sz val="8"/>
        <color theme="1"/>
        <rFont val="Arial"/>
        <charset val="134"/>
      </rPr>
      <t>会昌订舱</t>
    </r>
    <r>
      <rPr>
        <sz val="8"/>
        <color theme="1"/>
        <rFont val="Arial"/>
        <charset val="134"/>
      </rPr>
      <t>1350</t>
    </r>
    <r>
      <rPr>
        <sz val="8"/>
        <color theme="1"/>
        <rFont val="宋体"/>
        <charset val="134"/>
      </rPr>
      <t>，拖车报关</t>
    </r>
  </si>
  <si>
    <t>J3592</t>
  </si>
  <si>
    <r>
      <rPr>
        <sz val="8"/>
        <color rgb="FF0000FF"/>
        <rFont val="Arial"/>
        <charset val="134"/>
      </rPr>
      <t xml:space="preserve">DHL 4051933340 </t>
    </r>
    <r>
      <rPr>
        <sz val="8"/>
        <color theme="1"/>
        <rFont val="Arial"/>
        <charset val="134"/>
      </rPr>
      <t xml:space="preserve"> 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安排</t>
    </r>
    <r>
      <rPr>
        <sz val="8"/>
        <color theme="1"/>
        <rFont val="Arial"/>
        <charset val="134"/>
      </rPr>
      <t>20</t>
    </r>
    <r>
      <rPr>
        <sz val="8"/>
        <color theme="1"/>
        <rFont val="宋体"/>
        <charset val="134"/>
      </rPr>
      <t>号装</t>
    </r>
  </si>
  <si>
    <r>
      <rPr>
        <sz val="8"/>
        <color theme="1"/>
        <rFont val="Arial"/>
        <charset val="134"/>
      </rPr>
      <t>会昌订舱</t>
    </r>
    <r>
      <rPr>
        <sz val="8"/>
        <color theme="1"/>
        <rFont val="Arial"/>
        <charset val="134"/>
      </rPr>
      <t>1450</t>
    </r>
    <r>
      <rPr>
        <sz val="8"/>
        <color theme="1"/>
        <rFont val="宋体"/>
        <charset val="134"/>
      </rPr>
      <t>，拖车报关</t>
    </r>
  </si>
  <si>
    <t>J3606</t>
  </si>
  <si>
    <t>马来西亚</t>
  </si>
  <si>
    <r>
      <rPr>
        <sz val="8"/>
        <rFont val="Arial"/>
        <charset val="134"/>
      </rPr>
      <t>1</t>
    </r>
    <r>
      <rPr>
        <sz val="8"/>
        <rFont val="宋体"/>
        <charset val="134"/>
      </rPr>
      <t>吨弹簧片</t>
    </r>
  </si>
  <si>
    <r>
      <rPr>
        <sz val="8"/>
        <rFont val="Arial"/>
        <charset val="134"/>
      </rPr>
      <t>新港</t>
    </r>
    <r>
      <rPr>
        <sz val="8"/>
        <rFont val="Arial"/>
        <charset val="134"/>
      </rPr>
      <t>-</t>
    </r>
    <r>
      <rPr>
        <sz val="8"/>
        <rFont val="宋体"/>
        <charset val="134"/>
      </rPr>
      <t>巴生西</t>
    </r>
  </si>
  <si>
    <r>
      <rPr>
        <sz val="8"/>
        <color theme="1"/>
        <rFont val="Arial"/>
        <charset val="134"/>
      </rPr>
      <t>DHL</t>
    </r>
    <r>
      <rPr>
        <sz val="8"/>
        <color theme="1"/>
        <rFont val="宋体"/>
        <charset val="134"/>
      </rPr>
      <t>：</t>
    </r>
    <r>
      <rPr>
        <sz val="8"/>
        <color theme="1"/>
        <rFont val="Arial"/>
        <charset val="134"/>
      </rPr>
      <t>21 6963 4456</t>
    </r>
  </si>
  <si>
    <r>
      <rPr>
        <sz val="8"/>
        <color theme="1"/>
        <rFont val="Arial"/>
        <charset val="134"/>
      </rPr>
      <t>迪思泰订舱</t>
    </r>
    <r>
      <rPr>
        <sz val="8"/>
        <color theme="1"/>
        <rFont val="Arial"/>
        <charset val="134"/>
      </rPr>
      <t>-20</t>
    </r>
  </si>
  <si>
    <t>RMB23200</t>
  </si>
  <si>
    <t>RMB10200</t>
  </si>
  <si>
    <t>J3615</t>
  </si>
  <si>
    <r>
      <rPr>
        <sz val="8"/>
        <rFont val="Arial"/>
        <charset val="134"/>
      </rPr>
      <t>DHL3501404793 CO</t>
    </r>
    <r>
      <rPr>
        <sz val="8"/>
        <rFont val="宋体"/>
        <charset val="134"/>
      </rPr>
      <t>拿了</t>
    </r>
    <r>
      <rPr>
        <sz val="8"/>
        <color rgb="FF0000FF"/>
        <rFont val="Arial"/>
        <charset val="134"/>
      </rPr>
      <t xml:space="preserve"> </t>
    </r>
    <r>
      <rPr>
        <sz val="8"/>
        <rFont val="宋体"/>
        <charset val="134"/>
      </rPr>
      <t>出低报发票的</t>
    </r>
    <r>
      <rPr>
        <sz val="8"/>
        <rFont val="Arial"/>
        <charset val="134"/>
      </rPr>
      <t>CCPIT</t>
    </r>
    <r>
      <rPr>
        <sz val="8"/>
        <color theme="1"/>
        <rFont val="Arial"/>
        <charset val="134"/>
      </rPr>
      <t xml:space="preserve"> DHAKA KUWAIT DECOR MATERIALS CO. </t>
    </r>
    <r>
      <rPr>
        <sz val="8"/>
        <color theme="1"/>
        <rFont val="宋体"/>
        <charset val="134"/>
      </rPr>
      <t>这个收货人不显示厚度与客户核对发票</t>
    </r>
  </si>
  <si>
    <r>
      <rPr>
        <sz val="8"/>
        <color theme="1"/>
        <rFont val="Arial"/>
        <charset val="134"/>
      </rPr>
      <t>迪斯泰货运</t>
    </r>
    <r>
      <rPr>
        <sz val="8"/>
        <color theme="1"/>
        <rFont val="Arial"/>
        <charset val="134"/>
      </rPr>
      <t>-</t>
    </r>
    <r>
      <rPr>
        <sz val="8"/>
        <color theme="1"/>
        <rFont val="宋体"/>
        <charset val="134"/>
      </rPr>
      <t>张新龙</t>
    </r>
    <r>
      <rPr>
        <sz val="8"/>
        <color theme="1"/>
        <rFont val="Arial"/>
        <charset val="134"/>
      </rPr>
      <t xml:space="preserve">MSC 1138/1150 </t>
    </r>
    <r>
      <rPr>
        <sz val="8"/>
        <color theme="1"/>
        <rFont val="宋体"/>
        <charset val="134"/>
      </rPr>
      <t>迪斯泰拖车报关</t>
    </r>
  </si>
  <si>
    <t>J3616</t>
  </si>
  <si>
    <r>
      <rPr>
        <sz val="8"/>
        <color rgb="FF0000FF"/>
        <rFont val="Arial"/>
        <charset val="134"/>
      </rPr>
      <t>DHL5479355114</t>
    </r>
    <r>
      <rPr>
        <sz val="8"/>
        <color rgb="FF0000FF"/>
        <rFont val="宋体"/>
        <charset val="134"/>
      </rPr>
      <t>寄单据的时候放点小标贴</t>
    </r>
    <r>
      <rPr>
        <sz val="8"/>
        <rFont val="Arial"/>
        <charset val="134"/>
      </rPr>
      <t xml:space="preserve">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出低报版本</t>
    </r>
    <r>
      <rPr>
        <sz val="8"/>
        <rFont val="Arial"/>
        <charset val="134"/>
      </rPr>
      <t>CCPIT CO</t>
    </r>
    <r>
      <rPr>
        <sz val="8"/>
        <rFont val="宋体"/>
        <charset val="134"/>
      </rPr>
      <t>拿了</t>
    </r>
    <r>
      <rPr>
        <sz val="8"/>
        <rFont val="Arial"/>
        <charset val="134"/>
      </rPr>
      <t xml:space="preserve">  </t>
    </r>
    <r>
      <rPr>
        <sz val="8"/>
        <rFont val="宋体"/>
        <charset val="134"/>
      </rPr>
      <t>提单扫描件有了</t>
    </r>
    <r>
      <rPr>
        <sz val="8"/>
        <color rgb="FF0000FF"/>
        <rFont val="Arial"/>
        <charset val="134"/>
      </rPr>
      <t xml:space="preserve"> </t>
    </r>
    <r>
      <rPr>
        <sz val="8"/>
        <rFont val="宋体"/>
        <charset val="134"/>
      </rPr>
      <t>安排</t>
    </r>
    <r>
      <rPr>
        <sz val="8"/>
        <rFont val="Arial"/>
        <charset val="134"/>
      </rPr>
      <t>10</t>
    </r>
    <r>
      <rPr>
        <sz val="8"/>
        <rFont val="宋体"/>
        <charset val="134"/>
      </rPr>
      <t>号装</t>
    </r>
    <r>
      <rPr>
        <sz val="8"/>
        <rFont val="Arial"/>
        <charset val="134"/>
      </rPr>
      <t xml:space="preserve"> 6</t>
    </r>
    <r>
      <rPr>
        <sz val="8"/>
        <rFont val="宋体"/>
        <charset val="134"/>
      </rPr>
      <t>号货好</t>
    </r>
  </si>
  <si>
    <t>J3637</t>
  </si>
  <si>
    <t>张家港市百顺</t>
  </si>
  <si>
    <r>
      <rPr>
        <sz val="8"/>
        <rFont val="Arial"/>
        <charset val="134"/>
      </rPr>
      <t>50</t>
    </r>
    <r>
      <rPr>
        <sz val="8"/>
        <rFont val="宋体"/>
        <charset val="134"/>
      </rPr>
      <t>万弹簧片</t>
    </r>
  </si>
  <si>
    <t>RMB97500</t>
  </si>
  <si>
    <t>J3638</t>
  </si>
  <si>
    <t>天津邢振凯</t>
  </si>
  <si>
    <r>
      <rPr>
        <sz val="8"/>
        <rFont val="Arial"/>
        <charset val="134"/>
      </rPr>
      <t>1x40</t>
    </r>
    <r>
      <rPr>
        <sz val="8"/>
        <rFont val="宋体"/>
        <charset val="134"/>
      </rPr>
      <t>深蓝小付骨</t>
    </r>
  </si>
  <si>
    <r>
      <rPr>
        <sz val="8"/>
        <rFont val="Arial"/>
        <charset val="134"/>
      </rPr>
      <t>11</t>
    </r>
    <r>
      <rPr>
        <sz val="8"/>
        <rFont val="宋体"/>
        <charset val="134"/>
      </rPr>
      <t>号装</t>
    </r>
  </si>
  <si>
    <t>RMB138104</t>
  </si>
  <si>
    <t>RMB64812</t>
  </si>
  <si>
    <t>RMB73292</t>
  </si>
  <si>
    <t>M3641</t>
  </si>
  <si>
    <r>
      <rPr>
        <sz val="8"/>
        <rFont val="Arial"/>
        <charset val="134"/>
      </rPr>
      <t>1x20</t>
    </r>
    <r>
      <rPr>
        <sz val="8"/>
        <rFont val="宋体"/>
        <charset val="134"/>
      </rPr>
      <t>轻钢龙骨</t>
    </r>
    <r>
      <rPr>
        <sz val="8"/>
        <rFont val="Arial"/>
        <charset val="134"/>
      </rPr>
      <t>+</t>
    </r>
    <r>
      <rPr>
        <sz val="8"/>
        <rFont val="宋体"/>
        <charset val="134"/>
      </rPr>
      <t>铁丝</t>
    </r>
  </si>
  <si>
    <t>xingang-Spain, Trinidad</t>
  </si>
  <si>
    <r>
      <rPr>
        <sz val="8"/>
        <rFont val="Arial"/>
        <charset val="134"/>
      </rPr>
      <t xml:space="preserve">DHL8503167223 </t>
    </r>
    <r>
      <rPr>
        <sz val="8"/>
        <rFont val="宋体"/>
        <charset val="134"/>
      </rPr>
      <t>没特殊单据</t>
    </r>
    <r>
      <rPr>
        <sz val="8"/>
        <color theme="1"/>
        <rFont val="Arial"/>
        <charset val="134"/>
      </rPr>
      <t xml:space="preserve"> 11</t>
    </r>
    <r>
      <rPr>
        <sz val="8"/>
        <color theme="1"/>
        <rFont val="宋体"/>
        <charset val="134"/>
      </rPr>
      <t>号能好</t>
    </r>
    <r>
      <rPr>
        <sz val="8"/>
        <color theme="1"/>
        <rFont val="Arial"/>
        <charset val="134"/>
      </rPr>
      <t xml:space="preserve"> D:\</t>
    </r>
    <r>
      <rPr>
        <sz val="8"/>
        <color theme="1"/>
        <rFont val="宋体"/>
        <charset val="134"/>
      </rPr>
      <t>金凯</t>
    </r>
    <r>
      <rPr>
        <sz val="8"/>
        <color theme="1"/>
        <rFont val="Arial"/>
        <charset val="134"/>
      </rPr>
      <t>2019</t>
    </r>
    <r>
      <rPr>
        <sz val="8"/>
        <color theme="1"/>
        <rFont val="宋体"/>
        <charset val="134"/>
      </rPr>
      <t>已走</t>
    </r>
    <r>
      <rPr>
        <sz val="8"/>
        <color theme="1"/>
        <rFont val="Arial"/>
        <charset val="134"/>
      </rPr>
      <t xml:space="preserve">\6.27\2019.4.2 J3484 </t>
    </r>
    <r>
      <rPr>
        <sz val="8"/>
        <color theme="1"/>
        <rFont val="宋体"/>
        <charset val="134"/>
      </rPr>
      <t>特立尼达</t>
    </r>
    <r>
      <rPr>
        <sz val="8"/>
        <color theme="1"/>
        <rFont val="Arial"/>
        <charset val="134"/>
      </rPr>
      <t xml:space="preserve"> 1x20</t>
    </r>
    <r>
      <rPr>
        <sz val="8"/>
        <color theme="1"/>
        <rFont val="宋体"/>
        <charset val="134"/>
      </rPr>
      <t>轻钢</t>
    </r>
    <r>
      <rPr>
        <sz val="8"/>
        <color theme="1"/>
        <rFont val="Arial"/>
        <charset val="134"/>
      </rPr>
      <t xml:space="preserve"> </t>
    </r>
  </si>
  <si>
    <t>指定代理恒通国际，会昌拖车</t>
  </si>
  <si>
    <t>USD5000+USD3166.65</t>
  </si>
  <si>
    <t>J3639</t>
  </si>
  <si>
    <r>
      <rPr>
        <sz val="8"/>
        <rFont val="宋体"/>
        <charset val="134"/>
      </rPr>
      <t>澳大利亚</t>
    </r>
    <r>
      <rPr>
        <sz val="8"/>
        <rFont val="Arial"/>
        <charset val="134"/>
      </rPr>
      <t>SA/Jarrad</t>
    </r>
  </si>
  <si>
    <r>
      <rPr>
        <b/>
        <sz val="8"/>
        <rFont val="Arial"/>
        <charset val="134"/>
      </rPr>
      <t>深圳陈小姐黄色</t>
    </r>
    <r>
      <rPr>
        <b/>
        <sz val="8"/>
        <rFont val="Arial"/>
        <charset val="134"/>
      </rPr>
      <t>CO</t>
    </r>
    <r>
      <rPr>
        <b/>
        <sz val="8"/>
        <rFont val="宋体"/>
        <charset val="134"/>
      </rPr>
      <t>，木质证明</t>
    </r>
    <r>
      <rPr>
        <sz val="8"/>
        <rFont val="Arial"/>
        <charset val="134"/>
      </rPr>
      <t xml:space="preserve">  </t>
    </r>
    <r>
      <rPr>
        <sz val="8"/>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</si>
  <si>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t>
    </r>
  </si>
  <si>
    <t>J3651</t>
  </si>
  <si>
    <r>
      <rPr>
        <sz val="8"/>
        <rFont val="宋体"/>
        <charset val="134"/>
      </rPr>
      <t>迪拜</t>
    </r>
    <r>
      <rPr>
        <sz val="8"/>
        <rFont val="Arial"/>
        <charset val="134"/>
      </rPr>
      <t>Maraghi/Sunil</t>
    </r>
  </si>
  <si>
    <r>
      <rPr>
        <sz val="8"/>
        <rFont val="Arial"/>
        <charset val="134"/>
      </rPr>
      <t>2x20+1x40HQ</t>
    </r>
    <r>
      <rPr>
        <sz val="8"/>
        <rFont val="宋体"/>
        <charset val="134"/>
      </rPr>
      <t>轻钢</t>
    </r>
  </si>
  <si>
    <t>xinggang-JEBEL AlI</t>
  </si>
  <si>
    <r>
      <rPr>
        <sz val="8"/>
        <rFont val="Arial"/>
        <charset val="134"/>
      </rPr>
      <t>DHL27 8626 6803</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单据已发客户</t>
    </r>
    <r>
      <rPr>
        <sz val="8"/>
        <rFont val="Arial"/>
        <charset val="134"/>
      </rPr>
      <t xml:space="preserve"> CO</t>
    </r>
    <r>
      <rPr>
        <sz val="8"/>
        <rFont val="宋体"/>
        <charset val="134"/>
      </rPr>
      <t>拿了</t>
    </r>
    <r>
      <rPr>
        <sz val="8"/>
        <rFont val="Arial"/>
        <charset val="134"/>
      </rPr>
      <t xml:space="preserve"> </t>
    </r>
    <r>
      <rPr>
        <sz val="8"/>
        <rFont val="宋体"/>
        <charset val="134"/>
      </rPr>
      <t>取消的</t>
    </r>
    <r>
      <rPr>
        <sz val="8"/>
        <rFont val="Arial"/>
        <charset val="134"/>
      </rPr>
      <t>J3706</t>
    </r>
    <r>
      <rPr>
        <sz val="8"/>
        <rFont val="宋体"/>
        <charset val="134"/>
      </rPr>
      <t>定金加扫</t>
    </r>
    <r>
      <rPr>
        <sz val="8"/>
        <rFont val="Arial"/>
        <charset val="134"/>
      </rPr>
      <t>3651</t>
    </r>
    <r>
      <rPr>
        <sz val="8"/>
        <rFont val="宋体"/>
        <charset val="134"/>
      </rPr>
      <t>上了</t>
    </r>
    <r>
      <rPr>
        <sz val="8"/>
        <rFont val="Arial"/>
        <charset val="134"/>
      </rPr>
      <t xml:space="preserve"> </t>
    </r>
    <r>
      <rPr>
        <sz val="8"/>
        <color theme="1"/>
        <rFont val="Arial"/>
        <charset val="134"/>
      </rPr>
      <t>FRAMES BUILDING MATERIALS LLC
PO BOX 90985 DUBAI, UAE IMPORT CODE: F4690 (AE 1103284)</t>
    </r>
  </si>
  <si>
    <t>华海订舱，鸣远拖车</t>
  </si>
  <si>
    <t>J3666</t>
  </si>
  <si>
    <r>
      <rPr>
        <sz val="8"/>
        <rFont val="宋体"/>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</si>
  <si>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1x40HQ</t>
    </r>
    <r>
      <rPr>
        <sz val="8"/>
        <rFont val="宋体"/>
        <charset val="134"/>
      </rPr>
      <t>轻钢小付骨</t>
    </r>
  </si>
  <si>
    <r>
      <rPr>
        <sz val="8"/>
        <color theme="1"/>
        <rFont val="Arial"/>
        <charset val="134"/>
      </rPr>
      <t xml:space="preserve">DHL 1112607893  </t>
    </r>
    <r>
      <rPr>
        <sz val="8"/>
        <rFont val="宋体"/>
        <charset val="134"/>
      </rPr>
      <t>正本到了金凯</t>
    </r>
    <r>
      <rPr>
        <sz val="8"/>
        <rFont val="Arial"/>
        <charset val="134"/>
      </rPr>
      <t>title</t>
    </r>
    <r>
      <rPr>
        <sz val="8"/>
        <rFont val="宋体"/>
        <charset val="134"/>
      </rPr>
      <t>徐老师出</t>
    </r>
    <r>
      <rPr>
        <sz val="8"/>
        <rFont val="Arial"/>
        <charset val="134"/>
      </rPr>
      <t>Form E</t>
    </r>
    <r>
      <rPr>
        <sz val="8"/>
        <color theme="1"/>
        <rFont val="Arial"/>
        <charset val="134"/>
      </rPr>
      <t xml:space="preserve"> </t>
    </r>
    <r>
      <rPr>
        <sz val="8"/>
        <color theme="1"/>
        <rFont val="宋体"/>
        <charset val="134"/>
      </rPr>
      <t>海运费</t>
    </r>
    <r>
      <rPr>
        <sz val="8"/>
        <color theme="1"/>
        <rFont val="Arial"/>
        <charset val="134"/>
      </rPr>
      <t>650</t>
    </r>
    <r>
      <rPr>
        <sz val="8"/>
        <color theme="1"/>
        <rFont val="宋体"/>
        <charset val="134"/>
      </rPr>
      <t>美金</t>
    </r>
    <r>
      <rPr>
        <sz val="8"/>
        <color theme="1"/>
        <rFont val="Arial"/>
        <charset val="134"/>
      </rPr>
      <t xml:space="preserve">  </t>
    </r>
    <r>
      <rPr>
        <sz val="8"/>
        <color theme="1"/>
        <rFont val="宋体"/>
        <charset val="134"/>
      </rPr>
      <t>上一单</t>
    </r>
    <r>
      <rPr>
        <sz val="8"/>
        <color theme="1"/>
        <rFont val="Arial"/>
        <charset val="134"/>
      </rPr>
      <t xml:space="preserve">J3463 </t>
    </r>
    <r>
      <rPr>
        <sz val="8"/>
        <color theme="1"/>
        <rFont val="宋体"/>
        <charset val="134"/>
      </rPr>
      <t>订单客户多打余款</t>
    </r>
    <r>
      <rPr>
        <sz val="8"/>
        <color theme="1"/>
        <rFont val="Arial"/>
        <charset val="134"/>
      </rPr>
      <t xml:space="preserve">USD272 </t>
    </r>
    <r>
      <rPr>
        <sz val="8"/>
        <color theme="1"/>
        <rFont val="宋体"/>
        <charset val="134"/>
      </rPr>
      <t>美金，客户必须收支平衡减去</t>
    </r>
    <r>
      <rPr>
        <sz val="8"/>
        <color theme="1"/>
        <rFont val="Arial"/>
        <charset val="134"/>
      </rPr>
      <t>272</t>
    </r>
    <r>
      <rPr>
        <sz val="8"/>
        <color theme="1"/>
        <rFont val="宋体"/>
        <charset val="134"/>
      </rPr>
      <t>美金评价单价为</t>
    </r>
    <r>
      <rPr>
        <sz val="8"/>
        <color theme="1"/>
        <rFont val="Arial"/>
        <charset val="134"/>
      </rPr>
      <t>0.3266</t>
    </r>
    <r>
      <rPr>
        <sz val="8"/>
        <color theme="1"/>
        <rFont val="宋体"/>
        <charset val="134"/>
      </rPr>
      <t>美金</t>
    </r>
  </si>
  <si>
    <r>
      <rPr>
        <sz val="8"/>
        <color theme="1"/>
        <rFont val="Arial"/>
        <charset val="134"/>
      </rPr>
      <t>会昌订舱</t>
    </r>
    <r>
      <rPr>
        <sz val="8"/>
        <color theme="1"/>
        <rFont val="Arial"/>
        <charset val="134"/>
      </rPr>
      <t>600</t>
    </r>
    <r>
      <rPr>
        <sz val="8"/>
        <color theme="1"/>
        <rFont val="宋体"/>
        <charset val="134"/>
      </rPr>
      <t>，拖车报关</t>
    </r>
  </si>
  <si>
    <t>J3668</t>
  </si>
  <si>
    <r>
      <rPr>
        <sz val="8"/>
        <rFont val="Arial"/>
        <charset val="134"/>
      </rPr>
      <t>1x20fcl +1x40HQ</t>
    </r>
    <r>
      <rPr>
        <sz val="8"/>
        <rFont val="宋体"/>
        <charset val="134"/>
      </rPr>
      <t>轻钢</t>
    </r>
  </si>
  <si>
    <t>xingang-JEBEL AlI</t>
  </si>
  <si>
    <r>
      <rPr>
        <sz val="8"/>
        <rFont val="Arial"/>
        <charset val="134"/>
      </rPr>
      <t>和</t>
    </r>
    <r>
      <rPr>
        <sz val="8"/>
        <rFont val="Arial"/>
        <charset val="134"/>
      </rPr>
      <t>J3651</t>
    </r>
    <r>
      <rPr>
        <sz val="8"/>
        <rFont val="宋体"/>
        <charset val="134"/>
      </rPr>
      <t>一起寄给客户的</t>
    </r>
    <r>
      <rPr>
        <sz val="8"/>
        <rFont val="Arial"/>
        <charset val="134"/>
      </rPr>
      <t xml:space="preserve"> CO</t>
    </r>
    <r>
      <rPr>
        <sz val="8"/>
        <rFont val="宋体"/>
        <charset val="134"/>
      </rPr>
      <t>拿了</t>
    </r>
  </si>
  <si>
    <r>
      <rPr>
        <sz val="8"/>
        <color theme="1"/>
        <rFont val="Arial"/>
        <charset val="134"/>
      </rPr>
      <t>迪斯泰订舱</t>
    </r>
    <r>
      <rPr>
        <sz val="8"/>
        <color theme="1"/>
        <rFont val="Arial"/>
        <charset val="134"/>
      </rPr>
      <t>1190 and 1450$</t>
    </r>
    <r>
      <rPr>
        <sz val="8"/>
        <color theme="1"/>
        <rFont val="宋体"/>
        <charset val="134"/>
      </rPr>
      <t>，拖车报关</t>
    </r>
  </si>
  <si>
    <t>J3669</t>
  </si>
  <si>
    <r>
      <rPr>
        <sz val="8"/>
        <rFont val="Arial"/>
        <charset val="134"/>
      </rPr>
      <t>山东</t>
    </r>
    <r>
      <rPr>
        <sz val="8"/>
        <rFont val="Arial"/>
        <charset val="134"/>
      </rPr>
      <t>REX</t>
    </r>
  </si>
  <si>
    <r>
      <rPr>
        <sz val="8"/>
        <rFont val="Arial"/>
        <charset val="134"/>
      </rPr>
      <t>2ton</t>
    </r>
    <r>
      <rPr>
        <sz val="8"/>
        <rFont val="宋体"/>
        <charset val="134"/>
      </rPr>
      <t>轻钢龙骨</t>
    </r>
    <r>
      <rPr>
        <sz val="8"/>
        <rFont val="Arial"/>
        <charset val="134"/>
      </rPr>
      <t xml:space="preserve">2ton </t>
    </r>
    <r>
      <rPr>
        <sz val="8"/>
        <rFont val="宋体"/>
        <charset val="134"/>
      </rPr>
      <t>库存原料</t>
    </r>
  </si>
  <si>
    <t>做好了尽快发走</t>
  </si>
  <si>
    <t>RMB12597</t>
  </si>
  <si>
    <t>RMB2907</t>
  </si>
  <si>
    <t>RMB9690</t>
  </si>
  <si>
    <t>J3673</t>
  </si>
  <si>
    <r>
      <rPr>
        <sz val="8"/>
        <color theme="1"/>
        <rFont val="Arial"/>
        <charset val="134"/>
      </rPr>
      <t>明辉达黄色</t>
    </r>
    <r>
      <rPr>
        <sz val="8"/>
        <color theme="1"/>
        <rFont val="Arial"/>
        <charset val="134"/>
      </rPr>
      <t>CO</t>
    </r>
    <r>
      <rPr>
        <sz val="8"/>
        <color theme="1"/>
        <rFont val="宋体"/>
        <charset val="134"/>
      </rPr>
      <t>，木质证明</t>
    </r>
    <r>
      <rPr>
        <sz val="8"/>
        <color theme="1"/>
        <rFont val="Arial"/>
        <charset val="134"/>
      </rPr>
      <t xml:space="preserve">  </t>
    </r>
    <r>
      <rPr>
        <sz val="8"/>
        <color theme="1"/>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</si>
  <si>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，鸣远拖车报关（集装箱歪了，把货卸了有重新装的</t>
    </r>
    <r>
      <rPr>
        <sz val="8"/>
        <color theme="1"/>
        <rFont val="Arial"/>
        <charset val="134"/>
      </rPr>
      <t xml:space="preserve"> </t>
    </r>
    <r>
      <rPr>
        <sz val="8"/>
        <color theme="1"/>
        <rFont val="宋体"/>
        <charset val="134"/>
      </rPr>
      <t>拖车费少付</t>
    </r>
    <r>
      <rPr>
        <sz val="8"/>
        <color theme="1"/>
        <rFont val="Arial"/>
        <charset val="134"/>
      </rPr>
      <t>1100</t>
    </r>
    <r>
      <rPr>
        <sz val="8"/>
        <color theme="1"/>
        <rFont val="宋体"/>
        <charset val="134"/>
      </rPr>
      <t>元</t>
    </r>
    <r>
      <rPr>
        <sz val="8"/>
        <color theme="1"/>
        <rFont val="Arial"/>
        <charset val="134"/>
      </rPr>
      <t xml:space="preserve">
</t>
    </r>
    <r>
      <rPr>
        <sz val="8"/>
        <color theme="1"/>
        <rFont val="宋体"/>
        <charset val="134"/>
      </rPr>
      <t>）</t>
    </r>
  </si>
  <si>
    <t>J3685</t>
  </si>
  <si>
    <r>
      <rPr>
        <sz val="8"/>
        <rFont val="Arial"/>
        <charset val="134"/>
      </rPr>
      <t>科威特</t>
    </r>
    <r>
      <rPr>
        <sz val="8"/>
        <rFont val="Arial"/>
        <charset val="134"/>
      </rPr>
      <t>Meera/Saif</t>
    </r>
  </si>
  <si>
    <r>
      <rPr>
        <sz val="8"/>
        <rFont val="Arial"/>
        <charset val="134"/>
      </rPr>
      <t xml:space="preserve">1x40' </t>
    </r>
    <r>
      <rPr>
        <sz val="8"/>
        <rFont val="宋体"/>
        <charset val="134"/>
      </rPr>
      <t>烤漆配件</t>
    </r>
  </si>
  <si>
    <r>
      <rPr>
        <sz val="8"/>
        <color theme="1"/>
        <rFont val="Arial"/>
        <charset val="134"/>
      </rPr>
      <t>代理出的</t>
    </r>
    <r>
      <rPr>
        <sz val="8"/>
        <color theme="1"/>
        <rFont val="Arial"/>
        <charset val="134"/>
      </rPr>
      <t>CCPIT CO 18</t>
    </r>
    <r>
      <rPr>
        <sz val="8"/>
        <color theme="1"/>
        <rFont val="宋体"/>
        <charset val="134"/>
      </rPr>
      <t>号装</t>
    </r>
    <r>
      <rPr>
        <sz val="8"/>
        <color theme="1"/>
        <rFont val="Arial"/>
        <charset val="134"/>
      </rPr>
      <t>19</t>
    </r>
    <r>
      <rPr>
        <sz val="8"/>
        <color theme="1"/>
        <rFont val="宋体"/>
        <charset val="134"/>
      </rPr>
      <t>号中午前齐数据</t>
    </r>
    <r>
      <rPr>
        <sz val="8"/>
        <color theme="1"/>
        <rFont val="Arial"/>
        <charset val="134"/>
      </rPr>
      <t xml:space="preserve"> </t>
    </r>
    <r>
      <rPr>
        <sz val="8"/>
        <color theme="1"/>
        <rFont val="宋体"/>
        <charset val="134"/>
      </rPr>
      <t>特价，配件厂负责港杂陆运和提点，彩色纸箱</t>
    </r>
  </si>
  <si>
    <r>
      <rPr>
        <sz val="8"/>
        <color theme="1"/>
        <rFont val="宋体"/>
        <charset val="134"/>
      </rPr>
      <t>上特国际订舱，迪斯泰拖车报关</t>
    </r>
    <r>
      <rPr>
        <sz val="8"/>
        <color theme="1"/>
        <rFont val="Arial"/>
        <charset val="134"/>
      </rPr>
      <t>3600</t>
    </r>
  </si>
  <si>
    <t>J3712</t>
  </si>
  <si>
    <t>xiangang-Salalah,Oman</t>
  </si>
  <si>
    <r>
      <rPr>
        <sz val="8"/>
        <rFont val="宋体"/>
        <charset val="134"/>
      </rPr>
      <t>提单改电放 其他单据发邮箱 客户改了清关发票的厚度 没改CCPIT 说阿曼CCPIT不太重要</t>
    </r>
    <r>
      <rPr>
        <sz val="8"/>
        <color theme="1"/>
        <rFont val="宋体"/>
        <charset val="134"/>
      </rPr>
      <t>，客户要求显示HScode 同J3518-1 出CCPIT CO ，低报金额60% 做CIF不显示运费</t>
    </r>
  </si>
  <si>
    <r>
      <rPr>
        <sz val="8"/>
        <color theme="1"/>
        <rFont val="宋体"/>
        <charset val="134"/>
      </rPr>
      <t>迪斯泰订舱MSC</t>
    </r>
    <r>
      <rPr>
        <sz val="8"/>
        <color theme="1"/>
        <rFont val="Arial"/>
        <charset val="134"/>
      </rPr>
      <t xml:space="preserve">1435 </t>
    </r>
    <r>
      <rPr>
        <sz val="8"/>
        <color theme="1"/>
        <rFont val="宋体"/>
        <charset val="134"/>
      </rPr>
      <t>迪斯泰拖车，金凯一达通报关</t>
    </r>
  </si>
  <si>
    <r>
      <rPr>
        <b/>
        <sz val="8"/>
        <color rgb="FF0000FF"/>
        <rFont val="宋体"/>
        <charset val="134"/>
      </rPr>
      <t>实际收到</t>
    </r>
    <r>
      <rPr>
        <b/>
        <sz val="8"/>
        <color rgb="FF0000FF"/>
        <rFont val="Arial"/>
        <charset val="134"/>
      </rPr>
      <t xml:space="preserve">$34544.61 J3712 </t>
    </r>
    <r>
      <rPr>
        <b/>
        <sz val="8"/>
        <color rgb="FF0000FF"/>
        <rFont val="宋体"/>
        <charset val="134"/>
      </rPr>
      <t>余款$</t>
    </r>
    <r>
      <rPr>
        <b/>
        <sz val="8"/>
        <color rgb="FF0000FF"/>
        <rFont val="Arial"/>
        <charset val="134"/>
      </rPr>
      <t>16593+J3794</t>
    </r>
    <r>
      <rPr>
        <b/>
        <sz val="8"/>
        <color rgb="FF0000FF"/>
        <rFont val="宋体"/>
        <charset val="134"/>
      </rPr>
      <t>预付款$</t>
    </r>
    <r>
      <rPr>
        <b/>
        <sz val="8"/>
        <color rgb="FF0000FF"/>
        <rFont val="Arial"/>
        <charset val="134"/>
      </rPr>
      <t xml:space="preserve">18000
</t>
    </r>
  </si>
  <si>
    <t>J3722</t>
  </si>
  <si>
    <r>
      <rPr>
        <sz val="8"/>
        <rFont val="宋体"/>
        <charset val="134"/>
      </rPr>
      <t>兰威金属</t>
    </r>
    <r>
      <rPr>
        <sz val="8"/>
        <rFont val="Arial"/>
        <charset val="134"/>
      </rPr>
      <t>/</t>
    </r>
    <r>
      <rPr>
        <sz val="8"/>
        <rFont val="宋体"/>
        <charset val="134"/>
      </rPr>
      <t>史先生</t>
    </r>
  </si>
  <si>
    <t>2x40HQ CD/UD</t>
  </si>
  <si>
    <r>
      <rPr>
        <sz val="8"/>
        <rFont val="宋体"/>
        <charset val="134"/>
      </rPr>
      <t>22号装柜 代理座机 03123181813 通知客户订舱安排拖车了 要拼货 客户等他客户回复</t>
    </r>
    <r>
      <rPr>
        <sz val="8"/>
        <rFont val="Arial"/>
        <charset val="134"/>
      </rPr>
      <t xml:space="preserve"> 25</t>
    </r>
    <r>
      <rPr>
        <sz val="8"/>
        <rFont val="宋体"/>
        <charset val="134"/>
      </rPr>
      <t>天内交货</t>
    </r>
    <r>
      <rPr>
        <sz val="8"/>
        <rFont val="Arial"/>
        <charset val="134"/>
      </rPr>
      <t>(2</t>
    </r>
    <r>
      <rPr>
        <sz val="8"/>
        <rFont val="宋体"/>
        <charset val="134"/>
      </rPr>
      <t>月</t>
    </r>
    <r>
      <rPr>
        <sz val="8"/>
        <rFont val="Arial"/>
        <charset val="134"/>
      </rPr>
      <t>25</t>
    </r>
    <r>
      <rPr>
        <sz val="8"/>
        <rFont val="宋体"/>
        <charset val="134"/>
      </rPr>
      <t>号后）</t>
    </r>
  </si>
  <si>
    <t>代理订舱拖车报关</t>
  </si>
  <si>
    <t>J3738</t>
  </si>
  <si>
    <r>
      <rPr>
        <sz val="8"/>
        <rFont val="宋体"/>
        <charset val="134"/>
      </rPr>
      <t>单据已发客户 产地证 做木质证明</t>
    </r>
    <r>
      <rPr>
        <sz val="8"/>
        <color theme="1"/>
        <rFont val="Arial"/>
        <charset val="134"/>
      </rPr>
      <t xml:space="preserve"> </t>
    </r>
    <r>
      <rPr>
        <sz val="8"/>
        <color theme="1"/>
        <rFont val="宋体"/>
        <charset val="134"/>
      </rPr>
      <t>同</t>
    </r>
    <r>
      <rPr>
        <sz val="8"/>
        <color theme="1"/>
        <rFont val="Arial"/>
        <charset val="134"/>
      </rPr>
      <t>J3673</t>
    </r>
  </si>
  <si>
    <r>
      <rPr>
        <sz val="8"/>
        <rFont val="宋体"/>
        <charset val="134"/>
      </rPr>
      <t>实际尾款$</t>
    </r>
    <r>
      <rPr>
        <sz val="8"/>
        <rFont val="Arial"/>
        <charset val="134"/>
      </rPr>
      <t>17156.83</t>
    </r>
  </si>
  <si>
    <t>J3737</t>
  </si>
  <si>
    <r>
      <rPr>
        <sz val="8"/>
        <rFont val="Arial"/>
        <charset val="134"/>
      </rPr>
      <t>3x20FCL</t>
    </r>
    <r>
      <rPr>
        <sz val="8"/>
        <rFont val="Cambria"/>
        <charset val="134"/>
      </rPr>
      <t>轻钢</t>
    </r>
  </si>
  <si>
    <t>xingang-Hamad Qatar</t>
  </si>
  <si>
    <r>
      <rPr>
        <sz val="8"/>
        <rFont val="宋体"/>
        <charset val="134"/>
      </rPr>
      <t xml:space="preserve">安排电放提单 CO CCPIT 低报金额60% 客户让把厚度全部改成了0.28 做CIF不显示运费   </t>
    </r>
    <r>
      <rPr>
        <sz val="8"/>
        <color theme="1"/>
        <rFont val="宋体"/>
        <charset val="134"/>
      </rPr>
      <t>客户要求显示HScode J3712</t>
    </r>
    <r>
      <rPr>
        <sz val="8"/>
        <color theme="1"/>
        <rFont val="Arial"/>
        <charset val="134"/>
      </rPr>
      <t xml:space="preserve"> J3522 </t>
    </r>
  </si>
  <si>
    <t>迪斯泰订舱MSC1100，拖车报关</t>
  </si>
  <si>
    <r>
      <rPr>
        <b/>
        <sz val="8"/>
        <rFont val="宋体"/>
        <charset val="134"/>
      </rPr>
      <t>实际尾款</t>
    </r>
    <r>
      <rPr>
        <b/>
        <sz val="8"/>
        <rFont val="Arial"/>
        <charset val="134"/>
      </rPr>
      <t>$41975</t>
    </r>
  </si>
  <si>
    <t>M3750</t>
  </si>
  <si>
    <r>
      <rPr>
        <sz val="8"/>
        <rFont val="宋体"/>
        <charset val="134"/>
      </rPr>
      <t>巴林</t>
    </r>
    <r>
      <rPr>
        <sz val="8"/>
        <rFont val="Arial"/>
        <charset val="134"/>
      </rPr>
      <t xml:space="preserve"> Altawasel Gate(Kurian)</t>
    </r>
  </si>
  <si>
    <r>
      <rPr>
        <sz val="8"/>
        <rFont val="Arial"/>
        <charset val="134"/>
      </rPr>
      <t>1x20</t>
    </r>
    <r>
      <rPr>
        <sz val="8"/>
        <rFont val="宋体"/>
        <charset val="134"/>
      </rPr>
      <t>轻钢</t>
    </r>
    <r>
      <rPr>
        <sz val="8"/>
        <rFont val="Arial"/>
        <charset val="134"/>
      </rPr>
      <t>+</t>
    </r>
    <r>
      <rPr>
        <sz val="8"/>
        <rFont val="宋体"/>
        <charset val="134"/>
      </rPr>
      <t>检修口</t>
    </r>
  </si>
  <si>
    <t>xingang-Bahrain Port</t>
  </si>
  <si>
    <r>
      <rPr>
        <sz val="8"/>
        <rFont val="宋体"/>
        <charset val="134"/>
      </rPr>
      <t>客户让在箱单发票上加上了HS code DHL4444713954 CO 60% of final invoice做低报发票 烘干箱</t>
    </r>
    <r>
      <rPr>
        <sz val="8"/>
        <color theme="1"/>
        <rFont val="宋体"/>
        <charset val="134"/>
      </rPr>
      <t xml:space="preserve"> ACESS PANEL HScode 76010100000 </t>
    </r>
    <r>
      <rPr>
        <sz val="8"/>
        <color theme="1"/>
        <rFont val="Arial"/>
        <charset val="134"/>
      </rPr>
      <t xml:space="preserve">J3585 </t>
    </r>
  </si>
  <si>
    <r>
      <rPr>
        <sz val="8"/>
        <color theme="1"/>
        <rFont val="宋体"/>
        <charset val="134"/>
      </rPr>
      <t>永鑫海订舱</t>
    </r>
    <r>
      <rPr>
        <sz val="8"/>
        <color theme="1"/>
        <rFont val="Arial"/>
        <charset val="134"/>
      </rPr>
      <t>OC950</t>
    </r>
    <r>
      <rPr>
        <sz val="8"/>
        <color theme="1"/>
        <rFont val="宋体"/>
        <charset val="134"/>
      </rPr>
      <t>，拖车报关</t>
    </r>
  </si>
  <si>
    <r>
      <rPr>
        <b/>
        <sz val="8"/>
        <rFont val="宋体"/>
        <charset val="134"/>
      </rPr>
      <t>实际尾款</t>
    </r>
    <r>
      <rPr>
        <b/>
        <sz val="8"/>
        <rFont val="Arial"/>
        <charset val="134"/>
      </rPr>
      <t>$19826</t>
    </r>
  </si>
  <si>
    <t>J3751</t>
  </si>
  <si>
    <r>
      <rPr>
        <sz val="8"/>
        <rFont val="Arial"/>
        <charset val="134"/>
      </rPr>
      <t>1x20</t>
    </r>
    <r>
      <rPr>
        <sz val="8"/>
        <rFont val="宋体"/>
        <charset val="134"/>
      </rPr>
      <t>轻钢竖向沿地变高系列</t>
    </r>
  </si>
  <si>
    <t>xingang-HAMAD,Qatar</t>
  </si>
  <si>
    <r>
      <rPr>
        <sz val="8"/>
        <color theme="1"/>
        <rFont val="宋体"/>
        <charset val="134"/>
      </rPr>
      <t>DHL6643780920 低报发票CCPIT没寄呢 C</t>
    </r>
    <r>
      <rPr>
        <sz val="8"/>
        <rFont val="宋体"/>
        <charset val="134"/>
      </rPr>
      <t xml:space="preserve">O </t>
    </r>
  </si>
  <si>
    <r>
      <rPr>
        <sz val="8"/>
        <color theme="1"/>
        <rFont val="宋体"/>
        <charset val="134"/>
      </rPr>
      <t>迪斯泰订舱</t>
    </r>
    <r>
      <rPr>
        <sz val="8"/>
        <color theme="1"/>
        <rFont val="Arial"/>
        <charset val="134"/>
      </rPr>
      <t xml:space="preserve">APL925/950 </t>
    </r>
    <r>
      <rPr>
        <sz val="8"/>
        <color theme="1"/>
        <rFont val="宋体"/>
        <charset val="134"/>
      </rPr>
      <t>拖车报关</t>
    </r>
  </si>
  <si>
    <r>
      <rPr>
        <b/>
        <sz val="8"/>
        <rFont val="宋体"/>
        <charset val="134"/>
      </rPr>
      <t>实际尾款</t>
    </r>
    <r>
      <rPr>
        <b/>
        <sz val="8"/>
        <rFont val="Arial"/>
        <charset val="134"/>
      </rPr>
      <t>$12277.72</t>
    </r>
  </si>
  <si>
    <t>J3749</t>
  </si>
  <si>
    <r>
      <rPr>
        <sz val="8"/>
        <rFont val="宋体"/>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</si>
  <si>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r>
      <rPr>
        <sz val="8"/>
        <rFont val="宋体"/>
        <charset val="134"/>
      </rPr>
      <t>（</t>
    </r>
    <r>
      <rPr>
        <sz val="8"/>
        <rFont val="Arial"/>
        <charset val="134"/>
      </rPr>
      <t>LCL)3</t>
    </r>
    <r>
      <rPr>
        <sz val="8"/>
        <rFont val="宋体"/>
        <charset val="134"/>
      </rPr>
      <t>吨澳式配件</t>
    </r>
    <r>
      <rPr>
        <sz val="8"/>
        <rFont val="Arial"/>
        <charset val="134"/>
      </rPr>
      <t xml:space="preserve"> </t>
    </r>
    <r>
      <rPr>
        <sz val="8"/>
        <rFont val="宋体"/>
        <charset val="134"/>
      </rPr>
      <t>付吊</t>
    </r>
    <r>
      <rPr>
        <sz val="8"/>
        <rFont val="Arial"/>
        <charset val="134"/>
      </rPr>
      <t xml:space="preserve"> </t>
    </r>
  </si>
  <si>
    <r>
      <rPr>
        <sz val="8"/>
        <color theme="1"/>
        <rFont val="宋体"/>
        <charset val="134"/>
      </rPr>
      <t>电放 同J3438 仓位下来了</t>
    </r>
    <r>
      <rPr>
        <sz val="8"/>
        <color theme="1"/>
        <rFont val="Arial"/>
        <charset val="134"/>
      </rPr>
      <t xml:space="preserve"> </t>
    </r>
    <r>
      <rPr>
        <sz val="8"/>
        <color theme="1"/>
        <rFont val="宋体"/>
        <charset val="134"/>
      </rPr>
      <t>随时把货送到港口
起运港大概退回464美金，人民币收746人民币卸车费有100左右，到时是直接收司机的
目的港费用大概是1000美金不包函目的港清关，查验，和仓储等费用</t>
    </r>
  </si>
  <si>
    <t>会昌订舱到港口装柜报关</t>
  </si>
  <si>
    <r>
      <rPr>
        <sz val="8"/>
        <rFont val="宋体"/>
        <charset val="134"/>
      </rPr>
      <t>实际尾款</t>
    </r>
    <r>
      <rPr>
        <sz val="8"/>
        <rFont val="Arial"/>
        <charset val="134"/>
      </rPr>
      <t>3138.8</t>
    </r>
  </si>
  <si>
    <t>J3745</t>
  </si>
  <si>
    <r>
      <rPr>
        <sz val="8"/>
        <rFont val="宋体"/>
        <charset val="134"/>
      </rPr>
      <t>印尼</t>
    </r>
    <r>
      <rPr>
        <sz val="8"/>
        <rFont val="Arial"/>
        <charset val="134"/>
      </rPr>
      <t xml:space="preserve"> PT.DASAPRAKARSA</t>
    </r>
    <r>
      <rPr>
        <sz val="8"/>
        <rFont val="宋体"/>
        <charset val="134"/>
      </rPr>
      <t>（</t>
    </r>
    <r>
      <rPr>
        <sz val="8"/>
        <rFont val="Arial"/>
        <charset val="134"/>
      </rPr>
      <t>Chris</t>
    </r>
    <r>
      <rPr>
        <sz val="8"/>
        <rFont val="宋体"/>
        <charset val="134"/>
      </rPr>
      <t>）</t>
    </r>
  </si>
  <si>
    <r>
      <rPr>
        <sz val="8"/>
        <rFont val="Arial"/>
        <charset val="134"/>
      </rPr>
      <t xml:space="preserve">1x40HQ </t>
    </r>
    <r>
      <rPr>
        <sz val="8"/>
        <rFont val="宋体"/>
        <charset val="134"/>
      </rPr>
      <t>小付骨</t>
    </r>
  </si>
  <si>
    <t>xingang-Belawan Medan,Indonesia</t>
  </si>
  <si>
    <r>
      <rPr>
        <sz val="8"/>
        <rFont val="宋体"/>
        <charset val="134"/>
      </rPr>
      <t xml:space="preserve">DHL1322666634 </t>
    </r>
    <r>
      <rPr>
        <sz val="8"/>
        <rFont val="Arial"/>
        <charset val="134"/>
      </rPr>
      <t>Form E</t>
    </r>
    <r>
      <rPr>
        <sz val="8"/>
        <color theme="1"/>
        <rFont val="Arial"/>
        <charset val="134"/>
      </rPr>
      <t xml:space="preserve"> J3666 </t>
    </r>
  </si>
  <si>
    <t>迪斯泰订舱MCC375，拖车报关</t>
  </si>
  <si>
    <t>M3761</t>
  </si>
  <si>
    <r>
      <rPr>
        <sz val="8"/>
        <rFont val="华文宋体"/>
        <charset val="134"/>
      </rPr>
      <t>特立尼达</t>
    </r>
    <r>
      <rPr>
        <sz val="8"/>
        <rFont val="Arial"/>
        <charset val="134"/>
      </rPr>
      <t xml:space="preserve"> SAMSON/Stephen</t>
    </r>
  </si>
  <si>
    <r>
      <rPr>
        <sz val="8"/>
        <rFont val="Arial"/>
        <charset val="134"/>
      </rPr>
      <t>1x20</t>
    </r>
    <r>
      <rPr>
        <sz val="8"/>
        <rFont val="宋体"/>
        <charset val="134"/>
      </rPr>
      <t>轻钢</t>
    </r>
    <r>
      <rPr>
        <sz val="8"/>
        <rFont val="Arial"/>
        <charset val="134"/>
      </rPr>
      <t>+</t>
    </r>
    <r>
      <rPr>
        <sz val="8"/>
        <rFont val="宋体"/>
        <charset val="134"/>
      </rPr>
      <t>铁丝</t>
    </r>
  </si>
  <si>
    <r>
      <rPr>
        <sz val="8"/>
        <color theme="1"/>
        <rFont val="宋体"/>
        <charset val="134"/>
      </rPr>
      <t>实际货重28065  客户提单想显示27吨 做低报发票 M3641客户多打1833美金转做M3761定金 Sct code 69023-1  同</t>
    </r>
    <r>
      <rPr>
        <sz val="8"/>
        <color theme="1"/>
        <rFont val="Arial"/>
        <charset val="134"/>
      </rPr>
      <t xml:space="preserve">M3641 </t>
    </r>
    <r>
      <rPr>
        <sz val="8"/>
        <color theme="1"/>
        <rFont val="宋体"/>
        <charset val="134"/>
      </rPr>
      <t>指定货代</t>
    </r>
  </si>
  <si>
    <t>迪斯泰订舱MSC约号定，拖车报关</t>
  </si>
  <si>
    <t>尾款打的人民币</t>
  </si>
  <si>
    <t>J3762</t>
  </si>
  <si>
    <r>
      <rPr>
        <sz val="8"/>
        <rFont val="Arial"/>
        <charset val="134"/>
      </rPr>
      <t>3x20</t>
    </r>
    <r>
      <rPr>
        <sz val="8"/>
        <rFont val="宋体"/>
        <charset val="134"/>
      </rPr>
      <t>烤漆</t>
    </r>
    <r>
      <rPr>
        <sz val="8"/>
        <rFont val="Arial"/>
        <charset val="134"/>
      </rPr>
      <t>+200</t>
    </r>
    <r>
      <rPr>
        <sz val="8"/>
        <rFont val="宋体"/>
        <charset val="134"/>
      </rPr>
      <t>件弹簧片</t>
    </r>
  </si>
  <si>
    <t>Xinggang-Bejaia ,Algeria</t>
  </si>
  <si>
    <r>
      <rPr>
        <sz val="8"/>
        <color theme="1"/>
        <rFont val="宋体"/>
        <charset val="134"/>
      </rPr>
      <t>TNT GD507368805WW优先选</t>
    </r>
    <r>
      <rPr>
        <sz val="8"/>
        <color theme="1"/>
        <rFont val="Arial"/>
        <charset val="134"/>
      </rPr>
      <t>CMA</t>
    </r>
    <r>
      <rPr>
        <sz val="8"/>
        <color theme="1"/>
        <rFont val="宋体"/>
        <charset val="134"/>
      </rPr>
      <t>船</t>
    </r>
    <r>
      <rPr>
        <sz val="8"/>
        <color theme="1"/>
        <rFont val="Arial"/>
        <charset val="134"/>
      </rPr>
      <t xml:space="preserve"> </t>
    </r>
    <r>
      <rPr>
        <sz val="8"/>
        <color theme="1"/>
        <rFont val="宋体"/>
        <charset val="134"/>
      </rPr>
      <t>同</t>
    </r>
    <r>
      <rPr>
        <sz val="8"/>
        <color theme="1"/>
        <rFont val="Arial"/>
        <charset val="134"/>
      </rPr>
      <t xml:space="preserve">J3507 </t>
    </r>
    <r>
      <rPr>
        <sz val="8"/>
        <color theme="1"/>
        <rFont val="宋体"/>
        <charset val="134"/>
      </rPr>
      <t>柜子放</t>
    </r>
    <r>
      <rPr>
        <sz val="8"/>
        <color theme="1"/>
        <rFont val="Arial"/>
        <charset val="134"/>
      </rPr>
      <t>30</t>
    </r>
    <r>
      <rPr>
        <sz val="8"/>
        <color theme="1"/>
        <rFont val="宋体"/>
        <charset val="134"/>
      </rPr>
      <t>套小样</t>
    </r>
  </si>
  <si>
    <t>迪斯泰订舱MSC1600，迪斯泰拖车，金凯抬头报关</t>
  </si>
  <si>
    <r>
      <rPr>
        <b/>
        <sz val="8"/>
        <color rgb="FF0000FF"/>
        <rFont val="宋体"/>
        <charset val="134"/>
      </rPr>
      <t>定金</t>
    </r>
    <r>
      <rPr>
        <b/>
        <sz val="8"/>
        <color rgb="FF0000FF"/>
        <rFont val="Arial"/>
        <charset val="134"/>
      </rPr>
      <t xml:space="preserve">RMB48545 </t>
    </r>
    <r>
      <rPr>
        <b/>
        <sz val="8"/>
        <color rgb="FF0000FF"/>
        <rFont val="宋体"/>
        <charset val="134"/>
      </rPr>
      <t>汇率</t>
    </r>
    <r>
      <rPr>
        <b/>
        <sz val="8"/>
        <color rgb="FF0000FF"/>
        <rFont val="Arial"/>
        <charset val="134"/>
      </rPr>
      <t xml:space="preserve">6.935 </t>
    </r>
    <r>
      <rPr>
        <b/>
        <sz val="8"/>
        <color rgb="FF0000FF"/>
        <rFont val="宋体"/>
        <charset val="134"/>
      </rPr>
      <t>加上加上</t>
    </r>
    <r>
      <rPr>
        <b/>
        <sz val="8"/>
        <color rgb="FF0000FF"/>
        <rFont val="Arial"/>
        <charset val="134"/>
      </rPr>
      <t>J3507</t>
    </r>
    <r>
      <rPr>
        <b/>
        <sz val="8"/>
        <color rgb="FF0000FF"/>
        <rFont val="宋体"/>
        <charset val="134"/>
      </rPr>
      <t>账上</t>
    </r>
    <r>
      <rPr>
        <b/>
        <sz val="8"/>
        <color rgb="FF0000FF"/>
        <rFont val="Arial"/>
        <charset val="134"/>
      </rPr>
      <t>1000</t>
    </r>
    <r>
      <rPr>
        <b/>
        <sz val="8"/>
        <color rgb="FF0000FF"/>
        <rFont val="宋体"/>
        <charset val="134"/>
      </rPr>
      <t>美金</t>
    </r>
    <r>
      <rPr>
        <b/>
        <sz val="8"/>
        <color rgb="FF0000FF"/>
        <rFont val="Arial"/>
        <charset val="134"/>
      </rPr>
      <t xml:space="preserve"> </t>
    </r>
    <r>
      <rPr>
        <b/>
        <sz val="8"/>
        <color rgb="FF0000FF"/>
        <rFont val="宋体"/>
        <charset val="134"/>
      </rPr>
      <t>共</t>
    </r>
    <r>
      <rPr>
        <b/>
        <sz val="8"/>
        <color rgb="FF0000FF"/>
        <rFont val="Arial"/>
        <charset val="134"/>
      </rPr>
      <t>8</t>
    </r>
    <r>
      <rPr>
        <b/>
        <sz val="8"/>
        <color rgb="FF0000FF"/>
        <rFont val="宋体"/>
        <charset val="134"/>
      </rPr>
      <t>千美金定金</t>
    </r>
  </si>
  <si>
    <t>J3777</t>
  </si>
  <si>
    <r>
      <rPr>
        <sz val="8"/>
        <color rgb="FF0000FF"/>
        <rFont val="宋体"/>
        <charset val="134"/>
      </rPr>
      <t>提单改电放 其他单据发邮箱</t>
    </r>
    <r>
      <rPr>
        <sz val="8"/>
        <rFont val="宋体"/>
        <charset val="134"/>
      </rPr>
      <t>CCPIT CO，低报金额60%做CIF不显示运费</t>
    </r>
    <r>
      <rPr>
        <sz val="8"/>
        <color rgb="FF0000FF"/>
        <rFont val="宋体"/>
        <charset val="134"/>
      </rPr>
      <t xml:space="preserve"> </t>
    </r>
    <r>
      <rPr>
        <sz val="8"/>
        <rFont val="宋体"/>
        <charset val="134"/>
      </rPr>
      <t>客户要求显示HScode  同</t>
    </r>
    <r>
      <rPr>
        <sz val="8"/>
        <rFont val="Arial"/>
        <charset val="134"/>
      </rPr>
      <t>J3712</t>
    </r>
  </si>
  <si>
    <r>
      <rPr>
        <sz val="8"/>
        <color theme="1"/>
        <rFont val="宋体"/>
        <charset val="134"/>
      </rPr>
      <t>迪斯泰订舱</t>
    </r>
    <r>
      <rPr>
        <sz val="8"/>
        <color theme="1"/>
        <rFont val="Arial"/>
        <charset val="134"/>
      </rPr>
      <t>MSC1390/1400</t>
    </r>
    <r>
      <rPr>
        <sz val="8"/>
        <color theme="1"/>
        <rFont val="宋体"/>
        <charset val="134"/>
      </rPr>
      <t>，拖车，金凯一达通</t>
    </r>
  </si>
  <si>
    <r>
      <rPr>
        <b/>
        <sz val="8"/>
        <rFont val="宋体"/>
        <charset val="134"/>
      </rPr>
      <t>实际尾款</t>
    </r>
    <r>
      <rPr>
        <b/>
        <sz val="8"/>
        <rFont val="Arial"/>
        <charset val="134"/>
      </rPr>
      <t>$16372</t>
    </r>
  </si>
  <si>
    <t>J3787-3</t>
  </si>
  <si>
    <r>
      <rPr>
        <sz val="8"/>
        <rFont val="Arial"/>
        <charset val="134"/>
      </rPr>
      <t>2x20'</t>
    </r>
    <r>
      <rPr>
        <sz val="8"/>
        <rFont val="宋体"/>
        <charset val="134"/>
      </rPr>
      <t>轻钢</t>
    </r>
    <r>
      <rPr>
        <sz val="8"/>
        <rFont val="Arial"/>
        <charset val="134"/>
      </rPr>
      <t>+</t>
    </r>
    <r>
      <rPr>
        <sz val="8"/>
        <rFont val="宋体"/>
        <charset val="134"/>
      </rPr>
      <t>玻纤卷</t>
    </r>
  </si>
  <si>
    <t>xingang- salalah Oman</t>
  </si>
  <si>
    <r>
      <rPr>
        <sz val="8"/>
        <rFont val="宋体"/>
        <charset val="134"/>
      </rPr>
      <t>单据齐等款 单据已发客户 厚度改成0.28 CO CCPIT 客户说改成</t>
    </r>
    <r>
      <rPr>
        <sz val="8"/>
        <color rgb="FF0000FF"/>
        <rFont val="宋体"/>
        <charset val="134"/>
      </rPr>
      <t xml:space="preserve">等信电放 </t>
    </r>
    <r>
      <rPr>
        <sz val="8"/>
        <rFont val="宋体"/>
        <charset val="134"/>
      </rPr>
      <t xml:space="preserve">J3787-3加玻纤卷 加到哪个柜里？ </t>
    </r>
    <r>
      <rPr>
        <sz val="8"/>
        <color theme="1"/>
        <rFont val="宋体"/>
        <charset val="134"/>
      </rPr>
      <t>厂里承担40美金海运费 分开发 共6x20'+1x40H轻钢  同J3712 J3522 CO CCPIT，低报金额60%</t>
    </r>
  </si>
  <si>
    <r>
      <rPr>
        <sz val="8"/>
        <color theme="1"/>
        <rFont val="宋体"/>
        <charset val="134"/>
      </rPr>
      <t>会昌订舱MSK</t>
    </r>
    <r>
      <rPr>
        <sz val="8"/>
        <color theme="1"/>
        <rFont val="Arial"/>
        <charset val="134"/>
      </rPr>
      <t>13</t>
    </r>
    <r>
      <rPr>
        <sz val="8"/>
        <color theme="1"/>
        <rFont val="宋体"/>
        <charset val="134"/>
      </rPr>
      <t>号</t>
    </r>
    <r>
      <rPr>
        <sz val="8"/>
        <color theme="1"/>
        <rFont val="Arial"/>
        <charset val="134"/>
      </rPr>
      <t>1100/1080</t>
    </r>
    <r>
      <rPr>
        <sz val="8"/>
        <color theme="1"/>
        <rFont val="宋体"/>
        <charset val="134"/>
      </rPr>
      <t>，拖车报关</t>
    </r>
  </si>
  <si>
    <r>
      <rPr>
        <b/>
        <sz val="8"/>
        <rFont val="宋体"/>
        <charset val="134"/>
      </rPr>
      <t>实际尾款</t>
    </r>
    <r>
      <rPr>
        <b/>
        <sz val="8"/>
        <rFont val="Arial"/>
        <charset val="134"/>
      </rPr>
      <t>$30720.4</t>
    </r>
  </si>
  <si>
    <t>J3787-4</t>
  </si>
  <si>
    <r>
      <rPr>
        <sz val="8"/>
        <rFont val="宋体"/>
        <charset val="134"/>
      </rPr>
      <t>单据齐等款 单据已发客户 低报发票 改厚度吗？ CO CCPIT 把J3777甩的烤漆装上 J3787-3加玻纤卷 加到哪个柜里？</t>
    </r>
    <r>
      <rPr>
        <sz val="8"/>
        <color theme="1"/>
        <rFont val="宋体"/>
        <charset val="134"/>
      </rPr>
      <t xml:space="preserve"> 分开发 共6x20'+1x40H轻钢  同J3712 J3522 CO CCPIT，低报金额60%</t>
    </r>
  </si>
  <si>
    <r>
      <rPr>
        <sz val="8"/>
        <color theme="1"/>
        <rFont val="宋体"/>
        <charset val="134"/>
      </rPr>
      <t>会昌订舱MSK</t>
    </r>
    <r>
      <rPr>
        <sz val="8"/>
        <color theme="1"/>
        <rFont val="Arial"/>
        <charset val="134"/>
      </rPr>
      <t xml:space="preserve"> 20</t>
    </r>
    <r>
      <rPr>
        <sz val="8"/>
        <color theme="1"/>
        <rFont val="宋体"/>
        <charset val="134"/>
      </rPr>
      <t>号</t>
    </r>
    <r>
      <rPr>
        <sz val="8"/>
        <color theme="1"/>
        <rFont val="Arial"/>
        <charset val="134"/>
      </rPr>
      <t xml:space="preserve">1080 </t>
    </r>
    <r>
      <rPr>
        <sz val="8"/>
        <color theme="1"/>
        <rFont val="宋体"/>
        <charset val="134"/>
      </rPr>
      <t>拖车报关</t>
    </r>
  </si>
  <si>
    <r>
      <rPr>
        <sz val="8"/>
        <rFont val="宋体"/>
        <charset val="134"/>
      </rPr>
      <t>实际尾款</t>
    </r>
    <r>
      <rPr>
        <sz val="8"/>
        <rFont val="Arial"/>
        <charset val="134"/>
      </rPr>
      <t>$30710.35</t>
    </r>
  </si>
  <si>
    <t>J3787-2</t>
  </si>
  <si>
    <t>xingang- sohar Oman</t>
  </si>
  <si>
    <r>
      <rPr>
        <sz val="8"/>
        <rFont val="宋体"/>
        <charset val="134"/>
      </rPr>
      <t xml:space="preserve">电放 CO CCPIT，低报金额60% 和上单对比并与客户核对 客户提供低报价格 </t>
    </r>
    <r>
      <rPr>
        <sz val="8"/>
        <color theme="1"/>
        <rFont val="宋体"/>
        <charset val="134"/>
      </rPr>
      <t xml:space="preserve">共6x20'+1x40H轻钢  同J3712 J3522 </t>
    </r>
  </si>
  <si>
    <r>
      <rPr>
        <sz val="8"/>
        <color theme="1"/>
        <rFont val="宋体"/>
        <charset val="134"/>
      </rPr>
      <t>会昌</t>
    </r>
    <r>
      <rPr>
        <sz val="8"/>
        <color theme="1"/>
        <rFont val="Arial"/>
        <charset val="134"/>
      </rPr>
      <t>APL850</t>
    </r>
    <r>
      <rPr>
        <sz val="8"/>
        <color theme="1"/>
        <rFont val="宋体"/>
        <charset val="134"/>
      </rPr>
      <t>，拖车报关</t>
    </r>
  </si>
  <si>
    <r>
      <rPr>
        <b/>
        <sz val="8"/>
        <color rgb="FF000000"/>
        <rFont val="宋体"/>
        <charset val="134"/>
      </rPr>
      <t>实际尾款</t>
    </r>
    <r>
      <rPr>
        <b/>
        <sz val="8"/>
        <color rgb="FF000000"/>
        <rFont val="Arial"/>
        <charset val="134"/>
      </rPr>
      <t xml:space="preserve">$11820 </t>
    </r>
    <r>
      <rPr>
        <b/>
        <sz val="8"/>
        <color rgb="FF000000"/>
        <rFont val="宋体"/>
        <charset val="134"/>
      </rPr>
      <t>与</t>
    </r>
    <r>
      <rPr>
        <b/>
        <sz val="8"/>
        <color rgb="FF000000"/>
        <rFont val="Arial"/>
        <charset val="134"/>
      </rPr>
      <t>J3831</t>
    </r>
    <r>
      <rPr>
        <b/>
        <sz val="8"/>
        <color rgb="FF000000"/>
        <rFont val="宋体"/>
        <charset val="134"/>
      </rPr>
      <t>定金</t>
    </r>
    <r>
      <rPr>
        <b/>
        <sz val="8"/>
        <color rgb="FF000000"/>
        <rFont val="Arial"/>
        <charset val="134"/>
      </rPr>
      <t>12000</t>
    </r>
    <r>
      <rPr>
        <b/>
        <sz val="8"/>
        <color rgb="FF000000"/>
        <rFont val="宋体"/>
        <charset val="134"/>
      </rPr>
      <t>一起打过来的</t>
    </r>
  </si>
  <si>
    <t>J3787-1</t>
  </si>
  <si>
    <t>xingang-Salalah , Oman</t>
  </si>
  <si>
    <r>
      <rPr>
        <sz val="8"/>
        <rFont val="宋体"/>
        <charset val="134"/>
      </rPr>
      <t>电放 单据发邮箱 CO CCPIT 低报 厚度0.28 8号装11号全天报数据 GLDU3277999有点漏 司机补好了</t>
    </r>
    <r>
      <rPr>
        <sz val="8"/>
        <color rgb="FF0000FF"/>
        <rFont val="宋体"/>
        <charset val="134"/>
      </rPr>
      <t xml:space="preserve"> </t>
    </r>
    <r>
      <rPr>
        <sz val="8"/>
        <color theme="1"/>
        <rFont val="宋体"/>
        <charset val="134"/>
      </rPr>
      <t xml:space="preserve">分开发 共6x20'+1x40H轻钢  同J3712 J3522 ，低报金额60%
Address : Street number:02，Behind old lulu , number 5 road , old industrial area salalah -211 oman </t>
    </r>
  </si>
  <si>
    <r>
      <rPr>
        <sz val="8"/>
        <color theme="1"/>
        <rFont val="宋体"/>
        <charset val="134"/>
      </rPr>
      <t>迪斯泰订舱MSC</t>
    </r>
    <r>
      <rPr>
        <sz val="8"/>
        <color theme="1"/>
        <rFont val="Arial"/>
        <charset val="134"/>
      </rPr>
      <t>1200</t>
    </r>
    <r>
      <rPr>
        <sz val="8"/>
        <color theme="1"/>
        <rFont val="宋体"/>
        <charset val="134"/>
      </rPr>
      <t>，拖车报关</t>
    </r>
  </si>
  <si>
    <r>
      <rPr>
        <b/>
        <sz val="8"/>
        <rFont val="宋体"/>
        <charset val="134"/>
      </rPr>
      <t>实际尾款</t>
    </r>
    <r>
      <rPr>
        <b/>
        <sz val="8"/>
        <rFont val="Arial"/>
        <charset val="134"/>
      </rPr>
      <t>$29753.6</t>
    </r>
  </si>
  <si>
    <t>J3788</t>
  </si>
  <si>
    <t>霸州时代龙/王冬燕</t>
  </si>
  <si>
    <r>
      <rPr>
        <sz val="8"/>
        <rFont val="Arial"/>
        <charset val="134"/>
      </rPr>
      <t>3</t>
    </r>
    <r>
      <rPr>
        <sz val="8"/>
        <rFont val="宋体"/>
        <charset val="134"/>
      </rPr>
      <t>吨烤漆龙骨</t>
    </r>
    <r>
      <rPr>
        <sz val="8"/>
        <rFont val="Arial"/>
        <charset val="134"/>
      </rPr>
      <t>PT32</t>
    </r>
  </si>
  <si>
    <t>能正常发</t>
  </si>
  <si>
    <t>J3790</t>
  </si>
  <si>
    <r>
      <rPr>
        <sz val="8"/>
        <rFont val="Arial"/>
        <charset val="134"/>
      </rPr>
      <t xml:space="preserve">1x20fcl +1x40HQ </t>
    </r>
    <r>
      <rPr>
        <sz val="8"/>
        <rFont val="宋体"/>
        <charset val="134"/>
      </rPr>
      <t>轻钢</t>
    </r>
  </si>
  <si>
    <t>xingang-SHARJAH  ICD</t>
  </si>
  <si>
    <r>
      <rPr>
        <sz val="8"/>
        <rFont val="宋体"/>
        <charset val="134"/>
      </rPr>
      <t>DHL7955467531 客户想电放提单寄其他单据 CO拿了 海运费880+800=1680美金预付 做到发票里</t>
    </r>
    <r>
      <rPr>
        <sz val="8"/>
        <color theme="1"/>
        <rFont val="宋体"/>
        <charset val="134"/>
      </rPr>
      <t xml:space="preserve"> 同J3651 代理订舱还是货代订舱问客户</t>
    </r>
  </si>
  <si>
    <t>柏盛通订舱EMI，会昌拖车报关</t>
  </si>
  <si>
    <r>
      <rPr>
        <b/>
        <sz val="8"/>
        <rFont val="宋体"/>
        <charset val="134"/>
      </rPr>
      <t>实际尾款$</t>
    </r>
    <r>
      <rPr>
        <b/>
        <sz val="8"/>
        <rFont val="Arial"/>
        <charset val="134"/>
      </rPr>
      <t>24783</t>
    </r>
  </si>
  <si>
    <t>J3794</t>
  </si>
  <si>
    <r>
      <rPr>
        <sz val="8"/>
        <rFont val="Arial"/>
        <charset val="134"/>
      </rPr>
      <t>3x20fcl</t>
    </r>
    <r>
      <rPr>
        <sz val="8"/>
        <rFont val="宋体"/>
        <charset val="134"/>
      </rPr>
      <t>轻钢</t>
    </r>
  </si>
  <si>
    <r>
      <rPr>
        <sz val="8"/>
        <rFont val="宋体"/>
        <charset val="134"/>
      </rPr>
      <t xml:space="preserve">提单在会昌 CO 低报的CCPIT channel的厚度改成0.28 做CIF不显示运费 </t>
    </r>
    <r>
      <rPr>
        <sz val="8"/>
        <color theme="1"/>
        <rFont val="宋体"/>
        <charset val="134"/>
      </rPr>
      <t>每捆贴 made in china 小标贴 同J3777，低报金额60%</t>
    </r>
  </si>
  <si>
    <t>小杜订舱APL875/880，拖车报关</t>
  </si>
  <si>
    <r>
      <rPr>
        <b/>
        <sz val="8"/>
        <rFont val="宋体"/>
        <charset val="134"/>
      </rPr>
      <t>实际尾款</t>
    </r>
    <r>
      <rPr>
        <b/>
        <sz val="8"/>
        <rFont val="Arial"/>
        <charset val="134"/>
      </rPr>
      <t>37765.65</t>
    </r>
  </si>
  <si>
    <t>J3797</t>
  </si>
  <si>
    <t>1x20' 轻钢</t>
  </si>
  <si>
    <r>
      <rPr>
        <sz val="8"/>
        <rFont val="宋体"/>
        <charset val="134"/>
      </rPr>
      <t>出黄色CO</t>
    </r>
    <r>
      <rPr>
        <sz val="8"/>
        <color theme="1"/>
        <rFont val="宋体"/>
        <charset val="134"/>
      </rPr>
      <t xml:space="preserve"> 单拖昂 放中间 
新港免9天用箱期，5.19周二第一天提箱  同J3738</t>
    </r>
  </si>
  <si>
    <r>
      <rPr>
        <b/>
        <sz val="8"/>
        <rFont val="宋体"/>
        <charset val="134"/>
      </rPr>
      <t>实际尾款</t>
    </r>
    <r>
      <rPr>
        <b/>
        <sz val="8"/>
        <rFont val="Arial"/>
        <charset val="134"/>
      </rPr>
      <t>$14063.06</t>
    </r>
  </si>
  <si>
    <t>J3808</t>
  </si>
  <si>
    <t>菲律宾justin/施养群</t>
  </si>
  <si>
    <r>
      <rPr>
        <sz val="8"/>
        <rFont val="Arial"/>
        <charset val="134"/>
      </rPr>
      <t>1x40HQ50</t>
    </r>
    <r>
      <rPr>
        <sz val="8"/>
        <rFont val="宋体"/>
        <charset val="134"/>
      </rPr>
      <t>付骨</t>
    </r>
  </si>
  <si>
    <t>客户指定货代 没用咱们做FORM E 客户自己做的单据，空余地方客户自己买一些货，如果到咱们厂子帮忙装一下</t>
  </si>
  <si>
    <t>J3816</t>
  </si>
  <si>
    <r>
      <rPr>
        <sz val="8"/>
        <rFont val="Arial"/>
        <charset val="134"/>
      </rPr>
      <t xml:space="preserve">1x20fcl </t>
    </r>
    <r>
      <rPr>
        <sz val="8"/>
        <rFont val="宋体"/>
        <charset val="134"/>
      </rPr>
      <t>轻钢龙骨</t>
    </r>
  </si>
  <si>
    <r>
      <rPr>
        <sz val="8"/>
        <rFont val="宋体"/>
        <charset val="134"/>
      </rPr>
      <t>单据齐等款 单据已发客户 出黄色</t>
    </r>
    <r>
      <rPr>
        <sz val="8"/>
        <rFont val="Arial"/>
        <charset val="134"/>
      </rPr>
      <t>CO</t>
    </r>
    <r>
      <rPr>
        <sz val="8"/>
        <color theme="1"/>
        <rFont val="Arial"/>
        <charset val="134"/>
      </rPr>
      <t xml:space="preserve"> </t>
    </r>
    <r>
      <rPr>
        <sz val="8"/>
        <color theme="1"/>
        <rFont val="宋体"/>
        <charset val="134"/>
      </rPr>
      <t>单拖昂</t>
    </r>
    <r>
      <rPr>
        <sz val="8"/>
        <color theme="1"/>
        <rFont val="Arial"/>
        <charset val="134"/>
      </rPr>
      <t xml:space="preserve"> </t>
    </r>
    <r>
      <rPr>
        <sz val="8"/>
        <color theme="1"/>
        <rFont val="宋体"/>
        <charset val="134"/>
      </rPr>
      <t>放中间</t>
    </r>
    <r>
      <rPr>
        <sz val="8"/>
        <color theme="1"/>
        <rFont val="Arial"/>
        <charset val="134"/>
      </rPr>
      <t xml:space="preserve"> </t>
    </r>
    <r>
      <rPr>
        <sz val="8"/>
        <color theme="1"/>
        <rFont val="宋体"/>
        <charset val="134"/>
      </rPr>
      <t>同</t>
    </r>
    <r>
      <rPr>
        <sz val="8"/>
        <color theme="1"/>
        <rFont val="Arial"/>
        <charset val="134"/>
      </rPr>
      <t>J3797</t>
    </r>
  </si>
  <si>
    <r>
      <rPr>
        <sz val="8"/>
        <color theme="1"/>
        <rFont val="宋体"/>
        <charset val="134"/>
      </rPr>
      <t>指定代理</t>
    </r>
    <r>
      <rPr>
        <sz val="8"/>
        <color theme="1"/>
        <rFont val="Arial"/>
        <charset val="134"/>
      </rPr>
      <t xml:space="preserve">ACON LOGISTICS, </t>
    </r>
    <r>
      <rPr>
        <sz val="8"/>
        <color theme="1"/>
        <rFont val="宋体"/>
        <charset val="134"/>
      </rPr>
      <t>迪斯泰拖车</t>
    </r>
  </si>
  <si>
    <r>
      <rPr>
        <b/>
        <sz val="8"/>
        <rFont val="宋体"/>
        <charset val="134"/>
      </rPr>
      <t>实际尾款</t>
    </r>
    <r>
      <rPr>
        <b/>
        <sz val="8"/>
        <rFont val="Arial"/>
        <charset val="134"/>
      </rPr>
      <t>$15157.36</t>
    </r>
  </si>
  <si>
    <t>J3831-1</t>
  </si>
  <si>
    <r>
      <rPr>
        <sz val="8"/>
        <rFont val="Arial"/>
        <charset val="134"/>
      </rPr>
      <t xml:space="preserve">1x20fcl </t>
    </r>
    <r>
      <rPr>
        <sz val="8"/>
        <rFont val="宋体"/>
        <charset val="134"/>
      </rPr>
      <t>平面烤漆龙骨</t>
    </r>
  </si>
  <si>
    <r>
      <rPr>
        <sz val="8"/>
        <rFont val="宋体"/>
        <charset val="134"/>
      </rPr>
      <t>DHL4906017384 收到水单提单背书给操作   低报发票CCPIT CO</t>
    </r>
    <r>
      <rPr>
        <sz val="8"/>
        <color theme="1"/>
        <rFont val="宋体"/>
        <charset val="134"/>
      </rPr>
      <t xml:space="preserve"> 同J3737</t>
    </r>
  </si>
  <si>
    <t>迪斯泰订舱MSC790，迪斯泰拖车 金凯抬头报关</t>
  </si>
  <si>
    <t>J3831-2</t>
  </si>
  <si>
    <r>
      <rPr>
        <sz val="8"/>
        <rFont val="宋体"/>
        <charset val="134"/>
      </rPr>
      <t>DHL2291616666 低报发票CCPIT CO</t>
    </r>
    <r>
      <rPr>
        <sz val="8"/>
        <color theme="1"/>
        <rFont val="宋体"/>
        <charset val="134"/>
      </rPr>
      <t>同J3737</t>
    </r>
  </si>
  <si>
    <t>会昌订舱MSK910，会昌拖车 金凯一达通报关</t>
  </si>
  <si>
    <r>
      <rPr>
        <b/>
        <sz val="8"/>
        <color rgb="FF0000FF"/>
        <rFont val="宋体"/>
        <charset val="134"/>
      </rPr>
      <t>实际尾款</t>
    </r>
    <r>
      <rPr>
        <b/>
        <sz val="8"/>
        <color rgb="FF0000FF"/>
        <rFont val="Arial"/>
        <charset val="134"/>
      </rPr>
      <t xml:space="preserve">14928.4 </t>
    </r>
    <r>
      <rPr>
        <b/>
        <sz val="8"/>
        <color rgb="FF0000FF"/>
        <rFont val="宋体"/>
        <charset val="134"/>
      </rPr>
      <t>客户说少</t>
    </r>
    <r>
      <rPr>
        <b/>
        <sz val="8"/>
        <color rgb="FF0000FF"/>
        <rFont val="Arial"/>
        <charset val="134"/>
      </rPr>
      <t>2</t>
    </r>
    <r>
      <rPr>
        <b/>
        <sz val="8"/>
        <color rgb="FF0000FF"/>
        <rFont val="宋体"/>
        <charset val="134"/>
      </rPr>
      <t>箱子付骨数不出来，</t>
    </r>
    <r>
      <rPr>
        <b/>
        <sz val="8"/>
        <color rgb="FF0000FF"/>
        <rFont val="Arial"/>
        <charset val="134"/>
      </rPr>
      <t xml:space="preserve"> </t>
    </r>
    <r>
      <rPr>
        <b/>
        <sz val="8"/>
        <color rgb="FF0000FF"/>
        <rFont val="宋体"/>
        <charset val="134"/>
      </rPr>
      <t>就给客户减了</t>
    </r>
    <r>
      <rPr>
        <b/>
        <sz val="8"/>
        <color rgb="FF0000FF"/>
        <rFont val="Arial"/>
        <charset val="134"/>
      </rPr>
      <t>20</t>
    </r>
    <r>
      <rPr>
        <b/>
        <sz val="8"/>
        <color rgb="FF0000FF"/>
        <rFont val="宋体"/>
        <charset val="134"/>
      </rPr>
      <t>美金</t>
    </r>
    <r>
      <rPr>
        <b/>
        <sz val="8"/>
        <color rgb="FF0000FF"/>
        <rFont val="Arial"/>
        <charset val="134"/>
      </rPr>
      <t xml:space="preserve">
</t>
    </r>
  </si>
  <si>
    <t>J3833</t>
  </si>
  <si>
    <t>山东万誉/Jack</t>
  </si>
  <si>
    <r>
      <rPr>
        <sz val="8"/>
        <rFont val="Arial"/>
        <charset val="134"/>
      </rPr>
      <t>6</t>
    </r>
    <r>
      <rPr>
        <sz val="8"/>
        <rFont val="宋体"/>
        <charset val="134"/>
      </rPr>
      <t>吨轻钢</t>
    </r>
    <r>
      <rPr>
        <sz val="8"/>
        <rFont val="Arial"/>
        <charset val="134"/>
      </rPr>
      <t>+</t>
    </r>
    <r>
      <rPr>
        <sz val="8"/>
        <rFont val="宋体"/>
        <charset val="134"/>
      </rPr>
      <t>配件</t>
    </r>
  </si>
  <si>
    <t>7.23好 货物好就发货</t>
  </si>
  <si>
    <t>J3839</t>
  </si>
  <si>
    <t>义乌兄弟综合/白绪强</t>
  </si>
  <si>
    <r>
      <rPr>
        <sz val="8"/>
        <rFont val="Arial"/>
        <charset val="134"/>
      </rPr>
      <t>300</t>
    </r>
    <r>
      <rPr>
        <sz val="8"/>
        <rFont val="宋体"/>
        <charset val="134"/>
      </rPr>
      <t>件弹簧片</t>
    </r>
  </si>
  <si>
    <t>年后发货 增加2种黑色配件 发货到义乌</t>
  </si>
  <si>
    <t>J3843</t>
  </si>
  <si>
    <r>
      <rPr>
        <sz val="8"/>
        <rFont val="Arial"/>
        <charset val="134"/>
      </rPr>
      <t xml:space="preserve">2x20fcl </t>
    </r>
    <r>
      <rPr>
        <sz val="8"/>
        <rFont val="宋体"/>
        <charset val="134"/>
      </rPr>
      <t>轻钢龙骨</t>
    </r>
  </si>
  <si>
    <r>
      <rPr>
        <sz val="8"/>
        <rFont val="宋体"/>
        <charset val="134"/>
      </rPr>
      <t xml:space="preserve">DHL4608192271 CO </t>
    </r>
    <r>
      <rPr>
        <sz val="8"/>
        <color theme="1"/>
        <rFont val="宋体"/>
        <charset val="134"/>
      </rPr>
      <t>拖车1800 同J3790</t>
    </r>
  </si>
  <si>
    <t>惠禾订舱EMI客户约号到付，拖车报关</t>
  </si>
  <si>
    <t>J3848</t>
  </si>
  <si>
    <t xml:space="preserve">新西兰Stieger/Franz </t>
  </si>
  <si>
    <r>
      <rPr>
        <sz val="8"/>
        <rFont val="Arial"/>
        <charset val="134"/>
      </rPr>
      <t>1.2</t>
    </r>
    <r>
      <rPr>
        <sz val="8"/>
        <rFont val="宋体"/>
        <charset val="134"/>
      </rPr>
      <t>吨</t>
    </r>
    <r>
      <rPr>
        <sz val="8"/>
        <rFont val="Arial"/>
        <charset val="134"/>
      </rPr>
      <t xml:space="preserve">CD UD </t>
    </r>
    <r>
      <rPr>
        <sz val="8"/>
        <rFont val="宋体"/>
        <charset val="134"/>
      </rPr>
      <t>轻钢龙骨</t>
    </r>
  </si>
  <si>
    <t>运费到杭州 箱单发票</t>
  </si>
  <si>
    <r>
      <rPr>
        <b/>
        <sz val="8"/>
        <color rgb="FF0000FF"/>
        <rFont val="宋体"/>
        <charset val="134"/>
      </rPr>
      <t>多</t>
    </r>
    <r>
      <rPr>
        <b/>
        <sz val="8"/>
        <color rgb="FF0000FF"/>
        <rFont val="Arial"/>
        <charset val="134"/>
      </rPr>
      <t>100</t>
    </r>
    <r>
      <rPr>
        <b/>
        <sz val="8"/>
        <color rgb="FF0000FF"/>
        <rFont val="宋体"/>
        <charset val="134"/>
      </rPr>
      <t>美金按照6.92折算为692元</t>
    </r>
    <r>
      <rPr>
        <b/>
        <sz val="8"/>
        <color rgb="FF0000FF"/>
        <rFont val="Arial"/>
        <charset val="134"/>
      </rPr>
      <t xml:space="preserve"> </t>
    </r>
    <r>
      <rPr>
        <b/>
        <sz val="8"/>
        <color rgb="FF0000FF"/>
        <rFont val="宋体"/>
        <charset val="134"/>
      </rPr>
      <t>打给其他人了</t>
    </r>
  </si>
  <si>
    <t>J3862</t>
  </si>
  <si>
    <r>
      <rPr>
        <sz val="8"/>
        <rFont val="宋体"/>
        <charset val="134"/>
      </rPr>
      <t>DHL1756937475 CO</t>
    </r>
    <r>
      <rPr>
        <sz val="8"/>
        <color rgb="FF0000D4"/>
        <rFont val="宋体"/>
        <charset val="134"/>
      </rPr>
      <t xml:space="preserve"> </t>
    </r>
    <r>
      <rPr>
        <sz val="8"/>
        <color theme="1"/>
        <rFont val="宋体"/>
        <charset val="134"/>
      </rPr>
      <t>同J3843</t>
    </r>
  </si>
  <si>
    <t>惠禾订舱客户约号EMI，白沟源远拖车报关</t>
  </si>
  <si>
    <t>J3873</t>
  </si>
  <si>
    <r>
      <rPr>
        <sz val="8"/>
        <rFont val="Arial"/>
        <charset val="134"/>
      </rPr>
      <t xml:space="preserve">3x20fcl </t>
    </r>
    <r>
      <rPr>
        <sz val="8"/>
        <rFont val="宋体"/>
        <charset val="134"/>
      </rPr>
      <t>烤漆龙骨</t>
    </r>
  </si>
  <si>
    <r>
      <rPr>
        <sz val="8"/>
        <color theme="1"/>
        <rFont val="宋体"/>
        <charset val="134"/>
      </rPr>
      <t xml:space="preserve">TNT977376702 海运费按照实际走货结算 4份箱单 4份发票   提单 贸促会认证  </t>
    </r>
    <r>
      <rPr>
        <sz val="8"/>
        <rFont val="宋体"/>
        <charset val="134"/>
      </rPr>
      <t>品质证明 CO</t>
    </r>
    <r>
      <rPr>
        <sz val="8"/>
        <color rgb="FF0000FF"/>
        <rFont val="宋体"/>
        <charset val="134"/>
      </rPr>
      <t xml:space="preserve"> </t>
    </r>
    <r>
      <rPr>
        <sz val="8"/>
        <rFont val="宋体"/>
        <charset val="134"/>
      </rPr>
      <t>合格证书</t>
    </r>
    <r>
      <rPr>
        <sz val="8"/>
        <color theme="1"/>
        <rFont val="宋体"/>
        <charset val="134"/>
      </rPr>
      <t xml:space="preserve">
样品不显示 不算件重尺 同J3762</t>
    </r>
  </si>
  <si>
    <r>
      <rPr>
        <sz val="8"/>
        <color theme="1"/>
        <rFont val="宋体"/>
        <charset val="134"/>
      </rPr>
      <t>迪斯泰订舱MSK1850/2000，迪斯泰拖车，</t>
    </r>
    <r>
      <rPr>
        <sz val="8"/>
        <color rgb="FFFF0000"/>
        <rFont val="宋体"/>
        <charset val="134"/>
      </rPr>
      <t>金凯抬头报关</t>
    </r>
  </si>
  <si>
    <t>J3885</t>
  </si>
  <si>
    <r>
      <rPr>
        <sz val="8"/>
        <rFont val="Arial"/>
        <charset val="134"/>
      </rPr>
      <t>1x20</t>
    </r>
    <r>
      <rPr>
        <sz val="8"/>
        <rFont val="宋体"/>
        <charset val="134"/>
      </rPr>
      <t>轻钢</t>
    </r>
    <r>
      <rPr>
        <sz val="8"/>
        <rFont val="Arial"/>
        <charset val="134"/>
      </rPr>
      <t>+</t>
    </r>
    <r>
      <rPr>
        <sz val="8"/>
        <rFont val="宋体"/>
        <charset val="134"/>
      </rPr>
      <t>检修口锁头</t>
    </r>
  </si>
  <si>
    <t>XINGANG-Bahrain</t>
  </si>
  <si>
    <r>
      <rPr>
        <sz val="8"/>
        <rFont val="宋体"/>
        <charset val="134"/>
      </rPr>
      <t xml:space="preserve">AL TAWASEL GATE BUILDING MATERIALS
BLDG.NUMBER 638
ROAD 413, BLOCK 704
SALMABAD, NEAR CRYSTAL ALUMINIUM
BAHRAIN.
CONTACT NO.17879962/39677929 DHL2713880772 出CO 60% of final invoice做低报发票 </t>
    </r>
    <r>
      <rPr>
        <sz val="8"/>
        <color theme="1"/>
        <rFont val="宋体"/>
        <charset val="134"/>
      </rPr>
      <t>落箱费小柜是200一个柜子
 检修口锁头一小件 放里边 不报不显示  发票上加上了HS code  同M3750</t>
    </r>
  </si>
  <si>
    <t>永鑫海订舱MSC1260/1265，白沟源远拖车报关</t>
  </si>
  <si>
    <t>J3890</t>
  </si>
  <si>
    <t>xingang-Jebel Ali, UAE</t>
  </si>
  <si>
    <r>
      <rPr>
        <sz val="8"/>
        <rFont val="宋体"/>
        <charset val="134"/>
      </rPr>
      <t>DHL2626385801 CO</t>
    </r>
    <r>
      <rPr>
        <sz val="8"/>
        <color theme="1"/>
        <rFont val="宋体"/>
        <charset val="134"/>
      </rPr>
      <t xml:space="preserve"> 两个港口客户都到 和客户确认 Jebel Ali, UAESHARJAH  ICD 同J3862</t>
    </r>
  </si>
  <si>
    <t>小杜订舱伊朗航运1400/2200，会昌拖车报关</t>
  </si>
  <si>
    <t>J3893</t>
  </si>
  <si>
    <t>阿曼Al LIWAN/ZAYAN</t>
  </si>
  <si>
    <t>xiangang- Salalah,Oman</t>
  </si>
  <si>
    <r>
      <rPr>
        <sz val="8"/>
        <rFont val="宋体"/>
        <charset val="134"/>
      </rPr>
      <t>单据齐等款 单据已发客户 低报CCPIT CO</t>
    </r>
    <r>
      <rPr>
        <sz val="8"/>
        <color theme="1"/>
        <rFont val="宋体"/>
        <charset val="134"/>
      </rPr>
      <t>，低报做CIF不显示运费  是要在靠近柜门的所有箱子上贴小标贴   再贴A4纸 阿曼和卡塔尔都正本单据了  客户要求显示HScode 同J3777</t>
    </r>
  </si>
  <si>
    <r>
      <rPr>
        <sz val="8"/>
        <color theme="1"/>
        <rFont val="宋体"/>
        <charset val="134"/>
      </rPr>
      <t xml:space="preserve">迪斯泰订舱HPL1543,迪斯泰拖车 </t>
    </r>
    <r>
      <rPr>
        <sz val="8"/>
        <color rgb="FFFF0000"/>
        <rFont val="宋体"/>
        <charset val="134"/>
      </rPr>
      <t>金凯抬头报关</t>
    </r>
  </si>
  <si>
    <t>J3894</t>
  </si>
  <si>
    <r>
      <rPr>
        <sz val="8"/>
        <rFont val="宋体"/>
        <charset val="134"/>
      </rPr>
      <t>阿曼</t>
    </r>
    <r>
      <rPr>
        <sz val="8"/>
        <rFont val="Arial"/>
        <charset val="134"/>
      </rPr>
      <t>Al LIWAN/ZAYAN</t>
    </r>
  </si>
  <si>
    <r>
      <rPr>
        <sz val="8"/>
        <color theme="1"/>
        <rFont val="宋体"/>
        <charset val="134"/>
      </rPr>
      <t>DHL1645904820 正本单据</t>
    </r>
    <r>
      <rPr>
        <sz val="8"/>
        <color theme="1"/>
        <rFont val="Arial"/>
        <charset val="134"/>
      </rPr>
      <t xml:space="preserve"> </t>
    </r>
    <r>
      <rPr>
        <sz val="8"/>
        <color theme="1"/>
        <rFont val="宋体"/>
        <charset val="134"/>
      </rPr>
      <t>低报</t>
    </r>
    <r>
      <rPr>
        <sz val="8"/>
        <color theme="1"/>
        <rFont val="Arial"/>
        <charset val="134"/>
      </rPr>
      <t>CCPIT CO</t>
    </r>
    <r>
      <rPr>
        <sz val="8"/>
        <color theme="1"/>
        <rFont val="宋体"/>
        <charset val="134"/>
      </rPr>
      <t>，低报做</t>
    </r>
    <r>
      <rPr>
        <sz val="8"/>
        <color theme="1"/>
        <rFont val="Arial"/>
        <charset val="134"/>
      </rPr>
      <t>CIF</t>
    </r>
    <r>
      <rPr>
        <sz val="8"/>
        <color theme="1"/>
        <rFont val="宋体"/>
        <charset val="134"/>
      </rPr>
      <t>不显示运费</t>
    </r>
    <r>
      <rPr>
        <sz val="8"/>
        <color theme="1"/>
        <rFont val="Arial"/>
        <charset val="134"/>
      </rPr>
      <t xml:space="preserve"> </t>
    </r>
    <r>
      <rPr>
        <sz val="8"/>
        <color theme="1"/>
        <rFont val="宋体"/>
        <charset val="134"/>
      </rPr>
      <t>客户要求显示</t>
    </r>
    <r>
      <rPr>
        <sz val="8"/>
        <color theme="1"/>
        <rFont val="Arial"/>
        <charset val="134"/>
      </rPr>
      <t xml:space="preserve">HScode </t>
    </r>
    <r>
      <rPr>
        <sz val="8"/>
        <color theme="1"/>
        <rFont val="宋体"/>
        <charset val="134"/>
      </rPr>
      <t>同</t>
    </r>
    <r>
      <rPr>
        <sz val="8"/>
        <color theme="1"/>
        <rFont val="Arial"/>
        <charset val="134"/>
      </rPr>
      <t>J3777</t>
    </r>
  </si>
  <si>
    <r>
      <rPr>
        <sz val="8"/>
        <color theme="1"/>
        <rFont val="宋体"/>
        <charset val="134"/>
      </rPr>
      <t>迪斯泰订舱</t>
    </r>
    <r>
      <rPr>
        <sz val="8"/>
        <color theme="1"/>
        <rFont val="Arial"/>
        <charset val="134"/>
      </rPr>
      <t>HPL1543,</t>
    </r>
    <r>
      <rPr>
        <sz val="8"/>
        <color theme="1"/>
        <rFont val="宋体"/>
        <charset val="134"/>
      </rPr>
      <t xml:space="preserve">迪斯泰拖车 </t>
    </r>
    <r>
      <rPr>
        <sz val="8"/>
        <color rgb="FFFF0000"/>
        <rFont val="宋体"/>
        <charset val="134"/>
      </rPr>
      <t>金凯抬头报关</t>
    </r>
  </si>
  <si>
    <t>J3903</t>
  </si>
  <si>
    <t>xiangang-HAMAD, QATAR</t>
  </si>
  <si>
    <r>
      <rPr>
        <sz val="8"/>
        <rFont val="宋体"/>
        <charset val="134"/>
      </rPr>
      <t xml:space="preserve">DHL1645887740 低报发票CCPIT CO </t>
    </r>
    <r>
      <rPr>
        <sz val="8"/>
        <color theme="1"/>
        <rFont val="宋体"/>
        <charset val="134"/>
      </rPr>
      <t>收货人信息 是要在靠近柜门的所有箱子上贴小标贴 正本 寄单地址和客户确认 同J3831</t>
    </r>
  </si>
  <si>
    <r>
      <rPr>
        <sz val="8"/>
        <color theme="1"/>
        <rFont val="宋体"/>
        <charset val="134"/>
      </rPr>
      <t>迪斯泰订舱CMA1714，迪斯泰拖车，</t>
    </r>
    <r>
      <rPr>
        <sz val="8"/>
        <color rgb="FFFF0000"/>
        <rFont val="宋体"/>
        <charset val="134"/>
      </rPr>
      <t>金凯一达通报关</t>
    </r>
  </si>
  <si>
    <t>J3918</t>
  </si>
  <si>
    <t>山东华勤/Cherry</t>
  </si>
  <si>
    <r>
      <rPr>
        <sz val="8"/>
        <rFont val="Arial"/>
        <charset val="134"/>
      </rPr>
      <t>2</t>
    </r>
    <r>
      <rPr>
        <sz val="8"/>
        <rFont val="宋体"/>
        <charset val="134"/>
      </rPr>
      <t>吨配件</t>
    </r>
  </si>
  <si>
    <t>M3925</t>
  </si>
  <si>
    <t>特立尼达 SAMSON/Stephen</t>
  </si>
  <si>
    <r>
      <rPr>
        <sz val="8"/>
        <rFont val="Arial"/>
        <charset val="134"/>
      </rPr>
      <t xml:space="preserve">1x20‘ </t>
    </r>
    <r>
      <rPr>
        <sz val="8"/>
        <rFont val="宋体"/>
        <charset val="134"/>
      </rPr>
      <t>轻钢龙骨</t>
    </r>
    <r>
      <rPr>
        <sz val="8"/>
        <rFont val="Arial"/>
        <charset val="134"/>
      </rPr>
      <t>+</t>
    </r>
    <r>
      <rPr>
        <sz val="8"/>
        <rFont val="宋体"/>
        <charset val="134"/>
      </rPr>
      <t>铁丝</t>
    </r>
  </si>
  <si>
    <t>XINGANG-Spain, Trinidad</t>
  </si>
  <si>
    <t>托班 客户要求货重一般不让显示超27吨 做低报发票 电放 同M3761</t>
  </si>
  <si>
    <t>迪斯泰MSC约号订舱，迪斯泰拖车报关</t>
  </si>
  <si>
    <t>X3254-T</t>
  </si>
  <si>
    <r>
      <rPr>
        <sz val="8"/>
        <rFont val="华文宋体"/>
        <charset val="134"/>
      </rPr>
      <t>尼日利亚</t>
    </r>
    <r>
      <rPr>
        <sz val="8"/>
        <rFont val="Arial"/>
        <charset val="134"/>
      </rPr>
      <t xml:space="preserve"> Gbadetrade(Gbadebo)</t>
    </r>
  </si>
  <si>
    <t>X3321-T</t>
  </si>
  <si>
    <r>
      <rPr>
        <sz val="8"/>
        <rFont val="Arial"/>
        <charset val="134"/>
      </rPr>
      <t xml:space="preserve">4x20 pvc </t>
    </r>
    <r>
      <rPr>
        <sz val="8"/>
        <rFont val="宋体"/>
        <charset val="134"/>
      </rPr>
      <t>石膏板</t>
    </r>
  </si>
  <si>
    <r>
      <rPr>
        <sz val="8"/>
        <color indexed="8"/>
        <rFont val="Arial"/>
        <charset val="134"/>
      </rPr>
      <t>已寄单，单据已发客户</t>
    </r>
    <r>
      <rPr>
        <sz val="8"/>
        <color indexed="8"/>
        <rFont val="Arial"/>
        <charset val="134"/>
      </rPr>
      <t>,</t>
    </r>
    <r>
      <rPr>
        <sz val="8"/>
        <color indexed="8"/>
        <rFont val="宋体"/>
        <charset val="134"/>
      </rPr>
      <t>发票，箱单，提单，</t>
    </r>
    <r>
      <rPr>
        <sz val="8"/>
        <color indexed="8"/>
        <rFont val="Arial"/>
        <charset val="134"/>
      </rPr>
      <t>CO</t>
    </r>
  </si>
  <si>
    <r>
      <rPr>
        <sz val="8"/>
        <color indexed="8"/>
        <rFont val="Arial"/>
        <charset val="134"/>
      </rPr>
      <t>青岛联达环球订舱拖车报关，</t>
    </r>
    <r>
      <rPr>
        <sz val="8"/>
        <color indexed="8"/>
        <rFont val="Arial"/>
        <charset val="134"/>
      </rPr>
      <t xml:space="preserve">793CMA  </t>
    </r>
    <r>
      <rPr>
        <sz val="8"/>
        <color indexed="8"/>
        <rFont val="宋体"/>
        <charset val="134"/>
      </rPr>
      <t>周四每个柜子，报客户</t>
    </r>
    <r>
      <rPr>
        <sz val="8"/>
        <color indexed="8"/>
        <rFont val="Arial"/>
        <charset val="134"/>
      </rPr>
      <t>800</t>
    </r>
    <r>
      <rPr>
        <sz val="8"/>
        <color indexed="8"/>
        <rFont val="宋体"/>
        <charset val="134"/>
      </rPr>
      <t>美金。</t>
    </r>
  </si>
  <si>
    <t>X3325-T</t>
  </si>
  <si>
    <r>
      <rPr>
        <sz val="8"/>
        <rFont val="Arial"/>
        <charset val="134"/>
      </rPr>
      <t>6x20fcl PVC</t>
    </r>
    <r>
      <rPr>
        <sz val="8"/>
        <rFont val="宋体"/>
        <charset val="134"/>
      </rPr>
      <t>石膏板</t>
    </r>
  </si>
  <si>
    <r>
      <rPr>
        <sz val="8"/>
        <color indexed="8"/>
        <rFont val="Arial"/>
        <charset val="134"/>
      </rPr>
      <t>款齐，单据已发客户，需要做</t>
    </r>
    <r>
      <rPr>
        <sz val="8"/>
        <color indexed="8"/>
        <rFont val="Arial"/>
        <charset val="134"/>
      </rPr>
      <t>SONCAP</t>
    </r>
    <r>
      <rPr>
        <sz val="8"/>
        <color indexed="8"/>
        <rFont val="宋体"/>
        <charset val="134"/>
      </rPr>
      <t>证书</t>
    </r>
  </si>
  <si>
    <r>
      <rPr>
        <sz val="8"/>
        <color theme="1"/>
        <rFont val="Arial"/>
        <charset val="134"/>
      </rPr>
      <t>青岛联达环球订舱拖车报关，</t>
    </r>
    <r>
      <rPr>
        <sz val="8"/>
        <color theme="1"/>
        <rFont val="Arial"/>
        <charset val="134"/>
      </rPr>
      <t>ZIM</t>
    </r>
    <r>
      <rPr>
        <sz val="8"/>
        <color theme="1"/>
        <rFont val="Cambria"/>
        <charset val="134"/>
      </rPr>
      <t>船直航海运费</t>
    </r>
    <r>
      <rPr>
        <sz val="8"/>
        <color theme="1"/>
        <rFont val="Arial"/>
        <charset val="134"/>
      </rPr>
      <t>1650</t>
    </r>
    <r>
      <rPr>
        <sz val="8"/>
        <color theme="1"/>
        <rFont val="Cambria"/>
        <charset val="134"/>
      </rPr>
      <t>美金每个柜子，报客户</t>
    </r>
    <r>
      <rPr>
        <sz val="8"/>
        <color theme="1"/>
        <rFont val="Arial"/>
        <charset val="134"/>
      </rPr>
      <t>1650</t>
    </r>
    <r>
      <rPr>
        <sz val="8"/>
        <color theme="1"/>
        <rFont val="Cambria"/>
        <charset val="134"/>
      </rPr>
      <t>美金。</t>
    </r>
  </si>
  <si>
    <t>X3350-T</t>
  </si>
  <si>
    <r>
      <rPr>
        <sz val="8"/>
        <rFont val="Arial"/>
        <charset val="134"/>
      </rPr>
      <t>尼日利亚</t>
    </r>
    <r>
      <rPr>
        <sz val="8"/>
        <rFont val="Arial"/>
        <charset val="134"/>
      </rPr>
      <t xml:space="preserve"> Gbadetrade(Gbadebo)</t>
    </r>
  </si>
  <si>
    <r>
      <rPr>
        <sz val="8"/>
        <rFont val="Arial"/>
        <charset val="134"/>
      </rPr>
      <t xml:space="preserve">1x40H </t>
    </r>
    <r>
      <rPr>
        <sz val="8"/>
        <rFont val="宋体"/>
        <charset val="134"/>
      </rPr>
      <t>矿棉板</t>
    </r>
    <r>
      <rPr>
        <sz val="8"/>
        <rFont val="Arial"/>
        <charset val="134"/>
      </rPr>
      <t>12mm</t>
    </r>
    <r>
      <rPr>
        <sz val="8"/>
        <rFont val="Cambria"/>
        <charset val="134"/>
      </rPr>
      <t>（北华</t>
    </r>
    <r>
      <rPr>
        <sz val="8"/>
        <rFont val="Arial"/>
        <charset val="134"/>
      </rPr>
      <t>,</t>
    </r>
    <r>
      <rPr>
        <sz val="8"/>
        <rFont val="Cambria"/>
        <charset val="134"/>
      </rPr>
      <t>在石家庄的晋州）</t>
    </r>
  </si>
  <si>
    <t>Tianjin-Tin can Port</t>
  </si>
  <si>
    <t>DHL:27 3019 1321</t>
  </si>
  <si>
    <t>X3419</t>
  </si>
  <si>
    <r>
      <rPr>
        <sz val="8"/>
        <rFont val="Arial"/>
        <charset val="134"/>
      </rPr>
      <t xml:space="preserve">4x20 pvc </t>
    </r>
    <r>
      <rPr>
        <sz val="8"/>
        <rFont val="Cambria"/>
        <charset val="134"/>
      </rPr>
      <t>石膏板</t>
    </r>
  </si>
  <si>
    <t>qingdao-Tin can Port</t>
  </si>
  <si>
    <t>DHL:68 9031 4583</t>
  </si>
  <si>
    <r>
      <rPr>
        <sz val="8"/>
        <color theme="1"/>
        <rFont val="Arial"/>
        <charset val="134"/>
      </rPr>
      <t>联达环球订舱</t>
    </r>
    <r>
      <rPr>
        <sz val="8"/>
        <color indexed="8"/>
        <rFont val="Arial"/>
        <charset val="134"/>
      </rPr>
      <t>2250</t>
    </r>
    <r>
      <rPr>
        <sz val="8"/>
        <color indexed="8"/>
        <rFont val="宋体"/>
        <charset val="134"/>
      </rPr>
      <t>，千吉业拖车报关</t>
    </r>
  </si>
  <si>
    <t>9978+5078</t>
  </si>
  <si>
    <t>X3440</t>
  </si>
  <si>
    <r>
      <rPr>
        <sz val="8"/>
        <rFont val="Arial"/>
        <charset val="134"/>
      </rPr>
      <t xml:space="preserve">6x20 pvc </t>
    </r>
    <r>
      <rPr>
        <sz val="8"/>
        <rFont val="宋体"/>
        <charset val="134"/>
      </rPr>
      <t>石膏板</t>
    </r>
  </si>
  <si>
    <r>
      <rPr>
        <sz val="8"/>
        <rFont val="Arial"/>
        <charset val="134"/>
      </rPr>
      <t>DHL</t>
    </r>
    <r>
      <rPr>
        <sz val="8"/>
        <rFont val="宋体"/>
        <charset val="134"/>
      </rPr>
      <t>：</t>
    </r>
    <r>
      <rPr>
        <sz val="8"/>
        <rFont val="Arial"/>
        <charset val="134"/>
      </rPr>
      <t>85 4802 2674</t>
    </r>
  </si>
  <si>
    <t>19938+6196</t>
  </si>
  <si>
    <t>X3547</t>
  </si>
  <si>
    <r>
      <rPr>
        <sz val="8"/>
        <rFont val="Arial"/>
        <charset val="134"/>
      </rPr>
      <t xml:space="preserve">6x20 pvc </t>
    </r>
    <r>
      <rPr>
        <sz val="8"/>
        <rFont val="Cambria"/>
        <charset val="134"/>
      </rPr>
      <t>石膏板</t>
    </r>
  </si>
  <si>
    <t>DHL:72 3629 8996</t>
  </si>
  <si>
    <r>
      <rPr>
        <sz val="8"/>
        <color theme="1"/>
        <rFont val="Arial"/>
        <charset val="134"/>
      </rPr>
      <t>联达环球</t>
    </r>
    <r>
      <rPr>
        <sz val="8"/>
        <color theme="1"/>
        <rFont val="Arial"/>
        <charset val="134"/>
      </rPr>
      <t>ZIM 2600/2650</t>
    </r>
    <r>
      <rPr>
        <sz val="8"/>
        <color theme="1"/>
        <rFont val="宋体"/>
        <charset val="134"/>
      </rPr>
      <t>，千吉业拖车报关</t>
    </r>
  </si>
  <si>
    <t>10000+5000</t>
  </si>
  <si>
    <t>X3540</t>
  </si>
  <si>
    <t>科威特Sterling(Iqbal)</t>
  </si>
  <si>
    <t>1x40HC</t>
  </si>
  <si>
    <t>Foshan-kuwait</t>
  </si>
  <si>
    <t>DHL: 40 0771 3942</t>
  </si>
  <si>
    <r>
      <rPr>
        <sz val="8"/>
        <color theme="1"/>
        <rFont val="Arial"/>
        <charset val="134"/>
      </rPr>
      <t>上级集道订舱</t>
    </r>
    <r>
      <rPr>
        <sz val="8"/>
        <color theme="1"/>
        <rFont val="Arial"/>
        <charset val="134"/>
      </rPr>
      <t>1750</t>
    </r>
    <r>
      <rPr>
        <sz val="8"/>
        <color theme="1"/>
        <rFont val="宋体"/>
        <charset val="134"/>
      </rPr>
      <t>，联兴得利拖车报关</t>
    </r>
  </si>
  <si>
    <t>X3623</t>
  </si>
  <si>
    <r>
      <rPr>
        <sz val="8"/>
        <color theme="1"/>
        <rFont val="Arial"/>
        <charset val="134"/>
      </rPr>
      <t>6x20fcl PVC</t>
    </r>
    <r>
      <rPr>
        <sz val="8"/>
        <color theme="1"/>
        <rFont val="微软雅黑"/>
        <charset val="134"/>
      </rPr>
      <t>石膏板</t>
    </r>
  </si>
  <si>
    <t>Qingdao-Tin can Port</t>
  </si>
  <si>
    <r>
      <rPr>
        <sz val="8"/>
        <color rgb="FF0000FF"/>
        <rFont val="Arial"/>
        <charset val="134"/>
      </rPr>
      <t xml:space="preserve">DHL 6624634063 </t>
    </r>
    <r>
      <rPr>
        <sz val="8"/>
        <color rgb="FF0000FF"/>
        <rFont val="宋体"/>
        <charset val="134"/>
      </rPr>
      <t>提单正本到了</t>
    </r>
    <r>
      <rPr>
        <sz val="8"/>
        <color rgb="FF0000FF"/>
        <rFont val="Arial"/>
        <charset val="134"/>
      </rPr>
      <t xml:space="preserve">
</t>
    </r>
    <r>
      <rPr>
        <sz val="8"/>
        <rFont val="宋体"/>
        <charset val="134"/>
      </rPr>
      <t>，单据已发客户</t>
    </r>
    <r>
      <rPr>
        <sz val="8"/>
        <rFont val="Arial"/>
        <charset val="134"/>
      </rPr>
      <t xml:space="preserve"> </t>
    </r>
    <r>
      <rPr>
        <sz val="8"/>
        <rFont val="宋体"/>
        <charset val="134"/>
      </rPr>
      <t>更新</t>
    </r>
    <r>
      <rPr>
        <sz val="8"/>
        <rFont val="Arial"/>
        <charset val="134"/>
      </rPr>
      <t>PC</t>
    </r>
    <r>
      <rPr>
        <sz val="8"/>
        <rFont val="宋体"/>
        <charset val="134"/>
      </rPr>
      <t>了</t>
    </r>
  </si>
  <si>
    <r>
      <rPr>
        <sz val="8"/>
        <color theme="1"/>
        <rFont val="Arial"/>
        <charset val="134"/>
      </rPr>
      <t>张晋山</t>
    </r>
    <r>
      <rPr>
        <sz val="8"/>
        <color theme="1"/>
        <rFont val="Arial"/>
        <charset val="134"/>
      </rPr>
      <t>2400/2420</t>
    </r>
    <r>
      <rPr>
        <sz val="8"/>
        <color theme="1"/>
        <rFont val="宋体"/>
        <charset val="134"/>
      </rPr>
      <t>订舱，千吉业拖车报关</t>
    </r>
  </si>
  <si>
    <t>9985.5+9700+4985.5</t>
  </si>
  <si>
    <t>X3640</t>
  </si>
  <si>
    <r>
      <rPr>
        <sz val="8"/>
        <color theme="1"/>
        <rFont val="Arial"/>
        <charset val="134"/>
      </rPr>
      <t>1x40</t>
    </r>
    <r>
      <rPr>
        <sz val="8"/>
        <color theme="1"/>
        <rFont val="宋体"/>
        <charset val="134"/>
      </rPr>
      <t>喷砂带孔矿棉板</t>
    </r>
  </si>
  <si>
    <t>xingang-Tin can Port</t>
  </si>
  <si>
    <r>
      <rPr>
        <sz val="8"/>
        <rFont val="Arial"/>
        <charset val="134"/>
      </rPr>
      <t>DHL6987494146 SONCAP  SC PC form M</t>
    </r>
    <r>
      <rPr>
        <sz val="8"/>
        <rFont val="宋体"/>
        <charset val="134"/>
      </rPr>
      <t>都打印一份寄给客户</t>
    </r>
    <r>
      <rPr>
        <sz val="8"/>
        <rFont val="Arial"/>
        <charset val="134"/>
      </rPr>
      <t xml:space="preserve"> </t>
    </r>
    <r>
      <rPr>
        <sz val="8"/>
        <rFont val="宋体"/>
        <charset val="134"/>
      </rPr>
      <t>按</t>
    </r>
    <r>
      <rPr>
        <sz val="8"/>
        <rFont val="Arial"/>
        <charset val="134"/>
      </rPr>
      <t>Form M</t>
    </r>
    <r>
      <rPr>
        <sz val="8"/>
        <rFont val="宋体"/>
        <charset val="134"/>
      </rPr>
      <t>做发票</t>
    </r>
    <r>
      <rPr>
        <sz val="8"/>
        <rFont val="Arial"/>
        <charset val="134"/>
      </rPr>
      <t xml:space="preserve"> 11</t>
    </r>
    <r>
      <rPr>
        <sz val="8"/>
        <rFont val="宋体"/>
        <charset val="134"/>
      </rPr>
      <t>月</t>
    </r>
    <r>
      <rPr>
        <sz val="8"/>
        <rFont val="Arial"/>
        <charset val="134"/>
      </rPr>
      <t>3</t>
    </r>
    <r>
      <rPr>
        <sz val="8"/>
        <rFont val="宋体"/>
        <charset val="134"/>
      </rPr>
      <t>号装箱</t>
    </r>
    <r>
      <rPr>
        <sz val="8"/>
        <rFont val="Arial"/>
        <charset val="134"/>
      </rPr>
      <t xml:space="preserve"> zim </t>
    </r>
    <r>
      <rPr>
        <sz val="8"/>
        <rFont val="宋体"/>
        <charset val="134"/>
      </rPr>
      <t>船</t>
    </r>
    <r>
      <rPr>
        <sz val="8"/>
        <rFont val="Arial"/>
        <charset val="134"/>
      </rPr>
      <t xml:space="preserve"> 21</t>
    </r>
    <r>
      <rPr>
        <sz val="8"/>
        <rFont val="宋体"/>
        <charset val="134"/>
      </rPr>
      <t>天免费箱</t>
    </r>
    <r>
      <rPr>
        <sz val="8"/>
        <rFont val="Arial"/>
        <charset val="134"/>
      </rPr>
      <t xml:space="preserve"> </t>
    </r>
    <r>
      <rPr>
        <sz val="8"/>
        <color rgb="FFFF0000"/>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</si>
  <si>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3500</t>
    </r>
    <r>
      <rPr>
        <sz val="8"/>
        <color theme="1"/>
        <rFont val="宋体"/>
        <charset val="134"/>
      </rPr>
      <t>，拖车</t>
    </r>
    <r>
      <rPr>
        <sz val="8"/>
        <color theme="1"/>
        <rFont val="Arial"/>
        <charset val="134"/>
      </rPr>
      <t xml:space="preserve">3300
</t>
    </r>
    <r>
      <rPr>
        <sz val="8"/>
        <color theme="1"/>
        <rFont val="宋体"/>
        <charset val="134"/>
      </rPr>
      <t>报关</t>
    </r>
  </si>
  <si>
    <t>X3653</t>
  </si>
  <si>
    <r>
      <rPr>
        <sz val="8"/>
        <color theme="1"/>
        <rFont val="Arial"/>
        <charset val="134"/>
      </rPr>
      <t>1x40</t>
    </r>
    <r>
      <rPr>
        <sz val="8"/>
        <color theme="1"/>
        <rFont val="宋体"/>
        <charset val="134"/>
      </rPr>
      <t>矿棉板</t>
    </r>
  </si>
  <si>
    <r>
      <rPr>
        <sz val="8"/>
        <rFont val="Arial"/>
        <charset val="134"/>
      </rPr>
      <t>DHL6339373611 481</t>
    </r>
    <r>
      <rPr>
        <sz val="8"/>
        <rFont val="宋体"/>
        <charset val="134"/>
      </rPr>
      <t>美金转入</t>
    </r>
    <r>
      <rPr>
        <sz val="8"/>
        <rFont val="Arial"/>
        <charset val="134"/>
      </rPr>
      <t xml:space="preserve">X3653 </t>
    </r>
    <r>
      <rPr>
        <sz val="8"/>
        <rFont val="宋体"/>
        <charset val="134"/>
      </rPr>
      <t>出</t>
    </r>
    <r>
      <rPr>
        <sz val="8"/>
        <rFont val="Arial"/>
        <charset val="134"/>
      </rPr>
      <t xml:space="preserve">SONCAP </t>
    </r>
    <r>
      <rPr>
        <sz val="8"/>
        <rFont val="宋体"/>
        <charset val="134"/>
      </rPr>
      <t>按</t>
    </r>
    <r>
      <rPr>
        <sz val="8"/>
        <rFont val="Arial"/>
        <charset val="134"/>
      </rPr>
      <t>Form M</t>
    </r>
    <r>
      <rPr>
        <sz val="8"/>
        <rFont val="宋体"/>
        <charset val="134"/>
      </rPr>
      <t>做发票</t>
    </r>
    <r>
      <rPr>
        <sz val="8"/>
        <rFont val="Arial"/>
        <charset val="134"/>
      </rPr>
      <t xml:space="preserve"> </t>
    </r>
    <r>
      <rPr>
        <sz val="8"/>
        <rFont val="宋体"/>
        <charset val="134"/>
      </rPr>
      <t>拖车</t>
    </r>
    <r>
      <rPr>
        <sz val="8"/>
        <rFont val="Arial"/>
        <charset val="134"/>
      </rPr>
      <t>3300</t>
    </r>
    <r>
      <rPr>
        <sz val="8"/>
        <rFont val="宋体"/>
        <charset val="134"/>
      </rPr>
      <t>太平洋加</t>
    </r>
    <r>
      <rPr>
        <sz val="8"/>
        <rFont val="Arial"/>
        <charset val="134"/>
      </rPr>
      <t xml:space="preserve">100 </t>
    </r>
    <r>
      <rPr>
        <sz val="8"/>
        <rFont val="宋体"/>
        <charset val="134"/>
      </rPr>
      <t>操作同</t>
    </r>
    <r>
      <rPr>
        <sz val="8"/>
        <rFont val="Arial"/>
        <charset val="134"/>
      </rPr>
      <t xml:space="preserve">X3640   </t>
    </r>
    <r>
      <rPr>
        <sz val="8"/>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</si>
  <si>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3000</t>
    </r>
    <r>
      <rPr>
        <sz val="8"/>
        <color theme="1"/>
        <rFont val="宋体"/>
        <charset val="134"/>
      </rPr>
      <t>，会昌拖车</t>
    </r>
    <r>
      <rPr>
        <sz val="8"/>
        <color theme="1"/>
        <rFont val="Arial"/>
        <charset val="134"/>
      </rPr>
      <t>3300</t>
    </r>
  </si>
  <si>
    <t>X3691</t>
  </si>
  <si>
    <r>
      <rPr>
        <sz val="8"/>
        <rFont val="宋体"/>
        <charset val="134"/>
      </rPr>
      <t>乌干达</t>
    </r>
    <r>
      <rPr>
        <sz val="8"/>
        <rFont val="Arial"/>
        <charset val="134"/>
      </rPr>
      <t>Future Interior/habib semhat</t>
    </r>
  </si>
  <si>
    <r>
      <rPr>
        <sz val="8"/>
        <color theme="1"/>
        <rFont val="Arial"/>
        <charset val="134"/>
      </rPr>
      <t xml:space="preserve">1x20fcl </t>
    </r>
    <r>
      <rPr>
        <sz val="8"/>
        <color theme="1"/>
        <rFont val="宋体"/>
        <charset val="134"/>
      </rPr>
      <t>石膏板</t>
    </r>
  </si>
  <si>
    <t>xingang-Mombasa,Uganda</t>
  </si>
  <si>
    <r>
      <rPr>
        <sz val="8"/>
        <rFont val="Arial"/>
        <charset val="134"/>
      </rPr>
      <t xml:space="preserve">DHL5133688825 </t>
    </r>
    <r>
      <rPr>
        <sz val="8"/>
        <rFont val="宋体"/>
        <charset val="134"/>
      </rPr>
      <t>出</t>
    </r>
    <r>
      <rPr>
        <sz val="8"/>
        <rFont val="Arial"/>
        <charset val="134"/>
      </rPr>
      <t xml:space="preserve">CO </t>
    </r>
    <r>
      <rPr>
        <sz val="8"/>
        <rFont val="宋体"/>
        <charset val="134"/>
      </rPr>
      <t>提单到了</t>
    </r>
  </si>
  <si>
    <r>
      <rPr>
        <sz val="8"/>
        <color theme="1"/>
        <rFont val="Arial"/>
        <charset val="134"/>
      </rPr>
      <t>张晋山订舱</t>
    </r>
    <r>
      <rPr>
        <sz val="8"/>
        <color theme="1"/>
        <rFont val="Arial"/>
        <charset val="134"/>
      </rPr>
      <t>1339,</t>
    </r>
    <r>
      <rPr>
        <sz val="8"/>
        <color theme="1"/>
        <rFont val="宋体"/>
        <charset val="134"/>
      </rPr>
      <t>万誉</t>
    </r>
    <r>
      <rPr>
        <sz val="8"/>
        <color theme="1"/>
        <rFont val="Arial"/>
        <charset val="134"/>
      </rPr>
      <t>Jack</t>
    </r>
    <r>
      <rPr>
        <sz val="8"/>
        <color theme="1"/>
        <rFont val="宋体"/>
        <charset val="134"/>
      </rPr>
      <t>安排拖车报关</t>
    </r>
  </si>
  <si>
    <t>X3744</t>
  </si>
  <si>
    <r>
      <rPr>
        <sz val="8"/>
        <rFont val="宋体"/>
        <charset val="134"/>
      </rPr>
      <t>尼日利亚</t>
    </r>
    <r>
      <rPr>
        <sz val="8"/>
        <rFont val="Arial"/>
        <charset val="134"/>
      </rPr>
      <t xml:space="preserve"> Gbadetrade(Gbadebo)</t>
    </r>
  </si>
  <si>
    <r>
      <rPr>
        <sz val="8"/>
        <color theme="1"/>
        <rFont val="Arial"/>
        <charset val="134"/>
      </rPr>
      <t xml:space="preserve">4x20' </t>
    </r>
    <r>
      <rPr>
        <sz val="8"/>
        <color theme="1"/>
        <rFont val="宋体"/>
        <charset val="134"/>
      </rPr>
      <t>彩色硅钙板</t>
    </r>
  </si>
  <si>
    <t>QINGDAO-Tin can Port,Nigeria</t>
  </si>
  <si>
    <t>DHL2957402313 SONCAP  SC PC form M都打印一份寄给客户 目的港申请21天免用箱 客户指定ZIM的船 同X3623</t>
  </si>
  <si>
    <r>
      <rPr>
        <sz val="8"/>
        <color theme="1"/>
        <rFont val="宋体"/>
        <charset val="134"/>
      </rPr>
      <t>环球运通</t>
    </r>
    <r>
      <rPr>
        <sz val="8"/>
        <color theme="1"/>
        <rFont val="Arial"/>
        <charset val="134"/>
      </rPr>
      <t>David ZIM2750/2850,</t>
    </r>
    <r>
      <rPr>
        <sz val="8"/>
        <color theme="1"/>
        <rFont val="宋体"/>
        <charset val="134"/>
      </rPr>
      <t>青岛赛恩特拖车,环球运通报关</t>
    </r>
  </si>
  <si>
    <r>
      <rPr>
        <b/>
        <sz val="8"/>
        <rFont val="宋体"/>
        <charset val="134"/>
      </rPr>
      <t>实际尾款</t>
    </r>
    <r>
      <rPr>
        <b/>
        <sz val="8"/>
        <rFont val="Arial"/>
        <charset val="134"/>
      </rPr>
      <t>$21399.18</t>
    </r>
  </si>
  <si>
    <t>X3756</t>
  </si>
  <si>
    <t>乌干达Future Interior/habib semhat</t>
  </si>
  <si>
    <r>
      <rPr>
        <sz val="8"/>
        <color theme="1"/>
        <rFont val="Arial"/>
        <charset val="134"/>
      </rPr>
      <t xml:space="preserve">2x20fcl </t>
    </r>
    <r>
      <rPr>
        <sz val="8"/>
        <color theme="1"/>
        <rFont val="宋体"/>
        <charset val="134"/>
      </rPr>
      <t>石膏板</t>
    </r>
  </si>
  <si>
    <t>qingdao-Mombasa</t>
  </si>
  <si>
    <r>
      <rPr>
        <sz val="8"/>
        <rFont val="宋体"/>
        <charset val="134"/>
      </rPr>
      <t>DHL9416731111</t>
    </r>
    <r>
      <rPr>
        <sz val="8"/>
        <rFont val="Arial"/>
        <charset val="134"/>
      </rPr>
      <t xml:space="preserve"> </t>
    </r>
    <r>
      <rPr>
        <sz val="8"/>
        <rFont val="宋体"/>
        <charset val="134"/>
      </rPr>
      <t>同</t>
    </r>
    <r>
      <rPr>
        <sz val="8"/>
        <rFont val="Arial"/>
        <charset val="134"/>
      </rPr>
      <t>X3691</t>
    </r>
    <r>
      <rPr>
        <sz val="8"/>
        <rFont val="宋体"/>
        <charset val="134"/>
      </rPr>
      <t>，出</t>
    </r>
    <r>
      <rPr>
        <sz val="8"/>
        <rFont val="Arial"/>
        <charset val="134"/>
      </rPr>
      <t xml:space="preserve">CO </t>
    </r>
    <r>
      <rPr>
        <sz val="8"/>
        <rFont val="宋体"/>
        <charset val="134"/>
      </rPr>
      <t>万家</t>
    </r>
  </si>
  <si>
    <r>
      <rPr>
        <sz val="8"/>
        <color theme="1"/>
        <rFont val="Arial"/>
        <charset val="134"/>
      </rPr>
      <t>张晋山订舱</t>
    </r>
    <r>
      <rPr>
        <sz val="8"/>
        <color theme="1"/>
        <rFont val="Arial"/>
        <charset val="134"/>
      </rPr>
      <t>ONE1265</t>
    </r>
    <r>
      <rPr>
        <sz val="8"/>
        <color theme="1"/>
        <rFont val="宋体"/>
        <charset val="134"/>
      </rPr>
      <t>，万家拖车，张晋山报关</t>
    </r>
  </si>
  <si>
    <t>X3832</t>
  </si>
  <si>
    <r>
      <rPr>
        <sz val="8"/>
        <rFont val="宋体"/>
        <charset val="134"/>
      </rPr>
      <t>新西兰</t>
    </r>
    <r>
      <rPr>
        <sz val="8"/>
        <rFont val="Arial"/>
        <charset val="134"/>
      </rPr>
      <t xml:space="preserve">Stieger/Franz </t>
    </r>
  </si>
  <si>
    <r>
      <rPr>
        <sz val="8"/>
        <color theme="1"/>
        <rFont val="Arial"/>
        <charset val="134"/>
      </rPr>
      <t xml:space="preserve">1x20 </t>
    </r>
    <r>
      <rPr>
        <sz val="8"/>
        <color theme="1"/>
        <rFont val="宋体"/>
        <charset val="134"/>
      </rPr>
      <t>石膏大板</t>
    </r>
    <r>
      <rPr>
        <sz val="8"/>
        <color theme="1"/>
        <rFont val="Arial"/>
        <charset val="134"/>
      </rPr>
      <t xml:space="preserve"> </t>
    </r>
    <r>
      <rPr>
        <sz val="8"/>
        <color theme="1"/>
        <rFont val="宋体"/>
        <charset val="134"/>
      </rPr>
      <t>（万佳）</t>
    </r>
  </si>
  <si>
    <t>qingdao- Auckland New Zealand</t>
  </si>
  <si>
    <t>电放提单 不寄单据 港杂发给万家 客户代理订舱</t>
  </si>
  <si>
    <t>上海亚致力订舱中远，工厂拖车报关</t>
  </si>
  <si>
    <t>X3823</t>
  </si>
  <si>
    <r>
      <rPr>
        <sz val="8"/>
        <color theme="1"/>
        <rFont val="Arial"/>
        <charset val="134"/>
      </rPr>
      <t xml:space="preserve">1x40HQ </t>
    </r>
    <r>
      <rPr>
        <sz val="8"/>
        <color theme="1"/>
        <rFont val="宋体"/>
        <charset val="134"/>
      </rPr>
      <t>矿棉板</t>
    </r>
  </si>
  <si>
    <r>
      <rPr>
        <sz val="8"/>
        <rFont val="宋体"/>
        <charset val="134"/>
      </rPr>
      <t>DHL1162769296 SONCAP</t>
    </r>
    <r>
      <rPr>
        <sz val="8"/>
        <color rgb="FF0000FF"/>
        <rFont val="宋体"/>
        <charset val="134"/>
      </rPr>
      <t xml:space="preserve"> </t>
    </r>
    <r>
      <rPr>
        <sz val="8"/>
        <rFont val="宋体"/>
        <charset val="134"/>
      </rPr>
      <t>SC PC</t>
    </r>
    <r>
      <rPr>
        <sz val="8"/>
        <color rgb="FF0000FF"/>
        <rFont val="宋体"/>
        <charset val="134"/>
      </rPr>
      <t xml:space="preserve"> </t>
    </r>
    <r>
      <rPr>
        <sz val="8"/>
        <rFont val="宋体"/>
        <charset val="134"/>
      </rPr>
      <t>form M都打印一份寄给客户 目的港申请21天免用箱 客户指定ZIM的船同</t>
    </r>
    <r>
      <rPr>
        <sz val="8"/>
        <rFont val="Arial"/>
        <charset val="134"/>
      </rPr>
      <t>X3653</t>
    </r>
  </si>
  <si>
    <r>
      <rPr>
        <sz val="8"/>
        <color theme="1"/>
        <rFont val="宋体"/>
        <charset val="134"/>
      </rPr>
      <t>会昌订舱</t>
    </r>
    <r>
      <rPr>
        <sz val="8"/>
        <color theme="1"/>
        <rFont val="Arial"/>
        <charset val="134"/>
      </rPr>
      <t>ZIM4200</t>
    </r>
    <r>
      <rPr>
        <sz val="8"/>
        <color theme="1"/>
        <rFont val="宋体"/>
        <charset val="134"/>
      </rPr>
      <t>，会昌拖车3550报关</t>
    </r>
  </si>
  <si>
    <t>Cindy</t>
  </si>
  <si>
    <t>X3300-C</t>
  </si>
  <si>
    <t>C</t>
  </si>
  <si>
    <t>Classic/Rizzu</t>
  </si>
  <si>
    <r>
      <rPr>
        <sz val="8"/>
        <rFont val="Arial"/>
        <charset val="134"/>
      </rPr>
      <t>4*20ft</t>
    </r>
    <r>
      <rPr>
        <sz val="8"/>
        <rFont val="宋体"/>
        <charset val="134"/>
      </rPr>
      <t>石膏板皇华</t>
    </r>
  </si>
  <si>
    <r>
      <rPr>
        <sz val="8"/>
        <color indexed="8"/>
        <rFont val="Arial"/>
        <charset val="134"/>
      </rPr>
      <t>问的联达环球</t>
    </r>
    <r>
      <rPr>
        <sz val="8"/>
        <color indexed="8"/>
        <rFont val="Arial"/>
        <charset val="134"/>
      </rPr>
      <t xml:space="preserve"> </t>
    </r>
    <r>
      <rPr>
        <sz val="8"/>
        <color indexed="8"/>
        <rFont val="宋体"/>
        <charset val="134"/>
      </rPr>
      <t>还没有定，等客户消息</t>
    </r>
    <r>
      <rPr>
        <sz val="8"/>
        <color indexed="8"/>
        <rFont val="Arial"/>
        <charset val="134"/>
      </rPr>
      <t xml:space="preserve"> CUL 200+PCS</t>
    </r>
    <r>
      <rPr>
        <sz val="8"/>
        <color indexed="8"/>
        <rFont val="宋体"/>
        <charset val="134"/>
      </rPr>
      <t>港佣</t>
    </r>
    <r>
      <rPr>
        <sz val="8"/>
        <color indexed="8"/>
        <rFont val="Arial"/>
        <charset val="134"/>
      </rPr>
      <t xml:space="preserve"> USD100  </t>
    </r>
    <r>
      <rPr>
        <sz val="8"/>
        <color indexed="8"/>
        <rFont val="宋体"/>
        <charset val="134"/>
      </rPr>
      <t>直达</t>
    </r>
    <r>
      <rPr>
        <sz val="8"/>
        <color indexed="8"/>
        <rFont val="Arial"/>
        <charset val="134"/>
      </rPr>
      <t xml:space="preserve"> 18</t>
    </r>
    <r>
      <rPr>
        <sz val="8"/>
        <color indexed="8"/>
        <rFont val="宋体"/>
        <charset val="134"/>
      </rPr>
      <t>天</t>
    </r>
  </si>
  <si>
    <t>X3312-C</t>
  </si>
  <si>
    <r>
      <rPr>
        <sz val="8"/>
        <rFont val="Arial"/>
        <charset val="134"/>
      </rPr>
      <t xml:space="preserve"> </t>
    </r>
    <r>
      <rPr>
        <sz val="8"/>
        <rFont val="宋体"/>
        <charset val="134"/>
      </rPr>
      <t>利比亚</t>
    </r>
    <r>
      <rPr>
        <sz val="8"/>
        <rFont val="Arial"/>
        <charset val="134"/>
      </rPr>
      <t xml:space="preserve">Pearl   </t>
    </r>
  </si>
  <si>
    <r>
      <rPr>
        <sz val="8"/>
        <rFont val="Arial"/>
        <charset val="134"/>
      </rPr>
      <t>5*20ft</t>
    </r>
    <r>
      <rPr>
        <sz val="8"/>
        <rFont val="宋体"/>
        <charset val="134"/>
      </rPr>
      <t>石膏板皇华</t>
    </r>
  </si>
  <si>
    <r>
      <rPr>
        <sz val="8"/>
        <rFont val="Arial"/>
        <charset val="134"/>
      </rPr>
      <t>青岛联达环球订舱拖车报关，海运费美金</t>
    </r>
    <r>
      <rPr>
        <sz val="8"/>
        <rFont val="Arial"/>
        <charset val="134"/>
      </rPr>
      <t>1300</t>
    </r>
    <r>
      <rPr>
        <sz val="8"/>
        <rFont val="宋体"/>
        <charset val="134"/>
      </rPr>
      <t>每个柜子，报客户</t>
    </r>
    <r>
      <rPr>
        <sz val="8"/>
        <rFont val="Arial"/>
        <charset val="134"/>
      </rPr>
      <t>1300</t>
    </r>
    <r>
      <rPr>
        <sz val="8"/>
        <rFont val="宋体"/>
        <charset val="134"/>
      </rPr>
      <t>美金。</t>
    </r>
  </si>
  <si>
    <t>J3286-C</t>
  </si>
  <si>
    <r>
      <rPr>
        <sz val="8"/>
        <rFont val="Arial"/>
        <charset val="134"/>
      </rPr>
      <t>卡塔尔</t>
    </r>
    <r>
      <rPr>
        <sz val="8"/>
        <rFont val="Arial"/>
        <charset val="134"/>
      </rPr>
      <t xml:space="preserve"> Decotech/Mahamud</t>
    </r>
  </si>
  <si>
    <r>
      <rPr>
        <sz val="8"/>
        <rFont val="Arial"/>
        <charset val="134"/>
      </rPr>
      <t xml:space="preserve">1*20FL </t>
    </r>
    <r>
      <rPr>
        <sz val="8"/>
        <rFont val="宋体"/>
        <charset val="134"/>
      </rPr>
      <t>轻钢</t>
    </r>
  </si>
  <si>
    <r>
      <rPr>
        <sz val="8"/>
        <rFont val="Arial"/>
        <charset val="134"/>
      </rPr>
      <t>百瑞达订舱拖车报关，</t>
    </r>
    <r>
      <rPr>
        <sz val="8"/>
        <rFont val="Arial"/>
        <charset val="134"/>
      </rPr>
      <t>1*20GP</t>
    </r>
    <r>
      <rPr>
        <sz val="8"/>
        <rFont val="宋体"/>
        <charset val="134"/>
      </rPr>
      <t>（</t>
    </r>
    <r>
      <rPr>
        <sz val="8"/>
        <rFont val="Arial"/>
        <charset val="134"/>
      </rPr>
      <t>705USD</t>
    </r>
    <r>
      <rPr>
        <sz val="8"/>
        <rFont val="宋体"/>
        <charset val="134"/>
      </rPr>
      <t>）报给客户的也是</t>
    </r>
    <r>
      <rPr>
        <sz val="8"/>
        <rFont val="Arial"/>
        <charset val="134"/>
      </rPr>
      <t>705USD</t>
    </r>
  </si>
  <si>
    <t>J3289-C</t>
  </si>
  <si>
    <r>
      <rPr>
        <sz val="8"/>
        <rFont val="Arial"/>
        <charset val="134"/>
      </rPr>
      <t xml:space="preserve"> Cindy </t>
    </r>
    <r>
      <rPr>
        <sz val="8"/>
        <rFont val="宋体"/>
        <charset val="134"/>
      </rPr>
      <t>深圳</t>
    </r>
    <r>
      <rPr>
        <sz val="8"/>
        <rFont val="Arial"/>
        <charset val="134"/>
      </rPr>
      <t xml:space="preserve">excel </t>
    </r>
  </si>
  <si>
    <r>
      <rPr>
        <sz val="8"/>
        <rFont val="Arial"/>
        <charset val="134"/>
      </rPr>
      <t xml:space="preserve">1x40 </t>
    </r>
    <r>
      <rPr>
        <sz val="8"/>
        <rFont val="宋体"/>
        <charset val="134"/>
      </rPr>
      <t>轻钢</t>
    </r>
  </si>
  <si>
    <t>客户指定代理天津百瑞达，天津百瑞达拖车报关</t>
  </si>
  <si>
    <t>J3299-C</t>
  </si>
  <si>
    <r>
      <rPr>
        <sz val="8"/>
        <rFont val="Arial"/>
        <charset val="134"/>
      </rPr>
      <t>卡塔尔</t>
    </r>
    <r>
      <rPr>
        <sz val="8"/>
        <rFont val="Arial"/>
        <charset val="134"/>
      </rPr>
      <t>Al Jamal/Mehaboob</t>
    </r>
  </si>
  <si>
    <r>
      <rPr>
        <sz val="8"/>
        <rFont val="Arial"/>
        <charset val="134"/>
      </rPr>
      <t>1*20FL+1*40FL</t>
    </r>
    <r>
      <rPr>
        <sz val="8"/>
        <rFont val="宋体"/>
        <charset val="134"/>
      </rPr>
      <t>轻钢</t>
    </r>
  </si>
  <si>
    <r>
      <rPr>
        <sz val="8"/>
        <color indexed="8"/>
        <rFont val="Arial"/>
        <charset val="134"/>
      </rPr>
      <t>百瑞达订舱拖车报关，</t>
    </r>
    <r>
      <rPr>
        <sz val="8"/>
        <color indexed="8"/>
        <rFont val="Arial"/>
        <charset val="134"/>
      </rPr>
      <t>1*20GP</t>
    </r>
    <r>
      <rPr>
        <sz val="8"/>
        <color indexed="8"/>
        <rFont val="宋体"/>
        <charset val="134"/>
      </rPr>
      <t>（</t>
    </r>
    <r>
      <rPr>
        <sz val="8"/>
        <color indexed="8"/>
        <rFont val="Arial"/>
        <charset val="134"/>
      </rPr>
      <t>705USD</t>
    </r>
    <r>
      <rPr>
        <sz val="8"/>
        <color indexed="8"/>
        <rFont val="Cambria"/>
        <charset val="134"/>
      </rPr>
      <t>）</t>
    </r>
    <r>
      <rPr>
        <sz val="8"/>
        <color indexed="8"/>
        <rFont val="Arial"/>
        <charset val="134"/>
      </rPr>
      <t>+1*40HC</t>
    </r>
    <r>
      <rPr>
        <sz val="8"/>
        <color indexed="8"/>
        <rFont val="Cambria"/>
        <charset val="134"/>
      </rPr>
      <t>（</t>
    </r>
    <r>
      <rPr>
        <sz val="8"/>
        <color indexed="8"/>
        <rFont val="Arial"/>
        <charset val="134"/>
      </rPr>
      <t>860USD</t>
    </r>
    <r>
      <rPr>
        <sz val="8"/>
        <color indexed="8"/>
        <rFont val="Cambria"/>
        <charset val="134"/>
      </rPr>
      <t>），报给客户的也是一致的金额</t>
    </r>
  </si>
  <si>
    <t>J3313-C</t>
  </si>
  <si>
    <r>
      <rPr>
        <sz val="8"/>
        <rFont val="宋体"/>
        <charset val="134"/>
      </rPr>
      <t>百瑞达订舱拖车</t>
    </r>
    <r>
      <rPr>
        <sz val="8"/>
        <rFont val="Arial"/>
        <charset val="134"/>
      </rPr>
      <t>,</t>
    </r>
    <r>
      <rPr>
        <sz val="8"/>
        <rFont val="宋体"/>
        <charset val="134"/>
      </rPr>
      <t>一达通报关，</t>
    </r>
    <r>
      <rPr>
        <sz val="8"/>
        <rFont val="Arial"/>
        <charset val="134"/>
      </rPr>
      <t>1*20GP</t>
    </r>
    <r>
      <rPr>
        <sz val="8"/>
        <rFont val="宋体"/>
        <charset val="134"/>
      </rPr>
      <t>，</t>
    </r>
    <r>
      <rPr>
        <sz val="8"/>
        <rFont val="Arial"/>
        <charset val="134"/>
      </rPr>
      <t>1350USD</t>
    </r>
    <r>
      <rPr>
        <sz val="8"/>
        <rFont val="宋体"/>
        <charset val="134"/>
      </rPr>
      <t>，报客户也是这个金额</t>
    </r>
  </si>
  <si>
    <t>J3324-C</t>
  </si>
  <si>
    <r>
      <rPr>
        <sz val="8"/>
        <rFont val="Arial"/>
        <charset val="134"/>
      </rPr>
      <t>卡塔尔</t>
    </r>
    <r>
      <rPr>
        <sz val="8"/>
        <rFont val="Arial"/>
        <charset val="134"/>
      </rPr>
      <t>Unitech/Khaled</t>
    </r>
  </si>
  <si>
    <r>
      <rPr>
        <sz val="8"/>
        <rFont val="Arial"/>
        <charset val="134"/>
      </rPr>
      <t xml:space="preserve">1x20‘ </t>
    </r>
    <r>
      <rPr>
        <sz val="8"/>
        <rFont val="宋体"/>
        <charset val="134"/>
      </rPr>
      <t>轻钢</t>
    </r>
  </si>
  <si>
    <r>
      <rPr>
        <sz val="8"/>
        <rFont val="Arial"/>
        <charset val="134"/>
      </rPr>
      <t>会昌定舱拖车报关</t>
    </r>
    <r>
      <rPr>
        <sz val="8"/>
        <rFont val="Arial"/>
        <charset val="134"/>
      </rPr>
      <t>750</t>
    </r>
    <r>
      <rPr>
        <sz val="8"/>
        <rFont val="宋体"/>
        <charset val="134"/>
      </rPr>
      <t>美金，报客户也是</t>
    </r>
    <r>
      <rPr>
        <sz val="8"/>
        <rFont val="Arial"/>
        <charset val="134"/>
      </rPr>
      <t>750</t>
    </r>
  </si>
  <si>
    <t>M3331-C</t>
  </si>
  <si>
    <r>
      <rPr>
        <sz val="8"/>
        <rFont val="Arial"/>
        <charset val="134"/>
      </rPr>
      <t>卡塔尔</t>
    </r>
    <r>
      <rPr>
        <sz val="8"/>
        <rFont val="Arial"/>
        <charset val="134"/>
      </rPr>
      <t xml:space="preserve"> Al Jamal</t>
    </r>
  </si>
  <si>
    <r>
      <rPr>
        <sz val="8"/>
        <rFont val="Arial"/>
        <charset val="134"/>
      </rPr>
      <t xml:space="preserve"> 1*20fl+1*40ft</t>
    </r>
    <r>
      <rPr>
        <sz val="8"/>
        <rFont val="宋体"/>
        <charset val="134"/>
      </rPr>
      <t>轻钢和配件（金属带</t>
    </r>
    <r>
      <rPr>
        <sz val="8"/>
        <rFont val="Arial"/>
        <charset val="134"/>
      </rPr>
      <t>/</t>
    </r>
    <r>
      <rPr>
        <sz val="8"/>
        <rFont val="宋体"/>
        <charset val="134"/>
      </rPr>
      <t>检修口）</t>
    </r>
  </si>
  <si>
    <r>
      <rPr>
        <sz val="8"/>
        <color indexed="8"/>
        <rFont val="Arial"/>
        <charset val="134"/>
      </rPr>
      <t>周天华订舱</t>
    </r>
    <r>
      <rPr>
        <sz val="8"/>
        <color indexed="8"/>
        <rFont val="Arial"/>
        <charset val="134"/>
      </rPr>
      <t>9</t>
    </r>
    <r>
      <rPr>
        <sz val="8"/>
        <color indexed="8"/>
        <rFont val="宋体"/>
        <charset val="134"/>
      </rPr>
      <t>号现代的船</t>
    </r>
    <r>
      <rPr>
        <sz val="8"/>
        <color indexed="8"/>
        <rFont val="Arial"/>
        <charset val="134"/>
      </rPr>
      <t xml:space="preserve"> 875/950</t>
    </r>
    <r>
      <rPr>
        <sz val="8"/>
        <color indexed="8"/>
        <rFont val="宋体"/>
        <charset val="134"/>
      </rPr>
      <t>，报客户也是</t>
    </r>
    <r>
      <rPr>
        <sz val="8"/>
        <color indexed="8"/>
        <rFont val="Arial"/>
        <charset val="134"/>
      </rPr>
      <t>875/950</t>
    </r>
    <r>
      <rPr>
        <sz val="8"/>
        <color indexed="8"/>
        <rFont val="宋体"/>
        <charset val="134"/>
      </rPr>
      <t>，会昌拖车报关</t>
    </r>
  </si>
  <si>
    <t>M3340-C</t>
  </si>
  <si>
    <r>
      <rPr>
        <sz val="8"/>
        <rFont val="Arial"/>
        <charset val="134"/>
      </rPr>
      <t>比利时</t>
    </r>
    <r>
      <rPr>
        <sz val="8"/>
        <rFont val="Arial"/>
        <charset val="134"/>
      </rPr>
      <t>ASE</t>
    </r>
  </si>
  <si>
    <r>
      <rPr>
        <sz val="8"/>
        <rFont val="Arial"/>
        <charset val="134"/>
      </rPr>
      <t xml:space="preserve"> 2x20‘ </t>
    </r>
    <r>
      <rPr>
        <sz val="8"/>
        <rFont val="宋体"/>
        <charset val="134"/>
      </rPr>
      <t>轻钢</t>
    </r>
    <r>
      <rPr>
        <sz val="8"/>
        <rFont val="Arial"/>
        <charset val="134"/>
      </rPr>
      <t>+</t>
    </r>
    <r>
      <rPr>
        <sz val="8"/>
        <rFont val="宋体"/>
        <charset val="134"/>
      </rPr>
      <t>干壁钉</t>
    </r>
  </si>
  <si>
    <r>
      <rPr>
        <sz val="8"/>
        <color indexed="8"/>
        <rFont val="Arial"/>
        <charset val="134"/>
      </rPr>
      <t>指定货代</t>
    </r>
    <r>
      <rPr>
        <sz val="8"/>
        <color indexed="8"/>
        <rFont val="Arial"/>
        <charset val="134"/>
      </rPr>
      <t xml:space="preserve">Shandong Haijin International </t>
    </r>
    <r>
      <rPr>
        <sz val="8"/>
        <color indexed="8"/>
        <rFont val="宋体"/>
        <charset val="134"/>
      </rPr>
      <t>陈军，</t>
    </r>
  </si>
  <si>
    <t>J3344-C</t>
  </si>
  <si>
    <r>
      <rPr>
        <sz val="8"/>
        <rFont val="Arial"/>
        <charset val="134"/>
      </rPr>
      <t>卡塔尔</t>
    </r>
    <r>
      <rPr>
        <sz val="8"/>
        <rFont val="Arial"/>
        <charset val="134"/>
      </rPr>
      <t xml:space="preserve">Al Jamal/mohammed </t>
    </r>
  </si>
  <si>
    <r>
      <rPr>
        <sz val="8"/>
        <rFont val="Arial"/>
        <charset val="134"/>
      </rPr>
      <t xml:space="preserve">1*20fl </t>
    </r>
    <r>
      <rPr>
        <sz val="8"/>
        <rFont val="宋体"/>
        <charset val="134"/>
      </rPr>
      <t>轻钢变高系统</t>
    </r>
    <r>
      <rPr>
        <sz val="8"/>
        <rFont val="Arial"/>
        <charset val="134"/>
      </rPr>
      <t xml:space="preserve"> JKC18101102</t>
    </r>
  </si>
  <si>
    <t>xingang-HAMAD PORT, QATAR</t>
  </si>
  <si>
    <r>
      <rPr>
        <sz val="8"/>
        <color theme="1"/>
        <rFont val="Arial"/>
        <charset val="134"/>
      </rPr>
      <t>HMM-16</t>
    </r>
    <r>
      <rPr>
        <sz val="8"/>
        <color indexed="8"/>
        <rFont val="宋体"/>
        <charset val="134"/>
      </rPr>
      <t>号的船，周天华报价</t>
    </r>
    <r>
      <rPr>
        <sz val="8"/>
        <color indexed="8"/>
        <rFont val="Arial"/>
        <charset val="134"/>
      </rPr>
      <t>925</t>
    </r>
    <r>
      <rPr>
        <sz val="8"/>
        <color indexed="8"/>
        <rFont val="宋体"/>
        <charset val="134"/>
      </rPr>
      <t>，报客户也是</t>
    </r>
    <r>
      <rPr>
        <sz val="8"/>
        <color indexed="8"/>
        <rFont val="Arial"/>
        <charset val="134"/>
      </rPr>
      <t>930</t>
    </r>
    <r>
      <rPr>
        <sz val="8"/>
        <color indexed="8"/>
        <rFont val="宋体"/>
        <charset val="134"/>
      </rPr>
      <t>，会昌拖车报关</t>
    </r>
  </si>
  <si>
    <t xml:space="preserve">X3369-C </t>
  </si>
  <si>
    <r>
      <rPr>
        <sz val="8"/>
        <rFont val="Arial"/>
        <charset val="134"/>
      </rPr>
      <t>卡塔尔</t>
    </r>
    <r>
      <rPr>
        <sz val="8"/>
        <rFont val="Arial"/>
        <charset val="134"/>
      </rPr>
      <t xml:space="preserve"> Al Jamal </t>
    </r>
  </si>
  <si>
    <r>
      <rPr>
        <sz val="8"/>
        <rFont val="Arial"/>
        <charset val="134"/>
      </rPr>
      <t>2*20FC PVC</t>
    </r>
    <r>
      <rPr>
        <sz val="8"/>
        <rFont val="宋体"/>
        <charset val="134"/>
      </rPr>
      <t>石膏板</t>
    </r>
    <r>
      <rPr>
        <sz val="8"/>
        <rFont val="Arial"/>
        <charset val="134"/>
      </rPr>
      <t xml:space="preserve"> </t>
    </r>
  </si>
  <si>
    <t>qingdao-HAMAD PORT, QATAR</t>
  </si>
  <si>
    <r>
      <rPr>
        <sz val="8"/>
        <color indexed="8"/>
        <rFont val="Arial"/>
        <charset val="134"/>
      </rPr>
      <t>青岛联达环球订舱</t>
    </r>
    <r>
      <rPr>
        <sz val="8"/>
        <color indexed="8"/>
        <rFont val="Arial"/>
        <charset val="134"/>
      </rPr>
      <t>950</t>
    </r>
    <r>
      <rPr>
        <sz val="8"/>
        <color indexed="8"/>
        <rFont val="宋体"/>
        <charset val="134"/>
      </rPr>
      <t>，现代船周一釜山转</t>
    </r>
    <r>
      <rPr>
        <sz val="8"/>
        <color indexed="8"/>
        <rFont val="Arial"/>
        <charset val="134"/>
      </rPr>
      <t xml:space="preserve"> 32</t>
    </r>
    <r>
      <rPr>
        <sz val="8"/>
        <color indexed="8"/>
        <rFont val="宋体"/>
        <charset val="134"/>
      </rPr>
      <t>天左右</t>
    </r>
    <r>
      <rPr>
        <sz val="8"/>
        <color indexed="8"/>
        <rFont val="Arial"/>
        <charset val="134"/>
      </rPr>
      <t xml:space="preserve"> 10</t>
    </r>
    <r>
      <rPr>
        <sz val="8"/>
        <color indexed="8"/>
        <rFont val="宋体"/>
        <charset val="134"/>
      </rPr>
      <t>号的船，报客户也是</t>
    </r>
    <r>
      <rPr>
        <sz val="8"/>
        <color indexed="8"/>
        <rFont val="Arial"/>
        <charset val="134"/>
      </rPr>
      <t>950</t>
    </r>
    <r>
      <rPr>
        <sz val="8"/>
        <color indexed="8"/>
        <rFont val="宋体"/>
        <charset val="134"/>
      </rPr>
      <t>美金</t>
    </r>
    <r>
      <rPr>
        <sz val="8"/>
        <color indexed="8"/>
        <rFont val="Arial"/>
        <charset val="134"/>
      </rPr>
      <t xml:space="preserve"> </t>
    </r>
  </si>
  <si>
    <t xml:space="preserve">M3370-C </t>
  </si>
  <si>
    <r>
      <rPr>
        <sz val="8"/>
        <rFont val="Arial"/>
        <charset val="134"/>
      </rPr>
      <t>卡塔尔</t>
    </r>
    <r>
      <rPr>
        <sz val="8"/>
        <rFont val="Arial"/>
        <charset val="134"/>
      </rPr>
      <t xml:space="preserve">Al Jamal </t>
    </r>
  </si>
  <si>
    <r>
      <rPr>
        <sz val="8"/>
        <rFont val="Arial"/>
        <charset val="134"/>
      </rPr>
      <t xml:space="preserve">1*20fl+1*40ft </t>
    </r>
    <r>
      <rPr>
        <sz val="8"/>
        <rFont val="宋体"/>
        <charset val="134"/>
      </rPr>
      <t>轻钢和配件（检修口</t>
    </r>
    <r>
      <rPr>
        <sz val="8"/>
        <rFont val="Arial"/>
        <charset val="134"/>
      </rPr>
      <t>/</t>
    </r>
    <r>
      <rPr>
        <sz val="8"/>
        <rFont val="宋体"/>
        <charset val="134"/>
      </rPr>
      <t>金属带</t>
    </r>
    <r>
      <rPr>
        <sz val="8"/>
        <rFont val="Arial"/>
        <charset val="134"/>
      </rPr>
      <t>/</t>
    </r>
    <r>
      <rPr>
        <sz val="8"/>
        <rFont val="宋体"/>
        <charset val="134"/>
      </rPr>
      <t>玻纤带）</t>
    </r>
  </si>
  <si>
    <r>
      <rPr>
        <sz val="8"/>
        <color theme="1"/>
        <rFont val="Arial"/>
        <charset val="134"/>
      </rPr>
      <t>惠禾订舱</t>
    </r>
    <r>
      <rPr>
        <sz val="8"/>
        <color theme="1"/>
        <rFont val="Arial"/>
        <charset val="134"/>
      </rPr>
      <t>1000/1050</t>
    </r>
    <r>
      <rPr>
        <sz val="8"/>
        <color theme="1"/>
        <rFont val="宋体"/>
        <charset val="134"/>
      </rPr>
      <t>，拖车报关</t>
    </r>
  </si>
  <si>
    <t>J3375 -1</t>
  </si>
  <si>
    <r>
      <rPr>
        <sz val="8"/>
        <rFont val="Arial"/>
        <charset val="134"/>
      </rPr>
      <t>卡塔尔</t>
    </r>
    <r>
      <rPr>
        <sz val="8"/>
        <rFont val="Arial"/>
        <charset val="134"/>
      </rPr>
      <t>Total design/Osama</t>
    </r>
  </si>
  <si>
    <r>
      <rPr>
        <sz val="8"/>
        <rFont val="Arial"/>
        <charset val="134"/>
      </rPr>
      <t xml:space="preserve"> 3*20fl+1*40hq </t>
    </r>
    <r>
      <rPr>
        <sz val="8"/>
        <rFont val="宋体"/>
        <charset val="134"/>
      </rPr>
      <t>轻钢</t>
    </r>
    <r>
      <rPr>
        <sz val="8"/>
        <rFont val="Arial"/>
        <charset val="134"/>
      </rPr>
      <t>JKC18112902 0.4mm</t>
    </r>
    <r>
      <rPr>
        <sz val="8"/>
        <rFont val="宋体"/>
        <charset val="134"/>
      </rPr>
      <t>足厚</t>
    </r>
  </si>
  <si>
    <t>周天华订舱，会昌拖车报关</t>
  </si>
  <si>
    <t>J3375 -2</t>
  </si>
  <si>
    <r>
      <rPr>
        <sz val="8"/>
        <rFont val="Arial"/>
        <charset val="134"/>
      </rPr>
      <t xml:space="preserve">2x20+2x40HQ </t>
    </r>
    <r>
      <rPr>
        <sz val="8"/>
        <rFont val="宋体"/>
        <charset val="134"/>
      </rPr>
      <t>轻钢</t>
    </r>
  </si>
  <si>
    <r>
      <rPr>
        <sz val="8"/>
        <color theme="1"/>
        <rFont val="Arial"/>
        <charset val="134"/>
      </rPr>
      <t>小杜订舱</t>
    </r>
    <r>
      <rPr>
        <sz val="8"/>
        <color theme="1"/>
        <rFont val="Arial"/>
        <charset val="134"/>
      </rPr>
      <t>11</t>
    </r>
    <r>
      <rPr>
        <sz val="8"/>
        <color theme="1"/>
        <rFont val="宋体"/>
        <charset val="134"/>
      </rPr>
      <t>号</t>
    </r>
    <r>
      <rPr>
        <sz val="8"/>
        <color theme="1"/>
        <rFont val="Arial"/>
        <charset val="134"/>
      </rPr>
      <t xml:space="preserve">HPL </t>
    </r>
  </si>
  <si>
    <t>J3384-C</t>
  </si>
  <si>
    <r>
      <rPr>
        <sz val="8"/>
        <rFont val="Arial"/>
        <charset val="134"/>
      </rPr>
      <t xml:space="preserve">1x20ft </t>
    </r>
    <r>
      <rPr>
        <sz val="8"/>
        <rFont val="宋体"/>
        <charset val="134"/>
      </rPr>
      <t>轻钢</t>
    </r>
    <r>
      <rPr>
        <sz val="8"/>
        <rFont val="Arial"/>
        <charset val="134"/>
      </rPr>
      <t xml:space="preserve"> JKC18120503</t>
    </r>
  </si>
  <si>
    <t>DHL: 92 8727 7753</t>
  </si>
  <si>
    <r>
      <rPr>
        <sz val="8"/>
        <color theme="1"/>
        <rFont val="Arial"/>
        <charset val="134"/>
      </rPr>
      <t>会昌订舱</t>
    </r>
    <r>
      <rPr>
        <sz val="8"/>
        <color theme="1"/>
        <rFont val="Arial"/>
        <charset val="134"/>
      </rPr>
      <t>HPL</t>
    </r>
    <r>
      <rPr>
        <sz val="8"/>
        <color theme="1"/>
        <rFont val="宋体"/>
        <charset val="134"/>
      </rPr>
      <t>，拖车报关</t>
    </r>
  </si>
  <si>
    <t>J3391-C</t>
  </si>
  <si>
    <r>
      <rPr>
        <sz val="8"/>
        <rFont val="Arial"/>
        <charset val="134"/>
      </rPr>
      <t xml:space="preserve">1x40ft </t>
    </r>
    <r>
      <rPr>
        <sz val="8"/>
        <rFont val="宋体"/>
        <charset val="134"/>
      </rPr>
      <t>轻钢</t>
    </r>
    <r>
      <rPr>
        <sz val="8"/>
        <rFont val="Arial"/>
        <charset val="134"/>
      </rPr>
      <t xml:space="preserve"> JKC18121303</t>
    </r>
  </si>
  <si>
    <t>J3393-C</t>
  </si>
  <si>
    <t>阿曼</t>
  </si>
  <si>
    <r>
      <rPr>
        <sz val="8"/>
        <color theme="1"/>
        <rFont val="Arial"/>
        <charset val="134"/>
      </rPr>
      <t>会昌订舱</t>
    </r>
    <r>
      <rPr>
        <sz val="8"/>
        <color theme="1"/>
        <rFont val="Arial"/>
        <charset val="134"/>
      </rPr>
      <t>HMM</t>
    </r>
    <r>
      <rPr>
        <sz val="8"/>
        <color theme="1"/>
        <rFont val="宋体"/>
        <charset val="134"/>
      </rPr>
      <t>，拖车报关</t>
    </r>
  </si>
  <si>
    <t>RMB39500</t>
  </si>
  <si>
    <t>101700RMB</t>
  </si>
  <si>
    <t>J3400</t>
  </si>
  <si>
    <t>DHL: 46 0439 4723</t>
  </si>
  <si>
    <r>
      <rPr>
        <sz val="8"/>
        <color theme="1"/>
        <rFont val="Arial"/>
        <charset val="134"/>
      </rPr>
      <t>会昌订舱</t>
    </r>
    <r>
      <rPr>
        <sz val="8"/>
        <color theme="1"/>
        <rFont val="Arial"/>
        <charset val="134"/>
      </rPr>
      <t>HPL</t>
    </r>
    <r>
      <rPr>
        <sz val="8"/>
        <color indexed="8"/>
        <rFont val="Arial"/>
        <charset val="134"/>
      </rPr>
      <t>1200</t>
    </r>
    <r>
      <rPr>
        <sz val="8"/>
        <color indexed="8"/>
        <rFont val="宋体"/>
        <charset val="134"/>
      </rPr>
      <t>，拖车报关</t>
    </r>
  </si>
  <si>
    <t>J3401</t>
  </si>
  <si>
    <r>
      <rPr>
        <sz val="8"/>
        <color theme="1"/>
        <rFont val="Arial"/>
        <charset val="134"/>
      </rPr>
      <t>会昌订舱</t>
    </r>
    <r>
      <rPr>
        <sz val="8"/>
        <color indexed="8"/>
        <rFont val="Arial"/>
        <charset val="134"/>
      </rPr>
      <t>1250</t>
    </r>
    <r>
      <rPr>
        <sz val="8"/>
        <color indexed="8"/>
        <rFont val="宋体"/>
        <charset val="134"/>
      </rPr>
      <t>，拖车报关</t>
    </r>
  </si>
  <si>
    <t>J3404</t>
  </si>
  <si>
    <r>
      <rPr>
        <sz val="8"/>
        <rFont val="Arial"/>
        <charset val="134"/>
      </rPr>
      <t>卡塔尔</t>
    </r>
    <r>
      <rPr>
        <sz val="8"/>
        <rFont val="Arial"/>
        <charset val="134"/>
      </rPr>
      <t>Al Jamal /Mehaboob</t>
    </r>
  </si>
  <si>
    <r>
      <rPr>
        <sz val="8"/>
        <rFont val="Arial"/>
        <charset val="134"/>
      </rPr>
      <t>1x20+1x40</t>
    </r>
    <r>
      <rPr>
        <sz val="8"/>
        <rFont val="宋体"/>
        <charset val="134"/>
      </rPr>
      <t>轻钢</t>
    </r>
  </si>
  <si>
    <t xml:space="preserve">DHL: 16 0211 4850 </t>
  </si>
  <si>
    <t>J3407</t>
  </si>
  <si>
    <r>
      <rPr>
        <sz val="8"/>
        <rFont val="Arial"/>
        <charset val="134"/>
      </rPr>
      <t>DHL</t>
    </r>
    <r>
      <rPr>
        <sz val="8"/>
        <rFont val="宋体"/>
        <charset val="134"/>
      </rPr>
      <t>：</t>
    </r>
    <r>
      <rPr>
        <sz val="8"/>
        <rFont val="Arial"/>
        <charset val="134"/>
      </rPr>
      <t>20 8783 2316</t>
    </r>
  </si>
  <si>
    <r>
      <rPr>
        <sz val="8"/>
        <color theme="1"/>
        <rFont val="Arial"/>
        <charset val="134"/>
      </rPr>
      <t>惠禾订舱</t>
    </r>
    <r>
      <rPr>
        <sz val="8"/>
        <color theme="1"/>
        <rFont val="Arial"/>
        <charset val="134"/>
      </rPr>
      <t>1280HMM</t>
    </r>
    <r>
      <rPr>
        <sz val="8"/>
        <color theme="1"/>
        <rFont val="宋体"/>
        <charset val="134"/>
      </rPr>
      <t>直航，拖车报关</t>
    </r>
  </si>
  <si>
    <t>J3410</t>
  </si>
  <si>
    <r>
      <rPr>
        <sz val="8"/>
        <rFont val="Arial"/>
        <charset val="134"/>
      </rPr>
      <t>卡塔尔</t>
    </r>
    <r>
      <rPr>
        <sz val="8"/>
        <rFont val="Arial"/>
        <charset val="134"/>
      </rPr>
      <t xml:space="preserve"> Advanced/Sheikha</t>
    </r>
  </si>
  <si>
    <t>DHL:27 5041 9501</t>
  </si>
  <si>
    <r>
      <rPr>
        <sz val="8"/>
        <color theme="1"/>
        <rFont val="Arial"/>
        <charset val="134"/>
      </rPr>
      <t>捷运达</t>
    </r>
    <r>
      <rPr>
        <sz val="8"/>
        <color theme="1"/>
        <rFont val="Arial"/>
        <charset val="134"/>
      </rPr>
      <t>1170/1240</t>
    </r>
    <r>
      <rPr>
        <sz val="8"/>
        <color theme="1"/>
        <rFont val="Cambria"/>
        <charset val="134"/>
      </rPr>
      <t>，拖车报关</t>
    </r>
  </si>
  <si>
    <t>J3424</t>
  </si>
  <si>
    <r>
      <rPr>
        <sz val="8"/>
        <rFont val="Arial"/>
        <charset val="134"/>
      </rPr>
      <t>马来西亚</t>
    </r>
    <r>
      <rPr>
        <sz val="8"/>
        <rFont val="Arial"/>
        <charset val="134"/>
      </rPr>
      <t>david</t>
    </r>
  </si>
  <si>
    <t>xingang-MUARA, BRUNEI</t>
  </si>
  <si>
    <r>
      <rPr>
        <b/>
        <sz val="9"/>
        <rFont val="Arial"/>
        <charset val="134"/>
      </rPr>
      <t>sf</t>
    </r>
    <r>
      <rPr>
        <b/>
        <sz val="9"/>
        <rFont val="宋体"/>
        <charset val="134"/>
      </rPr>
      <t>：</t>
    </r>
  </si>
  <si>
    <r>
      <rPr>
        <sz val="8"/>
        <color theme="1"/>
        <rFont val="Arial"/>
        <charset val="134"/>
      </rPr>
      <t>会昌订舱</t>
    </r>
    <r>
      <rPr>
        <sz val="8"/>
        <color theme="1"/>
        <rFont val="Arial"/>
        <charset val="134"/>
      </rPr>
      <t>960</t>
    </r>
    <r>
      <rPr>
        <sz val="8"/>
        <color theme="1"/>
        <rFont val="宋体"/>
        <charset val="134"/>
      </rPr>
      <t>，拖车报关</t>
    </r>
  </si>
  <si>
    <t>M3428</t>
  </si>
  <si>
    <r>
      <rPr>
        <sz val="8"/>
        <rFont val="Arial"/>
        <charset val="134"/>
      </rPr>
      <t>比利时</t>
    </r>
    <r>
      <rPr>
        <sz val="8"/>
        <rFont val="Arial"/>
        <charset val="134"/>
      </rPr>
      <t xml:space="preserve"> ASE</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</si>
  <si>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</si>
  <si>
    <t>xingang-MOMBASA</t>
  </si>
  <si>
    <t>shipping mark</t>
  </si>
  <si>
    <t>5849+1860+77.8</t>
  </si>
  <si>
    <t>J3432</t>
  </si>
  <si>
    <r>
      <rPr>
        <sz val="8"/>
        <rFont val="Arial"/>
        <charset val="134"/>
      </rPr>
      <t>迪拜</t>
    </r>
    <r>
      <rPr>
        <sz val="8"/>
        <rFont val="Arial"/>
        <charset val="134"/>
      </rPr>
      <t>saed</t>
    </r>
  </si>
  <si>
    <t>DHL:43 2879 2554</t>
  </si>
  <si>
    <r>
      <rPr>
        <sz val="8"/>
        <color theme="1"/>
        <rFont val="Arial"/>
        <charset val="134"/>
      </rPr>
      <t>会昌订舱</t>
    </r>
    <r>
      <rPr>
        <sz val="8"/>
        <color indexed="8"/>
        <rFont val="Arial"/>
        <charset val="134"/>
      </rPr>
      <t>SAF</t>
    </r>
    <r>
      <rPr>
        <sz val="8"/>
        <color theme="1"/>
        <rFont val="宋体"/>
        <charset val="134"/>
      </rPr>
      <t>，拖车报关</t>
    </r>
  </si>
  <si>
    <t>J3451</t>
  </si>
  <si>
    <r>
      <rPr>
        <sz val="8"/>
        <rFont val="Arial"/>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</si>
  <si>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rFont val="Arial"/>
        <charset val="134"/>
      </rPr>
      <t>1x40</t>
    </r>
    <r>
      <rPr>
        <sz val="8"/>
        <rFont val="宋体"/>
        <charset val="134"/>
      </rPr>
      <t>轻钢小付骨</t>
    </r>
  </si>
  <si>
    <t>DHL:60 0734 6461</t>
  </si>
  <si>
    <r>
      <rPr>
        <sz val="8"/>
        <rFont val="Arial"/>
        <charset val="134"/>
      </rPr>
      <t>中正物流订舱</t>
    </r>
    <r>
      <rPr>
        <sz val="8"/>
        <rFont val="Arial"/>
        <charset val="134"/>
      </rPr>
      <t>960</t>
    </r>
    <r>
      <rPr>
        <sz val="8"/>
        <rFont val="宋体"/>
        <charset val="134"/>
      </rPr>
      <t>，拖车报关</t>
    </r>
  </si>
  <si>
    <t>J3462</t>
  </si>
  <si>
    <t>DHL62 9715 9982</t>
  </si>
  <si>
    <r>
      <rPr>
        <sz val="8"/>
        <rFont val="Arial"/>
        <charset val="134"/>
      </rPr>
      <t>会昌订舱</t>
    </r>
    <r>
      <rPr>
        <sz val="8"/>
        <rFont val="Arial"/>
        <charset val="134"/>
      </rPr>
      <t>1390</t>
    </r>
    <r>
      <rPr>
        <sz val="8"/>
        <rFont val="宋体"/>
        <charset val="134"/>
      </rPr>
      <t>，拖车报关</t>
    </r>
  </si>
  <si>
    <t>M3466</t>
  </si>
  <si>
    <r>
      <rPr>
        <sz val="8"/>
        <rFont val="Arial"/>
        <charset val="134"/>
      </rPr>
      <t>比利时</t>
    </r>
    <r>
      <rPr>
        <sz val="8"/>
        <rFont val="Arial"/>
        <charset val="134"/>
      </rPr>
      <t xml:space="preserve"> ASE </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</si>
  <si>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r>
      <rPr>
        <sz val="8"/>
        <rFont val="Arial"/>
        <charset val="134"/>
      </rPr>
      <t>+</t>
    </r>
    <r>
      <rPr>
        <sz val="8"/>
        <rFont val="宋体"/>
        <charset val="134"/>
      </rPr>
      <t>干壁钉</t>
    </r>
  </si>
  <si>
    <t>xingang-DAR-SALAAM</t>
  </si>
  <si>
    <t>海进订舱，会昌拖车报关</t>
  </si>
  <si>
    <t>J3469</t>
  </si>
  <si>
    <r>
      <rPr>
        <sz val="8"/>
        <rFont val="Arial"/>
        <charset val="134"/>
      </rPr>
      <t>1x20+1x40</t>
    </r>
    <r>
      <rPr>
        <sz val="8"/>
        <rFont val="Cambria"/>
        <charset val="134"/>
      </rPr>
      <t>轻钢</t>
    </r>
  </si>
  <si>
    <t>DHL:1032488262</t>
  </si>
  <si>
    <r>
      <rPr>
        <sz val="8"/>
        <rFont val="Arial"/>
        <charset val="134"/>
      </rPr>
      <t>中振订舱</t>
    </r>
    <r>
      <rPr>
        <sz val="8"/>
        <rFont val="Arial"/>
        <charset val="134"/>
      </rPr>
      <t>1350/1390</t>
    </r>
    <r>
      <rPr>
        <sz val="8"/>
        <rFont val="宋体"/>
        <charset val="134"/>
      </rPr>
      <t>，拖车报关</t>
    </r>
  </si>
  <si>
    <t>J3478</t>
  </si>
  <si>
    <t>DHL:18 1182 7990</t>
  </si>
  <si>
    <r>
      <rPr>
        <sz val="8"/>
        <rFont val="Arial"/>
        <charset val="134"/>
      </rPr>
      <t>中振订舱</t>
    </r>
    <r>
      <rPr>
        <sz val="8"/>
        <rFont val="Arial"/>
        <charset val="134"/>
      </rPr>
      <t>1320</t>
    </r>
    <r>
      <rPr>
        <sz val="8"/>
        <rFont val="宋体"/>
        <charset val="134"/>
      </rPr>
      <t>，捷运达拖车报关</t>
    </r>
  </si>
  <si>
    <t>M3483</t>
  </si>
  <si>
    <t>xingang- uganda</t>
  </si>
  <si>
    <t>DHL 2419145050</t>
  </si>
  <si>
    <t>海进订舱，中振拖车报关</t>
  </si>
  <si>
    <t>J3482</t>
  </si>
  <si>
    <r>
      <rPr>
        <sz val="8"/>
        <rFont val="Arial"/>
        <charset val="134"/>
      </rPr>
      <t>1x40</t>
    </r>
    <r>
      <rPr>
        <sz val="8"/>
        <rFont val="Cambria"/>
        <charset val="134"/>
      </rPr>
      <t>轻钢小付骨</t>
    </r>
  </si>
  <si>
    <r>
      <rPr>
        <sz val="8"/>
        <rFont val="Arial"/>
        <charset val="134"/>
      </rPr>
      <t>中振</t>
    </r>
    <r>
      <rPr>
        <sz val="8"/>
        <rFont val="Arial"/>
        <charset val="134"/>
      </rPr>
      <t>960</t>
    </r>
    <r>
      <rPr>
        <sz val="8"/>
        <rFont val="宋体"/>
        <charset val="134"/>
      </rPr>
      <t>，拖车报关</t>
    </r>
  </si>
  <si>
    <t>J3486-1</t>
  </si>
  <si>
    <t>DHL41 1434 7565</t>
  </si>
  <si>
    <t>J3505-1</t>
  </si>
  <si>
    <t>DHL: 79 1570 7483</t>
  </si>
  <si>
    <t>J3505-2</t>
  </si>
  <si>
    <r>
      <rPr>
        <sz val="8"/>
        <rFont val="Arial"/>
        <charset val="134"/>
      </rPr>
      <t>3x40</t>
    </r>
    <r>
      <rPr>
        <sz val="8"/>
        <rFont val="宋体"/>
        <charset val="134"/>
      </rPr>
      <t>轻钢</t>
    </r>
  </si>
  <si>
    <t>DHL:42 1734 9463</t>
  </si>
  <si>
    <t>深圳金源号订舱，会昌拖车报关</t>
  </si>
  <si>
    <t>J3505-3</t>
  </si>
  <si>
    <t>DHL:</t>
  </si>
  <si>
    <r>
      <rPr>
        <sz val="8"/>
        <rFont val="Arial"/>
        <charset val="134"/>
      </rPr>
      <t>天津誉周</t>
    </r>
    <r>
      <rPr>
        <sz val="8"/>
        <rFont val="Arial"/>
        <charset val="134"/>
      </rPr>
      <t>1240/1280</t>
    </r>
    <r>
      <rPr>
        <sz val="8"/>
        <rFont val="宋体"/>
        <charset val="134"/>
      </rPr>
      <t>，会昌拖车报关</t>
    </r>
  </si>
  <si>
    <t>J3505-4</t>
  </si>
  <si>
    <r>
      <rPr>
        <sz val="8"/>
        <rFont val="Arial"/>
        <charset val="134"/>
      </rPr>
      <t xml:space="preserve">1X20 +1X40 </t>
    </r>
    <r>
      <rPr>
        <sz val="8"/>
        <rFont val="宋体"/>
        <charset val="134"/>
      </rPr>
      <t>轻钢</t>
    </r>
  </si>
  <si>
    <r>
      <rPr>
        <sz val="8"/>
        <rFont val="Arial"/>
        <charset val="134"/>
      </rPr>
      <t>天津誉周</t>
    </r>
    <r>
      <rPr>
        <sz val="8"/>
        <rFont val="Arial"/>
        <charset val="134"/>
      </rPr>
      <t>1080/1130</t>
    </r>
    <r>
      <rPr>
        <sz val="8"/>
        <rFont val="宋体"/>
        <charset val="134"/>
      </rPr>
      <t>，会昌拖车报关</t>
    </r>
  </si>
  <si>
    <t>J3512</t>
  </si>
  <si>
    <r>
      <rPr>
        <sz val="8"/>
        <rFont val="宋体"/>
        <charset val="134"/>
      </rPr>
      <t>安哥拉</t>
    </r>
    <r>
      <rPr>
        <sz val="8"/>
        <rFont val="Arial"/>
        <charset val="134"/>
      </rPr>
      <t xml:space="preserve"> YIWU CITY GANXIE TRADING/HAMED</t>
    </r>
  </si>
  <si>
    <t>xingang-LUANDA ANGOLA</t>
  </si>
  <si>
    <r>
      <rPr>
        <sz val="8"/>
        <rFont val="Arial"/>
        <charset val="134"/>
      </rPr>
      <t>中振订舱</t>
    </r>
    <r>
      <rPr>
        <sz val="8"/>
        <rFont val="Arial"/>
        <charset val="134"/>
      </rPr>
      <t>1900</t>
    </r>
    <r>
      <rPr>
        <sz val="8"/>
        <rFont val="宋体"/>
        <charset val="134"/>
      </rPr>
      <t>，拖车买单报关</t>
    </r>
  </si>
  <si>
    <t>J3528</t>
  </si>
  <si>
    <r>
      <rPr>
        <sz val="8"/>
        <rFont val="Arial"/>
        <charset val="134"/>
      </rPr>
      <t>1x20+1x40</t>
    </r>
    <r>
      <rPr>
        <sz val="8"/>
        <rFont val="宋体"/>
        <charset val="134"/>
      </rPr>
      <t>轻钢</t>
    </r>
    <r>
      <rPr>
        <sz val="8"/>
        <rFont val="Arial"/>
        <charset val="134"/>
      </rPr>
      <t>+</t>
    </r>
    <r>
      <rPr>
        <sz val="8"/>
        <rFont val="宋体"/>
        <charset val="134"/>
      </rPr>
      <t>检修口</t>
    </r>
    <r>
      <rPr>
        <sz val="8"/>
        <rFont val="Arial"/>
        <charset val="134"/>
      </rPr>
      <t>+</t>
    </r>
    <r>
      <rPr>
        <sz val="8"/>
        <rFont val="宋体"/>
        <charset val="134"/>
      </rPr>
      <t>配件</t>
    </r>
  </si>
  <si>
    <t>DHL:27 8488 1212</t>
  </si>
  <si>
    <r>
      <rPr>
        <sz val="8"/>
        <rFont val="Arial"/>
        <charset val="134"/>
      </rPr>
      <t>中振订舱</t>
    </r>
    <r>
      <rPr>
        <sz val="8"/>
        <rFont val="Arial"/>
        <charset val="134"/>
      </rPr>
      <t>1200/1220</t>
    </r>
    <r>
      <rPr>
        <sz val="8"/>
        <rFont val="宋体"/>
        <charset val="134"/>
      </rPr>
      <t>，拖车报关</t>
    </r>
  </si>
  <si>
    <r>
      <rPr>
        <sz val="8"/>
        <rFont val="Arial"/>
        <charset val="134"/>
      </rPr>
      <t>尾款</t>
    </r>
    <r>
      <rPr>
        <sz val="8"/>
        <rFont val="Arial"/>
        <charset val="134"/>
      </rPr>
      <t>8</t>
    </r>
    <r>
      <rPr>
        <sz val="8"/>
        <rFont val="宋体"/>
        <charset val="134"/>
      </rPr>
      <t>月</t>
    </r>
    <r>
      <rPr>
        <sz val="8"/>
        <rFont val="Arial"/>
        <charset val="134"/>
      </rPr>
      <t>6</t>
    </r>
    <r>
      <rPr>
        <sz val="8"/>
        <rFont val="宋体"/>
        <charset val="134"/>
      </rPr>
      <t>日付</t>
    </r>
  </si>
  <si>
    <t>J3532</t>
  </si>
  <si>
    <t>义乌</t>
  </si>
  <si>
    <t>全款到账</t>
  </si>
  <si>
    <t>J3531</t>
  </si>
  <si>
    <r>
      <rPr>
        <sz val="8"/>
        <rFont val="Arial"/>
        <charset val="134"/>
      </rPr>
      <t>1x20</t>
    </r>
    <r>
      <rPr>
        <sz val="8"/>
        <rFont val="Cambria"/>
        <charset val="134"/>
      </rPr>
      <t>轻钢</t>
    </r>
  </si>
  <si>
    <t>DHL : 69 3015 2736</t>
  </si>
  <si>
    <r>
      <rPr>
        <sz val="8"/>
        <rFont val="Arial"/>
        <charset val="134"/>
      </rPr>
      <t>中振订舱</t>
    </r>
    <r>
      <rPr>
        <sz val="8"/>
        <rFont val="Arial"/>
        <charset val="134"/>
      </rPr>
      <t>1200</t>
    </r>
    <r>
      <rPr>
        <sz val="8"/>
        <rFont val="宋体"/>
        <charset val="134"/>
      </rPr>
      <t>，拖车报关</t>
    </r>
  </si>
  <si>
    <t>4337+1762</t>
  </si>
  <si>
    <t>J3548-1</t>
  </si>
  <si>
    <r>
      <rPr>
        <sz val="8"/>
        <rFont val="Arial"/>
        <charset val="134"/>
      </rPr>
      <t>英国</t>
    </r>
    <r>
      <rPr>
        <sz val="8"/>
        <rFont val="Arial"/>
        <charset val="134"/>
      </rPr>
      <t xml:space="preserve"> CAD/ROB</t>
    </r>
  </si>
  <si>
    <t>xingang-SOUTHAMPTON, UK</t>
  </si>
  <si>
    <t>台骅订舱，鸣远拖车报关</t>
  </si>
  <si>
    <t>J3548-2</t>
  </si>
  <si>
    <r>
      <rPr>
        <sz val="8"/>
        <rFont val="Arial"/>
        <charset val="134"/>
      </rPr>
      <t xml:space="preserve">4x20 </t>
    </r>
    <r>
      <rPr>
        <sz val="8"/>
        <rFont val="Cambria"/>
        <charset val="134"/>
      </rPr>
      <t>轻钢</t>
    </r>
  </si>
  <si>
    <r>
      <rPr>
        <b/>
        <sz val="8"/>
        <rFont val="Arial"/>
        <charset val="134"/>
      </rPr>
      <t>DHL2049538083</t>
    </r>
    <r>
      <rPr>
        <b/>
        <sz val="8"/>
        <rFont val="宋体"/>
        <charset val="134"/>
      </rPr>
      <t>，单据已发客户</t>
    </r>
  </si>
  <si>
    <t xml:space="preserve">
</t>
  </si>
  <si>
    <t>J3553</t>
  </si>
  <si>
    <r>
      <rPr>
        <sz val="8"/>
        <rFont val="Arial"/>
        <charset val="134"/>
      </rPr>
      <t>卡塔尔</t>
    </r>
    <r>
      <rPr>
        <sz val="8"/>
        <rFont val="Arial"/>
        <charset val="134"/>
      </rPr>
      <t xml:space="preserve">Shahba/Abdul Hamed Sakal </t>
    </r>
    <r>
      <rPr>
        <sz val="8"/>
        <rFont val="宋体"/>
        <charset val="134"/>
      </rPr>
      <t>微信：</t>
    </r>
    <r>
      <rPr>
        <sz val="8"/>
        <rFont val="Arial"/>
        <charset val="134"/>
      </rPr>
      <t xml:space="preserve"> amir326339</t>
    </r>
  </si>
  <si>
    <t>DHL : 58 7197 9234</t>
  </si>
  <si>
    <r>
      <rPr>
        <sz val="8"/>
        <rFont val="Arial"/>
        <charset val="134"/>
      </rPr>
      <t>誉洲订舱</t>
    </r>
    <r>
      <rPr>
        <sz val="8"/>
        <rFont val="Arial"/>
        <charset val="134"/>
      </rPr>
      <t>1060</t>
    </r>
    <r>
      <rPr>
        <sz val="8"/>
        <rFont val="宋体"/>
        <charset val="134"/>
      </rPr>
      <t>，鸣远张涛拖车报关</t>
    </r>
  </si>
  <si>
    <t>J3562-1</t>
  </si>
  <si>
    <r>
      <rPr>
        <sz val="8"/>
        <rFont val="Arial"/>
        <charset val="134"/>
      </rPr>
      <t xml:space="preserve">2x20 </t>
    </r>
    <r>
      <rPr>
        <sz val="8"/>
        <rFont val="Cambria"/>
        <charset val="134"/>
      </rPr>
      <t>轻钢</t>
    </r>
  </si>
  <si>
    <t>xingang-hamed</t>
  </si>
  <si>
    <t>DHL:34 4876 5703</t>
  </si>
  <si>
    <r>
      <rPr>
        <sz val="8"/>
        <rFont val="Arial"/>
        <charset val="134"/>
      </rPr>
      <t>誉洲订舱</t>
    </r>
    <r>
      <rPr>
        <sz val="8"/>
        <rFont val="Arial"/>
        <charset val="134"/>
      </rPr>
      <t>1087HPL,</t>
    </r>
    <r>
      <rPr>
        <sz val="8"/>
        <rFont val="宋体"/>
        <charset val="134"/>
      </rPr>
      <t>鸣远张涛拖车报关</t>
    </r>
  </si>
  <si>
    <t>J3548-3</t>
  </si>
  <si>
    <r>
      <rPr>
        <b/>
        <sz val="8"/>
        <color rgb="FF0000FF"/>
        <rFont val="Arial"/>
        <charset val="134"/>
      </rPr>
      <t>DHL1385948384</t>
    </r>
    <r>
      <rPr>
        <b/>
        <sz val="8"/>
        <rFont val="宋体"/>
        <charset val="134"/>
      </rPr>
      <t>，</t>
    </r>
    <r>
      <rPr>
        <b/>
        <sz val="8"/>
        <rFont val="Arial"/>
        <charset val="134"/>
      </rPr>
      <t>BL</t>
    </r>
    <r>
      <rPr>
        <b/>
        <sz val="8"/>
        <rFont val="宋体"/>
        <charset val="134"/>
      </rPr>
      <t>正本到了</t>
    </r>
    <r>
      <rPr>
        <b/>
        <sz val="8"/>
        <rFont val="Arial"/>
        <charset val="134"/>
      </rPr>
      <t xml:space="preserve"> CO</t>
    </r>
    <r>
      <rPr>
        <b/>
        <sz val="8"/>
        <rFont val="宋体"/>
        <charset val="134"/>
      </rPr>
      <t>拿了</t>
    </r>
  </si>
  <si>
    <t>J3548-4</t>
  </si>
  <si>
    <r>
      <rPr>
        <sz val="8"/>
        <rFont val="Arial"/>
        <charset val="134"/>
      </rPr>
      <t xml:space="preserve">DHL6484260436
 </t>
    </r>
    <r>
      <rPr>
        <sz val="8"/>
        <rFont val="宋体"/>
        <charset val="134"/>
      </rPr>
      <t>单据已发客户</t>
    </r>
    <r>
      <rPr>
        <sz val="8"/>
        <rFont val="Arial"/>
        <charset val="134"/>
      </rPr>
      <t xml:space="preserve"> </t>
    </r>
    <r>
      <rPr>
        <sz val="8"/>
        <rFont val="宋体"/>
        <charset val="134"/>
      </rPr>
      <t>提单扫描件有了</t>
    </r>
    <r>
      <rPr>
        <sz val="8"/>
        <rFont val="Arial"/>
        <charset val="134"/>
      </rPr>
      <t xml:space="preserve"> CO</t>
    </r>
    <r>
      <rPr>
        <sz val="8"/>
        <rFont val="宋体"/>
        <charset val="134"/>
      </rPr>
      <t>拿了</t>
    </r>
  </si>
  <si>
    <t>台骅订舱，会昌拖车报关</t>
  </si>
  <si>
    <t>J3548-5</t>
  </si>
  <si>
    <r>
      <rPr>
        <b/>
        <sz val="8"/>
        <rFont val="Arial"/>
        <charset val="134"/>
      </rPr>
      <t>DHL3062802120
CO</t>
    </r>
    <r>
      <rPr>
        <b/>
        <sz val="8"/>
        <rFont val="宋体"/>
        <charset val="134"/>
      </rPr>
      <t>拿了</t>
    </r>
    <r>
      <rPr>
        <b/>
        <sz val="8"/>
        <color rgb="FF0000FF"/>
        <rFont val="Arial"/>
        <charset val="134"/>
      </rPr>
      <t xml:space="preserve"> -4</t>
    </r>
    <r>
      <rPr>
        <b/>
        <sz val="8"/>
        <color rgb="FF0000FF"/>
        <rFont val="宋体"/>
        <charset val="134"/>
      </rPr>
      <t>付了</t>
    </r>
    <r>
      <rPr>
        <b/>
        <sz val="8"/>
        <color rgb="FF0000FF"/>
        <rFont val="Arial"/>
        <charset val="134"/>
      </rPr>
      <t>18350.5</t>
    </r>
    <r>
      <rPr>
        <b/>
        <sz val="8"/>
        <rFont val="Arial"/>
        <charset val="134"/>
      </rPr>
      <t xml:space="preserve"> 5</t>
    </r>
    <r>
      <rPr>
        <b/>
        <sz val="8"/>
        <rFont val="宋体"/>
        <charset val="134"/>
      </rPr>
      <t>个柜定金是</t>
    </r>
    <r>
      <rPr>
        <b/>
        <sz val="8"/>
        <rFont val="Arial"/>
        <charset val="134"/>
      </rPr>
      <t xml:space="preserve">4147.78+9713+20000=33860.78 </t>
    </r>
    <r>
      <rPr>
        <b/>
        <sz val="8"/>
        <rFont val="宋体"/>
        <charset val="134"/>
      </rPr>
      <t>第一个柜用掉</t>
    </r>
    <r>
      <rPr>
        <b/>
        <sz val="8"/>
        <rFont val="Arial"/>
        <charset val="134"/>
      </rPr>
      <t xml:space="preserve">2000 </t>
    </r>
    <r>
      <rPr>
        <b/>
        <sz val="8"/>
        <rFont val="宋体"/>
        <charset val="134"/>
      </rPr>
      <t>去掉模具费</t>
    </r>
    <r>
      <rPr>
        <b/>
        <sz val="8"/>
        <rFont val="Arial"/>
        <charset val="134"/>
      </rPr>
      <t xml:space="preserve">2205 </t>
    </r>
    <r>
      <rPr>
        <b/>
        <sz val="8"/>
        <rFont val="宋体"/>
        <charset val="134"/>
      </rPr>
      <t>定金剩余</t>
    </r>
    <r>
      <rPr>
        <b/>
        <sz val="8"/>
        <rFont val="Arial"/>
        <charset val="134"/>
      </rPr>
      <t xml:space="preserve">29655.78  </t>
    </r>
    <r>
      <rPr>
        <b/>
        <sz val="8"/>
        <rFont val="宋体"/>
        <charset val="134"/>
      </rPr>
      <t>去掉第五个柜货值</t>
    </r>
    <r>
      <rPr>
        <b/>
        <sz val="8"/>
        <rFont val="Arial"/>
        <charset val="134"/>
      </rPr>
      <t xml:space="preserve">  </t>
    </r>
    <r>
      <rPr>
        <b/>
        <sz val="8"/>
        <rFont val="宋体"/>
        <charset val="134"/>
      </rPr>
      <t>定金剩余</t>
    </r>
    <r>
      <rPr>
        <b/>
        <sz val="8"/>
        <rFont val="Arial"/>
        <charset val="134"/>
      </rPr>
      <t xml:space="preserve">10874.27
 </t>
    </r>
    <r>
      <rPr>
        <b/>
        <sz val="8"/>
        <rFont val="宋体"/>
        <charset val="134"/>
      </rPr>
      <t>客户</t>
    </r>
    <r>
      <rPr>
        <b/>
        <sz val="8"/>
        <rFont val="Arial"/>
        <charset val="134"/>
      </rPr>
      <t>HS code  7216611000</t>
    </r>
  </si>
  <si>
    <t>J3562-2</t>
  </si>
  <si>
    <t>DHL: 10 3623 4695</t>
  </si>
  <si>
    <r>
      <rPr>
        <sz val="8"/>
        <rFont val="Arial"/>
        <charset val="134"/>
      </rPr>
      <t>誉洲订舱</t>
    </r>
    <r>
      <rPr>
        <sz val="8"/>
        <rFont val="Arial"/>
        <charset val="134"/>
      </rPr>
      <t>MSC,</t>
    </r>
    <r>
      <rPr>
        <sz val="8"/>
        <rFont val="宋体"/>
        <charset val="134"/>
      </rPr>
      <t>鸣远张涛拖车报关</t>
    </r>
  </si>
  <si>
    <t>M3565</t>
  </si>
  <si>
    <r>
      <rPr>
        <sz val="8"/>
        <rFont val="Arial"/>
        <charset val="134"/>
      </rPr>
      <t>1x20</t>
    </r>
    <r>
      <rPr>
        <sz val="8"/>
        <rFont val="Cambria"/>
        <charset val="134"/>
      </rPr>
      <t>轻钢</t>
    </r>
    <r>
      <rPr>
        <sz val="8"/>
        <rFont val="Arial"/>
        <charset val="134"/>
      </rPr>
      <t>+</t>
    </r>
    <r>
      <rPr>
        <sz val="8"/>
        <rFont val="Cambria"/>
        <charset val="134"/>
      </rPr>
      <t>玻纤卷</t>
    </r>
  </si>
  <si>
    <t>xingang-UGANDA</t>
  </si>
  <si>
    <t>山东海进，会昌拖车报关</t>
  </si>
  <si>
    <t>J3571</t>
  </si>
  <si>
    <r>
      <rPr>
        <sz val="8"/>
        <rFont val="Arial"/>
        <charset val="134"/>
      </rPr>
      <t>卡塔尔</t>
    </r>
    <r>
      <rPr>
        <sz val="8"/>
        <rFont val="Arial"/>
        <charset val="134"/>
      </rPr>
      <t xml:space="preserve"> Al Jamal/Mehaboob</t>
    </r>
  </si>
  <si>
    <r>
      <rPr>
        <sz val="8"/>
        <color rgb="FF0000FF"/>
        <rFont val="Arial"/>
        <charset val="134"/>
      </rPr>
      <t>DHL  66 2489 3962</t>
    </r>
    <r>
      <rPr>
        <sz val="8"/>
        <color rgb="FF0000FF"/>
        <rFont val="宋体"/>
        <charset val="134"/>
      </rPr>
      <t>单据齐等款，单据已发客户</t>
    </r>
  </si>
  <si>
    <r>
      <rPr>
        <sz val="8"/>
        <rFont val="Arial"/>
        <charset val="134"/>
      </rPr>
      <t>会昌</t>
    </r>
    <r>
      <rPr>
        <sz val="8"/>
        <rFont val="Arial"/>
        <charset val="134"/>
      </rPr>
      <t>975/1040</t>
    </r>
    <r>
      <rPr>
        <sz val="8"/>
        <rFont val="宋体"/>
        <charset val="134"/>
      </rPr>
      <t>，拖车报关</t>
    </r>
  </si>
  <si>
    <t>J3591</t>
  </si>
  <si>
    <r>
      <rPr>
        <sz val="8"/>
        <rFont val="宋体"/>
        <charset val="134"/>
      </rPr>
      <t>卡塔尔</t>
    </r>
    <r>
      <rPr>
        <sz val="8"/>
        <rFont val="Arial"/>
        <charset val="134"/>
      </rPr>
      <t xml:space="preserve"> Advanced/Muhammad</t>
    </r>
  </si>
  <si>
    <r>
      <rPr>
        <sz val="8"/>
        <color rgb="FF0000FF"/>
        <rFont val="Arial"/>
        <charset val="134"/>
      </rPr>
      <t>DHL9296926052</t>
    </r>
    <r>
      <rPr>
        <sz val="8"/>
        <rFont val="Arial"/>
        <charset val="134"/>
      </rPr>
      <t xml:space="preserve"> CO CCPIT</t>
    </r>
    <r>
      <rPr>
        <sz val="8"/>
        <rFont val="宋体"/>
        <charset val="134"/>
      </rPr>
      <t>齐了</t>
    </r>
    <r>
      <rPr>
        <sz val="8"/>
        <rFont val="Arial"/>
        <charset val="134"/>
      </rPr>
      <t xml:space="preserve"> </t>
    </r>
    <r>
      <rPr>
        <sz val="8"/>
        <rFont val="宋体"/>
        <charset val="134"/>
      </rPr>
      <t>安排</t>
    </r>
    <r>
      <rPr>
        <sz val="8"/>
        <rFont val="Arial"/>
        <charset val="134"/>
      </rPr>
      <t>16</t>
    </r>
    <r>
      <rPr>
        <sz val="8"/>
        <rFont val="宋体"/>
        <charset val="134"/>
      </rPr>
      <t>号装</t>
    </r>
    <r>
      <rPr>
        <sz val="8"/>
        <rFont val="Arial"/>
        <charset val="134"/>
      </rPr>
      <t>,</t>
    </r>
    <r>
      <rPr>
        <sz val="8"/>
        <rFont val="宋体"/>
        <charset val="134"/>
      </rPr>
      <t>操作同</t>
    </r>
    <r>
      <rPr>
        <sz val="8"/>
        <rFont val="Arial"/>
        <charset val="134"/>
      </rPr>
      <t>J3531</t>
    </r>
  </si>
  <si>
    <r>
      <rPr>
        <sz val="8"/>
        <rFont val="Arial"/>
        <charset val="134"/>
      </rPr>
      <t>天津誉州</t>
    </r>
    <r>
      <rPr>
        <sz val="8"/>
        <rFont val="Arial"/>
        <charset val="134"/>
      </rPr>
      <t>958</t>
    </r>
    <r>
      <rPr>
        <sz val="8"/>
        <rFont val="宋体"/>
        <charset val="134"/>
      </rPr>
      <t>订舱，鸣远拖车</t>
    </r>
  </si>
  <si>
    <t>J3600</t>
  </si>
  <si>
    <r>
      <rPr>
        <sz val="8"/>
        <rFont val="Arial"/>
        <charset val="134"/>
      </rPr>
      <t xml:space="preserve">2x40 </t>
    </r>
    <r>
      <rPr>
        <sz val="8"/>
        <rFont val="宋体"/>
        <charset val="134"/>
      </rPr>
      <t>轻钢</t>
    </r>
  </si>
  <si>
    <r>
      <rPr>
        <sz val="8"/>
        <rFont val="Arial"/>
        <charset val="134"/>
      </rPr>
      <t>DHL 4229433725  CO CCPIT</t>
    </r>
    <r>
      <rPr>
        <sz val="8"/>
        <rFont val="宋体"/>
        <charset val="134"/>
      </rPr>
      <t>齐了</t>
    </r>
    <r>
      <rPr>
        <sz val="8"/>
        <rFont val="Arial"/>
        <charset val="134"/>
      </rPr>
      <t xml:space="preserve"> </t>
    </r>
    <r>
      <rPr>
        <sz val="8"/>
        <rFont val="宋体"/>
        <charset val="134"/>
      </rPr>
      <t>安排</t>
    </r>
    <r>
      <rPr>
        <sz val="8"/>
        <rFont val="Arial"/>
        <charset val="134"/>
      </rPr>
      <t>24</t>
    </r>
    <r>
      <rPr>
        <sz val="8"/>
        <rFont val="宋体"/>
        <charset val="134"/>
      </rPr>
      <t>号装</t>
    </r>
    <r>
      <rPr>
        <sz val="8"/>
        <rFont val="Arial"/>
        <charset val="134"/>
      </rPr>
      <t xml:space="preserve"> </t>
    </r>
    <r>
      <rPr>
        <sz val="8"/>
        <rFont val="宋体"/>
        <charset val="134"/>
      </rPr>
      <t>操作同</t>
    </r>
    <r>
      <rPr>
        <sz val="8"/>
        <rFont val="Arial"/>
        <charset val="134"/>
      </rPr>
      <t>J3562</t>
    </r>
  </si>
  <si>
    <r>
      <rPr>
        <sz val="8"/>
        <rFont val="Arial"/>
        <charset val="134"/>
      </rPr>
      <t>会昌订舱</t>
    </r>
    <r>
      <rPr>
        <sz val="8"/>
        <rFont val="Arial"/>
        <charset val="134"/>
      </rPr>
      <t>1080</t>
    </r>
    <r>
      <rPr>
        <sz val="8"/>
        <rFont val="宋体"/>
        <charset val="134"/>
      </rPr>
      <t>，拖车报关</t>
    </r>
  </si>
  <si>
    <t>M3601</t>
  </si>
  <si>
    <r>
      <rPr>
        <sz val="8"/>
        <rFont val="Arial"/>
        <charset val="134"/>
      </rPr>
      <t>南美</t>
    </r>
    <r>
      <rPr>
        <sz val="8"/>
        <rFont val="Arial"/>
        <charset val="134"/>
      </rPr>
      <t>Bemat</t>
    </r>
  </si>
  <si>
    <r>
      <rPr>
        <sz val="8"/>
        <rFont val="Arial"/>
        <charset val="134"/>
      </rPr>
      <t>6x20GP</t>
    </r>
    <r>
      <rPr>
        <sz val="8"/>
        <rFont val="宋体"/>
        <charset val="134"/>
      </rPr>
      <t>石膏板</t>
    </r>
    <r>
      <rPr>
        <sz val="8"/>
        <rFont val="Arial"/>
        <charset val="134"/>
      </rPr>
      <t>+</t>
    </r>
    <r>
      <rPr>
        <sz val="8"/>
        <rFont val="宋体"/>
        <charset val="134"/>
      </rPr>
      <t>轻钢</t>
    </r>
  </si>
  <si>
    <t>qingdao- ELIZABETH</t>
  </si>
  <si>
    <r>
      <rPr>
        <sz val="8"/>
        <color rgb="FF0000FF"/>
        <rFont val="Arial"/>
        <charset val="134"/>
      </rPr>
      <t xml:space="preserve">DHL 6017155465 </t>
    </r>
    <r>
      <rPr>
        <sz val="8"/>
        <color rgb="FF0000FF"/>
        <rFont val="宋体"/>
        <charset val="134"/>
      </rPr>
      <t>单据齐等款，单据已发客户</t>
    </r>
    <r>
      <rPr>
        <sz val="8"/>
        <rFont val="Arial"/>
        <charset val="134"/>
      </rPr>
      <t xml:space="preserve"> CO</t>
    </r>
    <r>
      <rPr>
        <sz val="8"/>
        <rFont val="宋体"/>
        <charset val="134"/>
      </rPr>
      <t>拿了</t>
    </r>
    <r>
      <rPr>
        <sz val="8"/>
        <rFont val="Arial"/>
        <charset val="134"/>
      </rPr>
      <t xml:space="preserve"> 22</t>
    </r>
    <r>
      <rPr>
        <sz val="8"/>
        <rFont val="宋体"/>
        <charset val="134"/>
      </rPr>
      <t>两个柜</t>
    </r>
    <r>
      <rPr>
        <sz val="8"/>
        <rFont val="Arial"/>
        <charset val="134"/>
      </rPr>
      <t xml:space="preserve"> 24</t>
    </r>
    <r>
      <rPr>
        <sz val="8"/>
        <rFont val="宋体"/>
        <charset val="134"/>
      </rPr>
      <t>两个</t>
    </r>
    <r>
      <rPr>
        <sz val="8"/>
        <rFont val="Arial"/>
        <charset val="134"/>
      </rPr>
      <t>25</t>
    </r>
    <r>
      <rPr>
        <sz val="8"/>
        <rFont val="宋体"/>
        <charset val="134"/>
      </rPr>
      <t>两个</t>
    </r>
    <r>
      <rPr>
        <sz val="8"/>
        <rFont val="Arial"/>
        <charset val="134"/>
      </rPr>
      <t xml:space="preserve"> </t>
    </r>
    <r>
      <rPr>
        <sz val="8"/>
        <rFont val="宋体"/>
        <charset val="134"/>
      </rPr>
      <t>操作同</t>
    </r>
    <r>
      <rPr>
        <sz val="8"/>
        <rFont val="Arial"/>
        <charset val="134"/>
      </rPr>
      <t>M3249</t>
    </r>
  </si>
  <si>
    <r>
      <rPr>
        <sz val="8"/>
        <rFont val="Arial"/>
        <charset val="134"/>
      </rPr>
      <t>张晋山</t>
    </r>
    <r>
      <rPr>
        <sz val="8"/>
        <rFont val="Arial"/>
        <charset val="134"/>
      </rPr>
      <t>830*6+35ENS</t>
    </r>
    <r>
      <rPr>
        <sz val="8"/>
        <rFont val="宋体"/>
        <charset val="134"/>
      </rPr>
      <t>费</t>
    </r>
    <r>
      <rPr>
        <sz val="8"/>
        <rFont val="Arial"/>
        <charset val="134"/>
      </rPr>
      <t>,</t>
    </r>
    <r>
      <rPr>
        <sz val="8"/>
        <rFont val="宋体"/>
        <charset val="134"/>
      </rPr>
      <t>泰安拖车报关</t>
    </r>
  </si>
  <si>
    <t>J3614</t>
  </si>
  <si>
    <r>
      <rPr>
        <sz val="6"/>
        <rFont val="Arial"/>
        <charset val="134"/>
      </rPr>
      <t>1x40</t>
    </r>
    <r>
      <rPr>
        <sz val="6"/>
        <rFont val="宋体"/>
        <charset val="134"/>
      </rPr>
      <t>烤漆龙骨</t>
    </r>
    <r>
      <rPr>
        <sz val="6"/>
        <rFont val="Arial"/>
        <charset val="134"/>
      </rPr>
      <t>+</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</si>
  <si>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t>xingang-LUANDA</t>
  </si>
  <si>
    <r>
      <rPr>
        <b/>
        <sz val="8"/>
        <rFont val="宋体"/>
        <charset val="134"/>
      </rPr>
      <t>单据齐等款</t>
    </r>
    <r>
      <rPr>
        <b/>
        <sz val="8"/>
        <rFont val="Arial"/>
        <charset val="134"/>
      </rPr>
      <t xml:space="preserve"> </t>
    </r>
    <r>
      <rPr>
        <b/>
        <sz val="8"/>
        <rFont val="宋体"/>
        <charset val="134"/>
      </rPr>
      <t>单据已发客户</t>
    </r>
    <r>
      <rPr>
        <b/>
        <sz val="8"/>
        <rFont val="Arial"/>
        <charset val="134"/>
      </rPr>
      <t xml:space="preserve"> </t>
    </r>
    <r>
      <rPr>
        <b/>
        <sz val="8"/>
        <rFont val="宋体"/>
        <charset val="134"/>
      </rPr>
      <t>电放费</t>
    </r>
    <r>
      <rPr>
        <b/>
        <sz val="8"/>
        <rFont val="Arial"/>
        <charset val="134"/>
      </rPr>
      <t>450RMB CNCA</t>
    </r>
    <r>
      <rPr>
        <b/>
        <sz val="8"/>
        <rFont val="宋体"/>
        <charset val="134"/>
      </rPr>
      <t>正本</t>
    </r>
    <r>
      <rPr>
        <b/>
        <sz val="8"/>
        <rFont val="Arial"/>
        <charset val="134"/>
      </rPr>
      <t xml:space="preserve"> </t>
    </r>
    <r>
      <rPr>
        <b/>
        <sz val="8"/>
        <rFont val="宋体"/>
        <charset val="134"/>
      </rPr>
      <t>下一个柜发票号写</t>
    </r>
    <r>
      <rPr>
        <b/>
        <sz val="8"/>
        <rFont val="Arial"/>
        <charset val="134"/>
      </rPr>
      <t xml:space="preserve">J3614-2  </t>
    </r>
    <r>
      <rPr>
        <b/>
        <sz val="8"/>
        <rFont val="宋体"/>
        <charset val="134"/>
      </rPr>
      <t>操作同</t>
    </r>
    <r>
      <rPr>
        <b/>
        <sz val="8"/>
        <rFont val="Arial"/>
        <charset val="134"/>
      </rPr>
      <t>J3512</t>
    </r>
  </si>
  <si>
    <r>
      <rPr>
        <sz val="8"/>
        <rFont val="Arial"/>
        <charset val="134"/>
      </rPr>
      <t>中振订舱客户</t>
    </r>
    <r>
      <rPr>
        <sz val="8"/>
        <rFont val="Arial"/>
        <charset val="134"/>
      </rPr>
      <t>CMA</t>
    </r>
    <r>
      <rPr>
        <sz val="8"/>
        <rFont val="宋体"/>
        <charset val="134"/>
      </rPr>
      <t>约价，拖车报关</t>
    </r>
  </si>
  <si>
    <t>J3614-2</t>
  </si>
  <si>
    <r>
      <rPr>
        <sz val="6"/>
        <rFont val="Arial"/>
        <charset val="134"/>
      </rPr>
      <t>1x40</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</si>
  <si>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r>
      <rPr>
        <b/>
        <sz val="8"/>
        <color rgb="FF0000FF"/>
        <rFont val="Arial"/>
        <charset val="134"/>
      </rPr>
      <t>CNCA</t>
    </r>
    <r>
      <rPr>
        <b/>
        <sz val="8"/>
        <rFont val="Arial"/>
        <charset val="134"/>
      </rPr>
      <t xml:space="preserve"> </t>
    </r>
    <r>
      <rPr>
        <b/>
        <sz val="8"/>
        <rFont val="宋体"/>
        <charset val="134"/>
      </rPr>
      <t>发票号写</t>
    </r>
    <r>
      <rPr>
        <b/>
        <sz val="8"/>
        <rFont val="Arial"/>
        <charset val="134"/>
      </rPr>
      <t xml:space="preserve">J3614-2  </t>
    </r>
    <r>
      <rPr>
        <b/>
        <sz val="8"/>
        <rFont val="宋体"/>
        <charset val="134"/>
      </rPr>
      <t>操作同</t>
    </r>
    <r>
      <rPr>
        <b/>
        <sz val="8"/>
        <rFont val="Arial"/>
        <charset val="134"/>
      </rPr>
      <t>J3614</t>
    </r>
  </si>
  <si>
    <t>J3621</t>
  </si>
  <si>
    <r>
      <rPr>
        <sz val="8"/>
        <rFont val="宋体"/>
        <charset val="134"/>
      </rPr>
      <t>卡塔尔</t>
    </r>
    <r>
      <rPr>
        <sz val="8"/>
        <rFont val="Arial"/>
        <charset val="134"/>
      </rPr>
      <t>Al Jamal /Mehaboob</t>
    </r>
  </si>
  <si>
    <r>
      <rPr>
        <sz val="8"/>
        <rFont val="Arial"/>
        <charset val="134"/>
      </rPr>
      <t xml:space="preserve">1x20'+1x40H </t>
    </r>
    <r>
      <rPr>
        <sz val="8"/>
        <rFont val="宋体"/>
        <charset val="134"/>
      </rPr>
      <t>轻钢</t>
    </r>
    <r>
      <rPr>
        <sz val="8"/>
        <rFont val="Arial"/>
        <charset val="134"/>
      </rPr>
      <t>+</t>
    </r>
    <r>
      <rPr>
        <sz val="8"/>
        <rFont val="宋体"/>
        <charset val="134"/>
      </rPr>
      <t>配件</t>
    </r>
    <r>
      <rPr>
        <sz val="8"/>
        <rFont val="Arial"/>
        <charset val="134"/>
      </rPr>
      <t>+</t>
    </r>
    <r>
      <rPr>
        <sz val="8"/>
        <rFont val="宋体"/>
        <charset val="134"/>
      </rPr>
      <t>检修口</t>
    </r>
  </si>
  <si>
    <r>
      <rPr>
        <sz val="8"/>
        <rFont val="Arial"/>
        <charset val="134"/>
      </rPr>
      <t xml:space="preserve">DHL 3301562493 </t>
    </r>
    <r>
      <rPr>
        <sz val="8"/>
        <rFont val="宋体"/>
        <charset val="134"/>
      </rPr>
      <t>低报发票</t>
    </r>
    <r>
      <rPr>
        <sz val="8"/>
        <rFont val="Arial"/>
        <charset val="134"/>
      </rPr>
      <t>CCPIT CO</t>
    </r>
    <r>
      <rPr>
        <sz val="8"/>
        <rFont val="宋体"/>
        <charset val="134"/>
      </rPr>
      <t>拿了</t>
    </r>
    <r>
      <rPr>
        <sz val="8"/>
        <rFont val="Arial"/>
        <charset val="134"/>
      </rPr>
      <t xml:space="preserve"> </t>
    </r>
    <r>
      <rPr>
        <sz val="8"/>
        <rFont val="宋体"/>
        <charset val="134"/>
      </rPr>
      <t>货好操作同</t>
    </r>
    <r>
      <rPr>
        <sz val="8"/>
        <rFont val="Arial"/>
        <charset val="134"/>
      </rPr>
      <t>J3571</t>
    </r>
  </si>
  <si>
    <r>
      <rPr>
        <sz val="8"/>
        <rFont val="Arial"/>
        <charset val="134"/>
      </rPr>
      <t>誉洲订舱</t>
    </r>
    <r>
      <rPr>
        <sz val="8"/>
        <rFont val="Arial"/>
        <charset val="134"/>
      </rPr>
      <t xml:space="preserve">HPL1105/1447 </t>
    </r>
    <r>
      <rPr>
        <sz val="8"/>
        <rFont val="宋体"/>
        <charset val="134"/>
      </rPr>
      <t>给客户</t>
    </r>
    <r>
      <rPr>
        <sz val="8"/>
        <rFont val="Arial"/>
        <charset val="134"/>
      </rPr>
      <t>1110/1450</t>
    </r>
    <r>
      <rPr>
        <sz val="8"/>
        <rFont val="宋体"/>
        <charset val="134"/>
      </rPr>
      <t>，鸣远拖车报关</t>
    </r>
  </si>
  <si>
    <t>M3624</t>
  </si>
  <si>
    <r>
      <rPr>
        <sz val="8"/>
        <color rgb="FF000000"/>
        <rFont val="Arial"/>
        <charset val="134"/>
      </rPr>
      <t>比利时</t>
    </r>
    <r>
      <rPr>
        <sz val="8"/>
        <color rgb="FF000000"/>
        <rFont val="Arial"/>
        <charset val="134"/>
      </rPr>
      <t>ASE</t>
    </r>
    <r>
      <rPr>
        <sz val="8"/>
        <color rgb="FF000000"/>
        <rFont val="宋体"/>
        <charset val="134"/>
      </rPr>
      <t>（</t>
    </r>
    <r>
      <rPr>
        <sz val="8"/>
        <color rgb="FF000000"/>
        <rFont val="Arial"/>
        <charset val="134"/>
      </rPr>
      <t>Fitouri</t>
    </r>
    <r>
      <rPr>
        <sz val="8"/>
        <color rgb="FF000000"/>
        <rFont val="宋体"/>
        <charset val="134"/>
      </rPr>
      <t>）</t>
    </r>
  </si>
  <si>
    <r>
      <rPr>
        <sz val="8"/>
        <color rgb="FF000000"/>
        <rFont val="Arial"/>
        <charset val="134"/>
      </rPr>
      <t xml:space="preserve">1x40‘ </t>
    </r>
    <r>
      <rPr>
        <sz val="8"/>
        <color rgb="FF000000"/>
        <rFont val="华文宋体"/>
        <charset val="134"/>
      </rPr>
      <t>轻钢</t>
    </r>
    <r>
      <rPr>
        <sz val="8"/>
        <color rgb="FF000000"/>
        <rFont val="Arial"/>
        <charset val="134"/>
      </rPr>
      <t>+</t>
    </r>
    <r>
      <rPr>
        <sz val="8"/>
        <color rgb="FF000000"/>
        <rFont val="华文宋体"/>
        <charset val="134"/>
      </rPr>
      <t>钉子</t>
    </r>
  </si>
  <si>
    <r>
      <rPr>
        <b/>
        <sz val="8"/>
        <rFont val="Arial"/>
        <charset val="134"/>
      </rPr>
      <t>CO</t>
    </r>
    <r>
      <rPr>
        <b/>
        <sz val="8"/>
        <rFont val="宋体"/>
        <charset val="134"/>
      </rPr>
      <t>拿了</t>
    </r>
    <r>
      <rPr>
        <b/>
        <sz val="8"/>
        <color rgb="FF0000FF"/>
        <rFont val="Arial"/>
        <charset val="134"/>
      </rPr>
      <t xml:space="preserve"> </t>
    </r>
    <r>
      <rPr>
        <b/>
        <sz val="8"/>
        <rFont val="宋体"/>
        <charset val="134"/>
      </rPr>
      <t>先给客户扫描件</t>
    </r>
    <r>
      <rPr>
        <b/>
        <sz val="8"/>
        <rFont val="Arial"/>
        <charset val="134"/>
      </rPr>
      <t xml:space="preserve"> </t>
    </r>
    <r>
      <rPr>
        <b/>
        <sz val="8"/>
        <rFont val="宋体"/>
        <charset val="134"/>
      </rPr>
      <t>多走几票再给正本就行</t>
    </r>
    <r>
      <rPr>
        <b/>
        <sz val="8"/>
        <color rgb="FF0000FF"/>
        <rFont val="Arial"/>
        <charset val="134"/>
      </rPr>
      <t xml:space="preserve"> </t>
    </r>
    <r>
      <rPr>
        <b/>
        <sz val="8"/>
        <color rgb="FF0000FF"/>
        <rFont val="宋体"/>
        <charset val="134"/>
      </rPr>
      <t>电放</t>
    </r>
    <r>
      <rPr>
        <b/>
        <sz val="8"/>
        <rFont val="Arial"/>
        <charset val="134"/>
      </rPr>
      <t xml:space="preserve"> </t>
    </r>
    <r>
      <rPr>
        <b/>
        <sz val="8"/>
        <rFont val="宋体"/>
        <charset val="134"/>
      </rPr>
      <t>货代与国外客户确认提单</t>
    </r>
    <r>
      <rPr>
        <b/>
        <sz val="8"/>
        <rFont val="Arial"/>
        <charset val="134"/>
      </rPr>
      <t xml:space="preserve"> </t>
    </r>
    <r>
      <rPr>
        <b/>
        <sz val="8"/>
        <rFont val="宋体"/>
        <charset val="134"/>
      </rPr>
      <t>尾款装箱前结清，操作同</t>
    </r>
    <r>
      <rPr>
        <b/>
        <sz val="8"/>
        <rFont val="Arial"/>
        <charset val="134"/>
      </rPr>
      <t>M3565</t>
    </r>
  </si>
  <si>
    <t>指定代理山东海进，会昌拖车报关</t>
  </si>
  <si>
    <t>J3629</t>
  </si>
  <si>
    <r>
      <rPr>
        <sz val="8"/>
        <color rgb="FF000000"/>
        <rFont val="Arial"/>
        <charset val="134"/>
      </rPr>
      <t>卡塔尔</t>
    </r>
    <r>
      <rPr>
        <sz val="8"/>
        <color rgb="FF000000"/>
        <rFont val="Arial"/>
        <charset val="134"/>
      </rPr>
      <t>Unitech/Khaled</t>
    </r>
  </si>
  <si>
    <r>
      <rPr>
        <sz val="8"/>
        <color rgb="FF000000"/>
        <rFont val="Arial"/>
        <charset val="134"/>
      </rPr>
      <t xml:space="preserve">1x40HQ </t>
    </r>
    <r>
      <rPr>
        <sz val="8"/>
        <color rgb="FF000000"/>
        <rFont val="宋体"/>
        <charset val="134"/>
      </rPr>
      <t>轻钢</t>
    </r>
  </si>
  <si>
    <r>
      <rPr>
        <sz val="8"/>
        <rFont val="Arial"/>
        <charset val="134"/>
      </rPr>
      <t xml:space="preserve">DHL7394666440 </t>
    </r>
    <r>
      <rPr>
        <sz val="8"/>
        <rFont val="宋体"/>
        <charset val="134"/>
      </rPr>
      <t>单据已发客户</t>
    </r>
    <r>
      <rPr>
        <sz val="8"/>
        <rFont val="Arial"/>
        <charset val="134"/>
      </rPr>
      <t xml:space="preserve"> CCPIT CO</t>
    </r>
    <r>
      <rPr>
        <sz val="8"/>
        <rFont val="宋体"/>
        <charset val="134"/>
      </rPr>
      <t>拿了</t>
    </r>
    <r>
      <rPr>
        <sz val="8"/>
        <rFont val="Arial"/>
        <charset val="134"/>
      </rPr>
      <t xml:space="preserve"> </t>
    </r>
    <r>
      <rPr>
        <sz val="8"/>
        <rFont val="宋体"/>
        <charset val="134"/>
      </rPr>
      <t>海运费按</t>
    </r>
    <r>
      <rPr>
        <sz val="8"/>
        <rFont val="Arial"/>
        <charset val="134"/>
      </rPr>
      <t>950</t>
    </r>
    <r>
      <rPr>
        <sz val="8"/>
        <rFont val="宋体"/>
        <charset val="134"/>
      </rPr>
      <t>算</t>
    </r>
    <r>
      <rPr>
        <sz val="8"/>
        <rFont val="Arial"/>
        <charset val="134"/>
      </rPr>
      <t>,</t>
    </r>
    <r>
      <rPr>
        <sz val="8"/>
        <rFont val="宋体"/>
        <charset val="134"/>
      </rPr>
      <t>操作同</t>
    </r>
    <r>
      <rPr>
        <sz val="8"/>
        <rFont val="Arial"/>
        <charset val="134"/>
      </rPr>
      <t xml:space="preserve">J3562   </t>
    </r>
    <r>
      <rPr>
        <sz val="8"/>
        <rFont val="宋体"/>
        <charset val="134"/>
      </rPr>
      <t>订舱海运费</t>
    </r>
    <r>
      <rPr>
        <sz val="8"/>
        <rFont val="Arial"/>
        <charset val="134"/>
      </rPr>
      <t>1320</t>
    </r>
  </si>
  <si>
    <r>
      <rPr>
        <sz val="8"/>
        <rFont val="Arial"/>
        <charset val="134"/>
      </rPr>
      <t>永鑫海</t>
    </r>
    <r>
      <rPr>
        <sz val="8"/>
        <rFont val="Arial"/>
        <charset val="134"/>
      </rPr>
      <t>1342.39</t>
    </r>
    <r>
      <rPr>
        <sz val="8"/>
        <rFont val="宋体"/>
        <charset val="134"/>
      </rPr>
      <t>，永鑫海拖车报关</t>
    </r>
  </si>
  <si>
    <t>J3636</t>
  </si>
  <si>
    <r>
      <rPr>
        <sz val="8"/>
        <color rgb="FF000000"/>
        <rFont val="宋体"/>
        <charset val="134"/>
      </rPr>
      <t>马来西亚</t>
    </r>
    <r>
      <rPr>
        <sz val="8"/>
        <color rgb="FF000000"/>
        <rFont val="Arial"/>
        <charset val="134"/>
      </rPr>
      <t>LONG GRACE/IKK</t>
    </r>
  </si>
  <si>
    <r>
      <rPr>
        <b/>
        <sz val="8"/>
        <color theme="1"/>
        <rFont val="Arial"/>
        <charset val="134"/>
      </rPr>
      <t xml:space="preserve">SF297861708202 </t>
    </r>
    <r>
      <rPr>
        <b/>
        <sz val="8"/>
        <color theme="1"/>
        <rFont val="宋体"/>
        <charset val="134"/>
      </rPr>
      <t>没有特殊单据</t>
    </r>
    <r>
      <rPr>
        <b/>
        <sz val="8"/>
        <color rgb="FF0000FF"/>
        <rFont val="Arial"/>
        <charset val="134"/>
      </rPr>
      <t xml:space="preserve">
</t>
    </r>
    <r>
      <rPr>
        <b/>
        <sz val="8"/>
        <rFont val="Arial"/>
        <charset val="134"/>
      </rPr>
      <t>6</t>
    </r>
    <r>
      <rPr>
        <b/>
        <sz val="8"/>
        <rFont val="宋体"/>
        <charset val="134"/>
      </rPr>
      <t>号装操作同</t>
    </r>
    <r>
      <rPr>
        <b/>
        <sz val="8"/>
        <rFont val="Arial"/>
        <charset val="134"/>
      </rPr>
      <t>J3482</t>
    </r>
    <r>
      <rPr>
        <b/>
        <sz val="8"/>
        <rFont val="宋体"/>
        <charset val="134"/>
      </rPr>
      <t>。需要马来西亚换单，船用</t>
    </r>
    <r>
      <rPr>
        <b/>
        <sz val="8"/>
        <rFont val="Arial"/>
        <charset val="134"/>
      </rPr>
      <t>evergreen</t>
    </r>
    <r>
      <rPr>
        <b/>
        <sz val="8"/>
        <rFont val="宋体"/>
        <charset val="134"/>
      </rPr>
      <t>。</t>
    </r>
  </si>
  <si>
    <r>
      <rPr>
        <sz val="8"/>
        <rFont val="Arial"/>
        <charset val="134"/>
      </rPr>
      <t>张晋山订舱</t>
    </r>
    <r>
      <rPr>
        <sz val="8"/>
        <rFont val="Arial"/>
        <charset val="134"/>
      </rPr>
      <t>775+74</t>
    </r>
    <r>
      <rPr>
        <sz val="8"/>
        <rFont val="宋体"/>
        <charset val="134"/>
      </rPr>
      <t>，会昌拖车报关</t>
    </r>
  </si>
  <si>
    <t>M3646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</si>
  <si>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干壁钉</t>
    </r>
  </si>
  <si>
    <r>
      <rPr>
        <sz val="8"/>
        <rFont val="Arial"/>
        <charset val="134"/>
      </rPr>
      <t xml:space="preserve">DHL7394666440 
J3629:  $17495.88
M3646: </t>
    </r>
    <r>
      <rPr>
        <sz val="8"/>
        <rFont val="宋体"/>
        <charset val="134"/>
      </rPr>
      <t>应收</t>
    </r>
    <r>
      <rPr>
        <sz val="8"/>
        <rFont val="Arial"/>
        <charset val="134"/>
      </rPr>
      <t xml:space="preserve">$16653.77, </t>
    </r>
    <r>
      <rPr>
        <sz val="8"/>
        <rFont val="宋体"/>
        <charset val="134"/>
      </rPr>
      <t>客户实际打了</t>
    </r>
    <r>
      <rPr>
        <sz val="8"/>
        <rFont val="Arial"/>
        <charset val="134"/>
      </rPr>
      <t xml:space="preserve">$16515.79. </t>
    </r>
    <r>
      <rPr>
        <sz val="8"/>
        <rFont val="宋体"/>
        <charset val="134"/>
      </rPr>
      <t>客户算错了，少打了</t>
    </r>
    <r>
      <rPr>
        <sz val="8"/>
        <rFont val="Arial"/>
        <charset val="134"/>
      </rPr>
      <t>$136.98  CCPIT CO</t>
    </r>
    <r>
      <rPr>
        <sz val="8"/>
        <rFont val="宋体"/>
        <charset val="134"/>
      </rPr>
      <t>拿了海运费按</t>
    </r>
    <r>
      <rPr>
        <sz val="8"/>
        <rFont val="Arial"/>
        <charset val="134"/>
      </rPr>
      <t>1300</t>
    </r>
    <r>
      <rPr>
        <sz val="8"/>
        <rFont val="宋体"/>
        <charset val="134"/>
      </rPr>
      <t>算，承诺客户</t>
    </r>
    <r>
      <rPr>
        <sz val="8"/>
        <rFont val="Arial"/>
        <charset val="134"/>
      </rPr>
      <t>14</t>
    </r>
    <r>
      <rPr>
        <sz val="8"/>
        <rFont val="宋体"/>
        <charset val="134"/>
      </rPr>
      <t>天内生产完，操作同</t>
    </r>
    <r>
      <rPr>
        <sz val="8"/>
        <rFont val="Arial"/>
        <charset val="134"/>
      </rPr>
      <t xml:space="preserve">J3600  </t>
    </r>
    <r>
      <rPr>
        <sz val="8"/>
        <rFont val="宋体"/>
        <charset val="134"/>
      </rPr>
      <t>订舱海运费</t>
    </r>
    <r>
      <rPr>
        <sz val="8"/>
        <rFont val="Arial"/>
        <charset val="134"/>
      </rPr>
      <t>1320</t>
    </r>
  </si>
  <si>
    <r>
      <rPr>
        <sz val="8"/>
        <rFont val="Arial"/>
        <charset val="134"/>
      </rPr>
      <t>永鑫海</t>
    </r>
    <r>
      <rPr>
        <sz val="8"/>
        <rFont val="Arial"/>
        <charset val="134"/>
      </rPr>
      <t>1341.8</t>
    </r>
    <r>
      <rPr>
        <sz val="8"/>
        <rFont val="宋体"/>
        <charset val="134"/>
      </rPr>
      <t>，永鑫海拖车报关</t>
    </r>
  </si>
  <si>
    <t>J3658</t>
  </si>
  <si>
    <r>
      <rPr>
        <sz val="8"/>
        <color rgb="FF000000"/>
        <rFont val="Arial"/>
        <charset val="134"/>
      </rPr>
      <t xml:space="preserve">3x20 </t>
    </r>
    <r>
      <rPr>
        <sz val="8"/>
        <color rgb="FF000000"/>
        <rFont val="宋体"/>
        <charset val="134"/>
      </rPr>
      <t>轻钢</t>
    </r>
  </si>
  <si>
    <r>
      <rPr>
        <sz val="8"/>
        <rFont val="Arial"/>
        <charset val="134"/>
      </rPr>
      <t xml:space="preserve">DHL7949210824 </t>
    </r>
    <r>
      <rPr>
        <sz val="8"/>
        <rFont val="宋体"/>
        <charset val="134"/>
      </rPr>
      <t>单据已发客户</t>
    </r>
    <r>
      <rPr>
        <sz val="8"/>
        <rFont val="Arial"/>
        <charset val="134"/>
      </rPr>
      <t xml:space="preserve"> </t>
    </r>
    <r>
      <rPr>
        <sz val="8"/>
        <rFont val="宋体"/>
        <charset val="134"/>
      </rPr>
      <t>做</t>
    </r>
    <r>
      <rPr>
        <sz val="8"/>
        <rFont val="Arial"/>
        <charset val="134"/>
      </rPr>
      <t>CCPIT CO</t>
    </r>
    <r>
      <rPr>
        <sz val="8"/>
        <rFont val="宋体"/>
        <charset val="134"/>
      </rPr>
      <t>拿了</t>
    </r>
    <r>
      <rPr>
        <sz val="8"/>
        <rFont val="Arial"/>
        <charset val="134"/>
      </rPr>
      <t xml:space="preserve"> </t>
    </r>
    <r>
      <rPr>
        <sz val="8"/>
        <rFont val="宋体"/>
        <charset val="134"/>
      </rPr>
      <t>客户新订单补贴大概</t>
    </r>
    <r>
      <rPr>
        <sz val="8"/>
        <rFont val="Arial"/>
        <charset val="134"/>
      </rPr>
      <t>450</t>
    </r>
    <r>
      <rPr>
        <sz val="8"/>
        <rFont val="宋体"/>
        <charset val="134"/>
      </rPr>
      <t>美金海运费</t>
    </r>
    <r>
      <rPr>
        <sz val="8"/>
        <rFont val="Arial"/>
        <charset val="134"/>
      </rPr>
      <t xml:space="preserve">  </t>
    </r>
    <r>
      <rPr>
        <sz val="8"/>
        <rFont val="宋体"/>
        <charset val="134"/>
      </rPr>
      <t>海运估计</t>
    </r>
    <r>
      <rPr>
        <sz val="8"/>
        <rFont val="Arial"/>
        <charset val="134"/>
      </rPr>
      <t xml:space="preserve">1150 </t>
    </r>
    <r>
      <rPr>
        <sz val="8"/>
        <rFont val="宋体"/>
        <charset val="134"/>
      </rPr>
      <t>企业编码客户给了</t>
    </r>
    <r>
      <rPr>
        <sz val="8"/>
        <rFont val="Arial"/>
        <charset val="134"/>
      </rPr>
      <t xml:space="preserve">PDF </t>
    </r>
    <r>
      <rPr>
        <sz val="8"/>
        <rFont val="宋体"/>
        <charset val="134"/>
      </rPr>
      <t>信息齐全</t>
    </r>
  </si>
  <si>
    <r>
      <rPr>
        <sz val="8"/>
        <rFont val="Arial"/>
        <charset val="134"/>
      </rPr>
      <t>张晋山</t>
    </r>
    <r>
      <rPr>
        <sz val="8"/>
        <rFont val="Arial"/>
        <charset val="134"/>
      </rPr>
      <t>HPL1600</t>
    </r>
    <r>
      <rPr>
        <sz val="8"/>
        <rFont val="宋体"/>
        <charset val="134"/>
      </rPr>
      <t>，鸣远拖车报关</t>
    </r>
  </si>
  <si>
    <t>J3661</t>
  </si>
  <si>
    <r>
      <rPr>
        <sz val="8"/>
        <color rgb="FF000000"/>
        <rFont val="宋体"/>
        <charset val="134"/>
      </rPr>
      <t>卡塔尔</t>
    </r>
    <r>
      <rPr>
        <sz val="8"/>
        <color rgb="FF000000"/>
        <rFont val="Arial"/>
        <charset val="134"/>
      </rPr>
      <t xml:space="preserve"> Advanced/Muhammad</t>
    </r>
  </si>
  <si>
    <r>
      <rPr>
        <sz val="8"/>
        <color rgb="FF000000"/>
        <rFont val="Arial"/>
        <charset val="134"/>
      </rPr>
      <t xml:space="preserve">1x20' </t>
    </r>
    <r>
      <rPr>
        <sz val="8"/>
        <color rgb="FF000000"/>
        <rFont val="宋体"/>
        <charset val="134"/>
      </rPr>
      <t>轻钢</t>
    </r>
  </si>
  <si>
    <r>
      <rPr>
        <sz val="8"/>
        <color theme="1"/>
        <rFont val="Arial"/>
        <charset val="134"/>
      </rPr>
      <t xml:space="preserve">DHL1929670035 </t>
    </r>
    <r>
      <rPr>
        <sz val="8"/>
        <color theme="1"/>
        <rFont val="宋体"/>
        <charset val="134"/>
      </rPr>
      <t>提单扫描件有了</t>
    </r>
    <r>
      <rPr>
        <sz val="8"/>
        <color theme="1"/>
        <rFont val="Arial"/>
        <charset val="134"/>
      </rPr>
      <t>CCPIT</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rFont val="宋体"/>
        <charset val="134"/>
      </rPr>
      <t>客户出</t>
    </r>
    <r>
      <rPr>
        <sz val="8"/>
        <rFont val="Arial"/>
        <charset val="134"/>
      </rPr>
      <t>150</t>
    </r>
    <r>
      <rPr>
        <sz val="8"/>
        <rFont val="宋体"/>
        <charset val="134"/>
      </rPr>
      <t>美金海运费</t>
    </r>
    <r>
      <rPr>
        <sz val="8"/>
        <rFont val="Arial"/>
        <charset val="134"/>
      </rPr>
      <t xml:space="preserve"> </t>
    </r>
    <r>
      <rPr>
        <sz val="8"/>
        <rFont val="宋体"/>
        <charset val="134"/>
      </rPr>
      <t>操作同</t>
    </r>
    <r>
      <rPr>
        <sz val="8"/>
        <rFont val="Arial"/>
        <charset val="134"/>
      </rPr>
      <t>J3591</t>
    </r>
    <r>
      <rPr>
        <sz val="8"/>
        <rFont val="宋体"/>
        <charset val="134"/>
      </rPr>
      <t>，注意提重柜，理论货重：</t>
    </r>
    <r>
      <rPr>
        <sz val="8"/>
        <rFont val="Arial"/>
        <charset val="134"/>
      </rPr>
      <t>27.5</t>
    </r>
    <r>
      <rPr>
        <sz val="8"/>
        <rFont val="宋体"/>
        <charset val="134"/>
      </rPr>
      <t>吨</t>
    </r>
    <r>
      <rPr>
        <sz val="8"/>
        <rFont val="Arial"/>
        <charset val="134"/>
      </rPr>
      <t>CCPIT CO</t>
    </r>
  </si>
  <si>
    <r>
      <rPr>
        <sz val="8"/>
        <rFont val="Arial"/>
        <charset val="134"/>
      </rPr>
      <t>张晋山</t>
    </r>
    <r>
      <rPr>
        <sz val="8"/>
        <rFont val="Arial"/>
        <charset val="134"/>
      </rPr>
      <t>HPL1600</t>
    </r>
    <r>
      <rPr>
        <sz val="8"/>
        <rFont val="宋体"/>
        <charset val="134"/>
      </rPr>
      <t>，鸣远拖车</t>
    </r>
  </si>
  <si>
    <t>M3670</t>
  </si>
  <si>
    <r>
      <rPr>
        <sz val="8"/>
        <color rgb="FF000000"/>
        <rFont val="Arial"/>
        <charset val="134"/>
      </rPr>
      <t>比利时</t>
    </r>
    <r>
      <rPr>
        <sz val="8"/>
        <color rgb="FF000000"/>
        <rFont val="Arial"/>
        <charset val="134"/>
      </rPr>
      <t>ASE/Mohamed</t>
    </r>
  </si>
  <si>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玻纤带</t>
    </r>
  </si>
  <si>
    <r>
      <rPr>
        <sz val="8"/>
        <rFont val="Arial"/>
        <charset val="134"/>
      </rPr>
      <t>CO</t>
    </r>
    <r>
      <rPr>
        <sz val="8"/>
        <rFont val="宋体"/>
        <charset val="134"/>
      </rPr>
      <t>拿了</t>
    </r>
    <r>
      <rPr>
        <sz val="8"/>
        <rFont val="Arial"/>
        <charset val="134"/>
      </rPr>
      <t xml:space="preserve"> </t>
    </r>
    <r>
      <rPr>
        <sz val="8"/>
        <rFont val="宋体"/>
        <charset val="134"/>
      </rPr>
      <t>出提单电放</t>
    </r>
    <r>
      <rPr>
        <sz val="8"/>
        <rFont val="Arial"/>
        <charset val="134"/>
      </rPr>
      <t xml:space="preserve"> </t>
    </r>
    <r>
      <rPr>
        <sz val="8"/>
        <rFont val="宋体"/>
        <charset val="134"/>
      </rPr>
      <t>装箱前结清货款，请优先安排，客户着急要货</t>
    </r>
    <r>
      <rPr>
        <sz val="8"/>
        <rFont val="Arial"/>
        <charset val="134"/>
      </rPr>
      <t xml:space="preserve">  </t>
    </r>
    <r>
      <rPr>
        <sz val="8"/>
        <rFont val="宋体"/>
        <charset val="134"/>
      </rPr>
      <t>代理和国外确认提单</t>
    </r>
    <r>
      <rPr>
        <sz val="8"/>
        <rFont val="Arial"/>
        <charset val="134"/>
      </rPr>
      <t xml:space="preserve"> </t>
    </r>
    <r>
      <rPr>
        <sz val="8"/>
        <rFont val="宋体"/>
        <charset val="134"/>
      </rPr>
      <t>操作同</t>
    </r>
    <r>
      <rPr>
        <sz val="8"/>
        <rFont val="Arial"/>
        <charset val="134"/>
      </rPr>
      <t>M3624</t>
    </r>
  </si>
  <si>
    <t>海进订舱，鸣远拖车</t>
  </si>
  <si>
    <t>M3676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</si>
  <si>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玻璃棉</t>
    </r>
  </si>
  <si>
    <r>
      <rPr>
        <sz val="8"/>
        <rFont val="Arial"/>
        <charset val="134"/>
      </rPr>
      <t>3676</t>
    </r>
    <r>
      <rPr>
        <sz val="8"/>
        <rFont val="宋体"/>
        <charset val="134"/>
      </rPr>
      <t>那个，把</t>
    </r>
    <r>
      <rPr>
        <sz val="8"/>
        <rFont val="Arial"/>
        <charset val="134"/>
      </rPr>
      <t xml:space="preserve">shipping mark </t>
    </r>
    <r>
      <rPr>
        <sz val="8"/>
        <rFont val="宋体"/>
        <charset val="134"/>
      </rPr>
      <t>做到单据里</t>
    </r>
    <r>
      <rPr>
        <sz val="8"/>
        <rFont val="Arial"/>
        <charset val="134"/>
      </rPr>
      <t xml:space="preserve"> CO</t>
    </r>
    <r>
      <rPr>
        <sz val="8"/>
        <rFont val="宋体"/>
        <charset val="134"/>
      </rPr>
      <t>拿了</t>
    </r>
    <r>
      <rPr>
        <sz val="8"/>
        <rFont val="Arial"/>
        <charset val="134"/>
      </rPr>
      <t xml:space="preserve"> </t>
    </r>
    <r>
      <rPr>
        <sz val="8"/>
        <rFont val="宋体"/>
        <charset val="134"/>
      </rPr>
      <t>生产完了客户就可以付尾款，请优先安排</t>
    </r>
    <r>
      <rPr>
        <sz val="8"/>
        <rFont val="Arial"/>
        <charset val="134"/>
      </rPr>
      <t xml:space="preserve"> </t>
    </r>
    <r>
      <rPr>
        <sz val="8"/>
        <rFont val="宋体"/>
        <charset val="134"/>
      </rPr>
      <t>代理和国外确认提单操作同</t>
    </r>
    <r>
      <rPr>
        <sz val="8"/>
        <rFont val="Arial"/>
        <charset val="134"/>
      </rPr>
      <t xml:space="preserve">M3624  </t>
    </r>
    <r>
      <rPr>
        <sz val="8"/>
        <rFont val="宋体"/>
        <charset val="134"/>
      </rPr>
      <t>轻钢龙骨</t>
    </r>
    <r>
      <rPr>
        <sz val="8"/>
        <rFont val="Arial"/>
        <charset val="134"/>
      </rPr>
      <t xml:space="preserve"> 72169100    </t>
    </r>
    <r>
      <rPr>
        <sz val="8"/>
        <rFont val="宋体"/>
        <charset val="134"/>
      </rPr>
      <t>玻璃棉</t>
    </r>
    <r>
      <rPr>
        <sz val="8"/>
        <rFont val="Arial"/>
        <charset val="134"/>
      </rPr>
      <t xml:space="preserve">70193100 
</t>
    </r>
  </si>
  <si>
    <t>J3680</t>
  </si>
  <si>
    <r>
      <rPr>
        <sz val="8"/>
        <color rgb="FF000000"/>
        <rFont val="Arial"/>
        <charset val="134"/>
      </rPr>
      <t>卡塔尔</t>
    </r>
    <r>
      <rPr>
        <sz val="8"/>
        <color rgb="FF000000"/>
        <rFont val="Arial"/>
        <charset val="134"/>
      </rPr>
      <t>Total Deisgn/Osama</t>
    </r>
  </si>
  <si>
    <r>
      <rPr>
        <sz val="8"/>
        <color rgb="FF000000"/>
        <rFont val="Arial"/>
        <charset val="134"/>
      </rPr>
      <t>4x20’</t>
    </r>
    <r>
      <rPr>
        <sz val="8"/>
        <color rgb="FF000000"/>
        <rFont val="宋体"/>
        <charset val="134"/>
      </rPr>
      <t>轻钢</t>
    </r>
  </si>
  <si>
    <r>
      <rPr>
        <sz val="8"/>
        <rFont val="Arial"/>
        <charset val="134"/>
      </rPr>
      <t xml:space="preserve">DHL5145900572 </t>
    </r>
    <r>
      <rPr>
        <sz val="8"/>
        <rFont val="宋体"/>
        <charset val="134"/>
      </rPr>
      <t>搜邮件下一单地址有改变</t>
    </r>
    <r>
      <rPr>
        <sz val="8"/>
        <rFont val="Arial"/>
        <charset val="134"/>
      </rPr>
      <t xml:space="preserve"> </t>
    </r>
    <r>
      <rPr>
        <sz val="8"/>
        <rFont val="宋体"/>
        <charset val="134"/>
      </rPr>
      <t>出</t>
    </r>
    <r>
      <rPr>
        <sz val="8"/>
        <rFont val="Arial"/>
        <charset val="134"/>
      </rPr>
      <t>CCPIT CO</t>
    </r>
    <r>
      <rPr>
        <sz val="8"/>
        <color rgb="FF0000FF"/>
        <rFont val="Arial"/>
        <charset val="134"/>
      </rPr>
      <t xml:space="preserve">  </t>
    </r>
    <r>
      <rPr>
        <sz val="8"/>
        <rFont val="Arial"/>
        <charset val="134"/>
      </rPr>
      <t>13</t>
    </r>
    <r>
      <rPr>
        <sz val="8"/>
        <rFont val="宋体"/>
        <charset val="134"/>
      </rPr>
      <t>号装</t>
    </r>
    <r>
      <rPr>
        <sz val="8"/>
        <rFont val="Arial"/>
        <charset val="134"/>
      </rPr>
      <t xml:space="preserve"> 20</t>
    </r>
    <r>
      <rPr>
        <sz val="8"/>
        <rFont val="宋体"/>
        <charset val="134"/>
      </rPr>
      <t>号报数据</t>
    </r>
    <r>
      <rPr>
        <sz val="8"/>
        <rFont val="Arial"/>
        <charset val="134"/>
      </rPr>
      <t xml:space="preserve"> 14</t>
    </r>
    <r>
      <rPr>
        <sz val="8"/>
        <rFont val="宋体"/>
        <charset val="134"/>
      </rPr>
      <t>天免用箱</t>
    </r>
    <r>
      <rPr>
        <sz val="8"/>
        <rFont val="Arial"/>
        <charset val="134"/>
      </rPr>
      <t xml:space="preserve"> </t>
    </r>
    <r>
      <rPr>
        <sz val="8"/>
        <rFont val="宋体"/>
        <charset val="134"/>
      </rPr>
      <t>滞箱费大概一天一百多会昌承担一个小柜滞箱费</t>
    </r>
    <r>
      <rPr>
        <sz val="8"/>
        <rFont val="Arial"/>
        <charset val="134"/>
      </rPr>
      <t xml:space="preserve">  </t>
    </r>
    <r>
      <rPr>
        <sz val="8"/>
        <rFont val="宋体"/>
        <charset val="134"/>
      </rPr>
      <t>鸣远产生</t>
    </r>
    <r>
      <rPr>
        <sz val="8"/>
        <rFont val="Arial"/>
        <charset val="134"/>
      </rPr>
      <t>200</t>
    </r>
    <r>
      <rPr>
        <sz val="8"/>
        <rFont val="宋体"/>
        <charset val="134"/>
      </rPr>
      <t>换单费</t>
    </r>
    <r>
      <rPr>
        <sz val="8"/>
        <rFont val="Arial"/>
        <charset val="134"/>
      </rPr>
      <t xml:space="preserve"> </t>
    </r>
    <r>
      <rPr>
        <sz val="8"/>
        <rFont val="宋体"/>
        <charset val="134"/>
      </rPr>
      <t>操作同</t>
    </r>
    <r>
      <rPr>
        <sz val="8"/>
        <rFont val="Arial"/>
        <charset val="134"/>
      </rPr>
      <t xml:space="preserve">J3505 </t>
    </r>
    <r>
      <rPr>
        <sz val="8"/>
        <rFont val="宋体"/>
        <charset val="134"/>
      </rPr>
      <t>要求年前交货（承诺见提单复印件第二天就付尾款）</t>
    </r>
  </si>
  <si>
    <r>
      <rPr>
        <sz val="8"/>
        <rFont val="Arial"/>
        <charset val="134"/>
      </rPr>
      <t>永鑫海订舱</t>
    </r>
    <r>
      <rPr>
        <sz val="8"/>
        <rFont val="Arial"/>
        <charset val="134"/>
      </rPr>
      <t>HMM1447/1620</t>
    </r>
    <r>
      <rPr>
        <sz val="8"/>
        <rFont val="宋体"/>
        <charset val="134"/>
      </rPr>
      <t>，会昌拖车</t>
    </r>
    <r>
      <rPr>
        <sz val="8"/>
        <rFont val="Arial"/>
        <charset val="134"/>
      </rPr>
      <t>1900</t>
    </r>
    <r>
      <rPr>
        <sz val="8"/>
        <rFont val="宋体"/>
        <charset val="134"/>
      </rPr>
      <t>报关</t>
    </r>
  </si>
  <si>
    <t>J3681</t>
  </si>
  <si>
    <r>
      <rPr>
        <sz val="8"/>
        <rFont val="Arial"/>
        <charset val="134"/>
      </rPr>
      <t>比利时</t>
    </r>
    <r>
      <rPr>
        <sz val="8"/>
        <rFont val="Arial"/>
        <charset val="134"/>
      </rPr>
      <t xml:space="preserve"> ASE /Mohamed Fitouri </t>
    </r>
  </si>
  <si>
    <t>xingang-TANZANIA</t>
  </si>
  <si>
    <r>
      <rPr>
        <sz val="8"/>
        <rFont val="宋体"/>
        <charset val="134"/>
      </rPr>
      <t>提单出来电放</t>
    </r>
    <r>
      <rPr>
        <sz val="8"/>
        <rFont val="Arial"/>
        <charset val="134"/>
      </rPr>
      <t xml:space="preserve"> CO </t>
    </r>
    <r>
      <rPr>
        <sz val="8"/>
        <rFont val="宋体"/>
        <charset val="134"/>
      </rPr>
      <t>装箱数量要小于等于发票数量</t>
    </r>
    <r>
      <rPr>
        <sz val="8"/>
        <rFont val="Arial"/>
        <charset val="134"/>
      </rPr>
      <t xml:space="preserve">
 </t>
    </r>
    <r>
      <rPr>
        <sz val="8"/>
        <rFont val="宋体"/>
        <charset val="134"/>
      </rPr>
      <t>操作同</t>
    </r>
    <r>
      <rPr>
        <sz val="8"/>
        <rFont val="Arial"/>
        <charset val="134"/>
      </rPr>
      <t xml:space="preserve">M3624 </t>
    </r>
    <r>
      <rPr>
        <sz val="8"/>
        <rFont val="宋体"/>
        <charset val="134"/>
      </rPr>
      <t>代理和国外确认提单</t>
    </r>
    <r>
      <rPr>
        <sz val="8"/>
        <rFont val="Arial"/>
        <charset val="134"/>
      </rPr>
      <t xml:space="preserve"> </t>
    </r>
    <r>
      <rPr>
        <sz val="8"/>
        <rFont val="宋体"/>
        <charset val="134"/>
      </rPr>
      <t>年前交货，货做好客户就能付款，请优先安排。</t>
    </r>
    <r>
      <rPr>
        <sz val="8"/>
        <rFont val="Arial"/>
        <charset val="134"/>
      </rPr>
      <t xml:space="preserve">
</t>
    </r>
    <r>
      <rPr>
        <sz val="8"/>
        <rFont val="宋体"/>
        <charset val="134"/>
      </rPr>
      <t>这票货需要做</t>
    </r>
    <r>
      <rPr>
        <sz val="8"/>
        <rFont val="Arial"/>
        <charset val="134"/>
      </rPr>
      <t>PVOC</t>
    </r>
    <r>
      <rPr>
        <sz val="8"/>
        <rFont val="宋体"/>
        <charset val="134"/>
      </rPr>
      <t>，第三方验货，到时需要厂里配合。</t>
    </r>
  </si>
  <si>
    <t>海进订舱，迪斯泰拖车报关</t>
  </si>
  <si>
    <t>M3692-1</t>
  </si>
  <si>
    <r>
      <rPr>
        <sz val="8"/>
        <color rgb="FF000000"/>
        <rFont val="Arial"/>
        <charset val="134"/>
      </rPr>
      <t>卡塔尔</t>
    </r>
    <r>
      <rPr>
        <sz val="8"/>
        <color rgb="FF000000"/>
        <rFont val="Arial"/>
        <charset val="134"/>
      </rPr>
      <t>Al Jamal/Mehaboob</t>
    </r>
  </si>
  <si>
    <r>
      <rPr>
        <sz val="8"/>
        <color rgb="FF000000"/>
        <rFont val="Arial"/>
        <charset val="134"/>
      </rPr>
      <t>2x20</t>
    </r>
    <r>
      <rPr>
        <sz val="8"/>
        <color rgb="FF000000"/>
        <rFont val="宋体"/>
        <charset val="134"/>
      </rPr>
      <t>轻钢</t>
    </r>
    <r>
      <rPr>
        <sz val="8"/>
        <color rgb="FF000000"/>
        <rFont val="Arial"/>
        <charset val="134"/>
      </rPr>
      <t>+</t>
    </r>
    <r>
      <rPr>
        <sz val="8"/>
        <color rgb="FF000000"/>
        <rFont val="宋体"/>
        <charset val="134"/>
      </rPr>
      <t>螺杆</t>
    </r>
  </si>
  <si>
    <r>
      <rPr>
        <sz val="8"/>
        <color rgb="FF0000FF"/>
        <rFont val="Arial"/>
        <charset val="134"/>
      </rPr>
      <t xml:space="preserve">SF1007210690402
</t>
    </r>
    <r>
      <rPr>
        <sz val="8"/>
        <color rgb="FF0000FF"/>
        <rFont val="宋体"/>
        <charset val="134"/>
      </rPr>
      <t>等</t>
    </r>
    <r>
      <rPr>
        <sz val="8"/>
        <color rgb="FF0000FF"/>
        <rFont val="Arial"/>
        <charset val="134"/>
      </rPr>
      <t>BL</t>
    </r>
    <r>
      <rPr>
        <sz val="8"/>
        <color rgb="FF0000FF"/>
        <rFont val="宋体"/>
        <charset val="134"/>
      </rPr>
      <t>正本</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5</t>
    </r>
    <r>
      <rPr>
        <sz val="8"/>
        <rFont val="宋体"/>
        <charset val="134"/>
      </rPr>
      <t>号装</t>
    </r>
    <r>
      <rPr>
        <sz val="8"/>
        <rFont val="Arial"/>
        <charset val="134"/>
      </rPr>
      <t>7</t>
    </r>
    <r>
      <rPr>
        <sz val="8"/>
        <rFont val="宋体"/>
        <charset val="134"/>
      </rPr>
      <t>号下午</t>
    </r>
    <r>
      <rPr>
        <sz val="8"/>
        <rFont val="Arial"/>
        <charset val="134"/>
      </rPr>
      <t>3</t>
    </r>
    <r>
      <rPr>
        <sz val="8"/>
        <rFont val="宋体"/>
        <charset val="134"/>
      </rPr>
      <t>点前报数据</t>
    </r>
    <r>
      <rPr>
        <sz val="8"/>
        <rFont val="Arial"/>
        <charset val="134"/>
      </rPr>
      <t xml:space="preserve"> </t>
    </r>
    <r>
      <rPr>
        <sz val="8"/>
        <rFont val="宋体"/>
        <charset val="134"/>
      </rPr>
      <t>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</si>
  <si>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one1590/1600</t>
    </r>
    <r>
      <rPr>
        <sz val="8"/>
        <rFont val="宋体"/>
        <charset val="134"/>
      </rPr>
      <t>，永鑫海拖车报关</t>
    </r>
  </si>
  <si>
    <r>
      <rPr>
        <sz val="8"/>
        <rFont val="Arial"/>
        <charset val="134"/>
      </rPr>
      <t>M3692-1</t>
    </r>
    <r>
      <rPr>
        <sz val="8"/>
        <rFont val="宋体"/>
        <charset val="134"/>
      </rPr>
      <t>和</t>
    </r>
    <r>
      <rPr>
        <sz val="8"/>
        <rFont val="Arial"/>
        <charset val="134"/>
      </rPr>
      <t>-2</t>
    </r>
    <r>
      <rPr>
        <sz val="8"/>
        <rFont val="宋体"/>
        <charset val="134"/>
      </rPr>
      <t>尾款</t>
    </r>
    <r>
      <rPr>
        <sz val="8"/>
        <rFont val="Arial"/>
        <charset val="134"/>
      </rPr>
      <t>Balance should be : $41740.4+$23099.12-$21474(prepayment)-$354(compensation)=$43011.52</t>
    </r>
  </si>
  <si>
    <t>M3692-2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</si>
  <si>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检修口</t>
    </r>
  </si>
  <si>
    <r>
      <rPr>
        <sz val="8"/>
        <rFont val="Arial"/>
        <charset val="134"/>
      </rPr>
      <t>M3692-1-2</t>
    </r>
    <r>
      <rPr>
        <sz val="8"/>
        <rFont val="宋体"/>
        <charset val="134"/>
      </rPr>
      <t>一起寄走的</t>
    </r>
    <r>
      <rPr>
        <sz val="8"/>
        <rFont val="Arial"/>
        <charset val="134"/>
      </rPr>
      <t xml:space="preserve">DHL4862547841 </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 xml:space="preserve">
</t>
    </r>
    <r>
      <rPr>
        <sz val="8"/>
        <rFont val="宋体"/>
        <charset val="134"/>
      </rPr>
      <t>第一次订舱倒箱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</si>
  <si>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one1992/2230</t>
    </r>
    <r>
      <rPr>
        <sz val="8"/>
        <rFont val="宋体"/>
        <charset val="134"/>
      </rPr>
      <t>，会昌拖车</t>
    </r>
    <r>
      <rPr>
        <sz val="8"/>
        <rFont val="Arial"/>
        <charset val="134"/>
      </rPr>
      <t>2800</t>
    </r>
    <r>
      <rPr>
        <sz val="8"/>
        <rFont val="宋体"/>
        <charset val="134"/>
      </rPr>
      <t>报关</t>
    </r>
  </si>
  <si>
    <t>J3715</t>
  </si>
  <si>
    <r>
      <rPr>
        <sz val="8"/>
        <rFont val="Arial"/>
        <charset val="134"/>
      </rPr>
      <t>深圳</t>
    </r>
    <r>
      <rPr>
        <sz val="8"/>
        <rFont val="Arial"/>
        <charset val="134"/>
      </rPr>
      <t>Excel/Maggie</t>
    </r>
  </si>
  <si>
    <r>
      <rPr>
        <sz val="8"/>
        <color rgb="FF000000"/>
        <rFont val="Arial"/>
        <charset val="134"/>
      </rPr>
      <t xml:space="preserve">1x20' </t>
    </r>
    <r>
      <rPr>
        <sz val="8"/>
        <color rgb="FF000000"/>
        <rFont val="Cambria"/>
        <charset val="134"/>
      </rPr>
      <t>轻钢</t>
    </r>
  </si>
  <si>
    <t>xingang-UK</t>
  </si>
  <si>
    <r>
      <rPr>
        <sz val="8"/>
        <rFont val="宋体"/>
        <charset val="134"/>
      </rPr>
      <t>高速费229 装箱前结清</t>
    </r>
    <r>
      <rPr>
        <sz val="8"/>
        <rFont val="Arial"/>
        <charset val="134"/>
      </rPr>
      <t xml:space="preserve"> </t>
    </r>
    <r>
      <rPr>
        <sz val="8"/>
        <rFont val="宋体"/>
        <charset val="134"/>
      </rPr>
      <t>客户订舱 客户联系人</t>
    </r>
    <r>
      <rPr>
        <sz val="8"/>
        <rFont val="Arial"/>
        <charset val="134"/>
      </rPr>
      <t>QQ: 253069987 Maggie</t>
    </r>
  </si>
  <si>
    <t>佰瑞达订舱MSC，迪斯泰拖车</t>
  </si>
  <si>
    <r>
      <rPr>
        <sz val="8"/>
        <rFont val="宋体"/>
        <charset val="134"/>
      </rPr>
      <t>实际尾款</t>
    </r>
    <r>
      <rPr>
        <sz val="8"/>
        <rFont val="Arial"/>
        <charset val="134"/>
      </rPr>
      <t xml:space="preserve">$7453.93 </t>
    </r>
    <r>
      <rPr>
        <sz val="8"/>
        <rFont val="宋体"/>
        <charset val="134"/>
      </rPr>
      <t>分三批打的 $6979.61+$288+RMB1013</t>
    </r>
  </si>
  <si>
    <t>J3717-3</t>
  </si>
  <si>
    <r>
      <rPr>
        <sz val="8"/>
        <rFont val="宋体"/>
        <charset val="134"/>
      </rPr>
      <t>卡塔尔</t>
    </r>
    <r>
      <rPr>
        <sz val="8"/>
        <rFont val="Arial"/>
        <charset val="134"/>
      </rPr>
      <t>Unitech/Khaled</t>
    </r>
  </si>
  <si>
    <r>
      <rPr>
        <sz val="8"/>
        <color rgb="FF000000"/>
        <rFont val="Arial"/>
        <charset val="134"/>
      </rPr>
      <t xml:space="preserve">3x20' </t>
    </r>
    <r>
      <rPr>
        <sz val="8"/>
        <color rgb="FF000000"/>
        <rFont val="宋体"/>
        <charset val="134"/>
      </rPr>
      <t>轻钢</t>
    </r>
  </si>
  <si>
    <r>
      <rPr>
        <sz val="8"/>
        <rFont val="宋体"/>
        <charset val="134"/>
      </rPr>
      <t>DHL7237473924 CCPIT CO 做个实际发票给客户 9天免用箱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</si>
  <si>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永鑫海订舱</t>
    </r>
    <r>
      <rPr>
        <sz val="8"/>
        <rFont val="Arial"/>
        <charset val="134"/>
      </rPr>
      <t>APL950</t>
    </r>
    <r>
      <rPr>
        <sz val="8"/>
        <rFont val="宋体"/>
        <charset val="134"/>
      </rPr>
      <t>，拖车报关</t>
    </r>
  </si>
  <si>
    <r>
      <rPr>
        <sz val="8"/>
        <rFont val="宋体"/>
        <charset val="134"/>
      </rPr>
      <t>实际尾款$</t>
    </r>
    <r>
      <rPr>
        <sz val="8"/>
        <rFont val="Arial"/>
        <charset val="134"/>
      </rPr>
      <t>54049.5</t>
    </r>
  </si>
  <si>
    <t>J3717-1</t>
  </si>
  <si>
    <r>
      <rPr>
        <sz val="8"/>
        <color rgb="FF000000"/>
        <rFont val="Arial"/>
        <charset val="134"/>
      </rPr>
      <t>1x20</t>
    </r>
    <r>
      <rPr>
        <sz val="8"/>
        <color rgb="FF000000"/>
        <rFont val="宋体"/>
        <charset val="134"/>
      </rPr>
      <t>轻钢</t>
    </r>
  </si>
  <si>
    <r>
      <rPr>
        <sz val="8"/>
        <rFont val="宋体"/>
        <charset val="134"/>
      </rPr>
      <t>DHL8483122060 BL扫描件有了  保单 CCPIT</t>
    </r>
    <r>
      <rPr>
        <sz val="8"/>
        <color rgb="FF0000FF"/>
        <rFont val="宋体"/>
        <charset val="134"/>
      </rPr>
      <t xml:space="preserve"> </t>
    </r>
    <r>
      <rPr>
        <sz val="8"/>
        <rFont val="宋体"/>
        <charset val="134"/>
      </rPr>
      <t xml:space="preserve">CO </t>
    </r>
    <r>
      <rPr>
        <sz val="8"/>
        <color rgb="FF0000FF"/>
        <rFont val="宋体"/>
        <charset val="134"/>
      </rPr>
      <t>收M3646欠的一百多美金</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</si>
  <si>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张晋山订舱</t>
    </r>
    <r>
      <rPr>
        <sz val="8"/>
        <rFont val="Arial"/>
        <charset val="134"/>
      </rPr>
      <t>CMA1387</t>
    </r>
    <r>
      <rPr>
        <sz val="8"/>
        <rFont val="宋体"/>
        <charset val="134"/>
      </rPr>
      <t>，会昌拖车报关</t>
    </r>
  </si>
  <si>
    <r>
      <rPr>
        <sz val="8"/>
        <rFont val="宋体"/>
        <charset val="134"/>
      </rPr>
      <t>此前清账 实际尾款$17639.12=</t>
    </r>
    <r>
      <rPr>
        <sz val="8"/>
        <rFont val="Arial"/>
        <charset val="134"/>
      </rPr>
      <t>$17502.14+M3646</t>
    </r>
    <r>
      <rPr>
        <sz val="8"/>
        <rFont val="宋体"/>
        <charset val="134"/>
      </rPr>
      <t>欠</t>
    </r>
    <r>
      <rPr>
        <sz val="8"/>
        <rFont val="Arial"/>
        <charset val="134"/>
      </rPr>
      <t>136.98</t>
    </r>
    <r>
      <rPr>
        <sz val="8"/>
        <rFont val="宋体"/>
        <charset val="134"/>
      </rPr>
      <t>美金</t>
    </r>
  </si>
  <si>
    <t>J3717-2</t>
  </si>
  <si>
    <r>
      <rPr>
        <sz val="8"/>
        <color rgb="FF000000"/>
        <rFont val="Arial"/>
        <charset val="134"/>
      </rPr>
      <t xml:space="preserve">2x40hq </t>
    </r>
    <r>
      <rPr>
        <sz val="8"/>
        <color rgb="FF000000"/>
        <rFont val="宋体"/>
        <charset val="134"/>
      </rPr>
      <t>轻钢</t>
    </r>
  </si>
  <si>
    <r>
      <rPr>
        <sz val="8"/>
        <rFont val="宋体"/>
        <charset val="134"/>
      </rPr>
      <t>DHL2135935056 CCPIT</t>
    </r>
    <r>
      <rPr>
        <sz val="8"/>
        <color rgb="FF0000FF"/>
        <rFont val="宋体"/>
        <charset val="134"/>
      </rPr>
      <t xml:space="preserve"> </t>
    </r>
    <r>
      <rPr>
        <sz val="8"/>
        <rFont val="宋体"/>
        <charset val="134"/>
      </rPr>
      <t>CO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</si>
  <si>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t>
    </r>
    <r>
      <rPr>
        <sz val="8"/>
        <rFont val="Arial"/>
        <charset val="134"/>
      </rPr>
      <t>ONE1090</t>
    </r>
    <r>
      <rPr>
        <sz val="8"/>
        <rFont val="宋体"/>
        <charset val="134"/>
      </rPr>
      <t>，拖车报关</t>
    </r>
  </si>
  <si>
    <t>实际尾款$35186.26</t>
  </si>
  <si>
    <t>J3721</t>
  </si>
  <si>
    <r>
      <rPr>
        <sz val="8"/>
        <rFont val="宋体"/>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</si>
  <si>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color rgb="FF000000"/>
        <rFont val="Arial"/>
        <charset val="134"/>
      </rPr>
      <t>1*40HQ</t>
    </r>
    <r>
      <rPr>
        <sz val="8"/>
        <color rgb="FF000000"/>
        <rFont val="宋体"/>
        <charset val="134"/>
      </rPr>
      <t>深蓝色蛇骨</t>
    </r>
    <r>
      <rPr>
        <sz val="8"/>
        <color rgb="FF000000"/>
        <rFont val="Arial"/>
        <charset val="134"/>
      </rPr>
      <t>+</t>
    </r>
    <r>
      <rPr>
        <sz val="8"/>
        <color rgb="FF000000"/>
        <rFont val="宋体"/>
        <charset val="134"/>
      </rPr>
      <t>沿地</t>
    </r>
  </si>
  <si>
    <r>
      <rPr>
        <sz val="8"/>
        <rFont val="Arial"/>
        <charset val="134"/>
      </rPr>
      <t xml:space="preserve"> </t>
    </r>
    <r>
      <rPr>
        <sz val="8"/>
        <rFont val="宋体"/>
        <charset val="134"/>
      </rPr>
      <t>没有特殊单据</t>
    </r>
    <r>
      <rPr>
        <sz val="8"/>
        <rFont val="Arial"/>
        <charset val="134"/>
      </rPr>
      <t xml:space="preserve"> </t>
    </r>
    <r>
      <rPr>
        <sz val="8"/>
        <color rgb="FF0000FF"/>
        <rFont val="宋体"/>
        <charset val="134"/>
      </rPr>
      <t>这次要求电放</t>
    </r>
    <r>
      <rPr>
        <sz val="8"/>
        <rFont val="Arial"/>
        <charset val="134"/>
      </rPr>
      <t xml:space="preserve"> </t>
    </r>
    <r>
      <rPr>
        <sz val="8"/>
        <rFont val="宋体"/>
        <charset val="134"/>
      </rPr>
      <t>电放</t>
    </r>
    <r>
      <rPr>
        <sz val="8"/>
        <rFont val="Arial"/>
        <charset val="134"/>
      </rPr>
      <t>300</t>
    </r>
    <r>
      <rPr>
        <sz val="8"/>
        <rFont val="宋体"/>
        <charset val="134"/>
      </rPr>
      <t>人民币</t>
    </r>
    <r>
      <rPr>
        <sz val="8"/>
        <rFont val="Arial"/>
        <charset val="134"/>
      </rPr>
      <t>. IK KEE</t>
    </r>
    <r>
      <rPr>
        <sz val="8"/>
        <rFont val="宋体"/>
        <charset val="134"/>
      </rPr>
      <t>收货人</t>
    </r>
    <r>
      <rPr>
        <sz val="8"/>
        <rFont val="Arial"/>
        <charset val="134"/>
      </rPr>
      <t>: TING HIE MIN,</t>
    </r>
    <r>
      <rPr>
        <sz val="8"/>
        <rFont val="宋体"/>
        <charset val="134"/>
      </rPr>
      <t>传真</t>
    </r>
    <r>
      <rPr>
        <sz val="8"/>
        <rFont val="Arial"/>
        <charset val="134"/>
      </rPr>
      <t>: 6084-331494,</t>
    </r>
    <r>
      <rPr>
        <sz val="8"/>
        <rFont val="宋体"/>
        <charset val="134"/>
      </rPr>
      <t>邮箱</t>
    </r>
    <r>
      <rPr>
        <sz val="8"/>
        <rFont val="Arial"/>
        <charset val="134"/>
      </rPr>
      <t xml:space="preserve"> : tiong_david@hotmail.com</t>
    </r>
    <r>
      <rPr>
        <sz val="8"/>
        <rFont val="宋体"/>
        <charset val="134"/>
      </rPr>
      <t>船公司让提单显示</t>
    </r>
    <r>
      <rPr>
        <sz val="8"/>
        <rFont val="Arial"/>
        <charset val="134"/>
      </rPr>
      <t>27</t>
    </r>
    <r>
      <rPr>
        <sz val="8"/>
        <rFont val="宋体"/>
        <charset val="134"/>
      </rPr>
      <t>吨</t>
    </r>
    <r>
      <rPr>
        <sz val="8"/>
        <rFont val="Arial"/>
        <charset val="134"/>
      </rPr>
      <t xml:space="preserve"> </t>
    </r>
    <r>
      <rPr>
        <sz val="8"/>
        <rFont val="宋体"/>
        <charset val="134"/>
      </rPr>
      <t>实际</t>
    </r>
    <r>
      <rPr>
        <sz val="8"/>
        <rFont val="Arial"/>
        <charset val="134"/>
      </rPr>
      <t>27.6</t>
    </r>
    <r>
      <rPr>
        <sz val="8"/>
        <rFont val="宋体"/>
        <charset val="134"/>
      </rPr>
      <t>吨</t>
    </r>
    <r>
      <rPr>
        <sz val="8"/>
        <rFont val="Arial"/>
        <charset val="134"/>
      </rPr>
      <t xml:space="preserve"> </t>
    </r>
    <r>
      <rPr>
        <sz val="8"/>
        <rFont val="宋体"/>
        <charset val="134"/>
      </rPr>
      <t>马来西亚换单</t>
    </r>
    <r>
      <rPr>
        <sz val="8"/>
        <rFont val="Arial"/>
        <charset val="134"/>
      </rPr>
      <t xml:space="preserve">Sibu, Sarawak
  </t>
    </r>
    <r>
      <rPr>
        <sz val="8"/>
        <rFont val="宋体"/>
        <charset val="134"/>
      </rPr>
      <t>海运费</t>
    </r>
    <r>
      <rPr>
        <sz val="8"/>
        <rFont val="Arial"/>
        <charset val="134"/>
      </rPr>
      <t>950,</t>
    </r>
    <r>
      <rPr>
        <sz val="8"/>
        <rFont val="宋体"/>
        <charset val="134"/>
      </rPr>
      <t>操作同</t>
    </r>
    <r>
      <rPr>
        <sz val="8"/>
        <rFont val="Arial"/>
        <charset val="134"/>
      </rPr>
      <t xml:space="preserve">J3636    </t>
    </r>
    <r>
      <rPr>
        <sz val="8"/>
        <rFont val="宋体"/>
        <charset val="134"/>
      </rPr>
      <t>船用</t>
    </r>
    <r>
      <rPr>
        <sz val="8"/>
        <rFont val="Arial"/>
        <charset val="134"/>
      </rPr>
      <t>evergreen</t>
    </r>
  </si>
  <si>
    <t>久丰源订舱长荣962，拖车报关</t>
  </si>
  <si>
    <r>
      <rPr>
        <sz val="8"/>
        <rFont val="宋体"/>
        <charset val="134"/>
      </rPr>
      <t>实际尾款</t>
    </r>
    <r>
      <rPr>
        <sz val="8"/>
        <rFont val="Arial"/>
        <charset val="134"/>
      </rPr>
      <t>$16622</t>
    </r>
  </si>
  <si>
    <t>M3723</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</si>
  <si>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钉子</t>
    </r>
    <r>
      <rPr>
        <sz val="8"/>
        <color rgb="FF000000"/>
        <rFont val="Arial"/>
        <charset val="134"/>
      </rPr>
      <t>(</t>
    </r>
    <r>
      <rPr>
        <sz val="8"/>
        <color rgb="FF000000"/>
        <rFont val="宋体"/>
        <charset val="134"/>
      </rPr>
      <t>娄凤芝）</t>
    </r>
  </si>
  <si>
    <t>Xinggang-UGANDA</t>
  </si>
  <si>
    <r>
      <rPr>
        <sz val="8"/>
        <rFont val="宋体"/>
        <charset val="134"/>
      </rPr>
      <t>明辉达出CO 提单上显示HScode 需要贴标签</t>
    </r>
    <r>
      <rPr>
        <sz val="8"/>
        <rFont val="Arial"/>
        <charset val="134"/>
      </rPr>
      <t xml:space="preserve"> </t>
    </r>
    <r>
      <rPr>
        <sz val="8"/>
        <rFont val="宋体"/>
        <charset val="134"/>
      </rPr>
      <t>操作同</t>
    </r>
    <r>
      <rPr>
        <sz val="8"/>
        <rFont val="Arial"/>
        <charset val="134"/>
      </rPr>
      <t>M3676</t>
    </r>
    <r>
      <rPr>
        <sz val="8"/>
        <rFont val="宋体"/>
        <charset val="134"/>
      </rPr>
      <t>，注意</t>
    </r>
    <r>
      <rPr>
        <sz val="8"/>
        <rFont val="Arial"/>
        <charset val="134"/>
      </rPr>
      <t>shipping mark</t>
    </r>
  </si>
  <si>
    <t>海进订舱MSK，会昌拖车报关</t>
  </si>
  <si>
    <r>
      <rPr>
        <sz val="8"/>
        <rFont val="宋体"/>
        <charset val="134"/>
      </rPr>
      <t>实际尾款$</t>
    </r>
    <r>
      <rPr>
        <sz val="8"/>
        <rFont val="Arial"/>
        <charset val="134"/>
      </rPr>
      <t>14185.62</t>
    </r>
  </si>
  <si>
    <t>J3740-3</t>
  </si>
  <si>
    <r>
      <rPr>
        <sz val="8"/>
        <rFont val="宋体"/>
        <charset val="134"/>
      </rPr>
      <t>DHL1607556672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</si>
  <si>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r>
      <rPr>
        <sz val="8"/>
        <rFont val="Arial"/>
        <charset val="134"/>
      </rPr>
      <t>J3740</t>
    </r>
    <r>
      <rPr>
        <sz val="8"/>
        <rFont val="宋体"/>
        <charset val="134"/>
      </rPr>
      <t>这票，之前客户有</t>
    </r>
    <r>
      <rPr>
        <sz val="8"/>
        <rFont val="Arial"/>
        <charset val="134"/>
      </rPr>
      <t>$10874.27</t>
    </r>
    <r>
      <rPr>
        <sz val="8"/>
        <rFont val="宋体"/>
        <charset val="134"/>
      </rPr>
      <t>在账上，</t>
    </r>
    <r>
      <rPr>
        <sz val="8"/>
        <rFont val="Arial"/>
        <charset val="134"/>
      </rPr>
      <t>2020.2.17</t>
    </r>
    <r>
      <rPr>
        <sz val="8"/>
        <rFont val="宋体"/>
        <charset val="134"/>
      </rPr>
      <t>又打了</t>
    </r>
    <r>
      <rPr>
        <sz val="8"/>
        <rFont val="Arial"/>
        <charset val="134"/>
      </rPr>
      <t>$5409.97</t>
    </r>
    <r>
      <rPr>
        <sz val="8"/>
        <rFont val="宋体"/>
        <charset val="134"/>
      </rPr>
      <t>，定金一共是</t>
    </r>
    <r>
      <rPr>
        <sz val="8"/>
        <rFont val="Arial"/>
        <charset val="134"/>
      </rPr>
      <t>$16284.24  J3740-1</t>
    </r>
    <r>
      <rPr>
        <sz val="8"/>
        <rFont val="宋体"/>
        <charset val="134"/>
      </rPr>
      <t>用掉</t>
    </r>
    <r>
      <rPr>
        <sz val="8"/>
        <rFont val="Arial"/>
        <charset val="134"/>
      </rPr>
      <t>5428</t>
    </r>
    <r>
      <rPr>
        <sz val="8"/>
        <rFont val="宋体"/>
        <charset val="134"/>
      </rPr>
      <t>美金</t>
    </r>
  </si>
  <si>
    <t>J3740-1</t>
  </si>
  <si>
    <r>
      <rPr>
        <sz val="8"/>
        <rFont val="宋体"/>
        <charset val="134"/>
      </rPr>
      <t>DHL9349601660 出CO 定的4.9号船托班16号开船 同</t>
    </r>
    <r>
      <rPr>
        <sz val="8"/>
        <rFont val="Arial"/>
        <charset val="134"/>
      </rPr>
      <t xml:space="preserve">J3548 </t>
    </r>
  </si>
  <si>
    <r>
      <rPr>
        <sz val="8"/>
        <rFont val="宋体"/>
        <charset val="134"/>
      </rPr>
      <t>实际尾款</t>
    </r>
    <r>
      <rPr>
        <sz val="8"/>
        <rFont val="Arial"/>
        <charset val="134"/>
      </rPr>
      <t>$12226.19</t>
    </r>
  </si>
  <si>
    <t>J3740-2</t>
  </si>
  <si>
    <r>
      <rPr>
        <sz val="8"/>
        <rFont val="宋体"/>
        <charset val="134"/>
      </rPr>
      <t>DHL9109376172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</si>
  <si>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t>台骅订舱,白沟源远拖车报关</t>
  </si>
  <si>
    <t>实际尾款$11931.91</t>
  </si>
  <si>
    <t>M3743-2</t>
  </si>
  <si>
    <r>
      <rPr>
        <sz val="8"/>
        <rFont val="宋体"/>
        <charset val="134"/>
      </rPr>
      <t>卡塔尔</t>
    </r>
    <r>
      <rPr>
        <sz val="8"/>
        <rFont val="Arial"/>
        <charset val="134"/>
      </rPr>
      <t>Al Jamal/Mehaboob</t>
    </r>
  </si>
  <si>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+C</t>
    </r>
    <r>
      <rPr>
        <sz val="8"/>
        <color rgb="FF000000"/>
        <rFont val="宋体"/>
        <charset val="134"/>
      </rPr>
      <t>配件</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纸带（华悦）</t>
    </r>
  </si>
  <si>
    <t>Xinggang-HAMAD</t>
  </si>
  <si>
    <r>
      <rPr>
        <sz val="8"/>
        <rFont val="宋体"/>
        <charset val="134"/>
      </rPr>
      <t>单据已发客户 CO</t>
    </r>
    <r>
      <rPr>
        <sz val="8"/>
        <color rgb="FF0000FF"/>
        <rFont val="宋体"/>
        <charset val="134"/>
      </rPr>
      <t xml:space="preserve"> </t>
    </r>
    <r>
      <rPr>
        <sz val="8"/>
        <rFont val="宋体"/>
        <charset val="134"/>
      </rPr>
      <t>低报发票的CCPIT</t>
    </r>
    <r>
      <rPr>
        <sz val="8"/>
        <color rgb="FF0000FF"/>
        <rFont val="宋体"/>
        <charset val="134"/>
      </rPr>
      <t xml:space="preserve"> </t>
    </r>
    <r>
      <rPr>
        <sz val="8"/>
        <rFont val="宋体"/>
        <charset val="134"/>
      </rPr>
      <t xml:space="preserve"> M3646玻纤带申报要素 同</t>
    </r>
    <r>
      <rPr>
        <sz val="8"/>
        <rFont val="Arial"/>
        <charset val="134"/>
      </rPr>
      <t>M3692</t>
    </r>
  </si>
  <si>
    <r>
      <rPr>
        <sz val="8"/>
        <rFont val="宋体"/>
        <charset val="134"/>
      </rPr>
      <t>永鑫海APL</t>
    </r>
    <r>
      <rPr>
        <sz val="8"/>
        <rFont val="Arial"/>
        <charset val="134"/>
      </rPr>
      <t>1250/1300</t>
    </r>
    <r>
      <rPr>
        <sz val="8"/>
        <rFont val="宋体"/>
        <charset val="134"/>
      </rPr>
      <t>，拖车报关</t>
    </r>
  </si>
  <si>
    <r>
      <rPr>
        <sz val="8"/>
        <rFont val="宋体"/>
        <charset val="134"/>
      </rPr>
      <t>实际尾款</t>
    </r>
    <r>
      <rPr>
        <sz val="8"/>
        <rFont val="Arial"/>
        <charset val="134"/>
      </rPr>
      <t>$14765.65  -1-2</t>
    </r>
    <r>
      <rPr>
        <sz val="8"/>
        <rFont val="宋体"/>
        <charset val="134"/>
      </rPr>
      <t>尾款$28881.65一起安排的</t>
    </r>
  </si>
  <si>
    <t>M3743-1</t>
  </si>
  <si>
    <r>
      <rPr>
        <sz val="8"/>
        <color rgb="FF000000"/>
        <rFont val="Arial"/>
        <charset val="134"/>
      </rPr>
      <t>1x20‘</t>
    </r>
    <r>
      <rPr>
        <sz val="8"/>
        <color rgb="FF000000"/>
        <rFont val="宋体"/>
        <charset val="134"/>
      </rPr>
      <t>轻钢</t>
    </r>
  </si>
  <si>
    <t xml:space="preserve">M3743-1-2一起寄走 DHL3719115632 低保发票CCPIT CO 同M3692 </t>
  </si>
  <si>
    <r>
      <rPr>
        <sz val="8"/>
        <rFont val="宋体"/>
        <charset val="134"/>
      </rPr>
      <t>永鑫海订舱</t>
    </r>
    <r>
      <rPr>
        <sz val="8"/>
        <rFont val="Arial"/>
        <charset val="134"/>
      </rPr>
      <t>MSC1180/1300</t>
    </r>
    <r>
      <rPr>
        <sz val="8"/>
        <rFont val="宋体"/>
        <charset val="134"/>
      </rPr>
      <t>，拖车报关</t>
    </r>
  </si>
  <si>
    <r>
      <rPr>
        <sz val="8"/>
        <rFont val="宋体"/>
        <charset val="134"/>
      </rPr>
      <t>实际尾款</t>
    </r>
    <r>
      <rPr>
        <sz val="8"/>
        <rFont val="Arial"/>
        <charset val="134"/>
      </rPr>
      <t>$14116</t>
    </r>
  </si>
  <si>
    <t>J3742</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</si>
  <si>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打孔边</t>
    </r>
  </si>
  <si>
    <r>
      <rPr>
        <sz val="8"/>
        <rFont val="宋体"/>
        <charset val="134"/>
      </rPr>
      <t>DHL3387275931 CCPIT CO</t>
    </r>
    <r>
      <rPr>
        <sz val="8"/>
        <rFont val="Arial"/>
        <charset val="134"/>
      </rPr>
      <t xml:space="preserve"> </t>
    </r>
    <r>
      <rPr>
        <sz val="8"/>
        <rFont val="宋体"/>
        <charset val="134"/>
      </rPr>
      <t>海运费（</t>
    </r>
    <r>
      <rPr>
        <sz val="8"/>
        <rFont val="Arial"/>
        <charset val="134"/>
      </rPr>
      <t>1600</t>
    </r>
    <r>
      <rPr>
        <sz val="8"/>
        <rFont val="宋体"/>
        <charset val="134"/>
      </rPr>
      <t>）</t>
    </r>
    <r>
      <rPr>
        <sz val="8"/>
        <rFont val="Arial"/>
        <charset val="134"/>
      </rPr>
      <t xml:space="preserve"> </t>
    </r>
    <r>
      <rPr>
        <sz val="8"/>
        <rFont val="宋体"/>
        <charset val="134"/>
      </rPr>
      <t>操作同</t>
    </r>
    <r>
      <rPr>
        <sz val="8"/>
        <rFont val="Arial"/>
        <charset val="134"/>
      </rPr>
      <t>J3661</t>
    </r>
  </si>
  <si>
    <r>
      <rPr>
        <sz val="8"/>
        <rFont val="宋体"/>
        <charset val="134"/>
      </rPr>
      <t>迪斯泰订舱</t>
    </r>
    <r>
      <rPr>
        <sz val="8"/>
        <rFont val="Arial"/>
        <charset val="134"/>
      </rPr>
      <t>MSC1100</t>
    </r>
    <r>
      <rPr>
        <sz val="8"/>
        <rFont val="宋体"/>
        <charset val="134"/>
      </rPr>
      <t>，拖车报关</t>
    </r>
  </si>
  <si>
    <r>
      <rPr>
        <sz val="8"/>
        <rFont val="宋体"/>
        <charset val="134"/>
      </rPr>
      <t>实际尾款</t>
    </r>
    <r>
      <rPr>
        <sz val="8"/>
        <rFont val="Arial"/>
        <charset val="134"/>
      </rPr>
      <t>$17564.80</t>
    </r>
  </si>
  <si>
    <t>J3774</t>
  </si>
  <si>
    <r>
      <rPr>
        <sz val="8"/>
        <rFont val="宋体"/>
        <charset val="134"/>
      </rPr>
      <t>CO 多装货了客户少付的16.6美金 约检验</t>
    </r>
    <r>
      <rPr>
        <sz val="8"/>
        <rFont val="Arial"/>
        <charset val="134"/>
      </rPr>
      <t xml:space="preserve"> </t>
    </r>
    <r>
      <rPr>
        <sz val="8"/>
        <rFont val="宋体"/>
        <charset val="134"/>
      </rPr>
      <t>提前联系海进</t>
    </r>
    <r>
      <rPr>
        <sz val="8"/>
        <rFont val="Arial"/>
        <charset val="134"/>
      </rPr>
      <t xml:space="preserve">  </t>
    </r>
    <r>
      <rPr>
        <sz val="8"/>
        <rFont val="宋体"/>
        <charset val="134"/>
      </rPr>
      <t>同</t>
    </r>
    <r>
      <rPr>
        <sz val="8"/>
        <rFont val="Arial"/>
        <charset val="134"/>
      </rPr>
      <t>J3681</t>
    </r>
  </si>
  <si>
    <r>
      <rPr>
        <sz val="8"/>
        <rFont val="宋体"/>
        <charset val="134"/>
      </rPr>
      <t>海进订舱</t>
    </r>
    <r>
      <rPr>
        <sz val="8"/>
        <rFont val="Arial"/>
        <charset val="134"/>
      </rPr>
      <t>EMC</t>
    </r>
    <r>
      <rPr>
        <sz val="8"/>
        <rFont val="宋体"/>
        <charset val="134"/>
      </rPr>
      <t>，会昌拖车报关</t>
    </r>
  </si>
  <si>
    <r>
      <rPr>
        <sz val="8"/>
        <rFont val="宋体"/>
        <charset val="134"/>
      </rPr>
      <t>应收</t>
    </r>
    <r>
      <rPr>
        <sz val="8"/>
        <rFont val="Arial"/>
        <charset val="134"/>
      </rPr>
      <t>16.6</t>
    </r>
    <r>
      <rPr>
        <sz val="8"/>
        <rFont val="宋体"/>
        <charset val="134"/>
      </rPr>
      <t>美金</t>
    </r>
    <r>
      <rPr>
        <sz val="8"/>
        <rFont val="Arial"/>
        <charset val="134"/>
      </rPr>
      <t xml:space="preserve"> </t>
    </r>
    <r>
      <rPr>
        <sz val="8"/>
        <rFont val="宋体"/>
        <charset val="134"/>
      </rPr>
      <t>实际尾款</t>
    </r>
    <r>
      <rPr>
        <sz val="8"/>
        <rFont val="Arial"/>
        <charset val="134"/>
      </rPr>
      <t>$12386.6</t>
    </r>
  </si>
  <si>
    <t>J3780</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</si>
  <si>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几字</t>
    </r>
    <r>
      <rPr>
        <sz val="8"/>
        <color rgb="FF000000"/>
        <rFont val="Arial"/>
        <charset val="134"/>
      </rPr>
      <t>+</t>
    </r>
    <r>
      <rPr>
        <sz val="8"/>
        <color rgb="FF000000"/>
        <rFont val="宋体"/>
        <charset val="134"/>
      </rPr>
      <t>外采的货</t>
    </r>
  </si>
  <si>
    <t>Xinggang-LUANDA</t>
  </si>
  <si>
    <r>
      <rPr>
        <sz val="8"/>
        <rFont val="宋体"/>
        <charset val="134"/>
      </rPr>
      <t>单据齐等款 单据已发客户 查验了 人工验货 买单报关 款打人民币</t>
    </r>
    <r>
      <rPr>
        <sz val="8"/>
        <color rgb="FF0000FF"/>
        <rFont val="宋体"/>
        <charset val="134"/>
      </rPr>
      <t xml:space="preserve"> </t>
    </r>
    <r>
      <rPr>
        <sz val="8"/>
        <rFont val="宋体"/>
        <charset val="134"/>
      </rPr>
      <t>跟</t>
    </r>
    <r>
      <rPr>
        <sz val="8"/>
        <rFont val="Arial"/>
        <charset val="134"/>
      </rPr>
      <t>J3614</t>
    </r>
    <r>
      <rPr>
        <sz val="8"/>
        <rFont val="宋体"/>
        <charset val="134"/>
      </rPr>
      <t>一个客户，</t>
    </r>
    <r>
      <rPr>
        <sz val="8"/>
        <rFont val="Arial"/>
        <charset val="134"/>
      </rPr>
      <t>J3614</t>
    </r>
    <r>
      <rPr>
        <sz val="8"/>
        <rFont val="宋体"/>
        <charset val="134"/>
      </rPr>
      <t>客户多打了</t>
    </r>
    <r>
      <rPr>
        <sz val="8"/>
        <rFont val="Arial"/>
        <charset val="134"/>
      </rPr>
      <t>$1278</t>
    </r>
    <r>
      <rPr>
        <sz val="8"/>
        <rFont val="宋体"/>
        <charset val="134"/>
      </rPr>
      <t>作为这个单子定金，客户又转了￥</t>
    </r>
    <r>
      <rPr>
        <sz val="8"/>
        <rFont val="Arial"/>
        <charset val="134"/>
      </rPr>
      <t>25000</t>
    </r>
    <r>
      <rPr>
        <sz val="8"/>
        <rFont val="宋体"/>
        <charset val="134"/>
      </rPr>
      <t>到王总账号，定金不足</t>
    </r>
    <r>
      <rPr>
        <sz val="8"/>
        <rFont val="Arial"/>
        <charset val="134"/>
      </rPr>
      <t>20%</t>
    </r>
    <r>
      <rPr>
        <sz val="8"/>
        <rFont val="宋体"/>
        <charset val="134"/>
      </rPr>
      <t>，客户让先订料安排，随后再打￥</t>
    </r>
    <r>
      <rPr>
        <sz val="8"/>
        <rFont val="Arial"/>
        <charset val="134"/>
      </rPr>
      <t>25000</t>
    </r>
  </si>
  <si>
    <r>
      <rPr>
        <sz val="8"/>
        <rFont val="宋体"/>
        <charset val="134"/>
      </rPr>
      <t>会昌订舱</t>
    </r>
    <r>
      <rPr>
        <sz val="8"/>
        <rFont val="Arial"/>
        <charset val="134"/>
      </rPr>
      <t>CMA</t>
    </r>
    <r>
      <rPr>
        <sz val="8"/>
        <rFont val="宋体"/>
        <charset val="134"/>
      </rPr>
      <t>约价2414，会昌拖车报关</t>
    </r>
  </si>
  <si>
    <t>J3799-2</t>
  </si>
  <si>
    <r>
      <rPr>
        <sz val="8"/>
        <rFont val="宋体"/>
        <charset val="134"/>
      </rPr>
      <t>卡塔尔</t>
    </r>
    <r>
      <rPr>
        <sz val="8"/>
        <rFont val="Arial"/>
        <charset val="134"/>
      </rPr>
      <t>Total design/Osama</t>
    </r>
  </si>
  <si>
    <r>
      <rPr>
        <sz val="8"/>
        <color rgb="FF000000"/>
        <rFont val="Arial"/>
        <charset val="134"/>
      </rPr>
      <t xml:space="preserve">2x20 </t>
    </r>
    <r>
      <rPr>
        <sz val="8"/>
        <color rgb="FF000000"/>
        <rFont val="宋体"/>
        <charset val="134"/>
      </rPr>
      <t>轻钢</t>
    </r>
  </si>
  <si>
    <r>
      <rPr>
        <sz val="8"/>
        <rFont val="宋体"/>
        <charset val="134"/>
      </rPr>
      <t xml:space="preserve">DHL2980428113 CCPIT CO </t>
    </r>
    <r>
      <rPr>
        <sz val="8"/>
        <color rgb="FF0000FF"/>
        <rFont val="宋体"/>
        <charset val="134"/>
      </rPr>
      <t xml:space="preserve"> J3799-1收到$10040</t>
    </r>
    <r>
      <rPr>
        <sz val="8"/>
        <rFont val="宋体"/>
        <charset val="134"/>
      </rPr>
      <t xml:space="preserve">  传真44320212
 同</t>
    </r>
    <r>
      <rPr>
        <sz val="8"/>
        <rFont val="Arial"/>
        <charset val="134"/>
      </rPr>
      <t>J3680</t>
    </r>
  </si>
  <si>
    <r>
      <rPr>
        <sz val="8"/>
        <rFont val="宋体"/>
        <charset val="134"/>
      </rPr>
      <t>迪斯泰</t>
    </r>
    <r>
      <rPr>
        <sz val="8"/>
        <rFont val="Arial"/>
        <charset val="134"/>
      </rPr>
      <t xml:space="preserve">MSC890 </t>
    </r>
    <r>
      <rPr>
        <sz val="8"/>
        <rFont val="宋体"/>
        <charset val="134"/>
      </rPr>
      <t>拖车报关</t>
    </r>
  </si>
  <si>
    <r>
      <rPr>
        <sz val="8"/>
        <rFont val="宋体"/>
        <charset val="134"/>
      </rPr>
      <t>实际尾款</t>
    </r>
    <r>
      <rPr>
        <sz val="8"/>
        <rFont val="Arial"/>
        <charset val="134"/>
      </rPr>
      <t>20717.5</t>
    </r>
    <r>
      <rPr>
        <sz val="8"/>
        <rFont val="宋体"/>
        <charset val="134"/>
      </rPr>
      <t>美金</t>
    </r>
    <r>
      <rPr>
        <sz val="8"/>
        <rFont val="Arial"/>
        <charset val="134"/>
      </rPr>
      <t xml:space="preserve"> -1</t>
    </r>
    <r>
      <rPr>
        <sz val="8"/>
        <rFont val="宋体"/>
        <charset val="134"/>
      </rPr>
      <t>多打</t>
    </r>
    <r>
      <rPr>
        <sz val="8"/>
        <rFont val="Arial"/>
        <charset val="134"/>
      </rPr>
      <t>450</t>
    </r>
    <r>
      <rPr>
        <sz val="8"/>
        <rFont val="宋体"/>
        <charset val="134"/>
      </rPr>
      <t>美金</t>
    </r>
  </si>
  <si>
    <t>J3799-1</t>
  </si>
  <si>
    <t>卡塔尔Total design/Osama</t>
  </si>
  <si>
    <r>
      <rPr>
        <sz val="8"/>
        <color rgb="FF000000"/>
        <rFont val="Arial"/>
        <charset val="134"/>
      </rPr>
      <t xml:space="preserve">1x20 </t>
    </r>
    <r>
      <rPr>
        <sz val="8"/>
        <color rgb="FF000000"/>
        <rFont val="宋体"/>
        <charset val="134"/>
      </rPr>
      <t>轻钢</t>
    </r>
  </si>
  <si>
    <r>
      <rPr>
        <sz val="8"/>
        <rFont val="宋体"/>
        <charset val="134"/>
      </rPr>
      <t>DHL9349421406 CCPIT  CO 同</t>
    </r>
    <r>
      <rPr>
        <sz val="8"/>
        <rFont val="Arial"/>
        <charset val="134"/>
      </rPr>
      <t>J3680</t>
    </r>
  </si>
  <si>
    <t>迪斯泰订舱APL975/980 拖车报关</t>
  </si>
  <si>
    <r>
      <rPr>
        <sz val="8"/>
        <rFont val="宋体"/>
        <charset val="134"/>
      </rPr>
      <t>实际尾款</t>
    </r>
    <r>
      <rPr>
        <sz val="8"/>
        <rFont val="Arial"/>
        <charset val="134"/>
      </rPr>
      <t xml:space="preserve">$9590  </t>
    </r>
    <r>
      <rPr>
        <sz val="8"/>
        <rFont val="宋体"/>
        <charset val="134"/>
      </rPr>
      <t>多打了450美金转到-2</t>
    </r>
  </si>
  <si>
    <t>J3800</t>
  </si>
  <si>
    <t>DHL5534732000  CCPIT CO 海运费（1000）同J3742</t>
  </si>
  <si>
    <t>会昌MSC660，白沟源远拖车报关</t>
  </si>
  <si>
    <t>J3802</t>
  </si>
  <si>
    <t xml:space="preserve">比利时 ASE /Mohamed Fitouri </t>
  </si>
  <si>
    <r>
      <rPr>
        <sz val="8"/>
        <rFont val="宋体"/>
        <charset val="134"/>
      </rPr>
      <t>160.1184 出</t>
    </r>
    <r>
      <rPr>
        <sz val="8"/>
        <rFont val="Arial"/>
        <charset val="134"/>
      </rPr>
      <t xml:space="preserve">CO </t>
    </r>
    <r>
      <rPr>
        <sz val="8"/>
        <rFont val="宋体"/>
        <charset val="134"/>
      </rPr>
      <t>验货 少装可以多装不可以</t>
    </r>
    <r>
      <rPr>
        <sz val="8"/>
        <rFont val="Arial"/>
        <charset val="134"/>
      </rPr>
      <t xml:space="preserve">  </t>
    </r>
    <r>
      <rPr>
        <sz val="8"/>
        <rFont val="宋体"/>
        <charset val="134"/>
      </rPr>
      <t>客户要求不能多装 同</t>
    </r>
    <r>
      <rPr>
        <sz val="8"/>
        <rFont val="Arial"/>
        <charset val="134"/>
      </rPr>
      <t>J3774</t>
    </r>
  </si>
  <si>
    <t>海进订舱长荣，会昌拖车报关</t>
  </si>
  <si>
    <r>
      <rPr>
        <sz val="8"/>
        <rFont val="宋体"/>
        <charset val="134"/>
      </rPr>
      <t>实际尾款</t>
    </r>
    <r>
      <rPr>
        <sz val="8"/>
        <rFont val="Arial"/>
        <charset val="134"/>
      </rPr>
      <t>$11990.6</t>
    </r>
  </si>
  <si>
    <t>M3803</t>
  </si>
  <si>
    <r>
      <rPr>
        <sz val="8"/>
        <color rgb="FF000000"/>
        <rFont val="Arial"/>
        <charset val="134"/>
      </rPr>
      <t xml:space="preserve">2x20‘+1x40H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拉丝边角</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t>
    </r>
    <r>
      <rPr>
        <sz val="8"/>
        <color rgb="FF000000"/>
        <rFont val="Arial"/>
        <charset val="134"/>
      </rPr>
      <t>+</t>
    </r>
    <r>
      <rPr>
        <sz val="8"/>
        <color rgb="FF000000"/>
        <rFont val="宋体"/>
        <charset val="134"/>
      </rPr>
      <t>检修口</t>
    </r>
  </si>
  <si>
    <r>
      <rPr>
        <sz val="8"/>
        <rFont val="宋体"/>
        <charset val="134"/>
      </rPr>
      <t>DHL走包裹3448398730 等CO 低保发票CCPIT</t>
    </r>
    <r>
      <rPr>
        <sz val="8"/>
        <color rgb="FF0000FF"/>
        <rFont val="宋体"/>
        <charset val="134"/>
      </rPr>
      <t xml:space="preserve"> </t>
    </r>
    <r>
      <rPr>
        <sz val="8"/>
        <rFont val="宋体"/>
        <charset val="134"/>
      </rPr>
      <t>7天免用箱 7号全天报数据 加上钩子品名</t>
    </r>
    <r>
      <rPr>
        <sz val="8"/>
        <color rgb="FF0000FF"/>
        <rFont val="宋体"/>
        <charset val="134"/>
      </rPr>
      <t xml:space="preserve"> </t>
    </r>
    <r>
      <rPr>
        <sz val="8"/>
        <rFont val="宋体"/>
        <charset val="134"/>
      </rPr>
      <t>说等检修口呢  玻纤带本来36卷一箱 做成24一箱了 箱数多了做发票注意下，  操作同M3743</t>
    </r>
  </si>
  <si>
    <t>迪斯泰订舱ONE小柜700大柜950，</t>
  </si>
  <si>
    <t>J3811</t>
  </si>
  <si>
    <r>
      <rPr>
        <sz val="8"/>
        <rFont val="宋体"/>
        <charset val="134"/>
      </rPr>
      <t>比利时</t>
    </r>
    <r>
      <rPr>
        <sz val="8"/>
        <rFont val="Arial"/>
        <charset val="134"/>
      </rPr>
      <t xml:space="preserve"> ASE /Mohamed Fitouri </t>
    </r>
  </si>
  <si>
    <r>
      <rPr>
        <sz val="8"/>
        <color rgb="FF000000"/>
        <rFont val="Arial"/>
        <charset val="134"/>
      </rPr>
      <t>1x20'</t>
    </r>
    <r>
      <rPr>
        <sz val="8"/>
        <color rgb="FF000000"/>
        <rFont val="宋体"/>
        <charset val="134"/>
      </rPr>
      <t>轻钢</t>
    </r>
  </si>
  <si>
    <t>xingang-RWANDA</t>
  </si>
  <si>
    <t xml:space="preserve"> CO 注意shipping mark 客户要求15天交货，发货前结清货款</t>
  </si>
  <si>
    <t>海进订舱长荣，白沟源远拖车报关</t>
  </si>
  <si>
    <r>
      <rPr>
        <sz val="8"/>
        <rFont val="宋体"/>
        <charset val="134"/>
      </rPr>
      <t>实际尾款</t>
    </r>
    <r>
      <rPr>
        <sz val="8"/>
        <rFont val="Arial"/>
        <charset val="134"/>
      </rPr>
      <t>$11437</t>
    </r>
  </si>
  <si>
    <t>M3818</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</si>
  <si>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华悦玻纤卷钉子</t>
    </r>
  </si>
  <si>
    <t>CO 操作同M3676，注意shipping mark</t>
  </si>
  <si>
    <t>海进订舱长荣，迪斯泰拖车报关</t>
  </si>
  <si>
    <t>J3828</t>
  </si>
  <si>
    <t>卡塔尔 Advanced/Muhammad</t>
  </si>
  <si>
    <r>
      <rPr>
        <sz val="8"/>
        <color rgb="FF000000"/>
        <rFont val="Arial"/>
        <charset val="134"/>
      </rPr>
      <t>1x20FT+1*40HQ</t>
    </r>
    <r>
      <rPr>
        <sz val="8"/>
        <color rgb="FF000000"/>
        <rFont val="宋体"/>
        <charset val="134"/>
      </rPr>
      <t>轻钢</t>
    </r>
  </si>
  <si>
    <r>
      <rPr>
        <sz val="8"/>
        <color rgb="FF0000FF"/>
        <rFont val="宋体"/>
        <charset val="134"/>
      </rPr>
      <t xml:space="preserve">DHL1704944824 </t>
    </r>
    <r>
      <rPr>
        <sz val="8"/>
        <rFont val="宋体"/>
        <charset val="134"/>
      </rPr>
      <t>CCPIT CO 操作同J3800</t>
    </r>
  </si>
  <si>
    <t>迪斯泰订舱CMA875+975，拖车报关</t>
  </si>
  <si>
    <t>M3838-1</t>
  </si>
  <si>
    <t>卡塔尔Al Jamal/Mehaboob</t>
  </si>
  <si>
    <r>
      <rPr>
        <sz val="8"/>
        <color rgb="FF000000"/>
        <rFont val="Arial"/>
        <charset val="134"/>
      </rPr>
      <t>3x20‘</t>
    </r>
    <r>
      <rPr>
        <sz val="8"/>
        <color rgb="FF000000"/>
        <rFont val="宋体"/>
        <charset val="134"/>
      </rPr>
      <t>轻钢</t>
    </r>
    <r>
      <rPr>
        <sz val="8"/>
        <color rgb="FF000000"/>
        <rFont val="Arial"/>
        <charset val="134"/>
      </rPr>
      <t>+</t>
    </r>
    <r>
      <rPr>
        <sz val="8"/>
        <color rgb="FF000000"/>
        <rFont val="宋体"/>
        <charset val="134"/>
      </rPr>
      <t>螺杆</t>
    </r>
  </si>
  <si>
    <t>DHL9420627510 出低报CCPIT CO同M3803</t>
  </si>
  <si>
    <t>永鑫海订舱CMA910/950，会昌拖车报关</t>
  </si>
  <si>
    <t>M3838-2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</si>
  <si>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（华悦）</t>
    </r>
    <r>
      <rPr>
        <sz val="8"/>
        <color rgb="FF000000"/>
        <rFont val="Arial"/>
        <charset val="134"/>
      </rPr>
      <t>+</t>
    </r>
    <r>
      <rPr>
        <sz val="8"/>
        <color rgb="FF000000"/>
        <rFont val="宋体"/>
        <charset val="134"/>
      </rPr>
      <t>检修口（华悦）</t>
    </r>
  </si>
  <si>
    <t>单据齐等款 单据已发客户 低报CCPIT CO 400的检修口，还是152pcs,但是改成了16箱  同M3803</t>
  </si>
  <si>
    <t>迪斯泰定舱ONE1225，拖车报关</t>
  </si>
  <si>
    <t>M3841</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</si>
  <si>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烤漆龙骨</t>
    </r>
    <r>
      <rPr>
        <sz val="8"/>
        <color rgb="FF000000"/>
        <rFont val="Arial"/>
        <charset val="134"/>
      </rPr>
      <t>+</t>
    </r>
    <r>
      <rPr>
        <sz val="8"/>
        <color rgb="FF000000"/>
        <rFont val="宋体"/>
        <charset val="134"/>
      </rPr>
      <t>华悦金属护角带</t>
    </r>
  </si>
  <si>
    <r>
      <rPr>
        <sz val="8"/>
        <rFont val="宋体"/>
        <charset val="134"/>
      </rPr>
      <t xml:space="preserve">出CO 实际生产少点 改发票 </t>
    </r>
    <r>
      <rPr>
        <sz val="8"/>
        <rFont val="Arial"/>
        <charset val="134"/>
      </rPr>
      <t xml:space="preserve">160.1195 </t>
    </r>
    <r>
      <rPr>
        <sz val="8"/>
        <rFont val="宋体"/>
        <charset val="134"/>
      </rPr>
      <t>同</t>
    </r>
    <r>
      <rPr>
        <sz val="8"/>
        <rFont val="Arial"/>
        <charset val="134"/>
      </rPr>
      <t>M3818</t>
    </r>
  </si>
  <si>
    <t>海进订舱中远，会昌拖车报关</t>
  </si>
  <si>
    <r>
      <rPr>
        <sz val="8"/>
        <rFont val="宋体"/>
        <charset val="134"/>
      </rPr>
      <t>实际尾款14417.55 多打了</t>
    </r>
    <r>
      <rPr>
        <sz val="8"/>
        <rFont val="Arial"/>
        <charset val="134"/>
      </rPr>
      <t>$35.4</t>
    </r>
    <r>
      <rPr>
        <sz val="8"/>
        <rFont val="宋体"/>
        <charset val="134"/>
      </rPr>
      <t>，算到</t>
    </r>
    <r>
      <rPr>
        <sz val="8"/>
        <rFont val="Arial"/>
        <charset val="134"/>
      </rPr>
      <t>M3855</t>
    </r>
  </si>
  <si>
    <t>J3852</t>
  </si>
  <si>
    <t>广州鹰赛/Lily</t>
  </si>
  <si>
    <t>DHL7832705381 低报CCPIT、CO 客户指定货代订舱。装箱前结清货款 客户联系人： Lily  微信 Reo-55</t>
  </si>
  <si>
    <t>迪斯泰定舱CMA1100账单减100rmb，迪斯泰拖车报关</t>
  </si>
  <si>
    <r>
      <rPr>
        <sz val="8"/>
        <rFont val="Arial"/>
        <charset val="134"/>
      </rPr>
      <t>200</t>
    </r>
    <r>
      <rPr>
        <sz val="8"/>
        <rFont val="宋体"/>
        <charset val="134"/>
      </rPr>
      <t>美金是客户佣金</t>
    </r>
  </si>
  <si>
    <t>M3855</t>
  </si>
  <si>
    <r>
      <rPr>
        <sz val="8"/>
        <color rgb="FF000000"/>
        <rFont val="Arial"/>
        <charset val="134"/>
      </rPr>
      <t>1x20’</t>
    </r>
    <r>
      <rPr>
        <sz val="8"/>
        <color rgb="FF000000"/>
        <rFont val="宋体"/>
        <charset val="134"/>
      </rPr>
      <t>轻钢边角</t>
    </r>
    <r>
      <rPr>
        <sz val="8"/>
        <color rgb="FF000000"/>
        <rFont val="Arial"/>
        <charset val="134"/>
      </rPr>
      <t>+</t>
    </r>
    <r>
      <rPr>
        <sz val="8"/>
        <color rgb="FF000000"/>
        <rFont val="宋体"/>
        <charset val="134"/>
      </rPr>
      <t>华悦钉子、玻纤带、金属护角带</t>
    </r>
  </si>
  <si>
    <t>据M3841多收35.4 这单减掉  出CO 同M3841</t>
  </si>
  <si>
    <t>J3868</t>
  </si>
  <si>
    <r>
      <rPr>
        <sz val="8"/>
        <color rgb="FF000000"/>
        <rFont val="Arial"/>
        <charset val="134"/>
      </rPr>
      <t xml:space="preserve"> 1x20’</t>
    </r>
    <r>
      <rPr>
        <sz val="8"/>
        <color rgb="FF000000"/>
        <rFont val="宋体"/>
        <charset val="134"/>
      </rPr>
      <t>轻钢龙骨</t>
    </r>
    <r>
      <rPr>
        <sz val="8"/>
        <color rgb="FF000000"/>
        <rFont val="Arial"/>
        <charset val="134"/>
      </rPr>
      <t>+</t>
    </r>
    <r>
      <rPr>
        <sz val="8"/>
        <color rgb="FF000000"/>
        <rFont val="宋体"/>
        <charset val="134"/>
      </rPr>
      <t>烤漆龙骨</t>
    </r>
  </si>
  <si>
    <t>会昌承担200改单费 款齐 等着做电放 160.1200 出CO 同M3841</t>
  </si>
  <si>
    <t>J3872-1</t>
  </si>
  <si>
    <t>卡塔尔Unitech/Khaled</t>
  </si>
  <si>
    <r>
      <rPr>
        <sz val="8"/>
        <rFont val="宋体"/>
        <charset val="134"/>
      </rPr>
      <t>DHL5543328744 保单 CCPIT</t>
    </r>
    <r>
      <rPr>
        <sz val="8"/>
        <color rgb="FF0000D4"/>
        <rFont val="宋体"/>
        <charset val="134"/>
      </rPr>
      <t xml:space="preserve"> </t>
    </r>
    <r>
      <rPr>
        <sz val="8"/>
        <rFont val="宋体"/>
        <charset val="134"/>
      </rPr>
      <t>CO 海运估计1200/1700 同J3717</t>
    </r>
  </si>
  <si>
    <t>迪斯泰订舱one1880，拖车报关</t>
  </si>
  <si>
    <t>J3872-2</t>
  </si>
  <si>
    <r>
      <rPr>
        <sz val="8"/>
        <color rgb="FF000000"/>
        <rFont val="Arial"/>
        <charset val="134"/>
      </rPr>
      <t>2x20'</t>
    </r>
    <r>
      <rPr>
        <sz val="8"/>
        <color rgb="FF000000"/>
        <rFont val="宋体"/>
        <charset val="134"/>
      </rPr>
      <t>轻钢</t>
    </r>
  </si>
  <si>
    <t>DHL4801837353 减掉赔偿896.55USD CCPIT CO 落箱费小柜是200一个柜子
 海运估计1200/1700 保单  同J3717</t>
  </si>
  <si>
    <t>永鑫海订舱MSC1185，白沟源远拖车报关</t>
  </si>
  <si>
    <t>M3874-1</t>
  </si>
  <si>
    <r>
      <rPr>
        <sz val="8"/>
        <color rgb="FF000000"/>
        <rFont val="Arial"/>
        <charset val="134"/>
      </rPr>
      <t xml:space="preserve">2x20‘ </t>
    </r>
    <r>
      <rPr>
        <sz val="8"/>
        <color rgb="FF000000"/>
        <rFont val="宋体"/>
        <charset val="134"/>
      </rPr>
      <t>轻钢</t>
    </r>
  </si>
  <si>
    <t>DHL9216702106 MSC1190 低报发票CCPIT CO同M3838</t>
  </si>
  <si>
    <t>迪斯泰订舱MSC1150/1250，拖车报关</t>
  </si>
  <si>
    <t>M3874-2</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</si>
  <si>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玻纤卷护角带</t>
    </r>
    <r>
      <rPr>
        <sz val="8"/>
        <color rgb="FF000000"/>
        <rFont val="Arial"/>
        <charset val="134"/>
      </rPr>
      <t>+</t>
    </r>
    <r>
      <rPr>
        <sz val="8"/>
        <color rgb="FF000000"/>
        <rFont val="宋体"/>
        <charset val="134"/>
      </rPr>
      <t>检修口</t>
    </r>
  </si>
  <si>
    <t>DHL1340598405 低报发票CCPIT CO同M3838</t>
  </si>
  <si>
    <t>迪斯泰订舱MSC1190+1880,拖车报关</t>
  </si>
  <si>
    <t>J3878</t>
  </si>
  <si>
    <t>安哥拉 YIWU CITY GANXIE TRADING/HAMED</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</si>
  <si>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配件（有外送货）</t>
    </r>
  </si>
  <si>
    <r>
      <rPr>
        <sz val="8"/>
        <rFont val="宋体"/>
        <charset val="134"/>
      </rPr>
      <t xml:space="preserve">客户跟CMA有约价 </t>
    </r>
    <r>
      <rPr>
        <sz val="8"/>
        <color rgb="FF0000FF"/>
        <rFont val="宋体"/>
        <charset val="134"/>
      </rPr>
      <t>出CNCA 电放</t>
    </r>
    <r>
      <rPr>
        <sz val="8"/>
        <rFont val="宋体"/>
        <charset val="134"/>
      </rPr>
      <t>同J3780</t>
    </r>
  </si>
  <si>
    <t>会昌订舱MSK3340，会昌拖车报关</t>
  </si>
  <si>
    <t>J3884</t>
  </si>
  <si>
    <t>利比亚FMS/Baha</t>
  </si>
  <si>
    <r>
      <rPr>
        <sz val="8"/>
        <color rgb="FF000000"/>
        <rFont val="Arial"/>
        <charset val="134"/>
      </rPr>
      <t xml:space="preserve">1x20' </t>
    </r>
    <r>
      <rPr>
        <sz val="8"/>
        <color rgb="FF000000"/>
        <rFont val="宋体"/>
        <charset val="134"/>
      </rPr>
      <t>烤漆</t>
    </r>
  </si>
  <si>
    <t>XINGANG-misrata, LIBYA</t>
  </si>
  <si>
    <t>等着做电放 托班 低报发票做30%  客户出厂付清尾款 
出单据的单价按客户给的做 给客户单据价格按照从上到下，0.810/0.244/0.122/0.490客户加佣金后的价格</t>
  </si>
  <si>
    <r>
      <rPr>
        <sz val="8"/>
        <rFont val="宋体"/>
        <charset val="134"/>
      </rPr>
      <t>享源订舱MSC，汇昌拖车，</t>
    </r>
    <r>
      <rPr>
        <sz val="8"/>
        <color rgb="FFFF0000"/>
        <rFont val="宋体"/>
        <charset val="134"/>
      </rPr>
      <t>金凯抬头报关</t>
    </r>
  </si>
  <si>
    <t>J3892</t>
  </si>
  <si>
    <t>马来西亚 IK KEE（david）</t>
  </si>
  <si>
    <r>
      <rPr>
        <sz val="8"/>
        <color rgb="FF000000"/>
        <rFont val="Arial"/>
        <charset val="134"/>
      </rPr>
      <t xml:space="preserve">1x40H </t>
    </r>
    <r>
      <rPr>
        <sz val="8"/>
        <color rgb="FF000000"/>
        <rFont val="宋体"/>
        <charset val="134"/>
      </rPr>
      <t>蓝色小付骨</t>
    </r>
  </si>
  <si>
    <r>
      <rPr>
        <sz val="8"/>
        <rFont val="宋体"/>
        <charset val="134"/>
      </rPr>
      <t xml:space="preserve">电放 海运费核价按照$1000 没特殊单据 </t>
    </r>
    <r>
      <rPr>
        <sz val="8"/>
        <color rgb="FF0000FF"/>
        <rFont val="宋体"/>
        <charset val="134"/>
      </rPr>
      <t>出保单</t>
    </r>
    <r>
      <rPr>
        <sz val="8"/>
        <rFont val="宋体"/>
        <charset val="134"/>
      </rPr>
      <t xml:space="preserve"> 和客户确认收货人和换单港口 船用evergreen  马来西亚换单Sibu, Sarawak 同J3721</t>
    </r>
  </si>
  <si>
    <t>永鑫海订舱长荣1150，白沟源远拖车报关</t>
  </si>
  <si>
    <t>J3905</t>
  </si>
  <si>
    <t>常州机械/魏未</t>
  </si>
  <si>
    <r>
      <rPr>
        <sz val="8"/>
        <color rgb="FF000000"/>
        <rFont val="Arial"/>
        <charset val="134"/>
      </rPr>
      <t>1x20</t>
    </r>
    <r>
      <rPr>
        <sz val="8"/>
        <color rgb="FF000000"/>
        <rFont val="宋体"/>
        <charset val="134"/>
      </rPr>
      <t>轻钢及配件</t>
    </r>
    <r>
      <rPr>
        <sz val="8"/>
        <color rgb="FF000000"/>
        <rFont val="Arial"/>
        <charset val="134"/>
      </rPr>
      <t xml:space="preserve"> </t>
    </r>
    <r>
      <rPr>
        <sz val="8"/>
        <color rgb="FF000000"/>
        <rFont val="宋体"/>
        <charset val="134"/>
      </rPr>
      <t>螺杆</t>
    </r>
  </si>
  <si>
    <t>不确定客户还是咱们订舱 HScode 品名问客户  客户先打了人民币30000到金凯账户，发货前转全款美金，收到美金后再退回30000人民币  常规单据+CNCA证书客户自己做。</t>
  </si>
  <si>
    <t>永晟瀚海订舱MSC，会昌拖车报关</t>
  </si>
  <si>
    <t>J3912</t>
  </si>
  <si>
    <r>
      <rPr>
        <sz val="8"/>
        <color rgb="FF000000"/>
        <rFont val="Arial"/>
        <charset val="134"/>
      </rPr>
      <t xml:space="preserve">1x20'  </t>
    </r>
    <r>
      <rPr>
        <sz val="8"/>
        <color rgb="FF000000"/>
        <rFont val="宋体"/>
        <charset val="134"/>
      </rPr>
      <t>轻钢</t>
    </r>
  </si>
  <si>
    <t>DHL5992128100 托班 高出来的海运费客户承担 海运费20尺按照1250 CCPIT CO 同J3828</t>
  </si>
  <si>
    <t>永鑫海MSC1570,白沟源远拖车报关</t>
  </si>
  <si>
    <t>J3916</t>
  </si>
  <si>
    <r>
      <rPr>
        <sz val="8"/>
        <color rgb="FF000000"/>
        <rFont val="Arial"/>
        <charset val="134"/>
      </rPr>
      <t>1x20F+1x40</t>
    </r>
    <r>
      <rPr>
        <sz val="8"/>
        <color rgb="FF000000"/>
        <rFont val="宋体"/>
        <charset val="134"/>
      </rPr>
      <t>轻钢</t>
    </r>
  </si>
  <si>
    <r>
      <rPr>
        <sz val="8"/>
        <color theme="1"/>
        <rFont val="宋体"/>
        <charset val="134"/>
      </rPr>
      <t>DHL2626347286 所有单据用J3912 寄几张空白盖章纸 保单 CCPIT CO</t>
    </r>
    <r>
      <rPr>
        <sz val="8"/>
        <rFont val="宋体"/>
        <charset val="134"/>
      </rPr>
      <t xml:space="preserve"> 海运费小柜$1250大柜$2000 多的客户出  同J3828</t>
    </r>
  </si>
  <si>
    <t>永鑫海MSC1890/3230，白沟源远拖车报关</t>
  </si>
  <si>
    <t>J3931-1</t>
  </si>
  <si>
    <r>
      <rPr>
        <sz val="8"/>
        <color rgb="FF000000"/>
        <rFont val="Arial"/>
        <charset val="134"/>
      </rPr>
      <t xml:space="preserve">2x20' </t>
    </r>
    <r>
      <rPr>
        <sz val="8"/>
        <color rgb="FF000000"/>
        <rFont val="宋体"/>
        <charset val="134"/>
      </rPr>
      <t>轻钢</t>
    </r>
  </si>
  <si>
    <r>
      <rPr>
        <sz val="8"/>
        <rFont val="宋体"/>
        <charset val="134"/>
      </rPr>
      <t>DHL1204465835 4号托班到11号</t>
    </r>
    <r>
      <rPr>
        <sz val="8"/>
        <color rgb="FF0000FF"/>
        <rFont val="宋体"/>
        <charset val="134"/>
      </rPr>
      <t xml:space="preserve"> </t>
    </r>
    <r>
      <rPr>
        <sz val="8"/>
        <rFont val="宋体"/>
        <charset val="134"/>
      </rPr>
      <t>保单 CCPIT CO 海运估计1529,超出部分由客户承担  同J3872</t>
    </r>
  </si>
  <si>
    <t>誉洲订舱HPL1563，白沟源远拖车报关</t>
  </si>
  <si>
    <t>J3931-2</t>
  </si>
  <si>
    <t>DHL1422165404 保单 CCPIT CO 客户承担海运费702 海运估计1529,超出部分由客户承担 保单  同J3872</t>
  </si>
  <si>
    <t>永鑫海订舱MSC1870/1880，白沟源远拖车报关</t>
  </si>
  <si>
    <t>J3933</t>
  </si>
  <si>
    <r>
      <rPr>
        <sz val="8"/>
        <color rgb="FF000000"/>
        <rFont val="Arial"/>
        <charset val="134"/>
      </rPr>
      <t>1x20’</t>
    </r>
    <r>
      <rPr>
        <sz val="8"/>
        <color rgb="FF000000"/>
        <rFont val="宋体"/>
        <charset val="134"/>
      </rPr>
      <t>烤漆龙骨</t>
    </r>
  </si>
  <si>
    <t>箱单发票发给检验员 8号货好检验 160.1205 出CO 同J3868</t>
  </si>
  <si>
    <t>海进订舱长荣，巨东泽拖车报关</t>
  </si>
  <si>
    <t>J3934</t>
  </si>
  <si>
    <r>
      <rPr>
        <sz val="8"/>
        <color rgb="FF000000"/>
        <rFont val="Arial"/>
        <charset val="134"/>
      </rPr>
      <t>1x20’</t>
    </r>
    <r>
      <rPr>
        <sz val="8"/>
        <color rgb="FF000000"/>
        <rFont val="宋体"/>
        <charset val="134"/>
      </rPr>
      <t>轻钢龙骨</t>
    </r>
  </si>
  <si>
    <t>160.1206 出CO 同J3868</t>
  </si>
  <si>
    <t>J3941</t>
  </si>
  <si>
    <r>
      <rPr>
        <sz val="8"/>
        <color rgb="FF000000"/>
        <rFont val="Arial"/>
        <charset val="134"/>
      </rPr>
      <t>1x40</t>
    </r>
    <r>
      <rPr>
        <sz val="8"/>
        <color rgb="FF000000"/>
        <rFont val="宋体"/>
        <charset val="134"/>
      </rPr>
      <t>轻钢</t>
    </r>
  </si>
  <si>
    <t>验货 160.1205 少装可以不可以多装 出CO 同J3933</t>
  </si>
  <si>
    <t>海进订舱，巨东泽拖车报关</t>
  </si>
  <si>
    <t>J3944</t>
  </si>
  <si>
    <t>索马里EverBest/Mr.Cai</t>
  </si>
  <si>
    <r>
      <rPr>
        <sz val="8"/>
        <color rgb="FF000000"/>
        <rFont val="Arial"/>
        <charset val="134"/>
      </rPr>
      <t>1x20’</t>
    </r>
    <r>
      <rPr>
        <sz val="8"/>
        <color rgb="FF000000"/>
        <rFont val="宋体"/>
        <charset val="134"/>
      </rPr>
      <t>烤漆龙骨</t>
    </r>
    <r>
      <rPr>
        <sz val="8"/>
        <color rgb="FF000000"/>
        <rFont val="Arial"/>
        <charset val="134"/>
      </rPr>
      <t>+</t>
    </r>
    <r>
      <rPr>
        <sz val="8"/>
        <color rgb="FF000000"/>
        <rFont val="宋体"/>
        <charset val="134"/>
      </rPr>
      <t>客户采的</t>
    </r>
    <r>
      <rPr>
        <sz val="8"/>
        <color rgb="FF000000"/>
        <rFont val="Arial"/>
        <charset val="134"/>
      </rPr>
      <t>PVC</t>
    </r>
    <r>
      <rPr>
        <sz val="8"/>
        <color rgb="FF000000"/>
        <rFont val="宋体"/>
        <charset val="134"/>
      </rPr>
      <t>板</t>
    </r>
  </si>
  <si>
    <t>发到别的地装</t>
  </si>
  <si>
    <t>M3945</t>
  </si>
  <si>
    <r>
      <rPr>
        <sz val="8"/>
        <color rgb="FF000000"/>
        <rFont val="Arial"/>
        <charset val="134"/>
      </rPr>
      <t>3x20’</t>
    </r>
    <r>
      <rPr>
        <sz val="8"/>
        <color rgb="FF000000"/>
        <rFont val="宋体"/>
        <charset val="134"/>
      </rPr>
      <t>烤漆龙骨</t>
    </r>
    <r>
      <rPr>
        <sz val="8"/>
        <color rgb="FF000000"/>
        <rFont val="Arial"/>
        <charset val="134"/>
      </rPr>
      <t>+</t>
    </r>
    <r>
      <rPr>
        <sz val="8"/>
        <color rgb="FF000000"/>
        <rFont val="宋体"/>
        <charset val="134"/>
      </rPr>
      <t>配件</t>
    </r>
    <r>
      <rPr>
        <sz val="8"/>
        <color rgb="FF000000"/>
        <rFont val="Arial"/>
        <charset val="134"/>
      </rPr>
      <t>+PVC</t>
    </r>
    <r>
      <rPr>
        <sz val="8"/>
        <color rgb="FF000000"/>
        <rFont val="宋体"/>
        <charset val="134"/>
      </rPr>
      <t>石膏板</t>
    </r>
  </si>
  <si>
    <t>QINGDAO-NOUAKCHOTT, MAURITANIA</t>
  </si>
  <si>
    <t>单据齐等款 单据已发客户 电放 需要把龙骨和配件运到山东临沂 分票报关 烤漆及配件买单  发毛里塔尼亚 不出CNCA 收货人和客户确认下</t>
  </si>
  <si>
    <t>张晋山订舱MSC5600，万家拖车报关</t>
  </si>
  <si>
    <r>
      <rPr>
        <sz val="8"/>
        <rFont val="宋体"/>
        <charset val="134"/>
      </rPr>
      <t>客户少付</t>
    </r>
    <r>
      <rPr>
        <sz val="8"/>
        <rFont val="Arial"/>
        <charset val="134"/>
      </rPr>
      <t>125.21</t>
    </r>
    <r>
      <rPr>
        <sz val="8"/>
        <rFont val="宋体"/>
        <charset val="134"/>
      </rPr>
      <t>美金</t>
    </r>
  </si>
  <si>
    <t>J3969</t>
  </si>
  <si>
    <r>
      <rPr>
        <sz val="8"/>
        <color rgb="FF000000"/>
        <rFont val="Arial"/>
        <charset val="134"/>
      </rPr>
      <t>1x40’</t>
    </r>
    <r>
      <rPr>
        <sz val="8"/>
        <color rgb="FF000000"/>
        <rFont val="宋体"/>
        <charset val="134"/>
      </rPr>
      <t>轻钢龙骨</t>
    </r>
  </si>
  <si>
    <r>
      <rPr>
        <sz val="8"/>
        <rFont val="宋体"/>
        <charset val="134"/>
      </rPr>
      <t>CO</t>
    </r>
    <r>
      <rPr>
        <sz val="8"/>
        <color rgb="FF0000FF"/>
        <rFont val="宋体"/>
        <charset val="134"/>
      </rPr>
      <t xml:space="preserve"> </t>
    </r>
    <r>
      <rPr>
        <sz val="8"/>
        <rFont val="宋体"/>
        <charset val="134"/>
      </rPr>
      <t>160.1212</t>
    </r>
    <r>
      <rPr>
        <sz val="8"/>
        <color rgb="FF0000FF"/>
        <rFont val="宋体"/>
        <charset val="134"/>
      </rPr>
      <t xml:space="preserve"> </t>
    </r>
    <r>
      <rPr>
        <sz val="8"/>
        <rFont val="宋体"/>
        <charset val="134"/>
      </rPr>
      <t>同J3934</t>
    </r>
  </si>
  <si>
    <t>海进订舱EMC长荣，白沟源远拖车</t>
  </si>
  <si>
    <t>J3974</t>
  </si>
  <si>
    <t>少发货，客户多打514.28美金 发票上加上误差正负2MM  箱单发票发给检验员杨宇峰bvtjmark@126.com 要验货 160.1215 出CO 同J3933</t>
  </si>
  <si>
    <t>海进订舱中远，白沟源远拖车报关</t>
  </si>
  <si>
    <t>J3992</t>
  </si>
  <si>
    <t>单据齐等款 单据已发客户 电放 海运费核价按照$1850 没特殊单据 出保单 和客户确认收货人和换单港口 船用evergreen  马来西亚换单Sibu, Sarawak 同J3892</t>
  </si>
  <si>
    <t>永鑫海订舱长荣1800，白沟源远拖车报关</t>
  </si>
  <si>
    <t>J3994</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</si>
  <si>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外送门</t>
    </r>
  </si>
  <si>
    <t>出CNCA 电放 门装卸费￥800，垫付运费￥1000 
160件灯具装卸费￥400，垫付运费￥5270
J3878 灯装卸费￥1020门运费￥1400 同J3878 J3780</t>
  </si>
  <si>
    <t>誉洲订舱MSK8093/8150，誉洲拖车报关</t>
  </si>
  <si>
    <r>
      <rPr>
        <sz val="8"/>
        <rFont val="宋体"/>
        <charset val="134"/>
      </rPr>
      <t>多打</t>
    </r>
    <r>
      <rPr>
        <sz val="8"/>
        <rFont val="Arial"/>
        <charset val="134"/>
      </rPr>
      <t>RMB24233</t>
    </r>
  </si>
  <si>
    <t>J3998</t>
  </si>
  <si>
    <t>J4005</t>
  </si>
  <si>
    <t>箱单发票发给检验员 要验货需要贴标签 JKC21031902-160.1225 出CO 同J3974</t>
  </si>
  <si>
    <t>海进订舱OC2667431120，白沟源远拖车报关</t>
  </si>
  <si>
    <t>J4006</t>
  </si>
  <si>
    <t>出CO JKC21031903-160.1224同J3969</t>
  </si>
  <si>
    <t>海进订舱CMA，白沟源远拖车报关</t>
  </si>
  <si>
    <t>J4011-5</t>
  </si>
  <si>
    <r>
      <rPr>
        <sz val="8"/>
        <color rgb="FF000000"/>
        <rFont val="Arial"/>
        <charset val="134"/>
      </rPr>
      <t xml:space="preserve">1x20GP </t>
    </r>
    <r>
      <rPr>
        <sz val="8"/>
        <color rgb="FF000000"/>
        <rFont val="宋体"/>
        <charset val="134"/>
      </rPr>
      <t>轻钢龙骨</t>
    </r>
  </si>
  <si>
    <t>DHL5214195910 保单 CCPIT CO 海运估计1850,  同J3931</t>
  </si>
  <si>
    <t>永鑫海订舱MSC3120，白沟源远拖车报关</t>
  </si>
  <si>
    <t>J4011-1</t>
  </si>
  <si>
    <r>
      <rPr>
        <sz val="8"/>
        <color rgb="FF000000"/>
        <rFont val="Arial"/>
        <charset val="134"/>
      </rPr>
      <t>1*20GP</t>
    </r>
    <r>
      <rPr>
        <sz val="8"/>
        <color rgb="FF000000"/>
        <rFont val="宋体"/>
        <charset val="134"/>
      </rPr>
      <t>轻钢龙骨</t>
    </r>
  </si>
  <si>
    <r>
      <rPr>
        <sz val="8"/>
        <rFont val="宋体"/>
        <charset val="134"/>
      </rPr>
      <t>DHL8305921956 保单 CCPIT</t>
    </r>
    <r>
      <rPr>
        <sz val="8"/>
        <color rgb="FF0000FF"/>
        <rFont val="宋体"/>
        <charset val="134"/>
      </rPr>
      <t xml:space="preserve"> </t>
    </r>
    <r>
      <rPr>
        <sz val="8"/>
        <rFont val="宋体"/>
        <charset val="134"/>
      </rPr>
      <t>CO 海运估计1850,  同J3931</t>
    </r>
  </si>
  <si>
    <t>永鑫海CMA1700，白沟源远拖车报关</t>
  </si>
  <si>
    <t>J4011-2</t>
  </si>
  <si>
    <t>DHL3451587930 23拖到28 保单 CCPIT CO 海运估计1850</t>
  </si>
  <si>
    <t>永鑫海订舱MSC2556，白沟源远拖车报关</t>
  </si>
  <si>
    <t>J4011-3</t>
  </si>
  <si>
    <t>DHL3451592922 保单 CCPIT CO 海运估计1850</t>
  </si>
  <si>
    <t>永鑫海订舱MSC2935,白沟源远拖车报关</t>
  </si>
  <si>
    <t>J4011-4</t>
  </si>
  <si>
    <t>DHL2045719373 11托15 保单 CCPIT CO 海运估计1850</t>
  </si>
  <si>
    <t>M4019</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</si>
  <si>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检修口（华悦）</t>
    </r>
  </si>
  <si>
    <t>单据齐等款 单据已发客户 18托21 MSC2914/2915+5428/5430 低报发票CCPIT CO同M3874</t>
  </si>
  <si>
    <t>迪斯泰订舱MSC，白沟源远拖车报关</t>
  </si>
  <si>
    <t>J4037</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</si>
  <si>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拉铆钉</t>
    </r>
  </si>
  <si>
    <t>DHL1366810970 23拖到28 保单 CCPIT CO 海运估计4800,  同J4011</t>
  </si>
  <si>
    <t>永鑫海订舱MSC4599，白沟源远拖车报关</t>
  </si>
  <si>
    <t>M4058</t>
  </si>
  <si>
    <r>
      <rPr>
        <sz val="8"/>
        <color rgb="FF000000"/>
        <rFont val="Arial"/>
        <charset val="134"/>
      </rPr>
      <t xml:space="preserve">1x20‘+1x40H </t>
    </r>
    <r>
      <rPr>
        <sz val="8"/>
        <color rgb="FF000000"/>
        <rFont val="宋体"/>
        <charset val="134"/>
      </rPr>
      <t>变高系列</t>
    </r>
    <r>
      <rPr>
        <sz val="8"/>
        <color rgb="FF000000"/>
        <rFont val="Arial"/>
        <charset val="134"/>
      </rPr>
      <t>+</t>
    </r>
    <r>
      <rPr>
        <sz val="8"/>
        <color rgb="FF000000"/>
        <rFont val="宋体"/>
        <charset val="134"/>
      </rPr>
      <t>竖向沿地</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检修口（华悦）</t>
    </r>
  </si>
  <si>
    <r>
      <rPr>
        <sz val="8"/>
        <rFont val="宋体"/>
        <charset val="134"/>
      </rPr>
      <t>电放 实际检修口40和50各多装一箱 低报发票CCPIT</t>
    </r>
    <r>
      <rPr>
        <sz val="8"/>
        <color rgb="FF0000D4"/>
        <rFont val="宋体"/>
        <charset val="134"/>
      </rPr>
      <t xml:space="preserve"> </t>
    </r>
    <r>
      <rPr>
        <sz val="8"/>
        <rFont val="宋体"/>
        <charset val="134"/>
      </rPr>
      <t>CO 16托22 3500USD/20GP  6320USD/40HQ 同M4019 3874</t>
    </r>
  </si>
  <si>
    <t>永鑫海订舱MSC，会昌拖车报关</t>
  </si>
  <si>
    <t>J4064</t>
  </si>
  <si>
    <t>160.1235 发票标注好允许的误差范围±2mm 需要验货，需要贴标签 同J4005</t>
  </si>
  <si>
    <t>海进订舱OC，白沟源远拖车报关</t>
  </si>
  <si>
    <t>J4090</t>
  </si>
  <si>
    <r>
      <rPr>
        <sz val="8"/>
        <color rgb="FF000000"/>
        <rFont val="Arial"/>
        <charset val="134"/>
      </rPr>
      <t xml:space="preserve">2x20GP </t>
    </r>
    <r>
      <rPr>
        <sz val="8"/>
        <color rgb="FF000000"/>
        <rFont val="宋体"/>
        <charset val="134"/>
      </rPr>
      <t>轻钢</t>
    </r>
  </si>
  <si>
    <t>DHL7466943890 3托9 换地址了好客户确认寄件地址 客户承担USD1080/20GP 保单 CCPIT CO 海运费3500 多的客户出  同J3916</t>
  </si>
  <si>
    <t>迪斯泰订舱MSC4574/4580,白沟源远拖车报关</t>
  </si>
  <si>
    <t>J4092-2</t>
  </si>
  <si>
    <r>
      <rPr>
        <sz val="8"/>
        <color rgb="FF000000"/>
        <rFont val="Arial"/>
        <charset val="134"/>
      </rPr>
      <t>1x20F+2x40HQ</t>
    </r>
    <r>
      <rPr>
        <sz val="8"/>
        <color rgb="FF000000"/>
        <rFont val="宋体"/>
        <charset val="134"/>
      </rPr>
      <t>轻钢</t>
    </r>
  </si>
  <si>
    <t>DHL1464954746 单据齐等款 单据已发客户 保单 CCPIT CO 海运费$3500/20FT, $6350/40HQ  客户多退少补 延期信用证30天 沙特付款   同J4011</t>
  </si>
  <si>
    <t>迪斯泰订舱4524/4580/7548/7550，白沟源远拖车报关</t>
  </si>
  <si>
    <t>J4092-1</t>
  </si>
  <si>
    <r>
      <rPr>
        <sz val="8"/>
        <color rgb="FF000000"/>
        <rFont val="Arial"/>
        <charset val="134"/>
      </rPr>
      <t>3x20F</t>
    </r>
    <r>
      <rPr>
        <sz val="8"/>
        <color rgb="FF000000"/>
        <rFont val="宋体"/>
        <charset val="134"/>
      </rPr>
      <t>轻钢</t>
    </r>
  </si>
  <si>
    <t>DHL: 3651571000 DHL8696602611 3托9 保单 CCPIT CO 客户承担USD1080/20GP 海运费$3500/20FT, $6350/40HQ 延期信用证30天 沙特付款   同J4011</t>
  </si>
  <si>
    <t>迪斯泰订舱MSC4524/4580，白沟源远拖车报关</t>
  </si>
  <si>
    <t>J4116</t>
  </si>
  <si>
    <t>放除锈剂 出CO JKC21083002-160.1247同J4006</t>
  </si>
  <si>
    <t>J4117</t>
  </si>
  <si>
    <t>箱单发票发给检验员 要验货需要贴标签 JKC21083003-160.1246 出CO 同J4005 3933</t>
  </si>
  <si>
    <r>
      <rPr>
        <sz val="8"/>
        <rFont val="宋体"/>
        <charset val="134"/>
      </rPr>
      <t xml:space="preserve">海进订舱MSK，会昌拖车 </t>
    </r>
    <r>
      <rPr>
        <sz val="8"/>
        <color rgb="FFFF0000"/>
        <rFont val="宋体"/>
        <charset val="134"/>
      </rPr>
      <t>金凯抬头报关</t>
    </r>
  </si>
  <si>
    <r>
      <rPr>
        <sz val="8"/>
        <rFont val="宋体"/>
        <charset val="134"/>
      </rPr>
      <t>客户按发票值</t>
    </r>
    <r>
      <rPr>
        <sz val="8"/>
        <rFont val="Arial"/>
        <charset val="134"/>
      </rPr>
      <t>29776.45</t>
    </r>
    <r>
      <rPr>
        <sz val="8"/>
        <rFont val="宋体"/>
        <charset val="134"/>
      </rPr>
      <t>付尾款20836.45 多付甩货款619.2美金移到M4131尾款</t>
    </r>
  </si>
  <si>
    <t>J4122</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</si>
  <si>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库存门</t>
    </r>
  </si>
  <si>
    <t>单据齐等款 单据已发客户 5托13 门装卸费400运费1050 出CNCA 电放 同J3994</t>
  </si>
  <si>
    <t>誉洲订舱CMA10389/10450，誉洲拖车报关</t>
  </si>
  <si>
    <t>J4130-1</t>
  </si>
  <si>
    <r>
      <rPr>
        <sz val="8"/>
        <color rgb="FF000000"/>
        <rFont val="Arial"/>
        <charset val="134"/>
      </rPr>
      <t xml:space="preserve">1x20F </t>
    </r>
    <r>
      <rPr>
        <sz val="8"/>
        <color rgb="FF000000"/>
        <rFont val="宋体"/>
        <charset val="134"/>
      </rPr>
      <t>变高系列</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螺杆</t>
    </r>
  </si>
  <si>
    <t>DHL7216175702 5号托13 保单 CCPIT CO 海运费4050 多的客户出  同J4090</t>
  </si>
  <si>
    <t>永鑫海订舱MSC4075，汇昌拖车 义乌报关</t>
  </si>
  <si>
    <t>J4130-2</t>
  </si>
  <si>
    <t>卡塔尔 Advanced/Sheikha</t>
  </si>
  <si>
    <r>
      <rPr>
        <sz val="8"/>
        <color rgb="FF000000"/>
        <rFont val="Arial"/>
        <charset val="134"/>
      </rPr>
      <t xml:space="preserve">1x20F </t>
    </r>
    <r>
      <rPr>
        <sz val="8"/>
        <color rgb="FF000000"/>
        <rFont val="宋体"/>
        <charset val="134"/>
      </rPr>
      <t>轻钢龙骨</t>
    </r>
  </si>
  <si>
    <t>DHL9473675411 电放等提单背书 单据已发客户 12托24 电放 减掉多余海运费 折合在单价中 保单 CCPIT CO 海运费4050 多的客户出  同J4090</t>
  </si>
  <si>
    <t>永鑫海订舱MSC3950，汇昌拖车 义乌报关</t>
  </si>
  <si>
    <t>M4131</t>
  </si>
  <si>
    <r>
      <rPr>
        <sz val="8"/>
        <color rgb="FF000000"/>
        <rFont val="Arial"/>
        <charset val="134"/>
      </rPr>
      <t>1x40’</t>
    </r>
    <r>
      <rPr>
        <sz val="8"/>
        <color rgb="FF000000"/>
        <rFont val="宋体"/>
        <charset val="134"/>
      </rPr>
      <t>轻钢龙骨</t>
    </r>
    <r>
      <rPr>
        <sz val="8"/>
        <color rgb="FF000000"/>
        <rFont val="Arial"/>
        <charset val="134"/>
      </rPr>
      <t>+</t>
    </r>
    <r>
      <rPr>
        <sz val="8"/>
        <color rgb="FF000000"/>
        <rFont val="宋体"/>
        <charset val="134"/>
      </rPr>
      <t>钉子</t>
    </r>
  </si>
  <si>
    <t>JKC21091002 160.1249 放除锈剂 出CO、电放提单 M3723 3811</t>
  </si>
  <si>
    <t>海进订舱长荣，白沟源远拖车 义乌报关</t>
  </si>
  <si>
    <t>J4135-1</t>
  </si>
  <si>
    <t>DHL8582081406 保单 CCPIT CO 海运估计7650 同J4011</t>
  </si>
  <si>
    <t>永鑫海订舱MSC7140/7400，汇昌拖车 义乌报关</t>
  </si>
  <si>
    <t>J4135-2</t>
  </si>
  <si>
    <r>
      <rPr>
        <sz val="8"/>
        <color rgb="FF000000"/>
        <rFont val="Arial"/>
        <charset val="134"/>
      </rPr>
      <t xml:space="preserve">2x40HQ </t>
    </r>
    <r>
      <rPr>
        <sz val="8"/>
        <color rgb="FF000000"/>
        <rFont val="宋体"/>
        <charset val="134"/>
      </rPr>
      <t>轻钢</t>
    </r>
  </si>
  <si>
    <t>DHL9683524491 12托24 减掉多的海运费 保单 CCPIT CO 海运估计7650 同J4011</t>
  </si>
  <si>
    <t>迪斯泰订舱MSC6614/6650，迪斯泰拖车 义乌报关</t>
  </si>
  <si>
    <t>J4136-2</t>
  </si>
  <si>
    <r>
      <rPr>
        <sz val="8"/>
        <color rgb="FF000000"/>
        <rFont val="Arial"/>
        <charset val="134"/>
      </rPr>
      <t xml:space="preserve">2x20FT+1x40HQ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</si>
  <si>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J4136-1+-2一起寄走的 汇昌退1000一个柜子 CCPIT  CO 同J3799-2</t>
  </si>
  <si>
    <t>永鑫海订舱MSC3950/6650，汇昌拖车报关</t>
  </si>
  <si>
    <t>J4136-3</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</si>
  <si>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</si>
  <si>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DHL4628352934 26托10 AB票 确认品名 CCPIT  CO 同J3799-2</t>
  </si>
  <si>
    <t>永鑫海订舱MSC6650，白沟源远拖车报关</t>
  </si>
  <si>
    <t>J4136-1</t>
  </si>
  <si>
    <r>
      <rPr>
        <sz val="8"/>
        <color rgb="FF000000"/>
        <rFont val="Arial"/>
        <charset val="134"/>
      </rPr>
      <t xml:space="preserve">2x20FT+1x40HQ  </t>
    </r>
    <r>
      <rPr>
        <sz val="8"/>
        <color rgb="FF000000"/>
        <rFont val="宋体"/>
        <charset val="134"/>
      </rPr>
      <t>轻钢龙骨</t>
    </r>
  </si>
  <si>
    <t>DHL7202054112单据齐等款 单据已发客户 12托24 CCPIT  CO 同J3799-2</t>
  </si>
  <si>
    <t>迪斯泰订舱MSC3982/6614，迪斯泰拖车，义乌报关</t>
  </si>
  <si>
    <t>J4160</t>
  </si>
  <si>
    <r>
      <rPr>
        <sz val="8"/>
        <color rgb="FF000000"/>
        <rFont val="Arial"/>
        <charset val="134"/>
      </rPr>
      <t xml:space="preserve">1X40 </t>
    </r>
    <r>
      <rPr>
        <sz val="8"/>
        <color rgb="FF000000"/>
        <rFont val="宋体"/>
        <charset val="134"/>
      </rPr>
      <t>轻钢龙骨</t>
    </r>
  </si>
  <si>
    <t>xingang-DAR ES SALAAM, TANZANIA</t>
  </si>
  <si>
    <t>发箱单发票给验货老师 要验货需要贴标签 160.1257 出CO 同J4117</t>
  </si>
  <si>
    <t>海进订舱中远,汇昌拖车报关 义乌报关</t>
  </si>
  <si>
    <t>J4164-1</t>
  </si>
  <si>
    <r>
      <rPr>
        <sz val="8"/>
        <color rgb="FF000000"/>
        <rFont val="Arial"/>
        <charset val="134"/>
      </rPr>
      <t>2x20F</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 xml:space="preserve"> </t>
    </r>
  </si>
  <si>
    <t>DHL5873266512 客户承担2040一个 保单 CCPIT CO 海运费小柜$3950 大柜6750 多的客户出  同J4130</t>
  </si>
  <si>
    <t>永鑫海订舱MSC5990，汇昌拖车，义乌报关</t>
  </si>
  <si>
    <t>J4164-2</t>
  </si>
  <si>
    <t>单据齐等款 单据已发客户</t>
  </si>
  <si>
    <t>永鑫海订舱7463/7550，汇昌拖车 义乌报关</t>
  </si>
  <si>
    <t>J4174</t>
  </si>
  <si>
    <r>
      <rPr>
        <sz val="8"/>
        <color rgb="FF000000"/>
        <rFont val="Arial"/>
        <charset val="134"/>
      </rPr>
      <t xml:space="preserve">2x40HQ </t>
    </r>
    <r>
      <rPr>
        <sz val="8"/>
        <color rgb="FF000000"/>
        <rFont val="宋体"/>
        <charset val="134"/>
      </rPr>
      <t>轻钢龙骨</t>
    </r>
  </si>
  <si>
    <t>DHL9662635662 保单 CCPIT CO 海运估计6700 同J4135</t>
  </si>
  <si>
    <t>永鑫海订舱7463/7550,汇昌拖车 义乌报关</t>
  </si>
  <si>
    <t>J4179</t>
  </si>
  <si>
    <t>也门 Saraya/Saeed</t>
  </si>
  <si>
    <r>
      <rPr>
        <sz val="8"/>
        <color rgb="FF000000"/>
        <rFont val="Arial"/>
        <charset val="134"/>
      </rPr>
      <t xml:space="preserve">1x20ft </t>
    </r>
    <r>
      <rPr>
        <sz val="8"/>
        <color rgb="FF000000"/>
        <rFont val="宋体"/>
        <charset val="134"/>
      </rPr>
      <t>轻钢</t>
    </r>
  </si>
  <si>
    <t>xingang-MUKALLA, YEMEN</t>
  </si>
  <si>
    <t>电放 其他单据发扫描件 低报 发票认证 CO 确认单据 提单</t>
  </si>
  <si>
    <t>迪斯泰客户约号订舱中远，迪斯泰拖车报关</t>
  </si>
  <si>
    <t>M4182</t>
  </si>
  <si>
    <t>马来西亚 KIBS/Felicia</t>
  </si>
  <si>
    <r>
      <rPr>
        <sz val="8"/>
        <color rgb="FF000000"/>
        <rFont val="Arial"/>
        <charset val="134"/>
      </rPr>
      <t xml:space="preserve">1*40HQ </t>
    </r>
    <r>
      <rPr>
        <sz val="8"/>
        <color rgb="FF000000"/>
        <rFont val="宋体"/>
        <charset val="134"/>
      </rPr>
      <t>轻钢</t>
    </r>
    <r>
      <rPr>
        <sz val="8"/>
        <color rgb="FF000000"/>
        <rFont val="Arial"/>
        <charset val="134"/>
      </rPr>
      <t>+</t>
    </r>
    <r>
      <rPr>
        <sz val="8"/>
        <color rgb="FF000000"/>
        <rFont val="宋体"/>
        <charset val="134"/>
      </rPr>
      <t>干壁钉</t>
    </r>
  </si>
  <si>
    <t>XINGANG-KLANG west, MALAYSIA</t>
  </si>
  <si>
    <t>DHL2697363561 甩小付骨2000支$754 FORM E 保险 正本单据</t>
  </si>
  <si>
    <t>汇昌订舱中远C3000/3100，汇昌拖车报关</t>
  </si>
  <si>
    <t>J4185-4</t>
  </si>
  <si>
    <r>
      <rPr>
        <sz val="8"/>
        <color rgb="FF000000"/>
        <rFont val="Arial"/>
        <charset val="134"/>
      </rPr>
      <t>1x40HQ</t>
    </r>
    <r>
      <rPr>
        <sz val="8"/>
        <color rgb="FF000000"/>
        <rFont val="宋体"/>
        <charset val="134"/>
      </rPr>
      <t>轻钢</t>
    </r>
  </si>
  <si>
    <t>DHL2356445232 CCPIT  CO 同J3799-2 4136</t>
  </si>
  <si>
    <t>永鑫海MSC4580,盛汇通拖车报关</t>
  </si>
  <si>
    <t>J4185-3</t>
  </si>
  <si>
    <r>
      <rPr>
        <sz val="8"/>
        <color rgb="FF000000"/>
        <rFont val="Arial"/>
        <charset val="134"/>
      </rPr>
      <t>3x40HQ</t>
    </r>
    <r>
      <rPr>
        <sz val="8"/>
        <color rgb="FF000000"/>
        <rFont val="宋体"/>
        <charset val="134"/>
      </rPr>
      <t>轻钢</t>
    </r>
  </si>
  <si>
    <t>J4185-3+J4237 DHL3120879160 CCPIT  CO</t>
  </si>
  <si>
    <t>永鑫海订舱MSC4475/4480 盛汇通拖车报关</t>
  </si>
  <si>
    <t>J4185-1</t>
  </si>
  <si>
    <r>
      <rPr>
        <sz val="8"/>
        <color rgb="FF000000"/>
        <rFont val="Arial"/>
        <charset val="134"/>
      </rPr>
      <t>2x20FT+1x40HQ</t>
    </r>
    <r>
      <rPr>
        <sz val="8"/>
        <color rgb="FF000000"/>
        <rFont val="宋体"/>
        <charset val="134"/>
      </rPr>
      <t>轻钢</t>
    </r>
  </si>
  <si>
    <t>DHL6204953090 低保发票 拖车小柜2350 大柜2550 CCPIT  CO 同J3799-2 4136</t>
  </si>
  <si>
    <t>迪斯泰订舱MSC4727/6954 4750/20GP $7000/40HQ，迪斯泰拖车报关</t>
  </si>
  <si>
    <t>J4185-2</t>
  </si>
  <si>
    <r>
      <rPr>
        <sz val="8"/>
        <color rgb="FF000000"/>
        <rFont val="Arial"/>
        <charset val="134"/>
      </rPr>
      <t>3x20FT</t>
    </r>
    <r>
      <rPr>
        <sz val="8"/>
        <color rgb="FF000000"/>
        <rFont val="宋体"/>
        <charset val="134"/>
      </rPr>
      <t>轻钢</t>
    </r>
  </si>
  <si>
    <t>DHL5603477946 J4185-2+J4210一起寄走</t>
  </si>
  <si>
    <t>永鑫海订舱MSC4085/4090，汇昌拖车报关</t>
  </si>
  <si>
    <t>M4193</t>
  </si>
  <si>
    <r>
      <rPr>
        <sz val="8"/>
        <color rgb="FF000000"/>
        <rFont val="Arial"/>
        <charset val="134"/>
      </rPr>
      <t xml:space="preserve">1x20FT+1x40HQ </t>
    </r>
    <r>
      <rPr>
        <sz val="8"/>
        <color rgb="FF000000"/>
        <rFont val="宋体"/>
        <charset val="134"/>
      </rPr>
      <t>轻钢龙骨</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玻纤卷</t>
    </r>
  </si>
  <si>
    <t>北京DHL9556145900 低报发票CCPIT CO 同M4058 3874</t>
  </si>
  <si>
    <t>海运肆方订舱MSC，迪斯泰拖车报关</t>
  </si>
  <si>
    <t>J4197</t>
  </si>
  <si>
    <r>
      <rPr>
        <sz val="8"/>
        <color rgb="FF000000"/>
        <rFont val="Arial"/>
        <charset val="134"/>
      </rPr>
      <t xml:space="preserve">1x20’+1x40' </t>
    </r>
    <r>
      <rPr>
        <sz val="8"/>
        <color rgb="FF000000"/>
        <rFont val="宋体"/>
        <charset val="134"/>
      </rPr>
      <t>轻钢龙骨</t>
    </r>
  </si>
  <si>
    <t>xingang-KENYA</t>
  </si>
  <si>
    <t>拖车小柜2350 大柜2650 到乌干达还是肯尼亚？ 160.1264 出CO、电放提单 J3811 4131 J4116</t>
  </si>
  <si>
    <t>海进订舱中远，迪斯泰拖车报关</t>
  </si>
  <si>
    <t>J4198</t>
  </si>
  <si>
    <r>
      <rPr>
        <sz val="8"/>
        <color rgb="FF000000"/>
        <rFont val="Arial"/>
        <charset val="134"/>
      </rPr>
      <t xml:space="preserve">2x20’+1x40' </t>
    </r>
    <r>
      <rPr>
        <sz val="8"/>
        <color rgb="FF000000"/>
        <rFont val="宋体"/>
        <charset val="134"/>
      </rPr>
      <t>轻钢龙骨</t>
    </r>
    <r>
      <rPr>
        <sz val="8"/>
        <color rgb="FF000000"/>
        <rFont val="Arial"/>
        <charset val="134"/>
      </rPr>
      <t>+</t>
    </r>
    <r>
      <rPr>
        <sz val="8"/>
        <color rgb="FF000000"/>
        <rFont val="宋体"/>
        <charset val="134"/>
      </rPr>
      <t>烤漆龙骨</t>
    </r>
  </si>
  <si>
    <t>甩烤漆付骨2475支 已付款 发箱单发票给验货老师 要验货需要贴标签 260.0049 出CO 同J4117 4160</t>
  </si>
  <si>
    <t>J4210</t>
  </si>
  <si>
    <r>
      <rPr>
        <sz val="8"/>
        <color rgb="FF000000"/>
        <rFont val="Arial"/>
        <charset val="134"/>
      </rPr>
      <t xml:space="preserve">1*20 </t>
    </r>
    <r>
      <rPr>
        <sz val="8"/>
        <color rgb="FF000000"/>
        <rFont val="宋体"/>
        <charset val="134"/>
      </rPr>
      <t>烤漆</t>
    </r>
    <r>
      <rPr>
        <sz val="8"/>
        <color rgb="FF000000"/>
        <rFont val="Arial"/>
        <charset val="134"/>
      </rPr>
      <t>+</t>
    </r>
    <r>
      <rPr>
        <sz val="8"/>
        <color rgb="FF000000"/>
        <rFont val="宋体"/>
        <charset val="134"/>
      </rPr>
      <t>铁丝</t>
    </r>
  </si>
  <si>
    <t>J4185-2+J4210一起寄走 CCPIT  CO 同J4185</t>
  </si>
  <si>
    <r>
      <rPr>
        <sz val="8"/>
        <rFont val="宋体"/>
        <charset val="134"/>
      </rPr>
      <t xml:space="preserve">永鑫海订舱MSC4280，汇昌拖车  </t>
    </r>
    <r>
      <rPr>
        <sz val="8"/>
        <color rgb="FFFF0000"/>
        <rFont val="宋体"/>
        <charset val="134"/>
      </rPr>
      <t>金凯抬头报关</t>
    </r>
  </si>
  <si>
    <t>J4237</t>
  </si>
  <si>
    <r>
      <rPr>
        <sz val="8"/>
        <color rgb="FF000000"/>
        <rFont val="宋体"/>
        <charset val="134"/>
      </rPr>
      <t>1*20GP轻钢/配件弹簧片</t>
    </r>
    <r>
      <rPr>
        <sz val="8"/>
        <color rgb="FF000000"/>
        <rFont val="Arial"/>
        <charset val="134"/>
      </rPr>
      <t>/</t>
    </r>
    <r>
      <rPr>
        <sz val="8"/>
        <color rgb="FF000000"/>
        <rFont val="宋体"/>
        <charset val="134"/>
      </rPr>
      <t>铁丝钩</t>
    </r>
    <r>
      <rPr>
        <sz val="8"/>
        <color rgb="FF000000"/>
        <rFont val="Arial"/>
        <charset val="134"/>
      </rPr>
      <t>/</t>
    </r>
    <r>
      <rPr>
        <sz val="8"/>
        <color rgb="FF000000"/>
        <rFont val="宋体"/>
        <charset val="134"/>
      </rPr>
      <t>内爆</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主吊</t>
    </r>
  </si>
  <si>
    <t>CCPIT  CO 同J4185</t>
  </si>
  <si>
    <t>永鑫海订舱MSC2900/2940 盛汇通拖车报关</t>
  </si>
  <si>
    <t>J4242-3</t>
  </si>
  <si>
    <t>宁波亿希纳 /Nazmi</t>
  </si>
  <si>
    <t>1*20FT+1*40HQ 轻钢</t>
  </si>
  <si>
    <t>分两批发，分别发一半。 第一批：1*20FT+3*40HQ   第二批：1*20FT+3*40HQ</t>
  </si>
  <si>
    <t>J4242-2</t>
  </si>
  <si>
    <t>3*40HQ 轻钢</t>
  </si>
  <si>
    <t>xingang-DAMMAM</t>
  </si>
  <si>
    <t>客户订舱PIL，小杜拖车报关</t>
  </si>
  <si>
    <t>J4242-1</t>
  </si>
  <si>
    <t>1*20FT+2*40HQ 轻钢</t>
  </si>
  <si>
    <t>22号装一个小柜23号装两个高箱</t>
  </si>
  <si>
    <t>客户订舱中远，小杜拖车报关</t>
  </si>
  <si>
    <t>J4246</t>
  </si>
  <si>
    <t>2x40H 烤漆+轻钢+配件</t>
  </si>
  <si>
    <t>出CNCA 电放 同J4122</t>
  </si>
  <si>
    <t>J4250</t>
  </si>
  <si>
    <t>2x20FT 轻钢</t>
  </si>
  <si>
    <t>DHL9783577694 保单 CCPIT CO 海运估计4350 同J4174</t>
  </si>
  <si>
    <t>永鑫海订舱MSC2900/2950，盛汇通拖车报关</t>
  </si>
  <si>
    <t>J4261</t>
  </si>
  <si>
    <t>1x40 FCL 轻钢龙骨</t>
  </si>
  <si>
    <t>发箱单发票给验货老师TZA 2022 171373 要验货需要贴标签 160.1281 出CO 同J4160 4198</t>
  </si>
  <si>
    <t>海进订舱MSK，小杜拖车报关</t>
  </si>
  <si>
    <t>M4262</t>
  </si>
  <si>
    <t>1x20' 轻钢+金属护角带</t>
  </si>
  <si>
    <t>单据和款齐了 等开船电放 护墙角钢带  73269090 38主做成光面了调单价了 160.1280 出CO M3723 3811 4131</t>
  </si>
  <si>
    <t>J4264</t>
  </si>
  <si>
    <t>菲律宾CZT/蔡再添</t>
  </si>
  <si>
    <t>5000支轻钢双边边角</t>
  </si>
  <si>
    <t>送货地址如下：                                                                  方先生18157997797
浙江省金华市义乌市后宅街道 遗安二区58幢二单元-五单元</t>
  </si>
  <si>
    <t>J4265</t>
  </si>
  <si>
    <t>广州特博/张友波</t>
  </si>
  <si>
    <t>轻钢边角+打孔边角</t>
  </si>
  <si>
    <t>等客户确认收货地址，帮忙找物流</t>
  </si>
  <si>
    <t>J4276</t>
  </si>
  <si>
    <t>2x20F 变高系统/打孔边角/38主吊内爆螺杆</t>
  </si>
  <si>
    <t>保单 CCPIT CO 海运费小柜3600核算 多的客户出  同J4130 4164</t>
  </si>
  <si>
    <t>永鑫海订舱5590，小杜拖车报关</t>
  </si>
  <si>
    <t>J4281</t>
  </si>
  <si>
    <t>3x20FT轻钢</t>
  </si>
  <si>
    <r>
      <t>提单未拿</t>
    </r>
    <r>
      <rPr>
        <sz val="8"/>
        <rFont val="宋体"/>
        <charset val="134"/>
      </rPr>
      <t xml:space="preserve"> 保单 CCPIT CO 海运估计3000 同J4174 4250</t>
    </r>
  </si>
  <si>
    <t>永鑫海订舱MSC5590，小杜拖车报关</t>
  </si>
  <si>
    <t>J4284-2</t>
  </si>
  <si>
    <t>1x20'烤漆龙骨</t>
  </si>
  <si>
    <t>AGSB 库存2475支部分4198已付，做发票时减去  发箱单发票给验货老师 要验货需要贴标签 260.0052 出CO 同J4117 4160 4198</t>
  </si>
  <si>
    <t>J4284-1</t>
  </si>
  <si>
    <t>1x20'+1x40' 轻钢龙骨</t>
  </si>
  <si>
    <t>15号验货TZA 2022 189335 0002 AGSB 库存2475支部分4198已付，做发票时减去  发箱单发票给验货老师 要验货需要贴标签 260.0052 出CO 同J4117 4160 4198</t>
  </si>
  <si>
    <t>海进订舱MSK,小杜拖车报关</t>
  </si>
  <si>
    <t>J4292</t>
  </si>
  <si>
    <t>马来西亚 Muhibah/Pui Yinh</t>
  </si>
  <si>
    <t>1x20 FCL 小付骨</t>
  </si>
  <si>
    <t>xingang-KLANG, MALAYSIA</t>
  </si>
  <si>
    <t>只有10吨</t>
  </si>
  <si>
    <t>J4294</t>
  </si>
  <si>
    <t>5x20FT+4x40HQ 轻钢+烤漆</t>
  </si>
  <si>
    <t>按FOB低报60%？CCPIT  CO 同J4136 4185</t>
  </si>
  <si>
    <t>J4294-1</t>
  </si>
  <si>
    <t>3x20FT 轻钢</t>
  </si>
  <si>
    <t>按FOB低报60% CCPIT  CO 保险 同J4136 4185</t>
  </si>
  <si>
    <t>永鑫海订舱5590,小杜拖车报关</t>
  </si>
  <si>
    <t>J4306</t>
  </si>
  <si>
    <t>1x40H 蓝色小付骨</t>
  </si>
  <si>
    <t>电放 海运费核价按照$3700 没特殊单据 出保单 和客户确认收货人和换单港口 船用evergreen  马来西亚换单Sibu, Sarawak 同J3892 3998</t>
  </si>
  <si>
    <t>J4310</t>
  </si>
  <si>
    <t>河北龙纳驰风/Tom</t>
  </si>
  <si>
    <t>天蓝色小付骨+75沿地</t>
  </si>
  <si>
    <t>X3477</t>
  </si>
  <si>
    <r>
      <rPr>
        <sz val="8"/>
        <rFont val="Arial"/>
        <charset val="134"/>
      </rPr>
      <t xml:space="preserve"> </t>
    </r>
    <r>
      <rPr>
        <sz val="8"/>
        <rFont val="宋体"/>
        <charset val="134"/>
      </rPr>
      <t>利比亚</t>
    </r>
    <r>
      <rPr>
        <sz val="8"/>
        <rFont val="Arial"/>
        <charset val="134"/>
      </rPr>
      <t xml:space="preserve"> Pearl   </t>
    </r>
  </si>
  <si>
    <r>
      <rPr>
        <sz val="8"/>
        <rFont val="Arial"/>
        <charset val="134"/>
      </rPr>
      <t>3x20</t>
    </r>
    <r>
      <rPr>
        <sz val="8"/>
        <rFont val="宋体"/>
        <charset val="134"/>
      </rPr>
      <t>石膏板</t>
    </r>
  </si>
  <si>
    <t>qingdao-TRIPOLI, LIBYA</t>
  </si>
  <si>
    <r>
      <rPr>
        <b/>
        <sz val="8"/>
        <rFont val="Arial"/>
        <charset val="134"/>
      </rPr>
      <t>提单电放</t>
    </r>
    <r>
      <rPr>
        <b/>
        <sz val="8"/>
        <rFont val="Arial"/>
        <charset val="134"/>
      </rPr>
      <t>2019.5.13</t>
    </r>
  </si>
  <si>
    <r>
      <rPr>
        <sz val="8"/>
        <rFont val="Arial"/>
        <charset val="134"/>
      </rPr>
      <t>联达环球订舱</t>
    </r>
    <r>
      <rPr>
        <sz val="8"/>
        <rFont val="Arial"/>
        <charset val="134"/>
      </rPr>
      <t>1300</t>
    </r>
    <r>
      <rPr>
        <sz val="8"/>
        <rFont val="宋体"/>
        <charset val="134"/>
      </rPr>
      <t>，万家拖车报关</t>
    </r>
  </si>
  <si>
    <t>X3511</t>
  </si>
  <si>
    <r>
      <rPr>
        <sz val="8"/>
        <rFont val="Arial"/>
        <charset val="134"/>
      </rPr>
      <t>2x40</t>
    </r>
    <r>
      <rPr>
        <sz val="8"/>
        <rFont val="宋体"/>
        <charset val="134"/>
      </rPr>
      <t>石膏板</t>
    </r>
  </si>
  <si>
    <t>qingdao-LUANDA ANGOLA</t>
  </si>
  <si>
    <r>
      <rPr>
        <sz val="8"/>
        <rFont val="Arial"/>
        <charset val="134"/>
      </rPr>
      <t>联达环球</t>
    </r>
    <r>
      <rPr>
        <sz val="8"/>
        <rFont val="Arial"/>
        <charset val="134"/>
      </rPr>
      <t>6448</t>
    </r>
    <r>
      <rPr>
        <sz val="8"/>
        <rFont val="宋体"/>
        <charset val="134"/>
      </rPr>
      <t>，万家拖车报关</t>
    </r>
  </si>
  <si>
    <t>X3509</t>
  </si>
  <si>
    <t xml:space="preserve">qingdao-HAMAD </t>
  </si>
  <si>
    <r>
      <rPr>
        <sz val="9"/>
        <rFont val="Arial"/>
        <charset val="134"/>
      </rPr>
      <t>DHL</t>
    </r>
    <r>
      <rPr>
        <sz val="9"/>
        <rFont val="Cambria"/>
        <charset val="134"/>
      </rPr>
      <t>：</t>
    </r>
    <r>
      <rPr>
        <sz val="9"/>
        <rFont val="Arial"/>
        <charset val="134"/>
      </rPr>
      <t>25 96360174</t>
    </r>
  </si>
  <si>
    <r>
      <rPr>
        <sz val="8"/>
        <rFont val="Arial"/>
        <charset val="134"/>
      </rPr>
      <t>联达环球</t>
    </r>
    <r>
      <rPr>
        <sz val="8"/>
        <rFont val="Arial"/>
        <charset val="134"/>
      </rPr>
      <t>HMM1200</t>
    </r>
    <r>
      <rPr>
        <sz val="8"/>
        <rFont val="宋体"/>
        <charset val="134"/>
      </rPr>
      <t>，万家拖车报关</t>
    </r>
  </si>
  <si>
    <t>X3702</t>
  </si>
  <si>
    <r>
      <rPr>
        <sz val="9"/>
        <rFont val="宋体"/>
        <charset val="134"/>
      </rPr>
      <t xml:space="preserve">DHL8428061563 </t>
    </r>
    <r>
      <rPr>
        <sz val="9"/>
        <rFont val="Arial"/>
        <charset val="134"/>
      </rPr>
      <t xml:space="preserve">CO CCPIT 
</t>
    </r>
  </si>
  <si>
    <r>
      <rPr>
        <sz val="8"/>
        <rFont val="宋体"/>
        <charset val="134"/>
      </rPr>
      <t>张晋山订舱</t>
    </r>
    <r>
      <rPr>
        <sz val="8"/>
        <rFont val="Arial"/>
        <charset val="134"/>
      </rPr>
      <t>HMM1365/1370</t>
    </r>
    <r>
      <rPr>
        <sz val="8"/>
        <rFont val="宋体"/>
        <charset val="134"/>
      </rPr>
      <t>，皇华拖车报关</t>
    </r>
  </si>
  <si>
    <r>
      <rPr>
        <sz val="8"/>
        <rFont val="宋体"/>
        <charset val="134"/>
      </rPr>
      <t>实际尾款</t>
    </r>
    <r>
      <rPr>
        <sz val="8"/>
        <rFont val="Arial"/>
        <charset val="134"/>
      </rPr>
      <t>11191.94</t>
    </r>
  </si>
  <si>
    <t>X3882</t>
  </si>
  <si>
    <r>
      <rPr>
        <sz val="8"/>
        <rFont val="宋体"/>
        <charset val="134"/>
      </rPr>
      <t>利比亚</t>
    </r>
    <r>
      <rPr>
        <sz val="8"/>
        <rFont val="Arial"/>
        <charset val="134"/>
      </rPr>
      <t>FMS/Baha</t>
    </r>
  </si>
  <si>
    <r>
      <rPr>
        <sz val="8"/>
        <rFont val="Arial"/>
        <charset val="134"/>
      </rPr>
      <t>6x20' PVC</t>
    </r>
    <r>
      <rPr>
        <sz val="8"/>
        <rFont val="宋体"/>
        <charset val="134"/>
      </rPr>
      <t>贴面石膏板</t>
    </r>
  </si>
  <si>
    <t>qingdao-misrata, LIBYA</t>
  </si>
  <si>
    <r>
      <rPr>
        <sz val="9"/>
        <color rgb="FF000000"/>
        <rFont val="宋体"/>
        <charset val="134"/>
      </rPr>
      <t>低报发票做30% 皇华采购</t>
    </r>
    <r>
      <rPr>
        <sz val="9"/>
        <color rgb="FF000000"/>
        <rFont val="Arial"/>
        <charset val="134"/>
      </rPr>
      <t xml:space="preserve">   </t>
    </r>
    <r>
      <rPr>
        <sz val="9"/>
        <color rgb="FF000000"/>
        <rFont val="宋体"/>
        <charset val="134"/>
      </rPr>
      <t>客户出厂付清尾款 给客户做单据时按照</t>
    </r>
    <r>
      <rPr>
        <sz val="9"/>
        <color rgb="FF000000"/>
        <rFont val="Arial"/>
        <charset val="134"/>
      </rPr>
      <t>$0.809/sqm(</t>
    </r>
    <r>
      <rPr>
        <sz val="9"/>
        <color rgb="FF000000"/>
        <rFont val="宋体"/>
        <charset val="134"/>
      </rPr>
      <t>客户加佣金以后的价格）</t>
    </r>
  </si>
  <si>
    <t>享源订舱MSK，皇华拖车报关</t>
  </si>
  <si>
    <t>X3898</t>
  </si>
  <si>
    <r>
      <rPr>
        <sz val="8"/>
        <rFont val="Arial"/>
        <charset val="134"/>
      </rPr>
      <t>2X20GP PVC</t>
    </r>
    <r>
      <rPr>
        <sz val="8"/>
        <rFont val="宋体"/>
        <charset val="134"/>
      </rPr>
      <t>石膏板</t>
    </r>
  </si>
  <si>
    <r>
      <rPr>
        <sz val="9"/>
        <rFont val="宋体"/>
        <charset val="134"/>
      </rPr>
      <t xml:space="preserve">DHL7920892173 CCPIT </t>
    </r>
    <r>
      <rPr>
        <sz val="9"/>
        <color rgb="FF000000"/>
        <rFont val="宋体"/>
        <charset val="134"/>
      </rPr>
      <t>CO 同X3702</t>
    </r>
  </si>
  <si>
    <t>张晋山订舱CMA1184，皇华拖车报关</t>
  </si>
  <si>
    <t xml:space="preserve">                                                                                                                                                                                                                                                                                                                                                                                                                                                                                                                                                                                                                                                                                                                                                                                                                                                                                                                                                                                                                                                                                                                                       </t>
  </si>
  <si>
    <t>Echo</t>
  </si>
  <si>
    <t>J3281-E</t>
  </si>
  <si>
    <t>E</t>
  </si>
  <si>
    <r>
      <rPr>
        <sz val="8"/>
        <rFont val="Arial"/>
        <charset val="134"/>
      </rPr>
      <t>斯里兰卡</t>
    </r>
    <r>
      <rPr>
        <sz val="8"/>
        <rFont val="Arial"/>
        <charset val="134"/>
      </rPr>
      <t>Nihal (Rizvi)</t>
    </r>
  </si>
  <si>
    <r>
      <rPr>
        <sz val="8"/>
        <rFont val="Arial"/>
        <charset val="134"/>
      </rPr>
      <t xml:space="preserve">1*20GP </t>
    </r>
    <r>
      <rPr>
        <sz val="8"/>
        <rFont val="宋体"/>
        <charset val="134"/>
      </rPr>
      <t>黑线凹槽烤漆龙骨</t>
    </r>
  </si>
  <si>
    <t>指定代理冠亚，会昌拖车报关</t>
  </si>
  <si>
    <t>J3282-E</t>
  </si>
  <si>
    <r>
      <rPr>
        <sz val="8"/>
        <rFont val="Arial"/>
        <charset val="134"/>
      </rPr>
      <t>印度</t>
    </r>
    <r>
      <rPr>
        <sz val="8"/>
        <rFont val="Arial"/>
        <charset val="134"/>
      </rPr>
      <t>FURNITECH (Jignesh)</t>
    </r>
  </si>
  <si>
    <r>
      <rPr>
        <sz val="8"/>
        <rFont val="Arial"/>
        <charset val="134"/>
      </rPr>
      <t xml:space="preserve">1*20  tee grid </t>
    </r>
    <r>
      <rPr>
        <sz val="8"/>
        <rFont val="宋体"/>
        <charset val="134"/>
      </rPr>
      <t>平面烤漆龙骨</t>
    </r>
  </si>
  <si>
    <t>指定代理三联合作不愉快港杂费用高，下次争取不用这家，会昌拖车报关</t>
  </si>
  <si>
    <t>J3270-E</t>
  </si>
  <si>
    <r>
      <rPr>
        <sz val="8"/>
        <rFont val="Arial"/>
        <charset val="134"/>
      </rPr>
      <t>印度</t>
    </r>
    <r>
      <rPr>
        <sz val="8"/>
        <rFont val="Arial"/>
        <charset val="134"/>
      </rPr>
      <t>AAVA (Vik</t>
    </r>
    <r>
      <rPr>
        <sz val="8"/>
        <rFont val="Cambria"/>
        <charset val="134"/>
      </rPr>
      <t>）</t>
    </r>
  </si>
  <si>
    <t>1*20 tee grid</t>
  </si>
  <si>
    <r>
      <rPr>
        <sz val="8"/>
        <color indexed="8"/>
        <rFont val="Arial"/>
        <charset val="134"/>
      </rPr>
      <t>东莞指定代理</t>
    </r>
    <r>
      <rPr>
        <sz val="8"/>
        <color indexed="8"/>
        <rFont val="Arial"/>
        <charset val="134"/>
      </rPr>
      <t>,</t>
    </r>
    <r>
      <rPr>
        <sz val="8"/>
        <color indexed="8"/>
        <rFont val="宋体"/>
        <charset val="134"/>
      </rPr>
      <t>天津福日莱拖车报关</t>
    </r>
  </si>
  <si>
    <t>30000RMB</t>
  </si>
  <si>
    <t>J3302-E</t>
  </si>
  <si>
    <r>
      <rPr>
        <sz val="8"/>
        <color indexed="8"/>
        <rFont val="Arial"/>
        <charset val="134"/>
      </rPr>
      <t>唐山海港</t>
    </r>
    <r>
      <rPr>
        <sz val="8"/>
        <color indexed="8"/>
        <rFont val="Arial"/>
        <charset val="134"/>
      </rPr>
      <t>(Helen)</t>
    </r>
  </si>
  <si>
    <t>1*40 steel profile</t>
  </si>
  <si>
    <t>指定代理海港瑞祥，汇昌拖车报关</t>
  </si>
  <si>
    <t>20000RMB</t>
  </si>
  <si>
    <t>J3303-E</t>
  </si>
  <si>
    <t>指定代理惠禾国际，兼拖车报关</t>
  </si>
  <si>
    <t>J3317-E</t>
  </si>
  <si>
    <r>
      <rPr>
        <sz val="8"/>
        <color indexed="8"/>
        <rFont val="Arial"/>
        <charset val="134"/>
      </rPr>
      <t>廊坊的外贸公司</t>
    </r>
    <r>
      <rPr>
        <sz val="8"/>
        <color indexed="8"/>
        <rFont val="Arial"/>
        <charset val="134"/>
      </rPr>
      <t>Amy</t>
    </r>
  </si>
  <si>
    <r>
      <rPr>
        <sz val="8"/>
        <color theme="1"/>
        <rFont val="Arial"/>
        <charset val="134"/>
      </rPr>
      <t xml:space="preserve">1x40 </t>
    </r>
    <r>
      <rPr>
        <sz val="8"/>
        <color indexed="8"/>
        <rFont val="宋体"/>
        <charset val="134"/>
      </rPr>
      <t>轻钢</t>
    </r>
  </si>
  <si>
    <r>
      <rPr>
        <sz val="8"/>
        <color indexed="8"/>
        <rFont val="Arial"/>
        <charset val="134"/>
      </rPr>
      <t>指定货代</t>
    </r>
    <r>
      <rPr>
        <sz val="8"/>
        <color indexed="8"/>
        <rFont val="Arial"/>
        <charset val="134"/>
      </rPr>
      <t>LSR</t>
    </r>
    <r>
      <rPr>
        <sz val="8"/>
        <color indexed="8"/>
        <rFont val="宋体"/>
        <charset val="134"/>
      </rPr>
      <t>订舱，会昌拖车报关</t>
    </r>
  </si>
  <si>
    <t>J3310-E</t>
  </si>
  <si>
    <r>
      <rPr>
        <sz val="8"/>
        <color indexed="8"/>
        <rFont val="Arial"/>
        <charset val="134"/>
      </rPr>
      <t>阿曼</t>
    </r>
    <r>
      <rPr>
        <sz val="8"/>
        <color indexed="8"/>
        <rFont val="Arial"/>
        <charset val="134"/>
      </rPr>
      <t>(Hamad)</t>
    </r>
  </si>
  <si>
    <r>
      <rPr>
        <sz val="8"/>
        <color theme="1"/>
        <rFont val="Arial"/>
        <charset val="134"/>
      </rPr>
      <t xml:space="preserve">1*20 </t>
    </r>
    <r>
      <rPr>
        <sz val="8"/>
        <color indexed="8"/>
        <rFont val="宋体"/>
        <charset val="134"/>
      </rPr>
      <t>轻钢</t>
    </r>
  </si>
  <si>
    <r>
      <rPr>
        <sz val="8"/>
        <rFont val="Arial"/>
        <charset val="134"/>
      </rPr>
      <t>周天华订舱</t>
    </r>
    <r>
      <rPr>
        <sz val="8"/>
        <rFont val="Arial"/>
        <charset val="134"/>
      </rPr>
      <t>850</t>
    </r>
    <r>
      <rPr>
        <sz val="8"/>
        <rFont val="宋体"/>
        <charset val="134"/>
      </rPr>
      <t>美金，会昌拖车报关</t>
    </r>
  </si>
  <si>
    <t>J3318-E</t>
  </si>
  <si>
    <r>
      <rPr>
        <sz val="8"/>
        <color indexed="8"/>
        <rFont val="Arial"/>
        <charset val="134"/>
      </rPr>
      <t>菲律宾</t>
    </r>
    <r>
      <rPr>
        <sz val="8"/>
        <color indexed="8"/>
        <rFont val="Arial"/>
        <charset val="134"/>
      </rPr>
      <t xml:space="preserve"> INFINITEOPTIONS   </t>
    </r>
  </si>
  <si>
    <r>
      <rPr>
        <sz val="8"/>
        <color theme="1"/>
        <rFont val="Arial"/>
        <charset val="134"/>
      </rPr>
      <t xml:space="preserve">1X40HQ </t>
    </r>
    <r>
      <rPr>
        <sz val="8"/>
        <color indexed="8"/>
        <rFont val="宋体"/>
        <charset val="134"/>
      </rPr>
      <t>轻钢</t>
    </r>
  </si>
  <si>
    <r>
      <rPr>
        <sz val="8"/>
        <color indexed="8"/>
        <rFont val="Arial"/>
        <charset val="134"/>
      </rPr>
      <t>会昌订舱拖车报关，退海运费</t>
    </r>
    <r>
      <rPr>
        <sz val="8"/>
        <color indexed="8"/>
        <rFont val="Arial"/>
        <charset val="134"/>
      </rPr>
      <t>60</t>
    </r>
  </si>
  <si>
    <t>J3333-E</t>
  </si>
  <si>
    <r>
      <rPr>
        <sz val="8"/>
        <rFont val="Arial"/>
        <charset val="134"/>
      </rPr>
      <t>唐山海港</t>
    </r>
    <r>
      <rPr>
        <sz val="8"/>
        <rFont val="Arial"/>
        <charset val="134"/>
      </rPr>
      <t>(Helen)</t>
    </r>
  </si>
  <si>
    <r>
      <rPr>
        <sz val="8"/>
        <rFont val="Arial"/>
        <charset val="134"/>
      </rPr>
      <t>指定代理海港瑞祥，汇昌拖车报关</t>
    </r>
    <r>
      <rPr>
        <sz val="8"/>
        <rFont val="Arial"/>
        <charset val="134"/>
      </rPr>
      <t>,</t>
    </r>
    <r>
      <rPr>
        <sz val="8"/>
        <rFont val="宋体"/>
        <charset val="134"/>
      </rPr>
      <t>提箱单已有，发会昌了</t>
    </r>
  </si>
  <si>
    <t xml:space="preserve">J3336-E </t>
  </si>
  <si>
    <r>
      <rPr>
        <sz val="8"/>
        <color theme="1"/>
        <rFont val="Arial"/>
        <charset val="134"/>
      </rPr>
      <t xml:space="preserve"> 1X40 </t>
    </r>
    <r>
      <rPr>
        <sz val="8"/>
        <color indexed="8"/>
        <rFont val="宋体"/>
        <charset val="134"/>
      </rPr>
      <t>轻钢龙骨</t>
    </r>
  </si>
  <si>
    <r>
      <rPr>
        <sz val="8"/>
        <rFont val="Arial"/>
        <charset val="134"/>
      </rPr>
      <t>指定代理海港瑞祥</t>
    </r>
    <r>
      <rPr>
        <sz val="8"/>
        <rFont val="Arial"/>
        <charset val="134"/>
      </rPr>
      <t>,</t>
    </r>
    <r>
      <rPr>
        <sz val="8"/>
        <rFont val="宋体"/>
        <charset val="134"/>
      </rPr>
      <t>会昌拖车报关</t>
    </r>
  </si>
  <si>
    <t>J3352-1-E</t>
  </si>
  <si>
    <t>指定代理天津澳翔，会昌拖车报关</t>
  </si>
  <si>
    <t xml:space="preserve">J3352-2-E </t>
  </si>
  <si>
    <r>
      <rPr>
        <sz val="8"/>
        <color theme="1"/>
        <rFont val="Arial"/>
        <charset val="134"/>
      </rPr>
      <t xml:space="preserve">1X40 </t>
    </r>
    <r>
      <rPr>
        <sz val="8"/>
        <color indexed="8"/>
        <rFont val="宋体"/>
        <charset val="134"/>
      </rPr>
      <t>轻钢龙骨</t>
    </r>
  </si>
  <si>
    <t>J3353-E</t>
  </si>
  <si>
    <r>
      <rPr>
        <sz val="8"/>
        <color indexed="8"/>
        <rFont val="Arial"/>
        <charset val="134"/>
      </rPr>
      <t>巴基斯坦</t>
    </r>
    <r>
      <rPr>
        <sz val="8"/>
        <color indexed="8"/>
        <rFont val="Arial"/>
        <charset val="134"/>
      </rPr>
      <t xml:space="preserve"> </t>
    </r>
  </si>
  <si>
    <r>
      <rPr>
        <sz val="8"/>
        <color theme="1"/>
        <rFont val="Arial"/>
        <charset val="134"/>
      </rPr>
      <t xml:space="preserve"> 2x20</t>
    </r>
    <r>
      <rPr>
        <sz val="8"/>
        <color indexed="8"/>
        <rFont val="宋体"/>
        <charset val="134"/>
      </rPr>
      <t>平面凹槽烤漆龙骨加配件</t>
    </r>
    <r>
      <rPr>
        <sz val="8"/>
        <color indexed="8"/>
        <rFont val="Arial"/>
        <charset val="134"/>
      </rPr>
      <t>--</t>
    </r>
    <r>
      <rPr>
        <sz val="8"/>
        <color indexed="8"/>
        <rFont val="Cambria"/>
        <charset val="134"/>
      </rPr>
      <t>（纸箱设计）</t>
    </r>
  </si>
  <si>
    <t>指定代理天津外代，会昌拖车报关</t>
  </si>
  <si>
    <r>
      <rPr>
        <sz val="8"/>
        <rFont val="Arial"/>
        <charset val="134"/>
      </rPr>
      <t>27190+188</t>
    </r>
    <r>
      <rPr>
        <sz val="8"/>
        <rFont val="宋体"/>
        <charset val="134"/>
      </rPr>
      <t>（</t>
    </r>
    <r>
      <rPr>
        <sz val="8"/>
        <rFont val="Arial"/>
        <charset val="134"/>
      </rPr>
      <t>1280RMB</t>
    </r>
    <r>
      <rPr>
        <sz val="8"/>
        <rFont val="宋体"/>
        <charset val="134"/>
      </rPr>
      <t>）</t>
    </r>
  </si>
  <si>
    <t>J3362-E</t>
  </si>
  <si>
    <r>
      <rPr>
        <sz val="8"/>
        <color indexed="8"/>
        <rFont val="Arial"/>
        <charset val="134"/>
      </rPr>
      <t>马来西亚</t>
    </r>
    <r>
      <rPr>
        <sz val="8"/>
        <color indexed="8"/>
        <rFont val="Arial"/>
        <charset val="134"/>
      </rPr>
      <t>&amp;</t>
    </r>
    <r>
      <rPr>
        <sz val="8"/>
        <color indexed="8"/>
        <rFont val="宋体"/>
        <charset val="134"/>
      </rPr>
      <t>加蓬</t>
    </r>
    <r>
      <rPr>
        <sz val="8"/>
        <color indexed="8"/>
        <rFont val="Arial"/>
        <charset val="134"/>
      </rPr>
      <t xml:space="preserve">   </t>
    </r>
  </si>
  <si>
    <r>
      <rPr>
        <sz val="8"/>
        <color theme="1"/>
        <rFont val="Arial"/>
        <charset val="134"/>
      </rPr>
      <t xml:space="preserve"> 2x20 </t>
    </r>
    <r>
      <rPr>
        <sz val="8"/>
        <color indexed="8"/>
        <rFont val="宋体"/>
        <charset val="134"/>
      </rPr>
      <t>烤漆龙骨</t>
    </r>
    <r>
      <rPr>
        <sz val="8"/>
        <color indexed="8"/>
        <rFont val="Arial"/>
        <charset val="134"/>
      </rPr>
      <t xml:space="preserve">   </t>
    </r>
    <r>
      <rPr>
        <sz val="8"/>
        <color indexed="8"/>
        <rFont val="宋体"/>
        <charset val="134"/>
      </rPr>
      <t>（</t>
    </r>
    <r>
      <rPr>
        <sz val="8"/>
        <color indexed="8"/>
        <rFont val="Arial"/>
        <charset val="134"/>
      </rPr>
      <t>124</t>
    </r>
    <r>
      <rPr>
        <sz val="8"/>
        <color indexed="8"/>
        <rFont val="宋体"/>
        <charset val="134"/>
      </rPr>
      <t>展会）</t>
    </r>
  </si>
  <si>
    <r>
      <rPr>
        <sz val="8"/>
        <color theme="1"/>
        <rFont val="Arial"/>
        <charset val="134"/>
      </rPr>
      <t xml:space="preserve">xingang-LIBREVILLE  </t>
    </r>
    <r>
      <rPr>
        <sz val="8"/>
        <color theme="1"/>
        <rFont val="宋体"/>
        <charset val="134"/>
      </rPr>
      <t>利伯维尔</t>
    </r>
    <r>
      <rPr>
        <sz val="8"/>
        <color theme="1"/>
        <rFont val="Arial"/>
        <charset val="134"/>
      </rPr>
      <t xml:space="preserve">
</t>
    </r>
  </si>
  <si>
    <r>
      <rPr>
        <sz val="8"/>
        <rFont val="Arial"/>
        <charset val="134"/>
      </rPr>
      <t>客户要求马士基或者</t>
    </r>
    <r>
      <rPr>
        <sz val="8"/>
        <rFont val="Arial"/>
        <charset val="134"/>
      </rPr>
      <t>SAF</t>
    </r>
    <r>
      <rPr>
        <sz val="8"/>
        <rFont val="宋体"/>
        <charset val="134"/>
      </rPr>
      <t>的船</t>
    </r>
    <r>
      <rPr>
        <sz val="8"/>
        <rFont val="Arial"/>
        <charset val="134"/>
      </rPr>
      <t>,</t>
    </r>
    <r>
      <rPr>
        <sz val="8"/>
        <rFont val="宋体"/>
        <charset val="134"/>
      </rPr>
      <t>天津惠禾报价</t>
    </r>
    <r>
      <rPr>
        <sz val="8"/>
        <rFont val="Arial"/>
        <charset val="134"/>
      </rPr>
      <t>2350</t>
    </r>
    <r>
      <rPr>
        <sz val="8"/>
        <rFont val="宋体"/>
        <charset val="134"/>
      </rPr>
      <t>，报客户</t>
    </r>
    <r>
      <rPr>
        <sz val="8"/>
        <rFont val="Arial"/>
        <charset val="134"/>
      </rPr>
      <t>2350,19</t>
    </r>
    <r>
      <rPr>
        <sz val="8"/>
        <rFont val="宋体"/>
        <charset val="134"/>
      </rPr>
      <t>号的船。天津惠禾拖车报关</t>
    </r>
  </si>
  <si>
    <t>在阿里上</t>
  </si>
  <si>
    <t>X3363-E</t>
  </si>
  <si>
    <r>
      <rPr>
        <sz val="8"/>
        <color theme="1"/>
        <rFont val="Arial"/>
        <charset val="134"/>
      </rPr>
      <t>6x20GP</t>
    </r>
    <r>
      <rPr>
        <sz val="8"/>
        <color indexed="8"/>
        <rFont val="宋体"/>
        <charset val="134"/>
      </rPr>
      <t>石膏板</t>
    </r>
  </si>
  <si>
    <r>
      <rPr>
        <sz val="8"/>
        <color theme="1"/>
        <rFont val="Arial"/>
        <charset val="134"/>
      </rPr>
      <t xml:space="preserve">qingdao-LIBREVILLE  </t>
    </r>
    <r>
      <rPr>
        <sz val="8"/>
        <color theme="1"/>
        <rFont val="Cambria"/>
        <charset val="134"/>
      </rPr>
      <t>利伯维尔</t>
    </r>
    <r>
      <rPr>
        <sz val="8"/>
        <color theme="1"/>
        <rFont val="Arial"/>
        <charset val="134"/>
      </rPr>
      <t xml:space="preserve">
</t>
    </r>
  </si>
  <si>
    <r>
      <rPr>
        <sz val="8"/>
        <rFont val="Arial"/>
        <charset val="134"/>
      </rPr>
      <t>青岛联达环球订舱</t>
    </r>
    <r>
      <rPr>
        <sz val="8"/>
        <rFont val="Arial"/>
        <charset val="134"/>
      </rPr>
      <t>2260</t>
    </r>
    <r>
      <rPr>
        <sz val="8"/>
        <rFont val="Cambria"/>
        <charset val="134"/>
      </rPr>
      <t>美金，报客户也是</t>
    </r>
    <r>
      <rPr>
        <sz val="8"/>
        <rFont val="Arial"/>
        <charset val="134"/>
      </rPr>
      <t>2260</t>
    </r>
    <r>
      <rPr>
        <sz val="8"/>
        <rFont val="Cambria"/>
        <charset val="134"/>
      </rPr>
      <t>美金</t>
    </r>
  </si>
  <si>
    <t>J3365</t>
  </si>
  <si>
    <r>
      <rPr>
        <sz val="8"/>
        <rFont val="Arial"/>
        <charset val="134"/>
      </rPr>
      <t>斯里兰卡</t>
    </r>
    <r>
      <rPr>
        <sz val="8"/>
        <rFont val="Arial"/>
        <charset val="134"/>
      </rPr>
      <t xml:space="preserve"> </t>
    </r>
  </si>
  <si>
    <r>
      <rPr>
        <sz val="8"/>
        <rFont val="Arial"/>
        <charset val="134"/>
      </rPr>
      <t xml:space="preserve">1x40 </t>
    </r>
    <r>
      <rPr>
        <sz val="8"/>
        <rFont val="宋体"/>
        <charset val="134"/>
      </rPr>
      <t>黑线凹槽烤漆龙骨</t>
    </r>
  </si>
  <si>
    <r>
      <rPr>
        <sz val="8"/>
        <rFont val="Arial"/>
        <charset val="134"/>
      </rPr>
      <t>xinggang-</t>
    </r>
    <r>
      <rPr>
        <sz val="8"/>
        <rFont val="宋体"/>
        <charset val="134"/>
      </rPr>
      <t>科伦坡</t>
    </r>
  </si>
  <si>
    <t>DHL:50 6236 5276</t>
  </si>
  <si>
    <t>指定代理冠亚小蒋，会昌拖车报关</t>
  </si>
  <si>
    <t>5000+9000</t>
  </si>
  <si>
    <t>5708.5+7769.5</t>
  </si>
  <si>
    <t xml:space="preserve">J3374-E </t>
  </si>
  <si>
    <t>xingang-daman</t>
  </si>
  <si>
    <t>J3381-E</t>
  </si>
  <si>
    <r>
      <rPr>
        <sz val="8"/>
        <color indexed="8"/>
        <rFont val="Arial"/>
        <charset val="134"/>
      </rPr>
      <t>阿曼</t>
    </r>
    <r>
      <rPr>
        <sz val="8"/>
        <color rgb="FF000000"/>
        <rFont val="Arial"/>
        <charset val="134"/>
      </rPr>
      <t>ARMOL  (hamid)</t>
    </r>
  </si>
  <si>
    <r>
      <rPr>
        <sz val="8"/>
        <color theme="1"/>
        <rFont val="Arial"/>
        <charset val="134"/>
      </rPr>
      <t xml:space="preserve">1x20  </t>
    </r>
    <r>
      <rPr>
        <sz val="8"/>
        <color indexed="8"/>
        <rFont val="宋体"/>
        <charset val="134"/>
      </rPr>
      <t>轻钢龙骨</t>
    </r>
  </si>
  <si>
    <t>XINGANG-SALALAH, OMAN</t>
  </si>
  <si>
    <t>DHL 2458134324</t>
  </si>
  <si>
    <r>
      <rPr>
        <sz val="8"/>
        <rFont val="Arial"/>
        <charset val="134"/>
      </rPr>
      <t>捷运达订舱</t>
    </r>
    <r>
      <rPr>
        <sz val="8"/>
        <rFont val="Arial"/>
        <charset val="134"/>
      </rPr>
      <t>1125</t>
    </r>
    <r>
      <rPr>
        <sz val="8"/>
        <rFont val="宋体"/>
        <charset val="134"/>
      </rPr>
      <t>，拖车报关</t>
    </r>
  </si>
  <si>
    <t>J3388-E</t>
  </si>
  <si>
    <r>
      <rPr>
        <sz val="8"/>
        <color theme="1"/>
        <rFont val="Arial"/>
        <charset val="134"/>
      </rPr>
      <t xml:space="preserve">1X40HQ </t>
    </r>
    <r>
      <rPr>
        <sz val="8"/>
        <color indexed="8"/>
        <rFont val="宋体"/>
        <charset val="134"/>
      </rPr>
      <t>轻钢龙骨</t>
    </r>
  </si>
  <si>
    <t>XINGANG-DAMMAM</t>
  </si>
  <si>
    <t>翱翔订舱，锦硕拖车报关</t>
  </si>
  <si>
    <t>J3399</t>
  </si>
  <si>
    <t>翱翔订舱，会昌拖车报关</t>
  </si>
  <si>
    <t>J3409</t>
  </si>
  <si>
    <t>石家庄杰森</t>
  </si>
  <si>
    <r>
      <rPr>
        <sz val="8"/>
        <color theme="1"/>
        <rFont val="Arial"/>
        <charset val="134"/>
      </rPr>
      <t>8000</t>
    </r>
    <r>
      <rPr>
        <sz val="8"/>
        <color indexed="8"/>
        <rFont val="宋体"/>
        <charset val="134"/>
      </rPr>
      <t>平米烤漆</t>
    </r>
  </si>
  <si>
    <t>41440RMB</t>
  </si>
  <si>
    <t>RMB12450</t>
  </si>
  <si>
    <t>28990 RMB</t>
  </si>
  <si>
    <t>J3398</t>
  </si>
  <si>
    <r>
      <rPr>
        <sz val="8"/>
        <color indexed="8"/>
        <rFont val="Arial"/>
        <charset val="134"/>
      </rPr>
      <t>印度</t>
    </r>
    <r>
      <rPr>
        <sz val="8"/>
        <color theme="1"/>
        <rFont val="Arial"/>
        <charset val="134"/>
      </rPr>
      <t>MDG(Poonam)</t>
    </r>
  </si>
  <si>
    <r>
      <rPr>
        <sz val="8"/>
        <color theme="1"/>
        <rFont val="Arial"/>
        <charset val="134"/>
      </rPr>
      <t>1x20</t>
    </r>
    <r>
      <rPr>
        <sz val="8"/>
        <color theme="1"/>
        <rFont val="Cambria"/>
        <charset val="134"/>
      </rPr>
      <t>烤漆</t>
    </r>
  </si>
  <si>
    <t>xingang-Nhava Sheva</t>
  </si>
  <si>
    <t>DHL:99 4606 6362</t>
  </si>
  <si>
    <t>明海国际订舱，会昌拖车凯泽信保报关</t>
  </si>
  <si>
    <t>J3435</t>
  </si>
  <si>
    <r>
      <rPr>
        <sz val="8"/>
        <color theme="1"/>
        <rFont val="Arial"/>
        <charset val="134"/>
      </rPr>
      <t>唐山海港</t>
    </r>
    <r>
      <rPr>
        <sz val="8"/>
        <color theme="1"/>
        <rFont val="Arial"/>
        <charset val="134"/>
      </rPr>
      <t>(Helen)</t>
    </r>
  </si>
  <si>
    <r>
      <rPr>
        <sz val="8"/>
        <color theme="1"/>
        <rFont val="Arial"/>
        <charset val="134"/>
      </rPr>
      <t xml:space="preserve">1X40HQ </t>
    </r>
    <r>
      <rPr>
        <sz val="8"/>
        <color theme="1"/>
        <rFont val="Cambria"/>
        <charset val="134"/>
      </rPr>
      <t>轻钢龙骨</t>
    </r>
  </si>
  <si>
    <t>天津翱翔订舱，会昌拖车报关</t>
  </si>
  <si>
    <t>J3454</t>
  </si>
  <si>
    <r>
      <rPr>
        <sz val="8"/>
        <color theme="1"/>
        <rFont val="Arial"/>
        <charset val="134"/>
      </rPr>
      <t xml:space="preserve">LSR  </t>
    </r>
    <r>
      <rPr>
        <sz val="8"/>
        <color theme="1"/>
        <rFont val="宋体"/>
        <charset val="134"/>
      </rPr>
      <t>南美（付经理）</t>
    </r>
  </si>
  <si>
    <r>
      <rPr>
        <sz val="8"/>
        <color theme="1"/>
        <rFont val="Arial"/>
        <charset val="134"/>
      </rPr>
      <t xml:space="preserve">1X40HQ </t>
    </r>
    <r>
      <rPr>
        <sz val="8"/>
        <color theme="1"/>
        <rFont val="宋体"/>
        <charset val="134"/>
      </rPr>
      <t>轻钢龙骨</t>
    </r>
  </si>
  <si>
    <t>DHL:78 6578 6434</t>
  </si>
  <si>
    <t>J3455</t>
  </si>
  <si>
    <r>
      <rPr>
        <sz val="8"/>
        <color theme="1"/>
        <rFont val="Arial"/>
        <charset val="134"/>
      </rPr>
      <t>马耳他</t>
    </r>
    <r>
      <rPr>
        <sz val="8"/>
        <color theme="1"/>
        <rFont val="Arial"/>
        <charset val="134"/>
      </rPr>
      <t>APTC</t>
    </r>
    <r>
      <rPr>
        <sz val="8"/>
        <color theme="1"/>
        <rFont val="宋体"/>
        <charset val="134"/>
      </rPr>
      <t>（</t>
    </r>
    <r>
      <rPr>
        <sz val="8"/>
        <color theme="1"/>
        <rFont val="Arial"/>
        <charset val="134"/>
      </rPr>
      <t>Rodianne</t>
    </r>
    <r>
      <rPr>
        <sz val="8"/>
        <color theme="1"/>
        <rFont val="宋体"/>
        <charset val="134"/>
      </rPr>
      <t>）</t>
    </r>
  </si>
  <si>
    <r>
      <rPr>
        <sz val="8"/>
        <color theme="1"/>
        <rFont val="Arial"/>
        <charset val="134"/>
      </rPr>
      <t>2x40</t>
    </r>
    <r>
      <rPr>
        <sz val="8"/>
        <color theme="1"/>
        <rFont val="宋体"/>
        <charset val="134"/>
      </rPr>
      <t>轻钢</t>
    </r>
  </si>
  <si>
    <t>xingang-MALTA</t>
  </si>
  <si>
    <t>DHL6660077480</t>
  </si>
  <si>
    <r>
      <rPr>
        <sz val="8"/>
        <rFont val="Arial"/>
        <charset val="134"/>
      </rPr>
      <t>longsail</t>
    </r>
    <r>
      <rPr>
        <sz val="8"/>
        <rFont val="宋体"/>
        <charset val="134"/>
      </rPr>
      <t>订舱，中振拖车报关</t>
    </r>
  </si>
  <si>
    <t>2115+11852</t>
  </si>
  <si>
    <r>
      <rPr>
        <b/>
        <sz val="8"/>
        <color rgb="FF0000FF"/>
        <rFont val="Arial"/>
        <charset val="134"/>
      </rPr>
      <t>多了</t>
    </r>
    <r>
      <rPr>
        <b/>
        <sz val="8"/>
        <color rgb="FF0000FF"/>
        <rFont val="Arial"/>
        <charset val="134"/>
      </rPr>
      <t>727</t>
    </r>
  </si>
  <si>
    <t>J3445</t>
  </si>
  <si>
    <r>
      <rPr>
        <sz val="8"/>
        <color theme="1"/>
        <rFont val="Arial"/>
        <charset val="134"/>
      </rPr>
      <t>马来西亚</t>
    </r>
    <r>
      <rPr>
        <sz val="8"/>
        <color theme="1"/>
        <rFont val="Arial"/>
        <charset val="134"/>
      </rPr>
      <t>&amp;</t>
    </r>
    <r>
      <rPr>
        <sz val="8"/>
        <color theme="1"/>
        <rFont val="宋体"/>
        <charset val="134"/>
      </rPr>
      <t>加蓬</t>
    </r>
    <r>
      <rPr>
        <sz val="8"/>
        <color theme="1"/>
        <rFont val="Arial"/>
        <charset val="134"/>
      </rPr>
      <t xml:space="preserve">ECOSCIENCE </t>
    </r>
    <r>
      <rPr>
        <sz val="8"/>
        <color theme="1"/>
        <rFont val="宋体"/>
        <charset val="134"/>
      </rPr>
      <t>（</t>
    </r>
    <r>
      <rPr>
        <sz val="8"/>
        <color theme="1"/>
        <rFont val="Arial"/>
        <charset val="134"/>
      </rPr>
      <t>Louis</t>
    </r>
    <r>
      <rPr>
        <sz val="8"/>
        <color theme="1"/>
        <rFont val="宋体"/>
        <charset val="134"/>
      </rPr>
      <t>）</t>
    </r>
  </si>
  <si>
    <r>
      <rPr>
        <sz val="8"/>
        <color theme="1"/>
        <rFont val="Arial"/>
        <charset val="134"/>
      </rPr>
      <t xml:space="preserve">1x20 </t>
    </r>
    <r>
      <rPr>
        <sz val="8"/>
        <color theme="1"/>
        <rFont val="宋体"/>
        <charset val="134"/>
      </rPr>
      <t>烤漆平面</t>
    </r>
  </si>
  <si>
    <t>xingang-LIBREVILLE</t>
  </si>
  <si>
    <t>DHL4465555614</t>
  </si>
  <si>
    <r>
      <rPr>
        <sz val="8"/>
        <rFont val="Arial"/>
        <charset val="134"/>
      </rPr>
      <t>中振订舱</t>
    </r>
    <r>
      <rPr>
        <sz val="8"/>
        <rFont val="Arial"/>
        <charset val="134"/>
      </rPr>
      <t>2367</t>
    </r>
    <r>
      <rPr>
        <sz val="8"/>
        <rFont val="宋体"/>
        <charset val="134"/>
      </rPr>
      <t>，拖车报关</t>
    </r>
  </si>
  <si>
    <t>J3467</t>
  </si>
  <si>
    <t>天津中冶（赵兰芳）</t>
  </si>
  <si>
    <r>
      <rPr>
        <sz val="8"/>
        <color theme="1"/>
        <rFont val="Arial"/>
        <charset val="134"/>
      </rPr>
      <t xml:space="preserve">1X40 </t>
    </r>
    <r>
      <rPr>
        <sz val="8"/>
        <color theme="1"/>
        <rFont val="Cambria"/>
        <charset val="134"/>
      </rPr>
      <t>轻钢龙骨</t>
    </r>
  </si>
  <si>
    <r>
      <rPr>
        <sz val="8"/>
        <rFont val="Arial"/>
        <charset val="134"/>
      </rPr>
      <t>DHL</t>
    </r>
    <r>
      <rPr>
        <sz val="8"/>
        <rFont val="宋体"/>
        <charset val="134"/>
      </rPr>
      <t>：</t>
    </r>
    <r>
      <rPr>
        <sz val="8"/>
        <rFont val="Arial"/>
        <charset val="134"/>
      </rPr>
      <t>99 0875 9210</t>
    </r>
  </si>
  <si>
    <r>
      <rPr>
        <sz val="8"/>
        <rFont val="Arial"/>
        <charset val="134"/>
      </rPr>
      <t>捷运达订舱</t>
    </r>
    <r>
      <rPr>
        <sz val="8"/>
        <rFont val="Arial"/>
        <charset val="134"/>
      </rPr>
      <t>530</t>
    </r>
    <r>
      <rPr>
        <sz val="8"/>
        <rFont val="宋体"/>
        <charset val="134"/>
      </rPr>
      <t>，拖车报关</t>
    </r>
  </si>
  <si>
    <t>J3481</t>
  </si>
  <si>
    <r>
      <rPr>
        <sz val="8"/>
        <color theme="1"/>
        <rFont val="Arial"/>
        <charset val="134"/>
      </rPr>
      <t>唐山海港</t>
    </r>
    <r>
      <rPr>
        <sz val="8"/>
        <color theme="1"/>
        <rFont val="Arial"/>
        <charset val="134"/>
      </rPr>
      <t>TANGSHAN(Helen)</t>
    </r>
  </si>
  <si>
    <t>港杂</t>
  </si>
  <si>
    <t>惠禾订舱，捷运达拖车报关</t>
  </si>
  <si>
    <t>J3523</t>
  </si>
  <si>
    <r>
      <rPr>
        <sz val="8"/>
        <color theme="1"/>
        <rFont val="Arial"/>
        <charset val="134"/>
      </rPr>
      <t>印度</t>
    </r>
    <r>
      <rPr>
        <sz val="8"/>
        <color theme="1"/>
        <rFont val="Arial"/>
        <charset val="134"/>
      </rPr>
      <t xml:space="preserve"> GYPTECH  </t>
    </r>
    <r>
      <rPr>
        <sz val="8"/>
        <color theme="1"/>
        <rFont val="宋体"/>
        <charset val="134"/>
      </rPr>
      <t>（</t>
    </r>
    <r>
      <rPr>
        <sz val="8"/>
        <color theme="1"/>
        <rFont val="Arial"/>
        <charset val="134"/>
      </rPr>
      <t>Arun</t>
    </r>
    <r>
      <rPr>
        <sz val="8"/>
        <color theme="1"/>
        <rFont val="宋体"/>
        <charset val="134"/>
      </rPr>
      <t>）</t>
    </r>
  </si>
  <si>
    <r>
      <rPr>
        <sz val="8"/>
        <color theme="1"/>
        <rFont val="Arial"/>
        <charset val="134"/>
      </rPr>
      <t>1x20</t>
    </r>
    <r>
      <rPr>
        <sz val="8"/>
        <color theme="1"/>
        <rFont val="宋体"/>
        <charset val="134"/>
      </rPr>
      <t>烤漆</t>
    </r>
  </si>
  <si>
    <t>J3524</t>
  </si>
  <si>
    <r>
      <rPr>
        <sz val="8"/>
        <color theme="1"/>
        <rFont val="Arial"/>
        <charset val="134"/>
      </rPr>
      <t xml:space="preserve">1x40 </t>
    </r>
    <r>
      <rPr>
        <sz val="8"/>
        <color theme="1"/>
        <rFont val="Cambria"/>
        <charset val="134"/>
      </rPr>
      <t>轻钢</t>
    </r>
  </si>
  <si>
    <t>X3446</t>
  </si>
  <si>
    <r>
      <rPr>
        <sz val="8"/>
        <color theme="1"/>
        <rFont val="Arial"/>
        <charset val="134"/>
      </rPr>
      <t>马来西亚</t>
    </r>
    <r>
      <rPr>
        <sz val="8"/>
        <color theme="1"/>
        <rFont val="Arial"/>
        <charset val="134"/>
      </rPr>
      <t>&amp;</t>
    </r>
    <r>
      <rPr>
        <sz val="8"/>
        <color theme="1"/>
        <rFont val="Cambria"/>
        <charset val="134"/>
      </rPr>
      <t>加蓬</t>
    </r>
    <r>
      <rPr>
        <sz val="8"/>
        <color theme="1"/>
        <rFont val="Arial"/>
        <charset val="134"/>
      </rPr>
      <t xml:space="preserve">ECOSCIENCE </t>
    </r>
    <r>
      <rPr>
        <sz val="8"/>
        <color theme="1"/>
        <rFont val="Cambria"/>
        <charset val="134"/>
      </rPr>
      <t>（</t>
    </r>
    <r>
      <rPr>
        <sz val="8"/>
        <color theme="1"/>
        <rFont val="Arial"/>
        <charset val="134"/>
      </rPr>
      <t>Louis</t>
    </r>
    <r>
      <rPr>
        <sz val="8"/>
        <color theme="1"/>
        <rFont val="Cambria"/>
        <charset val="134"/>
      </rPr>
      <t>）</t>
    </r>
  </si>
  <si>
    <r>
      <rPr>
        <sz val="8"/>
        <color theme="1"/>
        <rFont val="Arial"/>
        <charset val="134"/>
      </rPr>
      <t>6x20GP</t>
    </r>
    <r>
      <rPr>
        <sz val="8"/>
        <color theme="1"/>
        <rFont val="宋体"/>
        <charset val="134"/>
      </rPr>
      <t>石膏板</t>
    </r>
  </si>
  <si>
    <t>qingdao-LIBREVILLE</t>
  </si>
  <si>
    <r>
      <rPr>
        <sz val="8"/>
        <rFont val="Arial"/>
        <charset val="134"/>
      </rPr>
      <t>龙达海鑫订舱</t>
    </r>
    <r>
      <rPr>
        <sz val="8"/>
        <rFont val="Arial"/>
        <charset val="134"/>
      </rPr>
      <t>2325</t>
    </r>
    <r>
      <rPr>
        <sz val="8"/>
        <rFont val="宋体"/>
        <charset val="134"/>
      </rPr>
      <t>，皇华拖车报关</t>
    </r>
  </si>
  <si>
    <t>X3497</t>
  </si>
  <si>
    <t>NOGOOM (Abdulrahman)</t>
  </si>
  <si>
    <r>
      <rPr>
        <sz val="8"/>
        <color theme="1"/>
        <rFont val="Arial"/>
        <charset val="134"/>
      </rPr>
      <t xml:space="preserve">2x20 </t>
    </r>
    <r>
      <rPr>
        <sz val="8"/>
        <color indexed="8"/>
        <rFont val="宋体"/>
        <charset val="134"/>
      </rPr>
      <t>空调器支架</t>
    </r>
  </si>
  <si>
    <t>xingang-jeddah</t>
  </si>
  <si>
    <t>J3609</t>
  </si>
  <si>
    <r>
      <rPr>
        <sz val="8"/>
        <color theme="1"/>
        <rFont val="宋体"/>
        <charset val="134"/>
      </rPr>
      <t>印度</t>
    </r>
    <r>
      <rPr>
        <sz val="8"/>
        <color theme="1"/>
        <rFont val="Arial"/>
        <charset val="134"/>
      </rPr>
      <t>MDG(Poonam)</t>
    </r>
  </si>
  <si>
    <r>
      <rPr>
        <sz val="8"/>
        <color theme="1"/>
        <rFont val="Arial"/>
        <charset val="134"/>
      </rPr>
      <t>1x20GP</t>
    </r>
    <r>
      <rPr>
        <sz val="8"/>
        <color theme="1"/>
        <rFont val="宋体"/>
        <charset val="134"/>
      </rPr>
      <t>烤漆</t>
    </r>
  </si>
  <si>
    <t>xingang-NHAVAHSEVA</t>
  </si>
  <si>
    <r>
      <rPr>
        <sz val="8"/>
        <rFont val="Arial"/>
        <charset val="134"/>
      </rPr>
      <t>DHL8314236921</t>
    </r>
    <r>
      <rPr>
        <sz val="8"/>
        <rFont val="宋体"/>
        <charset val="134"/>
      </rPr>
      <t>单据齐</t>
    </r>
    <r>
      <rPr>
        <sz val="8"/>
        <rFont val="Arial"/>
        <charset val="134"/>
      </rPr>
      <t xml:space="preserve"> </t>
    </r>
    <r>
      <rPr>
        <sz val="8"/>
        <rFont val="宋体"/>
        <charset val="134"/>
      </rPr>
      <t>深圳陈小姐出</t>
    </r>
    <r>
      <rPr>
        <sz val="8"/>
        <rFont val="Arial"/>
        <charset val="134"/>
      </rPr>
      <t>Form B</t>
    </r>
    <r>
      <rPr>
        <sz val="8"/>
        <color rgb="FF0000FF"/>
        <rFont val="Arial"/>
        <charset val="134"/>
      </rPr>
      <t xml:space="preserve"> </t>
    </r>
    <r>
      <rPr>
        <sz val="8"/>
        <rFont val="Arial"/>
        <charset val="134"/>
      </rPr>
      <t>BL</t>
    </r>
    <r>
      <rPr>
        <sz val="8"/>
        <rFont val="宋体"/>
        <charset val="134"/>
      </rPr>
      <t>正本到了</t>
    </r>
    <r>
      <rPr>
        <sz val="8"/>
        <color rgb="FF0000FF"/>
        <rFont val="Arial"/>
        <charset val="134"/>
      </rPr>
      <t xml:space="preserve"> </t>
    </r>
    <r>
      <rPr>
        <sz val="8"/>
        <rFont val="宋体"/>
        <charset val="134"/>
      </rPr>
      <t>指定代理</t>
    </r>
  </si>
  <si>
    <t>青岛高阳国际物流，会昌拖车，凯泽一达通报关</t>
  </si>
  <si>
    <t>RMB38600+USD9894.1</t>
  </si>
  <si>
    <t>J3622</t>
  </si>
  <si>
    <r>
      <rPr>
        <sz val="8"/>
        <rFont val="宋体"/>
        <charset val="134"/>
      </rPr>
      <t>台湾</t>
    </r>
    <r>
      <rPr>
        <sz val="8"/>
        <rFont val="Arial"/>
        <charset val="134"/>
      </rPr>
      <t xml:space="preserve"> TAINDO/Johnson</t>
    </r>
    <r>
      <rPr>
        <sz val="8"/>
        <rFont val="宋体"/>
        <charset val="134"/>
      </rPr>
      <t>潘</t>
    </r>
    <r>
      <rPr>
        <sz val="8"/>
        <rFont val="Arial"/>
        <charset val="134"/>
      </rPr>
      <t xml:space="preserve"> </t>
    </r>
  </si>
  <si>
    <r>
      <rPr>
        <sz val="8"/>
        <color theme="1"/>
        <rFont val="Arial"/>
        <charset val="134"/>
      </rPr>
      <t xml:space="preserve">1x20 </t>
    </r>
    <r>
      <rPr>
        <sz val="8"/>
        <color theme="1"/>
        <rFont val="宋体"/>
        <charset val="134"/>
      </rPr>
      <t>烤漆</t>
    </r>
    <r>
      <rPr>
        <sz val="8"/>
        <color theme="1"/>
        <rFont val="Arial"/>
        <charset val="134"/>
      </rPr>
      <t>+</t>
    </r>
    <r>
      <rPr>
        <sz val="8"/>
        <color theme="1"/>
        <rFont val="宋体"/>
        <charset val="134"/>
      </rPr>
      <t>配件</t>
    </r>
  </si>
  <si>
    <t>exw factory</t>
  </si>
  <si>
    <r>
      <rPr>
        <sz val="8"/>
        <rFont val="宋体"/>
        <charset val="134"/>
      </rPr>
      <t>货好</t>
    </r>
    <r>
      <rPr>
        <sz val="8"/>
        <rFont val="Arial"/>
        <charset val="134"/>
      </rPr>
      <t xml:space="preserve"> </t>
    </r>
    <r>
      <rPr>
        <sz val="8"/>
        <rFont val="宋体"/>
        <charset val="134"/>
      </rPr>
      <t>到印度 收到尾款发货，客户联系方式见邮件</t>
    </r>
  </si>
  <si>
    <t>RMB42693</t>
  </si>
  <si>
    <t>J3654</t>
  </si>
  <si>
    <r>
      <rPr>
        <sz val="8"/>
        <color theme="1"/>
        <rFont val="Arial"/>
        <charset val="134"/>
      </rPr>
      <t>沙特</t>
    </r>
    <r>
      <rPr>
        <sz val="8"/>
        <color theme="1"/>
        <rFont val="Arial"/>
        <charset val="134"/>
      </rPr>
      <t>ALAJAB</t>
    </r>
    <r>
      <rPr>
        <sz val="8"/>
        <color theme="1"/>
        <rFont val="宋体"/>
        <charset val="134"/>
      </rPr>
      <t>（</t>
    </r>
    <r>
      <rPr>
        <sz val="8"/>
        <color theme="1"/>
        <rFont val="Arial"/>
        <charset val="134"/>
      </rPr>
      <t>Nasser Albaqmi</t>
    </r>
    <r>
      <rPr>
        <sz val="8"/>
        <color theme="1"/>
        <rFont val="宋体"/>
        <charset val="134"/>
      </rPr>
      <t>）</t>
    </r>
  </si>
  <si>
    <r>
      <rPr>
        <sz val="8"/>
        <color theme="1"/>
        <rFont val="Arial"/>
        <charset val="134"/>
      </rPr>
      <t>2x20</t>
    </r>
    <r>
      <rPr>
        <sz val="8"/>
        <color theme="1"/>
        <rFont val="宋体"/>
        <charset val="134"/>
      </rPr>
      <t>轻钢</t>
    </r>
  </si>
  <si>
    <t>xingang-JEDDAH , SAUDI ARABIA</t>
  </si>
  <si>
    <r>
      <rPr>
        <sz val="8"/>
        <rFont val="Arial"/>
        <charset val="134"/>
      </rPr>
      <t>DHL7358445415</t>
    </r>
    <r>
      <rPr>
        <sz val="8"/>
        <rFont val="宋体"/>
        <charset val="134"/>
      </rPr>
      <t>由于疫情电放提单</t>
    </r>
    <r>
      <rPr>
        <sz val="8"/>
        <rFont val="Arial"/>
        <charset val="134"/>
      </rPr>
      <t xml:space="preserve"> </t>
    </r>
    <r>
      <rPr>
        <sz val="8"/>
        <rFont val="宋体"/>
        <charset val="134"/>
      </rPr>
      <t>明辉达出</t>
    </r>
    <r>
      <rPr>
        <sz val="8"/>
        <rFont val="Arial"/>
        <charset val="134"/>
      </rPr>
      <t>CO CCPIT</t>
    </r>
    <r>
      <rPr>
        <sz val="8"/>
        <color rgb="FF0000FF"/>
        <rFont val="Arial"/>
        <charset val="134"/>
      </rPr>
      <t xml:space="preserve"> </t>
    </r>
    <r>
      <rPr>
        <sz val="8"/>
        <color rgb="FF0000FF"/>
        <rFont val="宋体"/>
        <charset val="134"/>
      </rPr>
      <t>记几张盖章空白纸</t>
    </r>
    <r>
      <rPr>
        <sz val="8"/>
        <rFont val="Arial"/>
        <charset val="134"/>
      </rPr>
      <t xml:space="preserve"> </t>
    </r>
    <r>
      <rPr>
        <sz val="8"/>
        <rFont val="宋体"/>
        <charset val="134"/>
      </rPr>
      <t>客户要求出完单据再走</t>
    </r>
    <r>
      <rPr>
        <sz val="8"/>
        <rFont val="Arial"/>
        <charset val="134"/>
      </rPr>
      <t xml:space="preserve"> </t>
    </r>
    <r>
      <rPr>
        <sz val="8"/>
        <rFont val="宋体"/>
        <charset val="134"/>
      </rPr>
      <t>是否指定货代等客户回复</t>
    </r>
    <r>
      <rPr>
        <sz val="8"/>
        <rFont val="Arial"/>
        <charset val="134"/>
      </rPr>
      <t xml:space="preserve"> SABER </t>
    </r>
    <r>
      <rPr>
        <sz val="8"/>
        <rFont val="宋体"/>
        <charset val="134"/>
      </rPr>
      <t>费用</t>
    </r>
    <r>
      <rPr>
        <sz val="8"/>
        <rFont val="Arial"/>
        <charset val="134"/>
      </rPr>
      <t>849</t>
    </r>
    <r>
      <rPr>
        <sz val="8"/>
        <rFont val="宋体"/>
        <charset val="134"/>
      </rPr>
      <t>美金</t>
    </r>
    <r>
      <rPr>
        <sz val="8"/>
        <rFont val="Arial"/>
        <charset val="134"/>
      </rPr>
      <t xml:space="preserve">  </t>
    </r>
  </si>
  <si>
    <r>
      <rPr>
        <sz val="8"/>
        <rFont val="Arial"/>
        <charset val="134"/>
      </rPr>
      <t>中振订舱中远</t>
    </r>
    <r>
      <rPr>
        <sz val="8"/>
        <rFont val="Arial"/>
        <charset val="134"/>
      </rPr>
      <t>1757</t>
    </r>
    <r>
      <rPr>
        <sz val="8"/>
        <rFont val="宋体"/>
        <charset val="134"/>
      </rPr>
      <t>，会昌拖车</t>
    </r>
    <r>
      <rPr>
        <sz val="8"/>
        <rFont val="Arial"/>
        <charset val="134"/>
      </rPr>
      <t>1900</t>
    </r>
    <r>
      <rPr>
        <sz val="8"/>
        <rFont val="宋体"/>
        <charset val="134"/>
      </rPr>
      <t>报关</t>
    </r>
  </si>
  <si>
    <t>J3657</t>
  </si>
  <si>
    <t>xingang-DAMMAM,SAUDI ARABIA</t>
  </si>
  <si>
    <r>
      <rPr>
        <sz val="8"/>
        <rFont val="Arial"/>
        <charset val="134"/>
      </rPr>
      <t>J3657</t>
    </r>
    <r>
      <rPr>
        <sz val="8"/>
        <rFont val="宋体"/>
        <charset val="134"/>
      </rPr>
      <t>的单据费</t>
    </r>
    <r>
      <rPr>
        <sz val="8"/>
        <rFont val="Arial"/>
        <charset val="134"/>
      </rPr>
      <t>300</t>
    </r>
    <r>
      <rPr>
        <sz val="8"/>
        <rFont val="宋体"/>
        <charset val="134"/>
      </rPr>
      <t>元</t>
    </r>
    <r>
      <rPr>
        <sz val="8"/>
        <color rgb="FF0000FF"/>
        <rFont val="Arial"/>
        <charset val="134"/>
      </rPr>
      <t xml:space="preserve">
 </t>
    </r>
    <r>
      <rPr>
        <sz val="8"/>
        <color theme="1"/>
        <rFont val="宋体"/>
        <charset val="134"/>
      </rPr>
      <t>等舱位</t>
    </r>
    <r>
      <rPr>
        <sz val="8"/>
        <color theme="1"/>
        <rFont val="Arial"/>
        <charset val="134"/>
      </rPr>
      <t>25</t>
    </r>
    <r>
      <rPr>
        <sz val="8"/>
        <color theme="1"/>
        <rFont val="宋体"/>
        <charset val="134"/>
      </rPr>
      <t>天交货</t>
    </r>
    <r>
      <rPr>
        <sz val="8"/>
        <color theme="1"/>
        <rFont val="Arial"/>
        <charset val="134"/>
      </rPr>
      <t xml:space="preserve"> </t>
    </r>
    <r>
      <rPr>
        <sz val="8"/>
        <color theme="1"/>
        <rFont val="宋体"/>
        <charset val="134"/>
      </rPr>
      <t>做报关数据就行</t>
    </r>
    <r>
      <rPr>
        <sz val="8"/>
        <color theme="1"/>
        <rFont val="Arial"/>
        <charset val="134"/>
      </rPr>
      <t xml:space="preserve"> </t>
    </r>
    <r>
      <rPr>
        <sz val="8"/>
        <color theme="1"/>
        <rFont val="宋体"/>
        <charset val="134"/>
      </rPr>
      <t>客户自己安排</t>
    </r>
    <r>
      <rPr>
        <sz val="8"/>
        <color theme="1"/>
        <rFont val="Arial"/>
        <charset val="134"/>
      </rPr>
      <t xml:space="preserve">
</t>
    </r>
    <r>
      <rPr>
        <sz val="8"/>
        <color theme="1"/>
        <rFont val="宋体"/>
        <charset val="134"/>
      </rPr>
      <t>商事证明，箱单，贸促会认证发票，提单</t>
    </r>
    <r>
      <rPr>
        <sz val="8"/>
        <color theme="1"/>
        <rFont val="Arial"/>
        <charset val="134"/>
      </rPr>
      <t>,</t>
    </r>
    <r>
      <rPr>
        <sz val="8"/>
        <color theme="1"/>
        <rFont val="宋体"/>
        <charset val="134"/>
      </rPr>
      <t>产地证</t>
    </r>
  </si>
  <si>
    <t>惠禾订舱，拖车报关</t>
  </si>
  <si>
    <t>2019/12.6</t>
  </si>
  <si>
    <t>M3662</t>
  </si>
  <si>
    <r>
      <rPr>
        <sz val="8"/>
        <rFont val="宋体"/>
        <charset val="134"/>
      </rPr>
      <t>马耳他</t>
    </r>
    <r>
      <rPr>
        <sz val="8"/>
        <rFont val="Arial"/>
        <charset val="134"/>
      </rPr>
      <t>APTC</t>
    </r>
    <r>
      <rPr>
        <sz val="8"/>
        <rFont val="宋体"/>
        <charset val="134"/>
      </rPr>
      <t>（</t>
    </r>
    <r>
      <rPr>
        <sz val="8"/>
        <rFont val="Arial"/>
        <charset val="134"/>
      </rPr>
      <t>Rodianne</t>
    </r>
    <r>
      <rPr>
        <sz val="8"/>
        <rFont val="宋体"/>
        <charset val="134"/>
      </rPr>
      <t>）</t>
    </r>
  </si>
  <si>
    <r>
      <rPr>
        <sz val="8"/>
        <rFont val="Arial"/>
        <charset val="134"/>
      </rPr>
      <t xml:space="preserve">1X40HQ </t>
    </r>
    <r>
      <rPr>
        <sz val="8"/>
        <rFont val="宋体"/>
        <charset val="134"/>
      </rPr>
      <t>轻钢龙骨</t>
    </r>
    <r>
      <rPr>
        <sz val="8"/>
        <rFont val="Arial"/>
        <charset val="134"/>
      </rPr>
      <t xml:space="preserve"> &amp; </t>
    </r>
    <r>
      <rPr>
        <sz val="8"/>
        <rFont val="宋体"/>
        <charset val="134"/>
      </rPr>
      <t>岩棉</t>
    </r>
  </si>
  <si>
    <t>xingang-Marsaxlokk</t>
  </si>
  <si>
    <r>
      <rPr>
        <sz val="8"/>
        <color theme="1"/>
        <rFont val="Arial"/>
        <charset val="134"/>
      </rPr>
      <t>DHL9879899503</t>
    </r>
    <r>
      <rPr>
        <sz val="8"/>
        <color theme="1"/>
        <rFont val="宋体"/>
        <charset val="134"/>
      </rPr>
      <t>单据齐</t>
    </r>
    <r>
      <rPr>
        <sz val="8"/>
        <color theme="1"/>
        <rFont val="Arial"/>
        <charset val="134"/>
      </rPr>
      <t xml:space="preserve"> </t>
    </r>
    <r>
      <rPr>
        <sz val="8"/>
        <color theme="1"/>
        <rFont val="宋体"/>
        <charset val="134"/>
      </rPr>
      <t>单据已发客户</t>
    </r>
    <r>
      <rPr>
        <sz val="8"/>
        <color theme="1"/>
        <rFont val="Arial"/>
        <charset val="134"/>
      </rPr>
      <t xml:space="preserve"> </t>
    </r>
    <r>
      <rPr>
        <sz val="8"/>
        <color theme="1"/>
        <rFont val="宋体"/>
        <charset val="134"/>
      </rPr>
      <t>正本到了</t>
    </r>
    <r>
      <rPr>
        <sz val="8"/>
        <color theme="1"/>
        <rFont val="Arial"/>
        <charset val="134"/>
      </rPr>
      <t xml:space="preserve"> </t>
    </r>
    <r>
      <rPr>
        <sz val="8"/>
        <color theme="1"/>
        <rFont val="宋体"/>
        <charset val="134"/>
      </rPr>
      <t>无单据</t>
    </r>
    <r>
      <rPr>
        <sz val="8"/>
        <color theme="1"/>
        <rFont val="Arial"/>
        <charset val="134"/>
      </rPr>
      <t xml:space="preserve"> CMA</t>
    </r>
    <r>
      <rPr>
        <sz val="8"/>
        <color theme="1"/>
        <rFont val="宋体"/>
        <charset val="134"/>
      </rPr>
      <t>船</t>
    </r>
    <r>
      <rPr>
        <sz val="8"/>
        <color theme="1"/>
        <rFont val="Arial"/>
        <charset val="134"/>
      </rPr>
      <t xml:space="preserve"> 22</t>
    </r>
    <r>
      <rPr>
        <sz val="8"/>
        <color theme="1"/>
        <rFont val="宋体"/>
        <charset val="134"/>
      </rPr>
      <t>号左右</t>
    </r>
    <r>
      <rPr>
        <sz val="8"/>
        <color theme="1"/>
        <rFont val="Arial"/>
        <charset val="134"/>
      </rPr>
      <t xml:space="preserve">    </t>
    </r>
    <r>
      <rPr>
        <sz val="8"/>
        <color theme="1"/>
        <rFont val="宋体"/>
        <charset val="134"/>
      </rPr>
      <t>装箱的时候在集装箱里装</t>
    </r>
    <r>
      <rPr>
        <sz val="8"/>
        <color theme="1"/>
        <rFont val="Arial"/>
        <charset val="134"/>
      </rPr>
      <t>20</t>
    </r>
    <r>
      <rPr>
        <sz val="8"/>
        <color theme="1"/>
        <rFont val="宋体"/>
        <charset val="134"/>
      </rPr>
      <t>本图册</t>
    </r>
    <r>
      <rPr>
        <sz val="8"/>
        <color theme="1"/>
        <rFont val="Arial"/>
        <charset val="134"/>
      </rPr>
      <t xml:space="preserve">   VAT No. is MT2168-5006    Company registration No. C63567</t>
    </r>
  </si>
  <si>
    <r>
      <rPr>
        <sz val="8"/>
        <color theme="1"/>
        <rFont val="Arial"/>
        <charset val="134"/>
      </rPr>
      <t>迪斯泰订舱</t>
    </r>
    <r>
      <rPr>
        <sz val="8"/>
        <color theme="1"/>
        <rFont val="Arial"/>
        <charset val="134"/>
      </rPr>
      <t>MSC1990/1995</t>
    </r>
    <r>
      <rPr>
        <sz val="8"/>
        <color theme="1"/>
        <rFont val="宋体"/>
        <charset val="134"/>
      </rPr>
      <t>，拖车报关</t>
    </r>
  </si>
  <si>
    <t>J3663</t>
  </si>
  <si>
    <r>
      <rPr>
        <sz val="8"/>
        <rFont val="宋体"/>
        <charset val="134"/>
      </rPr>
      <t>多米尼加</t>
    </r>
    <r>
      <rPr>
        <sz val="8"/>
        <rFont val="Arial"/>
        <charset val="134"/>
      </rPr>
      <t xml:space="preserve"> CRYSTAL/Wilton</t>
    </r>
  </si>
  <si>
    <r>
      <rPr>
        <sz val="8"/>
        <color theme="1"/>
        <rFont val="Arial"/>
        <charset val="134"/>
      </rPr>
      <t xml:space="preserve">1x40HQ </t>
    </r>
    <r>
      <rPr>
        <sz val="8"/>
        <color theme="1"/>
        <rFont val="宋体"/>
        <charset val="134"/>
      </rPr>
      <t>轻钢</t>
    </r>
    <r>
      <rPr>
        <sz val="8"/>
        <color theme="1"/>
        <rFont val="Arial"/>
        <charset val="134"/>
      </rPr>
      <t>+pvc</t>
    </r>
    <r>
      <rPr>
        <sz val="8"/>
        <color theme="1"/>
        <rFont val="宋体"/>
        <charset val="134"/>
      </rPr>
      <t>扣板</t>
    </r>
  </si>
  <si>
    <t>xingang-DOMINICAN</t>
  </si>
  <si>
    <r>
      <rPr>
        <sz val="8"/>
        <rFont val="宋体"/>
        <charset val="134"/>
      </rPr>
      <t>由于疫情电放提单</t>
    </r>
    <r>
      <rPr>
        <sz val="8"/>
        <rFont val="Arial"/>
        <charset val="134"/>
      </rPr>
      <t xml:space="preserve">   2020.1.9</t>
    </r>
    <r>
      <rPr>
        <sz val="8"/>
        <rFont val="宋体"/>
        <charset val="134"/>
      </rPr>
      <t>装</t>
    </r>
    <r>
      <rPr>
        <sz val="8"/>
        <rFont val="Arial"/>
        <charset val="134"/>
      </rPr>
      <t xml:space="preserve"> </t>
    </r>
    <r>
      <rPr>
        <sz val="8"/>
        <rFont val="宋体"/>
        <charset val="134"/>
      </rPr>
      <t>出两个提单</t>
    </r>
    <r>
      <rPr>
        <sz val="8"/>
        <rFont val="Arial"/>
        <charset val="134"/>
      </rPr>
      <t xml:space="preserve"> </t>
    </r>
    <r>
      <rPr>
        <sz val="8"/>
        <rFont val="宋体"/>
        <charset val="134"/>
      </rPr>
      <t>分票报关</t>
    </r>
    <r>
      <rPr>
        <sz val="8"/>
        <rFont val="Arial"/>
        <charset val="134"/>
      </rPr>
      <t xml:space="preserve"> </t>
    </r>
    <r>
      <rPr>
        <sz val="8"/>
        <rFont val="宋体"/>
        <charset val="134"/>
      </rPr>
      <t>低报发票 J3690客户安排的订舱拖车</t>
    </r>
  </si>
  <si>
    <t>1991.13+851.97</t>
  </si>
  <si>
    <t>317.36+6689.76</t>
  </si>
  <si>
    <r>
      <rPr>
        <b/>
        <sz val="8"/>
        <color rgb="FF0000FF"/>
        <rFont val="Arial"/>
        <charset val="134"/>
      </rPr>
      <t>实际四次打款</t>
    </r>
    <r>
      <rPr>
        <b/>
        <sz val="8"/>
        <color rgb="FF0000FF"/>
        <rFont val="Arial"/>
        <charset val="134"/>
      </rPr>
      <t xml:space="preserve">2029.44 + 870  +  6765 + 336
</t>
    </r>
    <r>
      <rPr>
        <b/>
        <sz val="8"/>
        <color rgb="FF0000FF"/>
        <rFont val="宋体"/>
        <charset val="134"/>
      </rPr>
      <t>然后</t>
    </r>
    <r>
      <rPr>
        <b/>
        <sz val="8"/>
        <color rgb="FF0000FF"/>
        <rFont val="Arial"/>
        <charset val="134"/>
      </rPr>
      <t>358</t>
    </r>
    <r>
      <rPr>
        <b/>
        <sz val="8"/>
        <color rgb="FF0000FF"/>
        <rFont val="宋体"/>
        <charset val="134"/>
      </rPr>
      <t>的模具费用是单算的，在经理的</t>
    </r>
    <r>
      <rPr>
        <b/>
        <sz val="8"/>
        <color rgb="FF0000FF"/>
        <rFont val="Arial"/>
        <charset val="134"/>
      </rPr>
      <t>paypal</t>
    </r>
    <r>
      <rPr>
        <b/>
        <sz val="8"/>
        <color rgb="FF0000FF"/>
        <rFont val="宋体"/>
        <charset val="134"/>
      </rPr>
      <t>账户里</t>
    </r>
  </si>
  <si>
    <t>J3667</t>
  </si>
  <si>
    <r>
      <rPr>
        <sz val="8"/>
        <rFont val="宋体"/>
        <charset val="134"/>
      </rPr>
      <t>石家庄港田贸易</t>
    </r>
    <r>
      <rPr>
        <sz val="8"/>
        <rFont val="Arial"/>
        <charset val="134"/>
      </rPr>
      <t xml:space="preserve"> IREN</t>
    </r>
    <r>
      <rPr>
        <sz val="8"/>
        <rFont val="宋体"/>
        <charset val="134"/>
      </rPr>
      <t>懂</t>
    </r>
  </si>
  <si>
    <r>
      <rPr>
        <sz val="8"/>
        <color theme="1"/>
        <rFont val="Arial"/>
        <charset val="134"/>
      </rPr>
      <t>1x40HQ</t>
    </r>
    <r>
      <rPr>
        <sz val="8"/>
        <color theme="1"/>
        <rFont val="宋体"/>
        <charset val="134"/>
      </rPr>
      <t>烤漆</t>
    </r>
    <r>
      <rPr>
        <sz val="8"/>
        <color theme="1"/>
        <rFont val="Arial"/>
        <charset val="134"/>
      </rPr>
      <t>+</t>
    </r>
    <r>
      <rPr>
        <sz val="8"/>
        <color theme="1"/>
        <rFont val="宋体"/>
        <charset val="134"/>
      </rPr>
      <t>玻纤板</t>
    </r>
  </si>
  <si>
    <r>
      <rPr>
        <sz val="8"/>
        <rFont val="宋体"/>
        <charset val="134"/>
      </rPr>
      <t>安排</t>
    </r>
    <r>
      <rPr>
        <sz val="8"/>
        <rFont val="Arial"/>
        <charset val="134"/>
      </rPr>
      <t>3</t>
    </r>
    <r>
      <rPr>
        <sz val="8"/>
        <rFont val="宋体"/>
        <charset val="134"/>
      </rPr>
      <t>号装柜</t>
    </r>
    <r>
      <rPr>
        <sz val="8"/>
        <rFont val="Arial"/>
        <charset val="134"/>
      </rPr>
      <t>3</t>
    </r>
    <r>
      <rPr>
        <sz val="8"/>
        <rFont val="宋体"/>
        <charset val="134"/>
      </rPr>
      <t>号下午</t>
    </r>
    <r>
      <rPr>
        <sz val="8"/>
        <rFont val="Arial"/>
        <charset val="134"/>
      </rPr>
      <t>5</t>
    </r>
    <r>
      <rPr>
        <sz val="8"/>
        <rFont val="宋体"/>
        <charset val="134"/>
      </rPr>
      <t>点前</t>
    </r>
    <r>
      <rPr>
        <sz val="8"/>
        <rFont val="Arial"/>
        <charset val="134"/>
      </rPr>
      <t xml:space="preserve"> </t>
    </r>
    <r>
      <rPr>
        <sz val="8"/>
        <rFont val="宋体"/>
        <charset val="134"/>
      </rPr>
      <t>分票报关</t>
    </r>
    <r>
      <rPr>
        <sz val="8"/>
        <rFont val="Arial"/>
        <charset val="134"/>
      </rPr>
      <t xml:space="preserve"> </t>
    </r>
    <r>
      <rPr>
        <sz val="8"/>
        <rFont val="宋体"/>
        <charset val="134"/>
      </rPr>
      <t>船推到</t>
    </r>
    <r>
      <rPr>
        <sz val="8"/>
        <rFont val="Arial"/>
        <charset val="134"/>
      </rPr>
      <t>10</t>
    </r>
    <r>
      <rPr>
        <sz val="8"/>
        <rFont val="宋体"/>
        <charset val="134"/>
      </rPr>
      <t>号了，</t>
    </r>
    <r>
      <rPr>
        <sz val="8"/>
        <rFont val="Arial"/>
        <charset val="134"/>
      </rPr>
      <t>3</t>
    </r>
    <r>
      <rPr>
        <sz val="8"/>
        <rFont val="宋体"/>
        <charset val="134"/>
      </rPr>
      <t>号截单。</t>
    </r>
    <r>
      <rPr>
        <sz val="8"/>
        <rFont val="Arial"/>
        <charset val="134"/>
      </rPr>
      <t>9</t>
    </r>
    <r>
      <rPr>
        <sz val="8"/>
        <rFont val="宋体"/>
        <charset val="134"/>
      </rPr>
      <t>天免箱</t>
    </r>
    <r>
      <rPr>
        <sz val="8"/>
        <rFont val="Arial"/>
        <charset val="134"/>
      </rPr>
      <t xml:space="preserve">
 </t>
    </r>
    <r>
      <rPr>
        <sz val="8"/>
        <rFont val="宋体"/>
        <charset val="134"/>
      </rPr>
      <t>出厂前付清</t>
    </r>
    <r>
      <rPr>
        <sz val="8"/>
        <rFont val="Arial"/>
        <charset val="134"/>
      </rPr>
      <t xml:space="preserve"> </t>
    </r>
    <r>
      <rPr>
        <sz val="8"/>
        <rFont val="宋体"/>
        <charset val="134"/>
      </rPr>
      <t>分两单报关</t>
    </r>
    <r>
      <rPr>
        <sz val="8"/>
        <rFont val="Arial"/>
        <charset val="134"/>
      </rPr>
      <t xml:space="preserve"> </t>
    </r>
    <r>
      <rPr>
        <sz val="8"/>
        <rFont val="宋体"/>
        <charset val="134"/>
      </rPr>
      <t>烤漆正常报</t>
    </r>
    <r>
      <rPr>
        <sz val="8"/>
        <rFont val="Arial"/>
        <charset val="134"/>
      </rPr>
      <t xml:space="preserve"> </t>
    </r>
    <r>
      <rPr>
        <sz val="8"/>
        <rFont val="宋体"/>
        <charset val="134"/>
      </rPr>
      <t>玻纤板买单</t>
    </r>
    <r>
      <rPr>
        <sz val="8"/>
        <rFont val="Arial"/>
        <charset val="134"/>
      </rPr>
      <t xml:space="preserve"> 21</t>
    </r>
    <r>
      <rPr>
        <sz val="8"/>
        <rFont val="宋体"/>
        <charset val="134"/>
      </rPr>
      <t>号货好</t>
    </r>
  </si>
  <si>
    <t>客户订舱，迪斯泰拖车报关</t>
  </si>
  <si>
    <t>J3687</t>
  </si>
  <si>
    <r>
      <rPr>
        <sz val="8"/>
        <rFont val="Arial"/>
        <charset val="134"/>
      </rPr>
      <t>广州</t>
    </r>
    <r>
      <rPr>
        <sz val="8"/>
        <rFont val="Arial"/>
        <charset val="134"/>
      </rPr>
      <t xml:space="preserve"> Pemco/</t>
    </r>
    <r>
      <rPr>
        <sz val="8"/>
        <rFont val="宋体"/>
        <charset val="134"/>
      </rPr>
      <t>杜小姐</t>
    </r>
  </si>
  <si>
    <r>
      <rPr>
        <sz val="8"/>
        <rFont val="Arial"/>
        <charset val="134"/>
      </rPr>
      <t>1x20</t>
    </r>
    <r>
      <rPr>
        <sz val="8"/>
        <rFont val="宋体"/>
        <charset val="134"/>
      </rPr>
      <t>轻钢</t>
    </r>
    <r>
      <rPr>
        <sz val="8"/>
        <rFont val="Arial"/>
        <charset val="134"/>
      </rPr>
      <t>&amp;</t>
    </r>
    <r>
      <rPr>
        <sz val="8"/>
        <rFont val="宋体"/>
        <charset val="134"/>
      </rPr>
      <t>配件</t>
    </r>
  </si>
  <si>
    <r>
      <rPr>
        <sz val="8"/>
        <rFont val="Arial"/>
        <charset val="134"/>
      </rPr>
      <t>xingang-</t>
    </r>
    <r>
      <rPr>
        <sz val="8"/>
        <rFont val="宋体"/>
        <charset val="134"/>
      </rPr>
      <t>科伦坡，斯里兰卡</t>
    </r>
  </si>
  <si>
    <r>
      <rPr>
        <sz val="8"/>
        <rFont val="宋体"/>
        <charset val="134"/>
      </rPr>
      <t>正本直接寄给客户</t>
    </r>
    <r>
      <rPr>
        <sz val="8"/>
        <rFont val="Arial"/>
        <charset val="134"/>
      </rPr>
      <t xml:space="preserve"> </t>
    </r>
    <r>
      <rPr>
        <sz val="8"/>
        <rFont val="宋体"/>
        <charset val="134"/>
      </rPr>
      <t>提单不显示发票号</t>
    </r>
    <r>
      <rPr>
        <sz val="8"/>
        <rFont val="Arial"/>
        <charset val="134"/>
      </rPr>
      <t xml:space="preserve"> </t>
    </r>
    <r>
      <rPr>
        <sz val="8"/>
        <rFont val="宋体"/>
        <charset val="134"/>
      </rPr>
      <t>箱单发票发给客户</t>
    </r>
    <r>
      <rPr>
        <sz val="8"/>
        <rFont val="Arial"/>
        <charset val="134"/>
      </rPr>
      <t xml:space="preserve"> </t>
    </r>
    <r>
      <rPr>
        <sz val="8"/>
        <rFont val="宋体"/>
        <charset val="134"/>
      </rPr>
      <t>客户自己给外国客户做单据</t>
    </r>
    <r>
      <rPr>
        <sz val="8"/>
        <color rgb="FF0000FF"/>
        <rFont val="Arial"/>
        <charset val="134"/>
      </rPr>
      <t xml:space="preserve"> </t>
    </r>
    <r>
      <rPr>
        <sz val="8"/>
        <color theme="1"/>
        <rFont val="Arial"/>
        <charset val="134"/>
      </rPr>
      <t>shipper</t>
    </r>
    <r>
      <rPr>
        <sz val="8"/>
        <color theme="1"/>
        <rFont val="宋体"/>
        <charset val="134"/>
      </rPr>
      <t>不固定，发货前与客户确认。这票必须使用咱们自己的货代</t>
    </r>
  </si>
  <si>
    <r>
      <rPr>
        <sz val="8"/>
        <color theme="1"/>
        <rFont val="Arial"/>
        <charset val="134"/>
      </rPr>
      <t>迪斯泰订舱</t>
    </r>
    <r>
      <rPr>
        <sz val="8"/>
        <color theme="1"/>
        <rFont val="Arial"/>
        <charset val="134"/>
      </rPr>
      <t>MSC 1163/1165</t>
    </r>
    <r>
      <rPr>
        <sz val="8"/>
        <color theme="1"/>
        <rFont val="宋体"/>
        <charset val="134"/>
      </rPr>
      <t>拖车报关</t>
    </r>
  </si>
  <si>
    <t>M3693</t>
  </si>
  <si>
    <r>
      <rPr>
        <sz val="8"/>
        <rFont val="宋体"/>
        <charset val="134"/>
      </rPr>
      <t>马来西亚</t>
    </r>
    <r>
      <rPr>
        <sz val="8"/>
        <rFont val="Arial"/>
        <charset val="134"/>
      </rPr>
      <t>&amp;</t>
    </r>
    <r>
      <rPr>
        <sz val="8"/>
        <rFont val="宋体"/>
        <charset val="134"/>
      </rPr>
      <t>加蓬</t>
    </r>
    <r>
      <rPr>
        <sz val="8"/>
        <rFont val="Arial"/>
        <charset val="134"/>
      </rPr>
      <t xml:space="preserve">ECOSCIENCE </t>
    </r>
    <r>
      <rPr>
        <sz val="8"/>
        <rFont val="宋体"/>
        <charset val="134"/>
      </rPr>
      <t>（</t>
    </r>
    <r>
      <rPr>
        <sz val="8"/>
        <rFont val="Arial"/>
        <charset val="134"/>
      </rPr>
      <t>Louis</t>
    </r>
    <r>
      <rPr>
        <sz val="8"/>
        <rFont val="宋体"/>
        <charset val="134"/>
      </rPr>
      <t>）</t>
    </r>
  </si>
  <si>
    <r>
      <rPr>
        <sz val="8"/>
        <rFont val="Arial"/>
        <charset val="134"/>
      </rPr>
      <t>2x20GP</t>
    </r>
    <r>
      <rPr>
        <sz val="8"/>
        <rFont val="宋体"/>
        <charset val="134"/>
      </rPr>
      <t>烤漆边角</t>
    </r>
    <r>
      <rPr>
        <sz val="8"/>
        <rFont val="Arial"/>
        <charset val="134"/>
      </rPr>
      <t>+</t>
    </r>
    <r>
      <rPr>
        <sz val="8"/>
        <rFont val="宋体"/>
        <charset val="134"/>
      </rPr>
      <t>石膏板</t>
    </r>
  </si>
  <si>
    <t>QINGDAO-LIBREVILLE</t>
  </si>
  <si>
    <r>
      <rPr>
        <sz val="8"/>
        <rFont val="宋体"/>
        <charset val="134"/>
      </rPr>
      <t xml:space="preserve">DHL 2013355573由于疫情电放提单客户付电放费 单据齐等款 单据已发客户 出CO BIETC号0417635 </t>
    </r>
    <r>
      <rPr>
        <sz val="8"/>
        <color theme="1"/>
        <rFont val="Arial"/>
        <charset val="134"/>
      </rPr>
      <t xml:space="preserve"> </t>
    </r>
    <r>
      <rPr>
        <sz val="8"/>
        <color theme="1"/>
        <rFont val="宋体"/>
        <charset val="134"/>
      </rPr>
      <t>客户再马来西亚收货人是加蓬 出保险</t>
    </r>
    <r>
      <rPr>
        <sz val="8"/>
        <color theme="1"/>
        <rFont val="Arial"/>
        <charset val="134"/>
      </rPr>
      <t xml:space="preserve"> </t>
    </r>
    <r>
      <rPr>
        <sz val="8"/>
        <color theme="1"/>
        <rFont val="宋体"/>
        <charset val="134"/>
      </rPr>
      <t>做成</t>
    </r>
    <r>
      <rPr>
        <sz val="8"/>
        <color theme="1"/>
        <rFont val="Arial"/>
        <charset val="134"/>
      </rPr>
      <t xml:space="preserve">CIF </t>
    </r>
    <r>
      <rPr>
        <sz val="8"/>
        <color theme="1"/>
        <rFont val="宋体"/>
        <charset val="134"/>
      </rPr>
      <t>龙骨和石膏板据用都是这个</t>
    </r>
    <r>
      <rPr>
        <sz val="8"/>
        <color theme="1"/>
        <rFont val="Arial"/>
        <charset val="134"/>
      </rPr>
      <t>HScode</t>
    </r>
    <r>
      <rPr>
        <sz val="8"/>
        <color theme="1"/>
        <rFont val="宋体"/>
        <charset val="134"/>
      </rPr>
      <t>是吗</t>
    </r>
    <r>
      <rPr>
        <sz val="8"/>
        <color theme="1"/>
        <rFont val="Arial"/>
        <charset val="134"/>
      </rPr>
      <t>HS CODE: 84388000  BIETC NO</t>
    </r>
    <r>
      <rPr>
        <sz val="8"/>
        <color theme="1"/>
        <rFont val="宋体"/>
        <charset val="134"/>
      </rPr>
      <t>这个号每次都是客户用提箱单申请</t>
    </r>
    <r>
      <rPr>
        <sz val="8"/>
        <color theme="1"/>
        <rFont val="Arial"/>
        <charset val="134"/>
      </rPr>
      <t xml:space="preserve">  </t>
    </r>
    <r>
      <rPr>
        <sz val="8"/>
        <color theme="1"/>
        <rFont val="宋体"/>
        <charset val="134"/>
      </rPr>
      <t>发到山东皇华跟石膏板混装</t>
    </r>
  </si>
  <si>
    <r>
      <rPr>
        <sz val="8"/>
        <color theme="1"/>
        <rFont val="宋体"/>
        <charset val="134"/>
      </rPr>
      <t>张晋山订舱指定</t>
    </r>
    <r>
      <rPr>
        <sz val="8"/>
        <color theme="1"/>
        <rFont val="Arial"/>
        <charset val="134"/>
      </rPr>
      <t>MSK2043/2050</t>
    </r>
    <r>
      <rPr>
        <sz val="8"/>
        <color theme="1"/>
        <rFont val="宋体"/>
        <charset val="134"/>
      </rPr>
      <t>，皇华拖车报关</t>
    </r>
  </si>
  <si>
    <r>
      <rPr>
        <sz val="8"/>
        <rFont val="宋体"/>
        <charset val="134"/>
      </rPr>
      <t>实际尾款</t>
    </r>
    <r>
      <rPr>
        <sz val="8"/>
        <rFont val="Arial"/>
        <charset val="134"/>
      </rPr>
      <t>$10186.3</t>
    </r>
  </si>
  <si>
    <t>M3695</t>
  </si>
  <si>
    <r>
      <rPr>
        <sz val="8"/>
        <rFont val="宋体"/>
        <charset val="134"/>
      </rPr>
      <t>下次寄单据地址按客户发的改下</t>
    </r>
    <r>
      <rPr>
        <sz val="8"/>
        <rFont val="Arial"/>
        <charset val="134"/>
      </rPr>
      <t>DHL4862605720</t>
    </r>
    <r>
      <rPr>
        <sz val="8"/>
        <color rgb="FF0000FF"/>
        <rFont val="Arial"/>
        <charset val="134"/>
      </rPr>
      <t xml:space="preserve"> </t>
    </r>
    <r>
      <rPr>
        <sz val="8"/>
        <rFont val="宋体"/>
        <charset val="134"/>
      </rPr>
      <t>无单据</t>
    </r>
    <r>
      <rPr>
        <sz val="8"/>
        <rFont val="Arial"/>
        <charset val="134"/>
      </rPr>
      <t xml:space="preserve"> </t>
    </r>
    <r>
      <rPr>
        <sz val="8"/>
        <rFont val="宋体"/>
        <charset val="134"/>
      </rPr>
      <t>中转港换船了，所以比原先到港的要晚一段时间</t>
    </r>
    <r>
      <rPr>
        <sz val="8"/>
        <rFont val="Arial"/>
        <charset val="134"/>
      </rPr>
      <t xml:space="preserve"> </t>
    </r>
    <r>
      <rPr>
        <sz val="8"/>
        <rFont val="宋体"/>
        <charset val="134"/>
      </rPr>
      <t>同</t>
    </r>
    <r>
      <rPr>
        <sz val="8"/>
        <rFont val="Arial"/>
        <charset val="134"/>
      </rPr>
      <t>J3455</t>
    </r>
  </si>
  <si>
    <t>宁波明腾订舱，会昌拖车报关</t>
  </si>
  <si>
    <t>J3700</t>
  </si>
  <si>
    <r>
      <rPr>
        <sz val="8"/>
        <rFont val="Arial"/>
        <charset val="134"/>
      </rPr>
      <t>石家庄港田贸易</t>
    </r>
    <r>
      <rPr>
        <sz val="8"/>
        <rFont val="Arial"/>
        <charset val="134"/>
      </rPr>
      <t xml:space="preserve"> IREN</t>
    </r>
    <r>
      <rPr>
        <sz val="8"/>
        <rFont val="宋体"/>
        <charset val="134"/>
      </rPr>
      <t>懂</t>
    </r>
  </si>
  <si>
    <t>烤漆（散货）</t>
  </si>
  <si>
    <t>卖方负责送货到临沂，运费买方负责</t>
  </si>
  <si>
    <t>RMB30351</t>
  </si>
  <si>
    <t>RMB5500</t>
  </si>
  <si>
    <t>RMB24851</t>
  </si>
  <si>
    <t>J3690</t>
  </si>
  <si>
    <r>
      <rPr>
        <sz val="8"/>
        <rFont val="宋体"/>
        <charset val="134"/>
      </rPr>
      <t>海宁羊羊贸易</t>
    </r>
    <r>
      <rPr>
        <sz val="8"/>
        <rFont val="Arial"/>
        <charset val="134"/>
      </rPr>
      <t>/</t>
    </r>
    <r>
      <rPr>
        <sz val="8"/>
        <rFont val="宋体"/>
        <charset val="134"/>
      </rPr>
      <t>周先生</t>
    </r>
  </si>
  <si>
    <r>
      <rPr>
        <sz val="8"/>
        <rFont val="Arial"/>
        <charset val="134"/>
      </rPr>
      <t xml:space="preserve">1x20 </t>
    </r>
    <r>
      <rPr>
        <sz val="8"/>
        <rFont val="宋体"/>
        <charset val="134"/>
      </rPr>
      <t>轻钢龙骨</t>
    </r>
  </si>
  <si>
    <r>
      <rPr>
        <sz val="8"/>
        <color rgb="FF0000FF"/>
        <rFont val="Arial"/>
        <charset val="134"/>
      </rPr>
      <t>8</t>
    </r>
    <r>
      <rPr>
        <sz val="8"/>
        <color rgb="FF0000FF"/>
        <rFont val="宋体"/>
        <charset val="134"/>
      </rPr>
      <t>号装柜</t>
    </r>
    <r>
      <rPr>
        <sz val="8"/>
        <color theme="1"/>
        <rFont val="Arial"/>
        <charset val="134"/>
      </rPr>
      <t xml:space="preserve"> </t>
    </r>
    <r>
      <rPr>
        <sz val="8"/>
        <color theme="1"/>
        <rFont val="宋体"/>
        <charset val="134"/>
      </rPr>
      <t>客户安排订舱装柜</t>
    </r>
    <r>
      <rPr>
        <sz val="8"/>
        <color theme="1"/>
        <rFont val="Arial"/>
        <charset val="134"/>
      </rPr>
      <t xml:space="preserve"> </t>
    </r>
    <r>
      <rPr>
        <sz val="8"/>
        <color theme="1"/>
        <rFont val="宋体"/>
        <charset val="134"/>
      </rPr>
      <t>尾款见装箱照片后付款</t>
    </r>
  </si>
  <si>
    <t>RMB119828.4</t>
  </si>
  <si>
    <t>RMB38000+RMB51065</t>
  </si>
  <si>
    <t>RMB30763.4</t>
  </si>
  <si>
    <r>
      <rPr>
        <sz val="8"/>
        <rFont val="Arial"/>
        <charset val="134"/>
      </rPr>
      <t>2020.3.8</t>
    </r>
    <r>
      <rPr>
        <sz val="8"/>
        <rFont val="宋体"/>
        <charset val="134"/>
      </rPr>
      <t>收到尾款</t>
    </r>
    <r>
      <rPr>
        <sz val="8"/>
        <rFont val="Arial"/>
        <charset val="134"/>
      </rPr>
      <t xml:space="preserve">RMB32726  </t>
    </r>
    <r>
      <rPr>
        <sz val="8"/>
        <rFont val="宋体"/>
        <charset val="134"/>
      </rPr>
      <t>实际少装了</t>
    </r>
    <r>
      <rPr>
        <sz val="8"/>
        <rFont val="Arial"/>
        <charset val="134"/>
      </rPr>
      <t xml:space="preserve"> </t>
    </r>
    <r>
      <rPr>
        <sz val="8"/>
        <rFont val="宋体"/>
        <charset val="134"/>
      </rPr>
      <t>要退给客户差额</t>
    </r>
  </si>
  <si>
    <t>J3718</t>
  </si>
  <si>
    <r>
      <rPr>
        <sz val="8"/>
        <rFont val="Arial"/>
        <charset val="134"/>
      </rPr>
      <t>1x40HQ</t>
    </r>
    <r>
      <rPr>
        <sz val="8"/>
        <rFont val="宋体"/>
        <charset val="134"/>
      </rPr>
      <t>烤漆</t>
    </r>
  </si>
  <si>
    <t>xingang-Israel</t>
  </si>
  <si>
    <r>
      <rPr>
        <sz val="8"/>
        <color rgb="FF0000FF"/>
        <rFont val="宋体"/>
        <charset val="134"/>
      </rPr>
      <t>多装的836美金之前付款了</t>
    </r>
    <r>
      <rPr>
        <sz val="8"/>
        <color theme="1"/>
        <rFont val="宋体"/>
        <charset val="134"/>
      </rPr>
      <t xml:space="preserve"> 和J3779一部分一起发 暂定12号船  金凯抬头报关， 客户订舱咱们安排拖车 提前问客户订舱的港杂费， 跟客户要下提单退税用，  客户订舱</t>
    </r>
  </si>
  <si>
    <t>客户订舱，会昌拖车，金凯抬头报关</t>
  </si>
  <si>
    <r>
      <rPr>
        <sz val="8"/>
        <rFont val="宋体"/>
        <charset val="134"/>
      </rPr>
      <t>实际尾款18684.31尾款多打</t>
    </r>
    <r>
      <rPr>
        <sz val="8"/>
        <rFont val="Arial"/>
        <charset val="134"/>
      </rPr>
      <t>898.68</t>
    </r>
    <r>
      <rPr>
        <sz val="8"/>
        <rFont val="宋体"/>
        <charset val="134"/>
      </rPr>
      <t>美金转到</t>
    </r>
    <r>
      <rPr>
        <sz val="8"/>
        <rFont val="Arial"/>
        <charset val="134"/>
      </rPr>
      <t>J3779</t>
    </r>
    <r>
      <rPr>
        <sz val="8"/>
        <rFont val="宋体"/>
        <charset val="134"/>
      </rPr>
      <t>货款</t>
    </r>
  </si>
  <si>
    <t>J3720</t>
  </si>
  <si>
    <r>
      <rPr>
        <sz val="8"/>
        <rFont val="宋体"/>
        <charset val="134"/>
      </rPr>
      <t>印度</t>
    </r>
    <r>
      <rPr>
        <sz val="8"/>
        <rFont val="Arial"/>
        <charset val="134"/>
      </rPr>
      <t>MDG(Poonam)</t>
    </r>
  </si>
  <si>
    <r>
      <rPr>
        <sz val="8"/>
        <color theme="1"/>
        <rFont val="宋体"/>
        <charset val="134"/>
      </rPr>
      <t>DHL7342946365 同</t>
    </r>
    <r>
      <rPr>
        <sz val="8"/>
        <color theme="1"/>
        <rFont val="Arial"/>
        <charset val="134"/>
      </rPr>
      <t xml:space="preserve">J3609 </t>
    </r>
    <r>
      <rPr>
        <sz val="8"/>
        <color rgb="FF002060"/>
        <rFont val="Arial"/>
        <charset val="134"/>
      </rPr>
      <t xml:space="preserve"> </t>
    </r>
    <r>
      <rPr>
        <sz val="8"/>
        <rFont val="Arial"/>
        <charset val="134"/>
      </rPr>
      <t>Form B</t>
    </r>
    <r>
      <rPr>
        <sz val="8"/>
        <rFont val="宋体"/>
        <charset val="134"/>
      </rPr>
      <t>必须深圳陈小姐那出 海关无二维码的formB</t>
    </r>
  </si>
  <si>
    <t>高阳国际订舱长荣，会昌拖车，金凯抬头报关</t>
  </si>
  <si>
    <r>
      <rPr>
        <sz val="8"/>
        <rFont val="宋体"/>
        <charset val="134"/>
      </rPr>
      <t>实际尾款</t>
    </r>
    <r>
      <rPr>
        <sz val="8"/>
        <rFont val="Arial"/>
        <charset val="134"/>
      </rPr>
      <t xml:space="preserve">$17466.89 </t>
    </r>
    <r>
      <rPr>
        <sz val="8"/>
        <rFont val="宋体"/>
        <charset val="134"/>
      </rPr>
      <t>定金</t>
    </r>
    <r>
      <rPr>
        <sz val="8"/>
        <rFont val="Arial"/>
        <charset val="134"/>
      </rPr>
      <t xml:space="preserve">RMB30750 </t>
    </r>
    <r>
      <rPr>
        <sz val="8"/>
        <rFont val="宋体"/>
        <charset val="134"/>
      </rPr>
      <t>汇率</t>
    </r>
    <r>
      <rPr>
        <sz val="8"/>
        <rFont val="Arial"/>
        <charset val="134"/>
      </rPr>
      <t>6.84</t>
    </r>
  </si>
  <si>
    <t>J3746-3</t>
  </si>
  <si>
    <r>
      <rPr>
        <sz val="8"/>
        <rFont val="Arial"/>
        <charset val="134"/>
      </rPr>
      <t xml:space="preserve">1X40HQ </t>
    </r>
    <r>
      <rPr>
        <sz val="8"/>
        <rFont val="宋体"/>
        <charset val="134"/>
      </rPr>
      <t>轻钢龙骨</t>
    </r>
  </si>
  <si>
    <t>xinggang-DAMMAM,SAUDI ARABIA</t>
  </si>
  <si>
    <r>
      <rPr>
        <sz val="8"/>
        <color theme="1"/>
        <rFont val="宋体"/>
        <charset val="134"/>
      </rPr>
      <t>共</t>
    </r>
    <r>
      <rPr>
        <sz val="8"/>
        <color theme="1"/>
        <rFont val="Arial"/>
        <charset val="134"/>
      </rPr>
      <t xml:space="preserve">3x40HQ </t>
    </r>
    <r>
      <rPr>
        <sz val="8"/>
        <color theme="1"/>
        <rFont val="宋体"/>
        <charset val="134"/>
      </rPr>
      <t>先发走了1个柜 第二个柜好了 最后一个等消息生产</t>
    </r>
  </si>
  <si>
    <t>J3746-2</t>
  </si>
  <si>
    <r>
      <rPr>
        <sz val="8"/>
        <color theme="1"/>
        <rFont val="宋体"/>
        <charset val="134"/>
      </rPr>
      <t>共</t>
    </r>
    <r>
      <rPr>
        <sz val="8"/>
        <color theme="1"/>
        <rFont val="Arial"/>
        <charset val="134"/>
      </rPr>
      <t xml:space="preserve">3x40HQ </t>
    </r>
    <r>
      <rPr>
        <sz val="8"/>
        <color theme="1"/>
        <rFont val="宋体"/>
        <charset val="134"/>
      </rPr>
      <t xml:space="preserve">先发走了1个柜 </t>
    </r>
  </si>
  <si>
    <t>惠禾订舱中远，拖车报关</t>
  </si>
  <si>
    <t>J3746-1</t>
  </si>
  <si>
    <r>
      <rPr>
        <sz val="8"/>
        <rFont val="宋体"/>
        <charset val="134"/>
      </rPr>
      <t>唐山海港</t>
    </r>
    <r>
      <rPr>
        <sz val="8"/>
        <rFont val="Arial"/>
        <charset val="134"/>
      </rPr>
      <t>(Helen)</t>
    </r>
  </si>
  <si>
    <t>J3767</t>
  </si>
  <si>
    <r>
      <rPr>
        <sz val="8"/>
        <rFont val="宋体"/>
        <charset val="134"/>
      </rPr>
      <t>印度</t>
    </r>
    <r>
      <rPr>
        <sz val="8"/>
        <rFont val="Arial"/>
        <charset val="134"/>
      </rPr>
      <t xml:space="preserve"> GYPTECH  </t>
    </r>
    <r>
      <rPr>
        <sz val="8"/>
        <rFont val="宋体"/>
        <charset val="134"/>
      </rPr>
      <t>（</t>
    </r>
    <r>
      <rPr>
        <sz val="8"/>
        <rFont val="Arial"/>
        <charset val="134"/>
      </rPr>
      <t>Arun</t>
    </r>
    <r>
      <rPr>
        <sz val="8"/>
        <rFont val="宋体"/>
        <charset val="134"/>
      </rPr>
      <t>）</t>
    </r>
  </si>
  <si>
    <t xml:space="preserve">xingang-Hazira </t>
  </si>
  <si>
    <r>
      <rPr>
        <b/>
        <sz val="8"/>
        <rFont val="宋体"/>
        <charset val="134"/>
      </rPr>
      <t xml:space="preserve">电放其他单据不发快递 </t>
    </r>
    <r>
      <rPr>
        <sz val="8"/>
        <rFont val="宋体"/>
        <charset val="134"/>
      </rPr>
      <t xml:space="preserve">CO </t>
    </r>
    <r>
      <rPr>
        <b/>
        <sz val="8"/>
        <rFont val="宋体"/>
        <charset val="134"/>
      </rPr>
      <t>买保险加在发票上行 目的港14天免用箱 同</t>
    </r>
    <r>
      <rPr>
        <b/>
        <sz val="8"/>
        <rFont val="Arial"/>
        <charset val="134"/>
      </rPr>
      <t>J3523</t>
    </r>
  </si>
  <si>
    <r>
      <rPr>
        <sz val="8"/>
        <rFont val="宋体"/>
        <charset val="134"/>
      </rPr>
      <t>会昌订舱</t>
    </r>
    <r>
      <rPr>
        <sz val="8"/>
        <rFont val="Arial"/>
        <charset val="134"/>
      </rPr>
      <t>MSK700</t>
    </r>
    <r>
      <rPr>
        <sz val="8"/>
        <rFont val="宋体"/>
        <charset val="134"/>
      </rPr>
      <t>，会昌拖车 金凯正常抬头报关</t>
    </r>
  </si>
  <si>
    <t>J3768</t>
  </si>
  <si>
    <r>
      <rPr>
        <sz val="8"/>
        <rFont val="宋体"/>
        <charset val="134"/>
      </rPr>
      <t>牙买加</t>
    </r>
    <r>
      <rPr>
        <sz val="8"/>
        <rFont val="Arial"/>
        <charset val="134"/>
      </rPr>
      <t xml:space="preserve"> Mr.Fred</t>
    </r>
  </si>
  <si>
    <r>
      <rPr>
        <sz val="8"/>
        <rFont val="Arial"/>
        <charset val="134"/>
      </rPr>
      <t>1x40HQ</t>
    </r>
    <r>
      <rPr>
        <sz val="8"/>
        <rFont val="宋体"/>
        <charset val="134"/>
      </rPr>
      <t>轻钢龙骨</t>
    </r>
  </si>
  <si>
    <t>xingang-Kingston Jamaica</t>
  </si>
  <si>
    <r>
      <rPr>
        <sz val="8"/>
        <rFont val="宋体"/>
        <charset val="134"/>
      </rPr>
      <t xml:space="preserve">CO 模具费170美金加在发票上 </t>
    </r>
    <r>
      <rPr>
        <sz val="8"/>
        <color theme="1"/>
        <rFont val="宋体"/>
        <charset val="134"/>
      </rPr>
      <t>这个客户是通过邮件联系。另外他的发货信息需要发货前才知道</t>
    </r>
  </si>
  <si>
    <t>迪斯泰客户约号订舱1944
预付海运费，迪斯泰拖车报关</t>
  </si>
  <si>
    <r>
      <rPr>
        <sz val="8"/>
        <rFont val="宋体"/>
        <charset val="134"/>
      </rPr>
      <t>实际尾款</t>
    </r>
    <r>
      <rPr>
        <sz val="8"/>
        <rFont val="Arial"/>
        <charset val="134"/>
      </rPr>
      <t>$17723.32</t>
    </r>
  </si>
  <si>
    <t>J3771</t>
  </si>
  <si>
    <r>
      <rPr>
        <sz val="8"/>
        <rFont val="宋体"/>
        <charset val="134"/>
      </rPr>
      <t>印度</t>
    </r>
    <r>
      <rPr>
        <sz val="8"/>
        <rFont val="Arial"/>
        <charset val="134"/>
      </rPr>
      <t xml:space="preserve"> VINAYAK/Jayesh</t>
    </r>
  </si>
  <si>
    <t>xingang-MUNDRA, INDIA</t>
  </si>
  <si>
    <r>
      <rPr>
        <sz val="8"/>
        <rFont val="Arial"/>
        <charset val="134"/>
      </rPr>
      <t xml:space="preserve"> </t>
    </r>
    <r>
      <rPr>
        <sz val="8"/>
        <rFont val="宋体"/>
        <charset val="134"/>
      </rPr>
      <t xml:space="preserve">DHL3685629592 </t>
    </r>
    <r>
      <rPr>
        <sz val="8"/>
        <rFont val="Arial"/>
        <charset val="134"/>
      </rPr>
      <t xml:space="preserve">CO </t>
    </r>
    <r>
      <rPr>
        <sz val="8"/>
        <color theme="1"/>
        <rFont val="宋体"/>
        <charset val="134"/>
      </rPr>
      <t>正本</t>
    </r>
  </si>
  <si>
    <t>高阳国际订舱长荣，会昌拖车，金凯一达通</t>
  </si>
  <si>
    <r>
      <rPr>
        <sz val="8"/>
        <rFont val="宋体"/>
        <charset val="134"/>
      </rPr>
      <t>定金</t>
    </r>
    <r>
      <rPr>
        <sz val="8"/>
        <rFont val="Arial"/>
        <charset val="134"/>
      </rPr>
      <t xml:space="preserve">RMB22700 </t>
    </r>
    <r>
      <rPr>
        <sz val="8"/>
        <rFont val="宋体"/>
        <charset val="134"/>
      </rPr>
      <t>汇率</t>
    </r>
    <r>
      <rPr>
        <sz val="8"/>
        <rFont val="Arial"/>
        <charset val="134"/>
      </rPr>
      <t>6.92</t>
    </r>
  </si>
  <si>
    <t>J3775</t>
  </si>
  <si>
    <r>
      <rPr>
        <sz val="8"/>
        <rFont val="宋体"/>
        <charset val="134"/>
      </rPr>
      <t>改电放提单 深圳陈小姐出Form B</t>
    </r>
    <r>
      <rPr>
        <sz val="8"/>
        <color theme="1"/>
        <rFont val="宋体"/>
        <charset val="134"/>
      </rPr>
      <t>同J3720</t>
    </r>
  </si>
  <si>
    <t>J3778-4</t>
  </si>
  <si>
    <r>
      <rPr>
        <sz val="8"/>
        <rFont val="宋体"/>
        <charset val="134"/>
      </rPr>
      <t>缅甸</t>
    </r>
    <r>
      <rPr>
        <sz val="8"/>
        <rFont val="Arial"/>
        <charset val="134"/>
      </rPr>
      <t>PANDORA/Shelly</t>
    </r>
  </si>
  <si>
    <r>
      <rPr>
        <sz val="8"/>
        <rFont val="Arial"/>
        <charset val="134"/>
      </rPr>
      <t>2x20GP</t>
    </r>
    <r>
      <rPr>
        <sz val="8"/>
        <rFont val="宋体"/>
        <charset val="134"/>
      </rPr>
      <t>烤漆</t>
    </r>
  </si>
  <si>
    <t>xingang-YANGON, MYANMAR</t>
  </si>
  <si>
    <r>
      <rPr>
        <sz val="8"/>
        <rFont val="宋体"/>
        <charset val="134"/>
      </rPr>
      <t>DHL1160145906 单据齐等款 单据已发客户 Form e 提单收到了</t>
    </r>
    <r>
      <rPr>
        <sz val="8"/>
        <color rgb="FF0000FF"/>
        <rFont val="宋体"/>
        <charset val="134"/>
      </rPr>
      <t xml:space="preserve"> </t>
    </r>
    <r>
      <rPr>
        <sz val="8"/>
        <rFont val="宋体"/>
        <charset val="134"/>
      </rPr>
      <t>收汇37522.25美金这次需要平 一</t>
    </r>
    <r>
      <rPr>
        <sz val="8"/>
        <color theme="1"/>
        <rFont val="宋体"/>
        <charset val="134"/>
      </rPr>
      <t>共5</t>
    </r>
    <r>
      <rPr>
        <sz val="8"/>
        <color theme="1"/>
        <rFont val="Arial"/>
        <charset val="134"/>
      </rPr>
      <t>x20GP+1x40</t>
    </r>
    <r>
      <rPr>
        <sz val="8"/>
        <color theme="1"/>
        <rFont val="宋体"/>
        <charset val="134"/>
      </rPr>
      <t>烤漆</t>
    </r>
    <r>
      <rPr>
        <sz val="8"/>
        <color theme="1"/>
        <rFont val="Arial"/>
        <charset val="134"/>
      </rPr>
      <t>+4x40HQ</t>
    </r>
    <r>
      <rPr>
        <sz val="8"/>
        <color theme="1"/>
        <rFont val="宋体"/>
        <charset val="134"/>
      </rPr>
      <t>轻钢 第一批发走2个轻钢 第二批发4个烤漆 2个轻钢 第三批发最后2个</t>
    </r>
    <r>
      <rPr>
        <sz val="8"/>
        <color theme="1"/>
        <rFont val="Arial"/>
        <charset val="134"/>
      </rPr>
      <t xml:space="preserve"> CO</t>
    </r>
  </si>
  <si>
    <r>
      <rPr>
        <sz val="8"/>
        <color theme="1"/>
        <rFont val="宋体"/>
        <charset val="134"/>
      </rPr>
      <t>迪斯泰订舱中远</t>
    </r>
    <r>
      <rPr>
        <sz val="8"/>
        <color theme="1"/>
        <rFont val="Arial"/>
        <charset val="134"/>
      </rPr>
      <t>750</t>
    </r>
    <r>
      <rPr>
        <sz val="8"/>
        <color theme="1"/>
        <rFont val="宋体"/>
        <charset val="134"/>
      </rPr>
      <t>，迪斯泰拖车 金凯抬头报关</t>
    </r>
  </si>
  <si>
    <r>
      <rPr>
        <sz val="8"/>
        <rFont val="宋体"/>
        <charset val="134"/>
      </rPr>
      <t>实际尾款</t>
    </r>
    <r>
      <rPr>
        <sz val="8"/>
        <rFont val="Arial"/>
        <charset val="134"/>
      </rPr>
      <t>$25333.42</t>
    </r>
  </si>
  <si>
    <t>J3778-1</t>
  </si>
  <si>
    <r>
      <rPr>
        <sz val="8"/>
        <rFont val="Arial"/>
        <charset val="134"/>
      </rPr>
      <t>2x40HQ</t>
    </r>
    <r>
      <rPr>
        <sz val="8"/>
        <rFont val="宋体"/>
        <charset val="134"/>
      </rPr>
      <t>轻钢</t>
    </r>
  </si>
  <si>
    <r>
      <rPr>
        <sz val="8"/>
        <rFont val="宋体"/>
        <charset val="134"/>
      </rPr>
      <t>DHL4609461555 出form E 箱单发票合同一致 客户要求清关发票CIF 出保险 保险金额按清关发票做  发票按重量做 轻钢 烤漆都按一个HScode做Form E</t>
    </r>
    <r>
      <rPr>
        <sz val="8"/>
        <color theme="1"/>
        <rFont val="Arial"/>
        <charset val="134"/>
      </rPr>
      <t xml:space="preserve">   </t>
    </r>
    <r>
      <rPr>
        <sz val="8"/>
        <color theme="1"/>
        <rFont val="宋体"/>
        <charset val="134"/>
      </rPr>
      <t>仰光港口 ， 要求申请 14天箱使 发到 AWPT码头</t>
    </r>
  </si>
  <si>
    <r>
      <rPr>
        <sz val="8"/>
        <color theme="1"/>
        <rFont val="宋体"/>
        <charset val="134"/>
      </rPr>
      <t>迪斯泰订舱中远</t>
    </r>
    <r>
      <rPr>
        <sz val="8"/>
        <color theme="1"/>
        <rFont val="Arial"/>
        <charset val="134"/>
      </rPr>
      <t>1200</t>
    </r>
    <r>
      <rPr>
        <sz val="8"/>
        <color theme="1"/>
        <rFont val="宋体"/>
        <charset val="134"/>
      </rPr>
      <t>，拖车报关</t>
    </r>
  </si>
  <si>
    <r>
      <rPr>
        <sz val="8"/>
        <rFont val="宋体"/>
        <charset val="134"/>
      </rPr>
      <t>实际尾款$</t>
    </r>
    <r>
      <rPr>
        <sz val="8"/>
        <rFont val="Arial"/>
        <charset val="134"/>
      </rPr>
      <t>32358.4</t>
    </r>
  </si>
  <si>
    <t>J3778-2</t>
  </si>
  <si>
    <t>缅甸PANDORA/Shelly</t>
  </si>
  <si>
    <r>
      <rPr>
        <sz val="8"/>
        <rFont val="Arial"/>
        <charset val="134"/>
      </rPr>
      <t>3x20GP+1x40HQ</t>
    </r>
    <r>
      <rPr>
        <sz val="8"/>
        <rFont val="宋体"/>
        <charset val="134"/>
      </rPr>
      <t>烤漆</t>
    </r>
  </si>
  <si>
    <t>DHL9167652244 form E 实际发票加上保险 箱单发票合同一致 客户要求清关发票CIF 出保险 保险金额按清关发票做  发票按重量做 轻钢 烤漆都按一个HScode做Form E   仰光港口 ， 要求申请 14天箱使 发到 AWPT码头</t>
  </si>
  <si>
    <t>迪斯泰订舱中远小柜850 大柜1130，迪斯泰拖车 金凯一达通报关</t>
  </si>
  <si>
    <r>
      <rPr>
        <sz val="8"/>
        <rFont val="宋体"/>
        <charset val="134"/>
      </rPr>
      <t>实际尾款</t>
    </r>
    <r>
      <rPr>
        <sz val="8"/>
        <rFont val="Arial"/>
        <charset val="134"/>
      </rPr>
      <t>$60619.75  -2-3</t>
    </r>
    <r>
      <rPr>
        <sz val="8"/>
        <rFont val="宋体"/>
        <charset val="134"/>
      </rPr>
      <t>尾款一共$91544 一起安排的</t>
    </r>
  </si>
  <si>
    <t>J3778-3</t>
  </si>
  <si>
    <t>J3778-2-3一起寄走的 form E 实际发票加上保险 箱单发票合同一致 客户要求清关发票CIF 出保险 保险金额按清关发票做  发票按重量做 轻钢 烤漆都按一个HScode做Form E   仰光港口 ， 要求申请 14天箱使 发到 AWPT码头</t>
  </si>
  <si>
    <t>迪斯泰订舱中远大柜1130，拖车报关</t>
  </si>
  <si>
    <r>
      <rPr>
        <sz val="8"/>
        <rFont val="宋体"/>
        <charset val="134"/>
      </rPr>
      <t>实际尾款</t>
    </r>
    <r>
      <rPr>
        <sz val="8"/>
        <rFont val="Arial"/>
        <charset val="134"/>
      </rPr>
      <t>$30925</t>
    </r>
  </si>
  <si>
    <t>J3779</t>
  </si>
  <si>
    <r>
      <rPr>
        <sz val="8"/>
        <rFont val="Arial"/>
        <charset val="134"/>
      </rPr>
      <t>1*40HQ</t>
    </r>
    <r>
      <rPr>
        <sz val="8"/>
        <rFont val="宋体"/>
        <charset val="134"/>
      </rPr>
      <t>烤漆</t>
    </r>
  </si>
  <si>
    <t>以色列目的港限重26.5吨  客户确认样品再发货 金凯抬头报关， 客户订舱咱们安排拖车 提前问客户订舱的港杂费， 跟客户要下提单退税用 客户订舱</t>
  </si>
  <si>
    <r>
      <rPr>
        <sz val="8"/>
        <color theme="1"/>
        <rFont val="宋体"/>
        <charset val="134"/>
      </rPr>
      <t>客户订舱</t>
    </r>
    <r>
      <rPr>
        <sz val="8"/>
        <color theme="1"/>
        <rFont val="Arial"/>
        <charset val="134"/>
      </rPr>
      <t>ZIM</t>
    </r>
    <r>
      <rPr>
        <sz val="8"/>
        <color theme="1"/>
        <rFont val="宋体"/>
        <charset val="134"/>
      </rPr>
      <t>，会昌拖车，金凯抬头报关</t>
    </r>
  </si>
  <si>
    <t>J3784</t>
  </si>
  <si>
    <t>沙特ALAJAB（Nasser Albaqmi）</t>
  </si>
  <si>
    <r>
      <rPr>
        <sz val="8"/>
        <rFont val="Arial"/>
        <charset val="134"/>
      </rPr>
      <t xml:space="preserve">2x20' </t>
    </r>
    <r>
      <rPr>
        <sz val="8"/>
        <rFont val="宋体"/>
        <charset val="134"/>
      </rPr>
      <t>轻钢</t>
    </r>
  </si>
  <si>
    <r>
      <rPr>
        <sz val="8"/>
        <rFont val="宋体"/>
        <charset val="134"/>
      </rPr>
      <t xml:space="preserve">DHL4538178621 </t>
    </r>
    <r>
      <rPr>
        <sz val="8"/>
        <color rgb="FF0000FF"/>
        <rFont val="宋体"/>
        <charset val="134"/>
      </rPr>
      <t xml:space="preserve">电放提单 其他单据发快递 低报30% CO </t>
    </r>
    <r>
      <rPr>
        <sz val="8"/>
        <color theme="1"/>
        <rFont val="宋体"/>
        <charset val="134"/>
      </rPr>
      <t>CCPIT 寄空白盖章纸 同J3654</t>
    </r>
  </si>
  <si>
    <r>
      <rPr>
        <sz val="8"/>
        <color theme="1"/>
        <rFont val="宋体"/>
        <charset val="134"/>
      </rPr>
      <t>会昌约号订舱</t>
    </r>
    <r>
      <rPr>
        <sz val="8"/>
        <color theme="1"/>
        <rFont val="Arial"/>
        <charset val="134"/>
      </rPr>
      <t>evergreen</t>
    </r>
    <r>
      <rPr>
        <sz val="8"/>
        <color theme="1"/>
        <rFont val="宋体"/>
        <charset val="134"/>
      </rPr>
      <t>，拖车报关</t>
    </r>
  </si>
  <si>
    <r>
      <rPr>
        <sz val="8"/>
        <rFont val="宋体"/>
        <charset val="134"/>
      </rPr>
      <t>尾款</t>
    </r>
    <r>
      <rPr>
        <sz val="8"/>
        <rFont val="Arial"/>
        <charset val="134"/>
      </rPr>
      <t>$24824.09</t>
    </r>
  </si>
  <si>
    <t>J3793</t>
  </si>
  <si>
    <t>广州 伊特娜/匡静</t>
  </si>
  <si>
    <r>
      <rPr>
        <sz val="8"/>
        <rFont val="Arial"/>
        <charset val="134"/>
      </rPr>
      <t xml:space="preserve">1*20 </t>
    </r>
    <r>
      <rPr>
        <sz val="8"/>
        <rFont val="宋体"/>
        <charset val="134"/>
      </rPr>
      <t>烤漆</t>
    </r>
  </si>
  <si>
    <t>客户款到再发货 6.16货好 这票货发到中东，具体是装柜还是运到广州，待定。</t>
  </si>
  <si>
    <t>J3801</t>
  </si>
  <si>
    <t>天津中冶&amp;印尼/赵兰芳</t>
  </si>
  <si>
    <r>
      <rPr>
        <sz val="8"/>
        <rFont val="宋体"/>
        <charset val="134"/>
      </rPr>
      <t xml:space="preserve">DHL5404954391 让出证机构寄点空白盖章纸 FORM E </t>
    </r>
    <r>
      <rPr>
        <sz val="8"/>
        <color theme="1"/>
        <rFont val="宋体"/>
        <charset val="134"/>
      </rPr>
      <t>做的CIF出厂前付清 定金付的人民币，尾款可能需要付全额美金，退还人民币
，所有单据抬头一致。低报金额与客户确认</t>
    </r>
  </si>
  <si>
    <r>
      <rPr>
        <sz val="8"/>
        <color theme="1"/>
        <rFont val="宋体"/>
        <charset val="134"/>
      </rPr>
      <t>会昌订舱</t>
    </r>
    <r>
      <rPr>
        <sz val="8"/>
        <color theme="1"/>
        <rFont val="Arial"/>
        <charset val="134"/>
      </rPr>
      <t>MCC430</t>
    </r>
    <r>
      <rPr>
        <sz val="8"/>
        <color theme="1"/>
        <rFont val="宋体"/>
        <charset val="134"/>
      </rPr>
      <t>，会昌拖车报关</t>
    </r>
  </si>
  <si>
    <t>J3805</t>
  </si>
  <si>
    <t>南美LSR/付经理</t>
  </si>
  <si>
    <r>
      <rPr>
        <sz val="8"/>
        <rFont val="Arial"/>
        <charset val="134"/>
      </rPr>
      <t xml:space="preserve">1x40HQ </t>
    </r>
    <r>
      <rPr>
        <sz val="8"/>
        <rFont val="宋体"/>
        <charset val="134"/>
      </rPr>
      <t>轻钢龙骨</t>
    </r>
    <r>
      <rPr>
        <sz val="8"/>
        <rFont val="Arial"/>
        <charset val="134"/>
      </rPr>
      <t>+</t>
    </r>
    <r>
      <rPr>
        <sz val="8"/>
        <rFont val="宋体"/>
        <charset val="134"/>
      </rPr>
      <t>检修口</t>
    </r>
    <r>
      <rPr>
        <sz val="8"/>
        <rFont val="Arial"/>
        <charset val="134"/>
      </rPr>
      <t>+</t>
    </r>
    <r>
      <rPr>
        <sz val="8"/>
        <rFont val="宋体"/>
        <charset val="134"/>
      </rPr>
      <t>外送门</t>
    </r>
  </si>
  <si>
    <t>xingang-ARICA,CHILE</t>
  </si>
  <si>
    <r>
      <rPr>
        <sz val="8"/>
        <rFont val="宋体"/>
        <charset val="134"/>
      </rPr>
      <t>DHL4906146755 装卸费200 港杂拖车费均摊 智利产地证120  分票报关龙骨加A 18号装柜 等外送货</t>
    </r>
    <r>
      <rPr>
        <sz val="8"/>
        <color rgb="FF0000FF"/>
        <rFont val="宋体"/>
        <charset val="134"/>
      </rPr>
      <t xml:space="preserve"> </t>
    </r>
    <r>
      <rPr>
        <sz val="8"/>
        <color theme="1"/>
        <rFont val="宋体"/>
        <charset val="134"/>
      </rPr>
      <t xml:space="preserve"> 改成1x40HQ 客户订舱 大概12号货好 客户后面有一部分检修口一起拼柜，会送到咱们工厂。港杂陆运按比例分摊</t>
    </r>
  </si>
  <si>
    <t>客户鸿源润达订舱MSK，会昌拖车报关</t>
  </si>
  <si>
    <r>
      <rPr>
        <sz val="8"/>
        <rFont val="宋体"/>
        <charset val="134"/>
      </rPr>
      <t>实际尾款</t>
    </r>
    <r>
      <rPr>
        <sz val="8"/>
        <rFont val="Arial"/>
        <charset val="134"/>
      </rPr>
      <t>$5633.81+1837RMB</t>
    </r>
  </si>
  <si>
    <t>J3813</t>
  </si>
  <si>
    <r>
      <rPr>
        <sz val="8"/>
        <rFont val="Arial"/>
        <charset val="134"/>
      </rPr>
      <t>2X40HQ</t>
    </r>
    <r>
      <rPr>
        <sz val="8"/>
        <rFont val="宋体"/>
        <charset val="134"/>
      </rPr>
      <t>小付骨</t>
    </r>
  </si>
  <si>
    <t>xingang-yANGON, MYANMAR</t>
  </si>
  <si>
    <r>
      <rPr>
        <sz val="8"/>
        <rFont val="宋体"/>
        <charset val="134"/>
      </rPr>
      <t>DHL7850015095 Form E</t>
    </r>
    <r>
      <rPr>
        <sz val="8"/>
        <color rgb="FF0000FF"/>
        <rFont val="宋体"/>
        <charset val="134"/>
      </rPr>
      <t xml:space="preserve"> </t>
    </r>
    <r>
      <rPr>
        <sz val="8"/>
        <color theme="1"/>
        <rFont val="宋体"/>
        <charset val="134"/>
      </rPr>
      <t>箱单发票合同一致 客户要求清关发票CIF 出保险 保险金额按清关发票做  发票按重量做 轻钢 烤漆都按一个HScode做Form E   仰光港口 ， 要求申请 14天箱使 发到 AWPT码头</t>
    </r>
  </si>
  <si>
    <r>
      <rPr>
        <sz val="8"/>
        <color theme="1"/>
        <rFont val="宋体"/>
        <charset val="134"/>
      </rPr>
      <t>海通博远</t>
    </r>
    <r>
      <rPr>
        <sz val="8"/>
        <color theme="1"/>
        <rFont val="Arial"/>
        <charset val="134"/>
      </rPr>
      <t>MCC</t>
    </r>
    <r>
      <rPr>
        <sz val="8"/>
        <color theme="1"/>
        <rFont val="宋体"/>
        <charset val="134"/>
      </rPr>
      <t>，会昌拖车报关</t>
    </r>
  </si>
  <si>
    <r>
      <rPr>
        <sz val="8"/>
        <rFont val="宋体"/>
        <charset val="134"/>
      </rPr>
      <t>实际尾款</t>
    </r>
    <r>
      <rPr>
        <sz val="8"/>
        <rFont val="Arial"/>
        <charset val="134"/>
      </rPr>
      <t>$27846</t>
    </r>
  </si>
  <si>
    <t>M3817</t>
  </si>
  <si>
    <t>马耳他APTC（Rodianne）</t>
  </si>
  <si>
    <r>
      <rPr>
        <sz val="8"/>
        <rFont val="Arial"/>
        <charset val="134"/>
      </rPr>
      <t xml:space="preserve">1x40QH </t>
    </r>
    <r>
      <rPr>
        <sz val="8"/>
        <rFont val="宋体"/>
        <charset val="134"/>
      </rPr>
      <t>轻钢龙骨</t>
    </r>
    <r>
      <rPr>
        <sz val="8"/>
        <rFont val="Arial"/>
        <charset val="134"/>
      </rPr>
      <t xml:space="preserve">&amp; </t>
    </r>
    <r>
      <rPr>
        <sz val="8"/>
        <rFont val="宋体"/>
        <charset val="134"/>
      </rPr>
      <t>岩棉</t>
    </r>
  </si>
  <si>
    <t>xingang-MARSAXLOKK,MALTA</t>
  </si>
  <si>
    <r>
      <rPr>
        <sz val="8"/>
        <rFont val="宋体"/>
        <charset val="134"/>
      </rPr>
      <t xml:space="preserve">DHL3121593005 Warehouse APTC - Triq Il- Ghajn, Zone 2
Central Business District, 
B'Kara, 
CBD2050  
Malta </t>
    </r>
    <r>
      <rPr>
        <sz val="8"/>
        <color theme="1"/>
        <rFont val="宋体"/>
        <charset val="134"/>
      </rPr>
      <t xml:space="preserve"> Our City is Birkirkara 港杂2400 无单据 代理订舱</t>
    </r>
  </si>
  <si>
    <t>宁波明腾订舱CMA，会昌拖车报关</t>
  </si>
  <si>
    <t>J3826</t>
  </si>
  <si>
    <t>海宁羊羊贸易/周先生</t>
  </si>
  <si>
    <r>
      <rPr>
        <sz val="8"/>
        <rFont val="宋体"/>
        <charset val="134"/>
      </rPr>
      <t>烤漆</t>
    </r>
    <r>
      <rPr>
        <sz val="8"/>
        <rFont val="Arial"/>
        <charset val="134"/>
      </rPr>
      <t>+</t>
    </r>
    <r>
      <rPr>
        <sz val="8"/>
        <rFont val="宋体"/>
        <charset val="134"/>
      </rPr>
      <t>扣板</t>
    </r>
  </si>
  <si>
    <t>同J3690 客户订舱安排拖车 我厂负责装车 客户那边要拼pvc扣板，咱们先订料，等他们确认好扣板交期再安排龙骨生产</t>
  </si>
  <si>
    <t>J3834-1</t>
  </si>
  <si>
    <t>唐山海港(Helen)</t>
  </si>
  <si>
    <t>1X40HQ 轻钢龙骨</t>
  </si>
  <si>
    <t>出厂付款 代理订舱 同J3746</t>
  </si>
  <si>
    <r>
      <rPr>
        <sz val="8"/>
        <rFont val="宋体"/>
        <charset val="134"/>
      </rPr>
      <t>实际到账</t>
    </r>
    <r>
      <rPr>
        <sz val="8"/>
        <rFont val="Arial"/>
        <charset val="134"/>
      </rPr>
      <t>$19711.4</t>
    </r>
  </si>
  <si>
    <t>J3834-2</t>
  </si>
  <si>
    <t>箱单发票 出厂付尾款</t>
  </si>
  <si>
    <t>惠禾订舱中远，惠禾拖车报关</t>
  </si>
  <si>
    <t>J3835</t>
  </si>
  <si>
    <t>2X40HQ小付骨</t>
  </si>
  <si>
    <t>DHL7622277504</t>
  </si>
  <si>
    <t>海通博远MCC，会昌拖车报关</t>
  </si>
  <si>
    <t>J3840</t>
  </si>
  <si>
    <t>石家庄港田贸易 IREN懂</t>
  </si>
  <si>
    <r>
      <rPr>
        <sz val="8"/>
        <rFont val="Arial"/>
        <charset val="134"/>
      </rPr>
      <t>1x40 HQ</t>
    </r>
    <r>
      <rPr>
        <sz val="8"/>
        <rFont val="宋体"/>
        <charset val="134"/>
      </rPr>
      <t>烤漆</t>
    </r>
  </si>
  <si>
    <r>
      <rPr>
        <sz val="8"/>
        <color theme="1"/>
        <rFont val="宋体"/>
        <charset val="134"/>
      </rPr>
      <t>以色列目的港限重26.5吨 客户订舱咱们安排拖车</t>
    </r>
    <r>
      <rPr>
        <sz val="8"/>
        <color theme="1"/>
        <rFont val="Arial"/>
        <charset val="134"/>
      </rPr>
      <t xml:space="preserve"> </t>
    </r>
    <r>
      <rPr>
        <sz val="8"/>
        <color theme="1"/>
        <rFont val="宋体"/>
        <charset val="134"/>
      </rPr>
      <t>提前问客户订舱的港杂费，</t>
    </r>
    <r>
      <rPr>
        <sz val="8"/>
        <color theme="1"/>
        <rFont val="Arial"/>
        <charset val="134"/>
      </rPr>
      <t xml:space="preserve"> </t>
    </r>
    <r>
      <rPr>
        <sz val="8"/>
        <color theme="1"/>
        <rFont val="宋体"/>
        <charset val="134"/>
      </rPr>
      <t>跟客户要下提单退税用</t>
    </r>
    <r>
      <rPr>
        <sz val="8"/>
        <color theme="1"/>
        <rFont val="Arial"/>
        <charset val="134"/>
      </rPr>
      <t xml:space="preserve"> </t>
    </r>
    <r>
      <rPr>
        <sz val="8"/>
        <color theme="1"/>
        <rFont val="宋体"/>
        <charset val="134"/>
      </rPr>
      <t>客户订舱</t>
    </r>
  </si>
  <si>
    <r>
      <rPr>
        <sz val="8"/>
        <rFont val="宋体"/>
        <charset val="134"/>
      </rPr>
      <t>尾款</t>
    </r>
    <r>
      <rPr>
        <sz val="8"/>
        <rFont val="Arial"/>
        <charset val="134"/>
      </rPr>
      <t>$18777.25</t>
    </r>
    <r>
      <rPr>
        <sz val="8"/>
        <rFont val="宋体"/>
        <charset val="134"/>
      </rPr>
      <t>含剩余货</t>
    </r>
    <r>
      <rPr>
        <sz val="8"/>
        <rFont val="Arial"/>
        <charset val="134"/>
      </rPr>
      <t>50%</t>
    </r>
    <r>
      <rPr>
        <sz val="8"/>
        <rFont val="宋体"/>
        <charset val="134"/>
      </rPr>
      <t>货款  实际尾款16054.5</t>
    </r>
  </si>
  <si>
    <t>J3844</t>
  </si>
  <si>
    <r>
      <rPr>
        <sz val="8"/>
        <rFont val="Arial"/>
        <charset val="134"/>
      </rPr>
      <t xml:space="preserve">1x40HQ   </t>
    </r>
    <r>
      <rPr>
        <sz val="8"/>
        <rFont val="宋体"/>
        <charset val="134"/>
      </rPr>
      <t>轻钢龙骨</t>
    </r>
  </si>
  <si>
    <r>
      <rPr>
        <sz val="8"/>
        <rFont val="宋体"/>
        <charset val="134"/>
      </rPr>
      <t xml:space="preserve">DHL8587954336 form E </t>
    </r>
    <r>
      <rPr>
        <sz val="8"/>
        <color theme="1"/>
        <rFont val="宋体"/>
        <charset val="134"/>
      </rPr>
      <t>收货人和客户确认 用深圳来毕畅抬头 所有单据抬头一致。低报金额与客户确认</t>
    </r>
  </si>
  <si>
    <r>
      <rPr>
        <sz val="8"/>
        <color theme="1"/>
        <rFont val="宋体"/>
        <charset val="134"/>
      </rPr>
      <t>会昌订舱</t>
    </r>
    <r>
      <rPr>
        <sz val="8"/>
        <color theme="1"/>
        <rFont val="Arial"/>
        <charset val="134"/>
      </rPr>
      <t>MCC350</t>
    </r>
    <r>
      <rPr>
        <sz val="8"/>
        <color theme="1"/>
        <rFont val="宋体"/>
        <charset val="134"/>
      </rPr>
      <t>，拖车报关</t>
    </r>
  </si>
  <si>
    <t>J3847</t>
  </si>
  <si>
    <t>DHL3876135126 合同22698美金 少发货291美金J3953返还了  打包带费用一共4000 还需要付1200=4000-1200（定金付的）-1600（返给客户的） 收货人和客户确认 用深圳来毕畅抬头 所有单据抬头一致。低报金额与客户确认 寄件地址每次和客户确认</t>
  </si>
  <si>
    <t>会昌订舱MCC395，白沟源远拖车报关</t>
  </si>
  <si>
    <t>实际尾款15530.21美金 合同尾款RMB109100=15821.21*6.82汇率+1200</t>
  </si>
  <si>
    <t>J3849</t>
  </si>
  <si>
    <t>箱单发票 出厂付尾款 同J3834</t>
  </si>
  <si>
    <t>M3854</t>
  </si>
  <si>
    <t>佛山市逸日盈进出口/冼先生</t>
  </si>
  <si>
    <r>
      <rPr>
        <sz val="8"/>
        <rFont val="宋体"/>
        <charset val="134"/>
      </rPr>
      <t>轻钢龙骨</t>
    </r>
    <r>
      <rPr>
        <sz val="8"/>
        <rFont val="Arial"/>
        <charset val="134"/>
      </rPr>
      <t>+</t>
    </r>
    <r>
      <rPr>
        <sz val="8"/>
        <rFont val="宋体"/>
        <charset val="134"/>
      </rPr>
      <t>金属护角带</t>
    </r>
    <r>
      <rPr>
        <sz val="8"/>
        <rFont val="Arial"/>
        <charset val="134"/>
      </rPr>
      <t>+</t>
    </r>
    <r>
      <rPr>
        <sz val="8"/>
        <rFont val="宋体"/>
        <charset val="134"/>
      </rPr>
      <t>干壁钉</t>
    </r>
    <r>
      <rPr>
        <sz val="8"/>
        <rFont val="Arial"/>
        <charset val="134"/>
      </rPr>
      <t>+</t>
    </r>
    <r>
      <rPr>
        <sz val="8"/>
        <rFont val="宋体"/>
        <charset val="134"/>
      </rPr>
      <t>纤维板钉</t>
    </r>
    <r>
      <rPr>
        <sz val="8"/>
        <rFont val="Arial"/>
        <charset val="134"/>
      </rPr>
      <t>+</t>
    </r>
    <r>
      <rPr>
        <sz val="8"/>
        <rFont val="宋体"/>
        <charset val="134"/>
      </rPr>
      <t>胀塞</t>
    </r>
  </si>
  <si>
    <r>
      <rPr>
        <sz val="8"/>
        <color rgb="FF0000FF"/>
        <rFont val="宋体"/>
        <charset val="134"/>
      </rPr>
      <t>2号装柜</t>
    </r>
    <r>
      <rPr>
        <sz val="8"/>
        <color theme="1"/>
        <rFont val="宋体"/>
        <charset val="134"/>
      </rPr>
      <t xml:space="preserve"> 龙骨好了 各产品的运费到时候根据实际收取
外采产品的装卸费用客户承担</t>
    </r>
  </si>
  <si>
    <t>J3864-1</t>
  </si>
  <si>
    <r>
      <rPr>
        <sz val="8"/>
        <rFont val="Arial"/>
        <charset val="134"/>
      </rPr>
      <t xml:space="preserve">2x40HQ </t>
    </r>
    <r>
      <rPr>
        <sz val="8"/>
        <rFont val="宋体"/>
        <charset val="134"/>
      </rPr>
      <t>轻钢龙骨</t>
    </r>
  </si>
  <si>
    <t>saber费用加在发票上吗  客户订舱 同J3849</t>
  </si>
  <si>
    <t>J3864-2</t>
  </si>
  <si>
    <t>客户订舱 同J3849</t>
  </si>
  <si>
    <t>惠禾订舱中远，白沟源远拖车报关</t>
  </si>
  <si>
    <t>RMB84830=39100+15000+730+30000</t>
  </si>
  <si>
    <t>M3863</t>
  </si>
  <si>
    <r>
      <rPr>
        <sz val="8"/>
        <rFont val="Arial"/>
        <charset val="134"/>
      </rPr>
      <t xml:space="preserve">2X40HQ </t>
    </r>
    <r>
      <rPr>
        <sz val="8"/>
        <rFont val="宋体"/>
        <charset val="134"/>
      </rPr>
      <t>轻钢龙骨</t>
    </r>
    <r>
      <rPr>
        <sz val="8"/>
        <rFont val="Arial"/>
        <charset val="134"/>
      </rPr>
      <t xml:space="preserve"> &amp; </t>
    </r>
    <r>
      <rPr>
        <sz val="8"/>
        <rFont val="宋体"/>
        <charset val="134"/>
      </rPr>
      <t>软木</t>
    </r>
    <r>
      <rPr>
        <sz val="8"/>
        <rFont val="Arial"/>
        <charset val="134"/>
      </rPr>
      <t>&amp;</t>
    </r>
    <r>
      <rPr>
        <sz val="8"/>
        <rFont val="宋体"/>
        <charset val="134"/>
      </rPr>
      <t>岩棉</t>
    </r>
  </si>
  <si>
    <t>DHL4634813190 M3717只装了1450.8美金的岩棉(岩棉定金还剩1076.41) 提单shipper显示凯泽或者Tianjin Hero，后期与客户确认   2 需要CE 认证 ： EN14195  标准 (同上一订单 J3455)，箱单，发票都需要加上产品的HS code  3 第一个柜子混装软木，需要全部装走；第二个柜子混装岩棉 同M3817</t>
  </si>
  <si>
    <t>明腾订舱中远，誉洲拖车报关</t>
  </si>
  <si>
    <t>J3867</t>
  </si>
  <si>
    <r>
      <rPr>
        <sz val="8"/>
        <rFont val="Arial"/>
        <charset val="134"/>
      </rPr>
      <t>1X40HQ</t>
    </r>
    <r>
      <rPr>
        <sz val="8"/>
        <rFont val="宋体"/>
        <charset val="134"/>
      </rPr>
      <t>轻钢</t>
    </r>
  </si>
  <si>
    <t>DHL8469409712 箱单发票合同一致 客户要求清关发票CIF 出保险 保险金额按清关发票做  发票按重量做 轻钢 烤漆都按一个HScode做Form E   仰光港口 ， 要求申请 14天箱使 发到 AWPT码头 同J3835</t>
  </si>
  <si>
    <t>海通博远万海，白沟源远拖车报关</t>
  </si>
  <si>
    <t>M3876</t>
  </si>
  <si>
    <r>
      <rPr>
        <sz val="8"/>
        <color rgb="FF0000D4"/>
        <rFont val="宋体"/>
        <charset val="134"/>
      </rPr>
      <t>24号装柜</t>
    </r>
    <r>
      <rPr>
        <sz val="8"/>
        <color theme="1"/>
        <rFont val="宋体"/>
        <charset val="134"/>
      </rPr>
      <t xml:space="preserve"> 客户订舱安排拖车 同M3854</t>
    </r>
  </si>
  <si>
    <t>J3881</t>
  </si>
  <si>
    <t>2X40HQ轻钢</t>
  </si>
  <si>
    <t>DHL9418048404 箱单发票合同一致 客户要求清关发票CIF 出保险 保险金额按清关发票做  发票按重量做 轻钢 烤漆都按一个HScode做Form E   仰光港口 ， 要求申请 14天箱使 发到 AWPT码头 同J3867</t>
  </si>
  <si>
    <t>海通博远订舱中远，拖车报关</t>
  </si>
  <si>
    <t>J3891</t>
  </si>
  <si>
    <t>上海岭恺梅毅</t>
  </si>
  <si>
    <t>3500平米烤漆龙骨</t>
  </si>
  <si>
    <t>J3896</t>
  </si>
  <si>
    <t>1x40 HQ烤漆</t>
  </si>
  <si>
    <t>箱子紧张 早用箱一天 两百多滞箱费 以色列目的港限重26.5吨 客户订舱咱们安排拖车 提前问客户订舱的港杂费， 跟客户要下提单退税用 客户订舱 同J3840</t>
  </si>
  <si>
    <r>
      <rPr>
        <sz val="8"/>
        <color theme="1"/>
        <rFont val="宋体"/>
        <charset val="134"/>
      </rPr>
      <t>客户订舱中远船，誉洲拖车，</t>
    </r>
    <r>
      <rPr>
        <sz val="8"/>
        <color rgb="FFFF0000"/>
        <rFont val="宋体"/>
        <charset val="134"/>
      </rPr>
      <t>金凯抬头报关</t>
    </r>
  </si>
  <si>
    <t>M3900</t>
  </si>
  <si>
    <t>轻钢龙骨+金属护角带+干壁钉+纤维板钉+胀塞</t>
  </si>
  <si>
    <t>送到其他厂装 客户订舱安排拖车 同M3876</t>
  </si>
  <si>
    <t>J3909</t>
  </si>
  <si>
    <t>印度MDG(Poonam)</t>
  </si>
  <si>
    <r>
      <rPr>
        <sz val="8"/>
        <rFont val="宋体"/>
        <charset val="134"/>
      </rPr>
      <t>单据齐等款 单据已发客户 Form B</t>
    </r>
    <r>
      <rPr>
        <sz val="8"/>
        <color theme="1"/>
        <rFont val="宋体"/>
        <charset val="134"/>
      </rPr>
      <t xml:space="preserve"> 电放提单 深圳陈小姐同J3775</t>
    </r>
  </si>
  <si>
    <r>
      <rPr>
        <sz val="8"/>
        <color theme="1"/>
        <rFont val="宋体"/>
        <charset val="134"/>
      </rPr>
      <t>高阳国际订舱中远，会昌拖车，</t>
    </r>
    <r>
      <rPr>
        <sz val="8"/>
        <color rgb="FFFF0000"/>
        <rFont val="宋体"/>
        <charset val="134"/>
      </rPr>
      <t>金凯一达通</t>
    </r>
  </si>
  <si>
    <t>J3910</t>
  </si>
  <si>
    <t>2x40HQ 轻钢龙骨</t>
  </si>
  <si>
    <t>DHL7764141313 装箱放400个口罩 提单shipper显示凯泽或者Tianjin Hero，是否电放 后期与客户确认 代理定舱 无单据 同M3817</t>
  </si>
  <si>
    <t>誉洲订舱MSC7000，白沟源远拖车报关</t>
  </si>
  <si>
    <t>J3917</t>
  </si>
  <si>
    <t>印度 GYPTECH  （Arun）</t>
  </si>
  <si>
    <t>1x20FCL 烤漆龙骨</t>
  </si>
  <si>
    <t>xingang-Nava Sheva</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</si>
  <si>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同J3767</t>
    </r>
  </si>
  <si>
    <r>
      <rPr>
        <sz val="8"/>
        <color theme="1"/>
        <rFont val="宋体"/>
        <charset val="134"/>
      </rPr>
      <t xml:space="preserve">誉洲订舱德翔2150USD，誉洲拖车 </t>
    </r>
    <r>
      <rPr>
        <sz val="8"/>
        <color rgb="FFFF0000"/>
        <rFont val="宋体"/>
        <charset val="134"/>
      </rPr>
      <t>金凯抬头报关</t>
    </r>
  </si>
  <si>
    <t>J3915</t>
  </si>
  <si>
    <t>江阴龙润/吴燕</t>
  </si>
  <si>
    <t>散货 烤漆龙骨</t>
  </si>
  <si>
    <t>22号装箱 货好等客户拼的货</t>
  </si>
  <si>
    <t>客户订舱装箱</t>
  </si>
  <si>
    <t>J3921-1</t>
  </si>
  <si>
    <t>先发一个柜子 客户订舱 同J3864</t>
  </si>
  <si>
    <t>J3921-2</t>
  </si>
  <si>
    <t>1X40HQ 轻钢龙骨+客户外送配件</t>
  </si>
  <si>
    <t>木螺钉 螺丝钉 港杂 拖车 装箱收费 客户订舱 同J3864</t>
  </si>
  <si>
    <t>惠禾订舱中远惠禾拖车报关</t>
  </si>
  <si>
    <r>
      <rPr>
        <sz val="8"/>
        <rFont val="宋体"/>
        <charset val="134"/>
      </rPr>
      <t>账上的</t>
    </r>
    <r>
      <rPr>
        <sz val="8"/>
        <rFont val="Arial"/>
        <charset val="134"/>
      </rPr>
      <t>RMB38476</t>
    </r>
    <r>
      <rPr>
        <sz val="8"/>
        <rFont val="宋体"/>
        <charset val="134"/>
      </rPr>
      <t>转给客户了</t>
    </r>
  </si>
  <si>
    <t>M3930</t>
  </si>
  <si>
    <t>轻钢龙骨+金属护角带+纸带+干壁钉+纤维板钉+胀塞</t>
  </si>
  <si>
    <t>在金凯装箱 M3900</t>
  </si>
  <si>
    <t>客户订舱安排拖车</t>
  </si>
  <si>
    <t>J3929</t>
  </si>
  <si>
    <t>2X40HQ 轻钢龙骨 弹簧片</t>
  </si>
  <si>
    <r>
      <rPr>
        <sz val="8"/>
        <rFont val="宋体"/>
        <charset val="134"/>
      </rPr>
      <t>DHL2626323755  Form E  验货转到下一班船 箱单发票合同一致 客户要求清关发票CIF 出保险</t>
    </r>
    <r>
      <rPr>
        <sz val="8"/>
        <color theme="1"/>
        <rFont val="宋体"/>
        <charset val="134"/>
      </rPr>
      <t xml:space="preserve"> 保险金额按清关发票做  发票按重量做 轻钢 烤漆都按一个HScode做Form E   仰光港口 ， 要求申请 14天箱使 发到 AWPT码头 同J3867 3835</t>
    </r>
  </si>
  <si>
    <t>海通博远订舱MCC，海通博远拖车报关</t>
  </si>
  <si>
    <t>J3939</t>
  </si>
  <si>
    <t>1x40HQ烤漆</t>
  </si>
  <si>
    <t>以色列目的港限重26.5吨 客户订舱咱们安排拖车 提前问客户订舱的港杂费， 跟客户要下提单退税用 客户订舱 同J3896</t>
  </si>
  <si>
    <r>
      <rPr>
        <sz val="8"/>
        <color theme="1"/>
        <rFont val="宋体"/>
        <charset val="134"/>
      </rPr>
      <t xml:space="preserve">客户订舱YML，迪斯泰拖车 </t>
    </r>
    <r>
      <rPr>
        <sz val="8"/>
        <color rgb="FFFF0000"/>
        <rFont val="宋体"/>
        <charset val="134"/>
      </rPr>
      <t>金凯抬头报关</t>
    </r>
  </si>
  <si>
    <t>J3942</t>
  </si>
  <si>
    <t>印度 VINAYAK/Jayesh</t>
  </si>
  <si>
    <r>
      <rPr>
        <sz val="8"/>
        <color rgb="FF000000"/>
        <rFont val="Arial"/>
        <charset val="134"/>
      </rPr>
      <t xml:space="preserve">1x20GP </t>
    </r>
    <r>
      <rPr>
        <sz val="8"/>
        <color rgb="FF000000"/>
        <rFont val="宋体"/>
        <charset val="134"/>
      </rPr>
      <t>烤漆</t>
    </r>
  </si>
  <si>
    <t>DHL9230081022 客户付50美金电放费 form B 港杂2199 同J3771</t>
  </si>
  <si>
    <r>
      <rPr>
        <sz val="8"/>
        <color theme="1"/>
        <rFont val="宋体"/>
        <charset val="134"/>
      </rPr>
      <t>青岛乐达订舱长荣，会昌拖车，</t>
    </r>
    <r>
      <rPr>
        <sz val="8"/>
        <color rgb="FFFF0000"/>
        <rFont val="宋体"/>
        <charset val="134"/>
      </rPr>
      <t>金凯抬头报关</t>
    </r>
  </si>
  <si>
    <t>J3943</t>
  </si>
  <si>
    <r>
      <rPr>
        <sz val="8"/>
        <color rgb="FF000000"/>
        <rFont val="Arial"/>
        <charset val="134"/>
      </rPr>
      <t xml:space="preserve">3X40HQ  </t>
    </r>
    <r>
      <rPr>
        <sz val="8"/>
        <color rgb="FF000000"/>
        <rFont val="宋体"/>
        <charset val="134"/>
      </rPr>
      <t>小付骨</t>
    </r>
  </si>
  <si>
    <t>DHL5764775494弹簧片装到J3929里 箱单发票合同一致 客户要求清关发票CIF 出保险 保险金额按清关发票做  发票按重量做 轻钢 烤漆都按一个HScode做Form E   仰光港口 ， 要求申请 14天箱使 发到 AWPT码头 同J3929</t>
  </si>
  <si>
    <t>海通博远订舱ZIM+MSC，白沟源远拖车报关</t>
  </si>
  <si>
    <r>
      <rPr>
        <sz val="8"/>
        <rFont val="宋体"/>
        <charset val="134"/>
      </rPr>
      <t>实际尾款</t>
    </r>
    <r>
      <rPr>
        <sz val="8"/>
        <rFont val="Arial"/>
        <charset val="134"/>
      </rPr>
      <t>46055</t>
    </r>
    <r>
      <rPr>
        <sz val="8"/>
        <rFont val="宋体"/>
        <charset val="134"/>
      </rPr>
      <t>美金 客户分两笔打款 多付了一点作为手续费</t>
    </r>
  </si>
  <si>
    <t>J3947</t>
  </si>
  <si>
    <t>DHL5327909521 电放费加发票里 拖车3300 form B 同J3942</t>
  </si>
  <si>
    <r>
      <rPr>
        <sz val="8"/>
        <color theme="1"/>
        <rFont val="宋体"/>
        <charset val="134"/>
      </rPr>
      <t>迪斯泰约号订舱EMI，盛汇通拖车，</t>
    </r>
    <r>
      <rPr>
        <sz val="8"/>
        <color rgb="FFFF0000"/>
        <rFont val="宋体"/>
        <charset val="134"/>
      </rPr>
      <t>一达通报关</t>
    </r>
  </si>
  <si>
    <t>J3953</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</si>
  <si>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小付骨</t>
    </r>
  </si>
  <si>
    <t>xingang-BELAWAN,INDONESIA</t>
  </si>
  <si>
    <t>DHL3280211760 form E 收货人和客户确认 用深圳来毕畅抬头 所有单据抬头一致。低报金额与客户确认 寄件地址每次和客户确认 同J3847</t>
  </si>
  <si>
    <t>誉洲订舱OC1950，誉洲拖车报关</t>
  </si>
  <si>
    <r>
      <rPr>
        <sz val="8"/>
        <rFont val="Arial"/>
        <charset val="134"/>
      </rPr>
      <t>117424.95=18484.45*6.46-1984.62</t>
    </r>
    <r>
      <rPr>
        <sz val="8"/>
        <rFont val="宋体"/>
        <charset val="134"/>
      </rPr>
      <t>（上单多付的）</t>
    </r>
  </si>
  <si>
    <t>J3954</t>
  </si>
  <si>
    <t>斯里兰卡PRIME/Ahamed</t>
  </si>
  <si>
    <r>
      <rPr>
        <sz val="8"/>
        <color rgb="FF000000"/>
        <rFont val="Arial"/>
        <charset val="134"/>
      </rPr>
      <t xml:space="preserve">2x20 </t>
    </r>
    <r>
      <rPr>
        <sz val="8"/>
        <color rgb="FF000000"/>
        <rFont val="宋体"/>
        <charset val="134"/>
      </rPr>
      <t>轻钢龙骨</t>
    </r>
    <r>
      <rPr>
        <sz val="8"/>
        <color rgb="FF000000"/>
        <rFont val="Arial"/>
        <charset val="134"/>
      </rPr>
      <t>&amp;</t>
    </r>
    <r>
      <rPr>
        <sz val="8"/>
        <color rgb="FF000000"/>
        <rFont val="宋体"/>
        <charset val="134"/>
      </rPr>
      <t>配件</t>
    </r>
  </si>
  <si>
    <t>xingang-COLOMBO, SRI LANKA</t>
  </si>
  <si>
    <t>DHL1531156760 4月2号到账 箱单发票 保单 汇票 LC</t>
  </si>
  <si>
    <t>誉洲订舱MSC2800，誉洲拖车报关</t>
  </si>
  <si>
    <t>M3949</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</si>
  <si>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玻璃棉</t>
    </r>
  </si>
  <si>
    <r>
      <rPr>
        <sz val="8"/>
        <color theme="1"/>
        <rFont val="宋体"/>
        <charset val="134"/>
      </rPr>
      <t>DHL1703894916 寄件地址APTC LTD
No. 3, Apartment 1,MRO Frank Galea Street. Zebbug, Malta</t>
    </r>
    <r>
      <rPr>
        <sz val="8"/>
        <rFont val="宋体"/>
        <charset val="134"/>
      </rPr>
      <t>经理付璃棉装卸费600 提单shipper显示凯泽或者Tianjin Hero，是否电放 后期与客户确认 代理定舱 无单据 同J3910</t>
    </r>
  </si>
  <si>
    <t>誉洲订舱MSC10783，誉洲拖车报关</t>
  </si>
  <si>
    <t>J3960</t>
  </si>
  <si>
    <t>广州 Pemco/杜小姐</t>
  </si>
  <si>
    <r>
      <rPr>
        <sz val="8"/>
        <color rgb="FF000000"/>
        <rFont val="Arial"/>
        <charset val="134"/>
      </rPr>
      <t xml:space="preserve">1x20‘ </t>
    </r>
    <r>
      <rPr>
        <sz val="8"/>
        <color rgb="FF000000"/>
        <rFont val="宋体"/>
        <charset val="134"/>
      </rPr>
      <t>轻钢</t>
    </r>
    <r>
      <rPr>
        <sz val="8"/>
        <color rgb="FF000000"/>
        <rFont val="Arial"/>
        <charset val="134"/>
      </rPr>
      <t xml:space="preserve">Omega+ </t>
    </r>
    <r>
      <rPr>
        <sz val="8"/>
        <color rgb="FF000000"/>
        <rFont val="宋体"/>
        <charset val="134"/>
      </rPr>
      <t>配件</t>
    </r>
  </si>
  <si>
    <t>xingang-Colombo, Sri Lanka</t>
  </si>
  <si>
    <t>由于放假 客户改电放 shipper用客户抬头 和客户确认收货人  正本直接寄给客户 提单不显示发票号 箱单发票发给客户 客户自己给外国客户做单据 同J3687</t>
  </si>
  <si>
    <t>迪斯泰订舱HPL2400，迪斯泰拖车报关</t>
  </si>
  <si>
    <t>J3970</t>
  </si>
  <si>
    <r>
      <rPr>
        <sz val="8"/>
        <color rgb="FF000000"/>
        <rFont val="Arial"/>
        <charset val="134"/>
      </rPr>
      <t xml:space="preserve">1x40HQ   </t>
    </r>
    <r>
      <rPr>
        <sz val="8"/>
        <color rgb="FF000000"/>
        <rFont val="宋体"/>
        <charset val="134"/>
      </rPr>
      <t>轻钢龙骨</t>
    </r>
  </si>
  <si>
    <t>DHL2242864282 出form E 收货人和客户确认 用深圳来毕畅抬头 所有单据抬头一致。核价2100 寄件地址每次和客户确认 同J953</t>
  </si>
  <si>
    <t>迪斯泰订舱MCC1904，白沟源远拖车报关</t>
  </si>
  <si>
    <t>M3983-1</t>
  </si>
  <si>
    <r>
      <rPr>
        <sz val="8"/>
        <color rgb="FF000000"/>
        <rFont val="宋体"/>
        <charset val="134"/>
      </rPr>
      <t>轻钢龙骨</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干壁钉</t>
    </r>
  </si>
  <si>
    <t>8箱外送+外送41箱LED面板灯 此单扣M3930装卸费350 M3930</t>
  </si>
  <si>
    <t>客户订舱安排车报关</t>
  </si>
  <si>
    <t>M3983-3</t>
  </si>
  <si>
    <t>M3983剩50付骨没发走 定金M3983用掉2万还剩2万人民币</t>
  </si>
  <si>
    <t>M3983-2</t>
  </si>
  <si>
    <r>
      <rPr>
        <sz val="8"/>
        <rFont val="Arial"/>
        <charset val="134"/>
      </rPr>
      <t>200</t>
    </r>
    <r>
      <rPr>
        <sz val="8"/>
        <rFont val="宋体"/>
        <charset val="134"/>
      </rPr>
      <t>外厂整理费</t>
    </r>
  </si>
  <si>
    <t>J3987</t>
  </si>
  <si>
    <t>1x20GP 烤漆</t>
  </si>
  <si>
    <t>港杂1607 放50套小样 以色列目的港限重26.5吨 客户订舱咱们安排拖车 提前问客户订舱的港杂费， 跟客户要下提单退税用 同J3939</t>
  </si>
  <si>
    <r>
      <rPr>
        <sz val="8"/>
        <color theme="1"/>
        <rFont val="宋体"/>
        <charset val="134"/>
      </rPr>
      <t>客户订舱MSC，盛汇通拖车</t>
    </r>
    <r>
      <rPr>
        <sz val="8"/>
        <color rgb="FFFF0000"/>
        <rFont val="宋体"/>
        <charset val="134"/>
      </rPr>
      <t>金凯抬头报关</t>
    </r>
  </si>
  <si>
    <t>J3993</t>
  </si>
  <si>
    <t>巴基斯坦 Asif</t>
  </si>
  <si>
    <t>弹簧片</t>
  </si>
  <si>
    <t>出厂不含税含运费  发货到石家庄晋州，具体地址待定</t>
  </si>
  <si>
    <t>J3997</t>
  </si>
  <si>
    <t>缅甸Ozi/Leo</t>
  </si>
  <si>
    <t>1x20GP烤漆W边角</t>
  </si>
  <si>
    <t>DHL1554412451 产地证 尾款出厂付清 码头没关系MIPorMIT</t>
  </si>
  <si>
    <t>誉洲订舱MCC1875/1900，白沟源远拖车报关</t>
  </si>
  <si>
    <t>J4000</t>
  </si>
  <si>
    <t>1x20GP烤漆</t>
  </si>
  <si>
    <t>到账在做电放 DHL8231810333 改了公司名 港杂2082+350 Form B 电放提单 深圳陈小姐同J3909</t>
  </si>
  <si>
    <r>
      <rPr>
        <sz val="8"/>
        <color theme="1"/>
        <rFont val="宋体"/>
        <charset val="134"/>
      </rPr>
      <t>深圳运筹订舱MSC，汇昌拖车，</t>
    </r>
    <r>
      <rPr>
        <sz val="8"/>
        <color rgb="FFFF0000"/>
        <rFont val="宋体"/>
        <charset val="134"/>
      </rPr>
      <t>金凯抬头报关</t>
    </r>
  </si>
  <si>
    <t>J4003</t>
  </si>
  <si>
    <t>1x40HQ 轻钢龙骨</t>
  </si>
  <si>
    <t>港杂费2574 订舱不是惠禾 客户订舱 同J3921</t>
  </si>
  <si>
    <t>代理订舱中远，白沟源远拖车报关</t>
  </si>
  <si>
    <t>J4013</t>
  </si>
  <si>
    <t>2x40HQ 轻钢龙骨+岩棉</t>
  </si>
  <si>
    <t>DHL1644741862 收货人用新地址 提单shipper显示凯泽或者Tianjin Hero，4500两个柜子 无单据 同M3949</t>
  </si>
  <si>
    <t>誉洲订舱MSC14703，白沟源远拖车报关</t>
  </si>
  <si>
    <t>J4015</t>
  </si>
  <si>
    <t>1x20‘ 轻钢Omega+ 配件</t>
  </si>
  <si>
    <t>SF1129071234925 shipper用客户抬头 和客户确认收货人  正本直接寄给客户 提单不显示发票号 箱单发票发给客户 客户自己给外国客户做单据 装箱前寄样品给客户 同J3960</t>
  </si>
  <si>
    <t>迪斯泰订舱CMA3014/3015，迪斯泰拖车报关</t>
  </si>
  <si>
    <t>J4021-1</t>
  </si>
  <si>
    <t>DHL1278062601 出保险 出form E VO金额和客户确定 寄件地址每次和客户确认 同J3970</t>
  </si>
  <si>
    <t>J4021-2</t>
  </si>
  <si>
    <t>DHL4771908175 出保险 出form E VO金额和客户确定  寄件地址每次和客户确认 同J3970</t>
  </si>
  <si>
    <t>迪斯泰MCC1600，白沟源远拖车报关</t>
  </si>
  <si>
    <r>
      <rPr>
        <sz val="8"/>
        <rFont val="宋体"/>
        <charset val="134"/>
      </rPr>
      <t>2021.6.21返还RMB</t>
    </r>
    <r>
      <rPr>
        <sz val="8"/>
        <rFont val="Arial"/>
        <charset val="134"/>
      </rPr>
      <t>121276.66+RMB12659.87</t>
    </r>
  </si>
  <si>
    <t>J4027</t>
  </si>
  <si>
    <t>甩13包装在J4080里了 以色列目的港限重26.5吨 客户订舱咱们安排拖车 提前问客户订舱的港杂费， 跟客户要下提单退税用 同J3987</t>
  </si>
  <si>
    <r>
      <rPr>
        <sz val="8"/>
        <color theme="1"/>
        <rFont val="宋体"/>
        <charset val="134"/>
      </rPr>
      <t xml:space="preserve">客户订舱ZIM，盛汇通拖车 </t>
    </r>
    <r>
      <rPr>
        <sz val="8"/>
        <color rgb="FFFF0000"/>
        <rFont val="宋体"/>
        <charset val="134"/>
      </rPr>
      <t>金凯抬头报关</t>
    </r>
  </si>
  <si>
    <t>J4032-1</t>
  </si>
  <si>
    <t>客户订舱 同J4003</t>
  </si>
  <si>
    <t>代理订舱中远, 白沟源远拖车报关</t>
  </si>
  <si>
    <t>J4032-2</t>
  </si>
  <si>
    <t>J4032-2+J4043-1 5号左右好 同J4003</t>
  </si>
  <si>
    <t>客户订舱，会昌拖车报关</t>
  </si>
  <si>
    <t>J4043-1</t>
  </si>
  <si>
    <t>客户订舱 同J4032</t>
  </si>
  <si>
    <r>
      <rPr>
        <sz val="8"/>
        <rFont val="宋体"/>
        <charset val="134"/>
      </rPr>
      <t>尾款和</t>
    </r>
    <r>
      <rPr>
        <sz val="8"/>
        <rFont val="Arial"/>
        <charset val="134"/>
      </rPr>
      <t>J4032-2</t>
    </r>
    <r>
      <rPr>
        <sz val="8"/>
        <rFont val="宋体"/>
        <charset val="134"/>
      </rPr>
      <t>一起付的</t>
    </r>
  </si>
  <si>
    <t>J4043-2</t>
  </si>
  <si>
    <t>客户订舱 每捆上贴“条形码”同J4032</t>
  </si>
  <si>
    <t>客户订舱 会昌拖车报关</t>
  </si>
  <si>
    <t>J4047</t>
  </si>
  <si>
    <t>同J3891</t>
  </si>
  <si>
    <t>J4055</t>
  </si>
  <si>
    <t>马耳他Evolve</t>
  </si>
  <si>
    <t>DHL5103508012 28托到3 2715含电放 品名 HS cdoe 目的港 CO CE (EN14195 )</t>
  </si>
  <si>
    <t>韩中货运糖糖长荣，白沟源远拖车报关</t>
  </si>
  <si>
    <t>J4056</t>
  </si>
  <si>
    <t>J4056+4080一起发 以色列目的港限重26.5吨 客户订舱咱们安排拖车 做出厂客户承担港杂 同J4027</t>
  </si>
  <si>
    <t>J4066</t>
  </si>
  <si>
    <r>
      <rPr>
        <sz val="8"/>
        <rFont val="宋体"/>
        <charset val="134"/>
      </rPr>
      <t>DHL1644765161 台风影响  船期都往后托 出保险</t>
    </r>
    <r>
      <rPr>
        <sz val="8"/>
        <color rgb="FF0000FF"/>
        <rFont val="宋体"/>
        <charset val="134"/>
      </rPr>
      <t xml:space="preserve"> </t>
    </r>
    <r>
      <rPr>
        <sz val="8"/>
        <rFont val="宋体"/>
        <charset val="134"/>
      </rPr>
      <t>出form E VO金额和客户确定  寄件地址每次和客户确认 同J4021</t>
    </r>
  </si>
  <si>
    <r>
      <rPr>
        <sz val="8"/>
        <rFont val="宋体"/>
        <charset val="134"/>
      </rPr>
      <t>实际付</t>
    </r>
    <r>
      <rPr>
        <sz val="8"/>
        <rFont val="Arial"/>
        <charset val="134"/>
      </rPr>
      <t>31019</t>
    </r>
    <r>
      <rPr>
        <sz val="8"/>
        <rFont val="宋体"/>
        <charset val="134"/>
      </rPr>
      <t xml:space="preserve">美金 多出金额部分7295.79usd 暂时作为J4067尾款
</t>
    </r>
  </si>
  <si>
    <t>J4067</t>
  </si>
  <si>
    <t>DHL1054595496 出保险 出form E VO金额和客户确定  寄件地址每次和客户确认 同J4056 J3953</t>
  </si>
  <si>
    <t>迪斯泰定舱MCC1800，白沟源远拖车报关</t>
  </si>
  <si>
    <t>多付$23.8</t>
  </si>
  <si>
    <t>J4071</t>
  </si>
  <si>
    <t>客户订舱 每捆上贴“条形码” 同J4043</t>
  </si>
  <si>
    <t>惠禾订舱中远,白沟源远拖车报关</t>
  </si>
  <si>
    <r>
      <rPr>
        <sz val="8"/>
        <rFont val="宋体"/>
        <charset val="134"/>
      </rPr>
      <t>全款</t>
    </r>
    <r>
      <rPr>
        <sz val="8"/>
        <rFont val="Arial"/>
        <charset val="134"/>
      </rPr>
      <t xml:space="preserve"> </t>
    </r>
    <r>
      <rPr>
        <sz val="8"/>
        <rFont val="宋体"/>
        <charset val="134"/>
      </rPr>
      <t>两万定金用于</t>
    </r>
    <r>
      <rPr>
        <sz val="8"/>
        <rFont val="Arial"/>
        <charset val="134"/>
      </rPr>
      <t>J4088</t>
    </r>
  </si>
  <si>
    <t>J4075</t>
  </si>
  <si>
    <t>出厂不含税含运费  发货到石家庄晋州 同J3993</t>
  </si>
  <si>
    <t>J4076</t>
  </si>
  <si>
    <t>1*20GP 轻钢龙骨&amp;配件</t>
  </si>
  <si>
    <t>DHL1398914031 箱单发票 保单 汇票 LC 同J3954</t>
  </si>
  <si>
    <t>迪斯泰订舱OC3400，迪斯泰拖车报关</t>
  </si>
  <si>
    <t>J4077</t>
  </si>
  <si>
    <t>DHL1632383340 箱单发票合同一致 客户要求清关发票CIF 出保险 保险金额按清关发票做  发票按重量做 轻钢 烤漆都按一个HScode做Form E   仰光港口 ， 要求申请 14天箱使 发到 AWPT码头 同J3943</t>
  </si>
  <si>
    <t>迪斯泰订舱中远3200，白沟源远拖车报关</t>
  </si>
  <si>
    <t>J4080</t>
  </si>
  <si>
    <t>12号装箱 J4056+4080一起发 以色列目的港限重26.5吨 客户订舱咱们安排拖车 做出厂客户承担港杂 同J4056</t>
  </si>
  <si>
    <t>J4081</t>
  </si>
  <si>
    <t>2x40HQ 轻钢龙骨&amp;岩棉</t>
  </si>
  <si>
    <r>
      <rPr>
        <sz val="8"/>
        <rFont val="宋体"/>
        <charset val="134"/>
      </rPr>
      <t>DHL8339396844 岩棉坏了152片不收费 600岩棉装卸费</t>
    </r>
    <r>
      <rPr>
        <sz val="8"/>
        <color rgb="FFFF0000"/>
        <rFont val="宋体"/>
        <charset val="134"/>
      </rPr>
      <t xml:space="preserve"> </t>
    </r>
    <r>
      <rPr>
        <sz val="8"/>
        <rFont val="宋体"/>
        <charset val="134"/>
      </rPr>
      <t>两个高箱4300 提单shipper显示凯泽或者Tianjin Hero，是否电放 后期与客户确认 代理定舱 无单据 同J4013</t>
    </r>
  </si>
  <si>
    <t>长帆订舱EMC，小杜拖车报关</t>
  </si>
  <si>
    <t>J4087</t>
  </si>
  <si>
    <t>xingang-INDIA</t>
  </si>
  <si>
    <t>单据齐等款 单据已发客户 保险 CO 电放其他单据发邮箱 可能发到Nhava sheva 或者 Hazira, 最终港口以客户确定为准  买保险加在发票上行 目的港14天免用箱 同J3917 3767</t>
  </si>
  <si>
    <r>
      <rPr>
        <sz val="8"/>
        <color theme="1"/>
        <rFont val="宋体"/>
        <charset val="134"/>
      </rPr>
      <t xml:space="preserve">Panda Cargo订舱KTMC，汇昌拖车 </t>
    </r>
    <r>
      <rPr>
        <sz val="8"/>
        <color rgb="FFFF0000"/>
        <rFont val="宋体"/>
        <charset val="134"/>
      </rPr>
      <t>金凯抬头报关</t>
    </r>
  </si>
  <si>
    <t>J4088</t>
  </si>
  <si>
    <t>客户订舱 每捆上贴“条形码” 同J4071</t>
  </si>
  <si>
    <t>J4097</t>
  </si>
  <si>
    <t>DHL3520254231 运费按照1800美金核算 出保险 出form E VO金额和客户确定  寄件地址每次和客户确认 同J4067</t>
  </si>
  <si>
    <t>迪斯泰订舱MCC1700，白沟源远拖车报关</t>
  </si>
  <si>
    <r>
      <rPr>
        <sz val="8"/>
        <rFont val="宋体"/>
        <charset val="134"/>
      </rPr>
      <t>此单开始印尼客户直接付尾款 厂里再返给中冶差价 2021.9.2收35108 J4067多付23.8 包含甩货的总共中冶</t>
    </r>
    <r>
      <rPr>
        <sz val="8"/>
        <rFont val="Arial"/>
        <charset val="134"/>
      </rPr>
      <t>$33896.8  33896.8 -7751.94-15108=11036.86   35108-11036.86+23.98=24095.12(</t>
    </r>
    <r>
      <rPr>
        <sz val="8"/>
        <rFont val="宋体"/>
        <charset val="134"/>
      </rPr>
      <t>剩余定金24095.12 用于J4120和J4123</t>
    </r>
    <r>
      <rPr>
        <sz val="8"/>
        <rFont val="Arial"/>
        <charset val="134"/>
      </rPr>
      <t>)</t>
    </r>
  </si>
  <si>
    <t>J4102</t>
  </si>
  <si>
    <t>牙买加 Mr.Fred</t>
  </si>
  <si>
    <t>单据已发客户 CO 这个客户是通过邮件联系 同J3768</t>
  </si>
  <si>
    <t>迪斯泰订舱CMA15764/15770，白沟源远拖车报关</t>
  </si>
  <si>
    <t>J4103</t>
  </si>
  <si>
    <t>工厂到山东临沂兰山区货站
客户自提</t>
  </si>
  <si>
    <t>J4106</t>
  </si>
  <si>
    <t>客户订舱 每捆上贴“条形码” 同J4088</t>
  </si>
  <si>
    <t>惠禾订舱中远，惠禾拖车义乌报关</t>
  </si>
  <si>
    <t>J4111</t>
  </si>
  <si>
    <t>1X40HQ+1x20GP 轻钢龙骨</t>
  </si>
  <si>
    <t>J4111+J4125一起发 客户订舱 每捆上贴“条形码” 同J4106</t>
  </si>
  <si>
    <t>变高5322美金没付 清关赔客户930</t>
  </si>
  <si>
    <t>J4125</t>
  </si>
  <si>
    <t>14500边角</t>
  </si>
  <si>
    <t>这个订单跟J4111一起发走。 将J4111中的6000支变高放到新订单发走。</t>
  </si>
  <si>
    <r>
      <rPr>
        <sz val="8"/>
        <rFont val="宋体"/>
        <charset val="134"/>
      </rPr>
      <t>与</t>
    </r>
    <r>
      <rPr>
        <sz val="8"/>
        <rFont val="Arial"/>
        <charset val="134"/>
      </rPr>
      <t>J4111</t>
    </r>
    <r>
      <rPr>
        <sz val="8"/>
        <rFont val="宋体"/>
        <charset val="134"/>
      </rPr>
      <t>一起付</t>
    </r>
  </si>
  <si>
    <t>J4114</t>
  </si>
  <si>
    <t>香港舜鑫实业/孙真真</t>
  </si>
  <si>
    <t>2x20GP轻钢</t>
  </si>
  <si>
    <t>工厂装箱 提供箱单，发票, 装箱照片</t>
  </si>
  <si>
    <t>客户安排拖车报关</t>
  </si>
  <si>
    <t>J4118</t>
  </si>
  <si>
    <t>收货单 出厂不含税</t>
  </si>
  <si>
    <t>J4120</t>
  </si>
  <si>
    <t>DHL4118565813 J4097甩的2500支装走了1980支还剩520支 出保险 出form E VO金额和客户确定  寄件地址每次和客户确认 同J4097</t>
  </si>
  <si>
    <t>迪斯泰订舱MCC2193，白沟源远拖车报关</t>
  </si>
  <si>
    <r>
      <rPr>
        <sz val="8"/>
        <rFont val="Arial"/>
        <charset val="134"/>
      </rPr>
      <t>2021.10.13</t>
    </r>
    <r>
      <rPr>
        <sz val="8"/>
        <rFont val="宋体"/>
        <charset val="134"/>
      </rPr>
      <t>收</t>
    </r>
    <r>
      <rPr>
        <sz val="8"/>
        <rFont val="Arial"/>
        <charset val="134"/>
      </rPr>
      <t xml:space="preserve">34526.5 </t>
    </r>
    <r>
      <rPr>
        <sz val="8"/>
        <rFont val="宋体"/>
        <charset val="134"/>
      </rPr>
      <t>水单</t>
    </r>
    <r>
      <rPr>
        <sz val="8"/>
        <rFont val="Arial"/>
        <charset val="134"/>
      </rPr>
      <t>34543  1</t>
    </r>
    <r>
      <rPr>
        <sz val="8"/>
        <rFont val="宋体"/>
        <charset val="134"/>
      </rPr>
      <t>万用于</t>
    </r>
    <r>
      <rPr>
        <sz val="8"/>
        <rFont val="Arial"/>
        <charset val="134"/>
      </rPr>
      <t>J4150</t>
    </r>
    <r>
      <rPr>
        <sz val="8"/>
        <rFont val="宋体"/>
        <charset val="134"/>
      </rPr>
      <t>定金</t>
    </r>
    <r>
      <rPr>
        <sz val="8"/>
        <rFont val="Arial"/>
        <charset val="134"/>
      </rPr>
      <t xml:space="preserve"> 24071</t>
    </r>
    <r>
      <rPr>
        <sz val="8"/>
        <rFont val="宋体"/>
        <charset val="134"/>
      </rPr>
      <t>用于</t>
    </r>
    <r>
      <rPr>
        <sz val="8"/>
        <rFont val="Arial"/>
        <charset val="134"/>
      </rPr>
      <t>J4120</t>
    </r>
    <r>
      <rPr>
        <sz val="8"/>
        <rFont val="宋体"/>
        <charset val="134"/>
      </rPr>
      <t>尾款</t>
    </r>
    <r>
      <rPr>
        <sz val="8"/>
        <rFont val="Arial"/>
        <charset val="134"/>
      </rPr>
      <t xml:space="preserve"> </t>
    </r>
    <r>
      <rPr>
        <sz val="8"/>
        <rFont val="宋体"/>
        <charset val="134"/>
      </rPr>
      <t>（与印尼客户发票值</t>
    </r>
    <r>
      <rPr>
        <sz val="8"/>
        <rFont val="Arial"/>
        <charset val="134"/>
      </rPr>
      <t>$34071</t>
    </r>
    <r>
      <rPr>
        <sz val="8"/>
        <rFont val="宋体"/>
        <charset val="134"/>
      </rPr>
      <t>）</t>
    </r>
    <r>
      <rPr>
        <sz val="8"/>
        <rFont val="Arial"/>
        <charset val="134"/>
      </rPr>
      <t xml:space="preserve">  </t>
    </r>
    <r>
      <rPr>
        <sz val="8"/>
        <rFont val="宋体"/>
        <charset val="134"/>
      </rPr>
      <t>差价返给中冶了</t>
    </r>
  </si>
  <si>
    <t>J4123</t>
  </si>
  <si>
    <t>DHL5152060476 客户承担600海运费 24托28 J4097甩2500支J4120装走1980J4123装走520支 相当于J4123少装520支 运费按照1800美金核算 出保险 出form E VO金额和客户确定  寄件地址每次和客户确认 同J4120</t>
  </si>
  <si>
    <t>迪斯泰订舱MCC3100，白沟源远拖车报关</t>
  </si>
  <si>
    <r>
      <rPr>
        <sz val="8"/>
        <rFont val="宋体"/>
        <charset val="134"/>
      </rPr>
      <t>与印尼客户实际发票值</t>
    </r>
    <r>
      <rPr>
        <sz val="8"/>
        <rFont val="Arial"/>
        <charset val="134"/>
      </rPr>
      <t xml:space="preserve">$35995.84 </t>
    </r>
  </si>
  <si>
    <t>J4126</t>
  </si>
  <si>
    <t>义乌欧迅橡塑贸易/李</t>
  </si>
  <si>
    <t>轻钢龙骨</t>
  </si>
  <si>
    <t>工厂提供箱单，发票, 装箱照片</t>
  </si>
  <si>
    <t>J4129-1</t>
  </si>
  <si>
    <t>1x20GP轻钢</t>
  </si>
  <si>
    <t>客户订舱 每捆上贴“条形码” 同J4111</t>
  </si>
  <si>
    <t>惠禾订舱，白沟源远拖车报关</t>
  </si>
  <si>
    <t>J4129-2</t>
  </si>
  <si>
    <t>50件边角装在-1中了 客户订舱 每捆上贴“条形码” 同J4111</t>
  </si>
  <si>
    <t>惠禾订舱MSC，白沟源远拖车报关</t>
  </si>
  <si>
    <r>
      <rPr>
        <sz val="8"/>
        <rFont val="宋体"/>
        <charset val="134"/>
      </rPr>
      <t>2021.11.12水单56792 多付925美金移到J4163-2    清关赔偿一共</t>
    </r>
    <r>
      <rPr>
        <sz val="8"/>
        <rFont val="Arial"/>
        <charset val="134"/>
      </rPr>
      <t>1588</t>
    </r>
    <r>
      <rPr>
        <sz val="8"/>
        <rFont val="宋体"/>
        <charset val="134"/>
      </rPr>
      <t>美金 这次减掉了最后的388美金</t>
    </r>
  </si>
  <si>
    <t>M4149</t>
  </si>
  <si>
    <t>2x40HQ 轻钢龙骨&amp;玻璃棉</t>
  </si>
  <si>
    <t>DHL8600609205 玻璃棉600装卸费 无单据 同J4081 3949</t>
  </si>
  <si>
    <t>永鑫海订舱MSC14692.5/14750，汇昌拖车报关</t>
  </si>
  <si>
    <t>J4150</t>
  </si>
  <si>
    <t>DHL7364627465 J4150+4152一起寄走 客户承担850 中冶333 出保险 出form E VO金额和客户确定  寄件地址每次和客户确认 同J4123</t>
  </si>
  <si>
    <r>
      <rPr>
        <sz val="8"/>
        <rFont val="宋体"/>
        <charset val="134"/>
      </rPr>
      <t>2021.12.10</t>
    </r>
    <r>
      <rPr>
        <sz val="8"/>
        <rFont val="宋体"/>
        <charset val="134"/>
      </rPr>
      <t>收</t>
    </r>
    <r>
      <rPr>
        <sz val="8"/>
        <rFont val="Arial"/>
        <charset val="134"/>
      </rPr>
      <t xml:space="preserve">36406.5
 </t>
    </r>
    <r>
      <rPr>
        <sz val="8"/>
        <rFont val="宋体"/>
        <charset val="134"/>
      </rPr>
      <t>水单</t>
    </r>
    <r>
      <rPr>
        <sz val="8"/>
        <rFont val="Arial"/>
        <charset val="134"/>
      </rPr>
      <t>36423</t>
    </r>
  </si>
  <si>
    <t>M4151</t>
  </si>
  <si>
    <t>也门WALEED/Waleed</t>
  </si>
  <si>
    <t>1x20FCL 轻钢龙骨&amp;钉子</t>
  </si>
  <si>
    <t>xingang-SALALAH, OMAN</t>
  </si>
  <si>
    <t xml:space="preserve">M4151/X4180一起发 异地产装 </t>
  </si>
  <si>
    <t>永鑫海订舱CMA6614/6650，汇昌拖车报关</t>
  </si>
  <si>
    <r>
      <rPr>
        <sz val="8"/>
        <rFont val="Arial"/>
        <charset val="134"/>
      </rPr>
      <t>多收31.62=</t>
    </r>
    <r>
      <rPr>
        <sz val="8"/>
        <rFont val="Arial"/>
        <charset val="134"/>
      </rPr>
      <t>50836.02-29013.32-21791.08 M4151</t>
    </r>
    <r>
      <rPr>
        <sz val="8"/>
        <rFont val="宋体"/>
        <charset val="134"/>
      </rPr>
      <t>：</t>
    </r>
    <r>
      <rPr>
        <sz val="8"/>
        <rFont val="Arial"/>
        <charset val="134"/>
      </rPr>
      <t xml:space="preserve">usd38810.50 , </t>
    </r>
    <r>
      <rPr>
        <sz val="8"/>
        <rFont val="宋体"/>
        <charset val="134"/>
      </rPr>
      <t>包含</t>
    </r>
    <r>
      <rPr>
        <sz val="8"/>
        <rFont val="Arial"/>
        <charset val="134"/>
      </rPr>
      <t xml:space="preserve">usd22374.92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 xml:space="preserve">usd36
 X4180: usd28247.00 , </t>
    </r>
    <r>
      <rPr>
        <sz val="8"/>
        <rFont val="宋体"/>
        <charset val="134"/>
      </rPr>
      <t>包含</t>
    </r>
    <r>
      <rPr>
        <sz val="8"/>
        <rFont val="Arial"/>
        <charset val="134"/>
      </rPr>
      <t xml:space="preserve">usd15101.10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usd24</t>
    </r>
  </si>
  <si>
    <t>J4152</t>
  </si>
  <si>
    <t>出保险 客户承担850 中冶承担333 出form E VO金额和客户确定  寄件地址每次和客户确认 同J4123</t>
  </si>
  <si>
    <r>
      <rPr>
        <sz val="8"/>
        <rFont val="Arial"/>
        <charset val="134"/>
      </rPr>
      <t>2021.12.19</t>
    </r>
    <r>
      <rPr>
        <sz val="8"/>
        <rFont val="宋体"/>
        <charset val="134"/>
      </rPr>
      <t>水单</t>
    </r>
    <r>
      <rPr>
        <sz val="8"/>
        <rFont val="Arial"/>
        <charset val="134"/>
      </rPr>
      <t>$37611</t>
    </r>
    <r>
      <rPr>
        <sz val="8"/>
        <rFont val="宋体"/>
        <charset val="134"/>
      </rPr>
      <t>实收</t>
    </r>
    <r>
      <rPr>
        <sz val="8"/>
        <rFont val="Arial"/>
        <charset val="134"/>
      </rPr>
      <t>37584</t>
    </r>
  </si>
  <si>
    <t>J4154</t>
  </si>
  <si>
    <t>DHL5877084533 同J4055</t>
  </si>
  <si>
    <t>长帆Richard订舱长荣，迪斯泰拖车报关</t>
  </si>
  <si>
    <t>J4163-1</t>
  </si>
  <si>
    <t>2大1小分开发 客户订舱 每捆上贴“条形码” 同J4129</t>
  </si>
  <si>
    <t>惠禾订舱HPL，白沟源远拖车报关</t>
  </si>
  <si>
    <r>
      <rPr>
        <sz val="8"/>
        <rFont val="宋体"/>
        <charset val="134"/>
      </rPr>
      <t>水单$56182 多付</t>
    </r>
    <r>
      <rPr>
        <sz val="8"/>
        <rFont val="Arial"/>
        <charset val="134"/>
      </rPr>
      <t>42</t>
    </r>
    <r>
      <rPr>
        <sz val="8"/>
        <rFont val="宋体"/>
        <charset val="134"/>
      </rPr>
      <t>美金移到</t>
    </r>
    <r>
      <rPr>
        <sz val="8"/>
        <rFont val="Arial"/>
        <charset val="134"/>
      </rPr>
      <t>J4163-2</t>
    </r>
  </si>
  <si>
    <t>J4163-2</t>
  </si>
  <si>
    <t>1x20GP 轻钢龙骨</t>
  </si>
  <si>
    <t>跟J4191一起发 2大1小分开发 客户订舱 每捆上贴“条形码” 同J4129</t>
  </si>
  <si>
    <t>惠禾订舱MSC，惠禾拖车 义乌报关</t>
  </si>
  <si>
    <t>J4168</t>
  </si>
  <si>
    <t>工厂提供箱单，发票, 装箱照片 同J4126</t>
  </si>
  <si>
    <t>J4171</t>
  </si>
  <si>
    <t>DHL6918992415 客户承担153 海运费核价3600 出保险 出form E VO金额和客户确定  寄件地址每次和客户确认 同J4150</t>
  </si>
  <si>
    <t>迪斯泰订舱MCC4033，迪斯泰拖车报关</t>
  </si>
  <si>
    <t>J4172</t>
  </si>
  <si>
    <t>DHL9055098640 海运费核价3600 出保险 出form E VO金额和客户确定  寄件地址每次和客户确认 同J4150</t>
  </si>
  <si>
    <t>迪斯泰订舱MCC3683，迪斯泰拖车报关</t>
  </si>
  <si>
    <t>前几票有多付的 尾款与前几票清账的   累计剩定金12214.34美金</t>
  </si>
  <si>
    <t>J4175</t>
  </si>
  <si>
    <t>1x20GP烤漆龙骨</t>
  </si>
  <si>
    <t>以色列目的港限重26.5吨 客户订舱安排拖车报关 同J4080</t>
  </si>
  <si>
    <t>客户订舱拖车报关</t>
  </si>
  <si>
    <t>J4170</t>
  </si>
  <si>
    <t>3x40HQ 轻钢</t>
  </si>
  <si>
    <t>DHL3273453934 箱单发票合同一致 客户要求清关发票CIF 出保险 保险金额按清关发票做  发票按重量做 轻钢 烤漆都按一个HScode做Form E   仰光港口 ， 要求申请 14天箱使 发到 AWPT码头 同J3943</t>
  </si>
  <si>
    <t>迪斯泰订舱中远4200，迪斯泰拖车报关</t>
  </si>
  <si>
    <t>J4176</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</si>
  <si>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同J3917</t>
    </r>
  </si>
  <si>
    <r>
      <rPr>
        <sz val="8"/>
        <color theme="1"/>
        <rFont val="宋体"/>
        <charset val="134"/>
      </rPr>
      <t xml:space="preserve">深圳革力订舱中远，汇昌拖车 </t>
    </r>
    <r>
      <rPr>
        <sz val="8"/>
        <color rgb="FFFF0000"/>
        <rFont val="宋体"/>
        <charset val="134"/>
      </rPr>
      <t>金凯抬头报关</t>
    </r>
  </si>
  <si>
    <t>J4177</t>
  </si>
  <si>
    <t>DHL2273900764 同J4055 4154</t>
  </si>
  <si>
    <t>长帆richad订舱长荣，汇昌拖车 义乌报关</t>
  </si>
  <si>
    <t>J4178</t>
  </si>
  <si>
    <t>3x20FCL&amp;1x40HQ烤漆</t>
  </si>
  <si>
    <t>单据齐等款 单据已发客户 拖车小柜2350 大柜2550 箱单发票合同一致 客户要求清关发票CIF 出保险 保险金额按清关发票做  发票按重量做 轻钢 烤漆都按一个HScode做Form E   仰光港口 ， 要求申请 14天箱使 发到 AWPT码头 同J3943 3778</t>
  </si>
  <si>
    <r>
      <rPr>
        <sz val="8"/>
        <color theme="1"/>
        <rFont val="宋体"/>
        <charset val="134"/>
      </rPr>
      <t xml:space="preserve">迪斯泰订舱中远3100/4200，迪斯泰拖车 </t>
    </r>
    <r>
      <rPr>
        <sz val="8"/>
        <color rgb="FFFF0000"/>
        <rFont val="宋体"/>
        <charset val="134"/>
      </rPr>
      <t>金凯抬头报关</t>
    </r>
  </si>
  <si>
    <t>J4188</t>
  </si>
  <si>
    <t>2x20gp 轻钢龙骨加工</t>
  </si>
  <si>
    <t>29号装 工厂提供箱单，发票, 装箱照片</t>
  </si>
  <si>
    <t>客户订舱安排车和报关</t>
  </si>
  <si>
    <r>
      <rPr>
        <sz val="8"/>
        <rFont val="宋体"/>
        <charset val="134"/>
      </rPr>
      <t>实际加工费</t>
    </r>
    <r>
      <rPr>
        <sz val="8"/>
        <rFont val="Arial"/>
        <charset val="134"/>
      </rPr>
      <t>20684.16+</t>
    </r>
    <r>
      <rPr>
        <sz val="8"/>
        <rFont val="宋体"/>
        <charset val="134"/>
      </rPr>
      <t>标签</t>
    </r>
    <r>
      <rPr>
        <sz val="8"/>
        <rFont val="Arial"/>
        <charset val="134"/>
      </rPr>
      <t>180-</t>
    </r>
    <r>
      <rPr>
        <sz val="8"/>
        <rFont val="宋体"/>
        <charset val="134"/>
      </rPr>
      <t>废料折现</t>
    </r>
    <r>
      <rPr>
        <sz val="8"/>
        <rFont val="Arial"/>
        <charset val="134"/>
      </rPr>
      <t>1305=19559.16</t>
    </r>
  </si>
  <si>
    <t>J4191</t>
  </si>
  <si>
    <t>2x20GP 轻钢龙骨</t>
  </si>
  <si>
    <t>客户订舱 每捆上贴“条形码” 同J4129 4163</t>
  </si>
  <si>
    <t>J4202</t>
  </si>
  <si>
    <t>临沂诺瓦装饰</t>
  </si>
  <si>
    <t>1000支菱形打孔边角</t>
  </si>
  <si>
    <t>J4205</t>
  </si>
  <si>
    <t>北京DHL4748991892 出form E VO金额和客户确定  寄件地址每次和客户确认 同J4171</t>
  </si>
  <si>
    <t>迪斯泰订舱MCC2600，盛汇通拖车报关</t>
  </si>
  <si>
    <r>
      <rPr>
        <sz val="8"/>
        <rFont val="宋体"/>
        <charset val="134"/>
      </rPr>
      <t>中冶与印尼的货值差是$1028.16 与印尼发票值</t>
    </r>
    <r>
      <rPr>
        <sz val="8"/>
        <rFont val="Arial"/>
        <charset val="134"/>
      </rPr>
      <t>$35185.92  2022.3.18</t>
    </r>
    <r>
      <rPr>
        <sz val="8"/>
        <rFont val="宋体"/>
        <charset val="134"/>
      </rPr>
      <t>退回</t>
    </r>
    <r>
      <rPr>
        <sz val="8"/>
        <rFont val="Arial"/>
        <charset val="134"/>
      </rPr>
      <t>15</t>
    </r>
    <r>
      <rPr>
        <sz val="8"/>
        <rFont val="宋体"/>
        <charset val="134"/>
      </rPr>
      <t>万人民币</t>
    </r>
    <r>
      <rPr>
        <sz val="8"/>
        <rFont val="Arial"/>
        <charset val="134"/>
      </rPr>
      <t xml:space="preserve"> </t>
    </r>
    <r>
      <rPr>
        <sz val="8"/>
        <rFont val="宋体"/>
        <charset val="134"/>
      </rPr>
      <t>（汇率6.35 23622.05美金）</t>
    </r>
    <r>
      <rPr>
        <sz val="8"/>
        <rFont val="Arial"/>
        <charset val="134"/>
      </rPr>
      <t xml:space="preserve"> 2764.42</t>
    </r>
    <r>
      <rPr>
        <sz val="8"/>
        <rFont val="宋体"/>
        <charset val="134"/>
      </rPr>
      <t>美金</t>
    </r>
    <r>
      <rPr>
        <sz val="8"/>
        <rFont val="Arial"/>
        <charset val="134"/>
      </rPr>
      <t>=34358+15000+12214.34-35185.92-23622</t>
    </r>
    <r>
      <rPr>
        <sz val="8"/>
        <rFont val="宋体"/>
        <charset val="134"/>
      </rPr>
      <t>退回的</t>
    </r>
  </si>
  <si>
    <t>J4208</t>
  </si>
  <si>
    <t>500支烤漆</t>
  </si>
  <si>
    <t>J4217-2</t>
  </si>
  <si>
    <t>1x40HQ轻钢龙骨</t>
  </si>
  <si>
    <t>每捆上贴“条形码” 同J4163-2</t>
  </si>
  <si>
    <t>惠禾订舱中远，盛汇通拖车报关</t>
  </si>
  <si>
    <t>J4217-1</t>
  </si>
  <si>
    <t>转船 客户订舱 每捆上贴“条形码” 同J4163-2</t>
  </si>
  <si>
    <t>惠禾订舱MSC，盛汇通拖车报关</t>
  </si>
  <si>
    <r>
      <rPr>
        <sz val="8"/>
        <rFont val="宋体"/>
        <charset val="134"/>
      </rPr>
      <t>多</t>
    </r>
    <r>
      <rPr>
        <sz val="8"/>
        <rFont val="Arial"/>
        <charset val="134"/>
      </rPr>
      <t>134</t>
    </r>
    <r>
      <rPr>
        <sz val="8"/>
        <rFont val="宋体"/>
        <charset val="134"/>
      </rPr>
      <t>美金</t>
    </r>
  </si>
  <si>
    <t>J4218</t>
  </si>
  <si>
    <t>甩货已付 w608双白付骨剩下了20件，中次剩下了24件 以色列目的港限重26.5吨 客户订舱安排拖车报关 同J4080 4175</t>
  </si>
  <si>
    <t>客户安排订舱拖车</t>
  </si>
  <si>
    <t>J4229</t>
  </si>
  <si>
    <t>平面烤漆龙骨</t>
  </si>
  <si>
    <t>发货到广东佛山</t>
  </si>
  <si>
    <t>J4230</t>
  </si>
  <si>
    <t>斯里兰卡Green global/Mohamed</t>
  </si>
  <si>
    <t>1x40HQ 烤漆</t>
  </si>
  <si>
    <t>DHL3580532826 低报发票 正本 FORM B(APTA) 提单总重量需要低报3吨 报关也是</t>
  </si>
  <si>
    <r>
      <rPr>
        <sz val="8"/>
        <color theme="1"/>
        <rFont val="宋体"/>
        <charset val="134"/>
      </rPr>
      <t xml:space="preserve">深圳佳云订舱MSK，汇昌拖车 </t>
    </r>
    <r>
      <rPr>
        <sz val="8"/>
        <color rgb="FFFF0000"/>
        <rFont val="宋体"/>
        <charset val="134"/>
      </rPr>
      <t>金凯一达通报关</t>
    </r>
  </si>
  <si>
    <t>J4233-2</t>
  </si>
  <si>
    <t>客户订舱 每捆上贴“条形码” 同J4163-2 4127</t>
  </si>
  <si>
    <t>惠禾订舱中远，小杜拖车报关</t>
  </si>
  <si>
    <t>J4233-1</t>
  </si>
  <si>
    <t>惠禾订舱MSC，小杜拖车报关</t>
  </si>
  <si>
    <t>J4234</t>
  </si>
  <si>
    <t>以色列目的港限重26.5吨 客户订舱安排拖车报关 同J4218</t>
  </si>
  <si>
    <t>J4235</t>
  </si>
  <si>
    <r>
      <rPr>
        <sz val="8"/>
        <rFont val="宋体"/>
        <charset val="134"/>
      </rPr>
      <t xml:space="preserve">货好 新厂装箱 货好 经济危机 等消息订舱 </t>
    </r>
    <r>
      <rPr>
        <sz val="8"/>
        <color rgb="FF0000FF"/>
        <rFont val="宋体"/>
        <charset val="134"/>
      </rPr>
      <t>还换收货人？</t>
    </r>
    <r>
      <rPr>
        <sz val="8"/>
        <rFont val="宋体"/>
        <charset val="134"/>
      </rPr>
      <t xml:space="preserve"> 10天免用箱 FORM B(APTA) 提单总重量需要低报3吨 同J4230</t>
    </r>
  </si>
  <si>
    <r>
      <rPr>
        <sz val="8"/>
        <color theme="1"/>
        <rFont val="宋体"/>
        <charset val="134"/>
      </rPr>
      <t xml:space="preserve">迪斯泰订舱MSK5083+75/5175，迪斯泰拖车 </t>
    </r>
    <r>
      <rPr>
        <sz val="8"/>
        <color rgb="FFFF0000"/>
        <rFont val="宋体"/>
        <charset val="134"/>
      </rPr>
      <t>金凯一达通报关</t>
    </r>
  </si>
  <si>
    <t>J4240</t>
  </si>
  <si>
    <t>港杂报价高 岩棉600装卸费 无单据 同M4149</t>
  </si>
  <si>
    <t>深圳WiseCargo订舱CMA,小杜拖车报关</t>
  </si>
  <si>
    <t>J4241</t>
  </si>
  <si>
    <t>岩棉 无单据 同M4149</t>
  </si>
  <si>
    <t>J4248</t>
  </si>
  <si>
    <t>1x40HQ 小付骨</t>
  </si>
  <si>
    <r>
      <rPr>
        <sz val="8"/>
        <color rgb="FFFF0000"/>
        <rFont val="宋体"/>
        <charset val="134"/>
      </rPr>
      <t>18号装21号全天报数据</t>
    </r>
    <r>
      <rPr>
        <sz val="8"/>
        <rFont val="宋体"/>
        <charset val="134"/>
      </rPr>
      <t xml:space="preserve"> 寄件地址变了 出form E VO金额和客户确定  寄件地址每次和客户确认 同J4171 4205</t>
    </r>
  </si>
  <si>
    <t>迪斯泰订舱MCC2764，小杜拖车报关</t>
  </si>
  <si>
    <t>J4249</t>
  </si>
  <si>
    <t>出form E VO金额和客户确定  寄件地址每次和客户确认 同J4171 4205</t>
  </si>
  <si>
    <t>J4247</t>
  </si>
  <si>
    <t>轻钢龙骨+烤漆</t>
  </si>
  <si>
    <t>已好 从工厂运到义乌货 工厂提供箱单，发票, 装箱照片 同J4126 4168</t>
  </si>
  <si>
    <t>J4239</t>
  </si>
  <si>
    <t>客户订舱 每捆上贴“条形码” 同J4127 4233</t>
  </si>
  <si>
    <t>J4239-1</t>
  </si>
  <si>
    <t>1*40HQ 轻钢龙骨</t>
  </si>
  <si>
    <t>J4266</t>
  </si>
  <si>
    <r>
      <rPr>
        <sz val="8"/>
        <color rgb="FF0000FF"/>
        <rFont val="宋体"/>
        <charset val="134"/>
      </rPr>
      <t>送货前收款</t>
    </r>
    <r>
      <rPr>
        <sz val="8"/>
        <rFont val="宋体"/>
        <charset val="134"/>
      </rPr>
      <t xml:space="preserve"> 出正本和FB 运费1千 本地费用1300+40舱单 卸货费240</t>
    </r>
  </si>
  <si>
    <t>中和赵洪玲订舱</t>
  </si>
  <si>
    <t>J4267</t>
  </si>
  <si>
    <t>天津WING CHONG/Alieen</t>
  </si>
  <si>
    <t>1x20GP 打孔边角</t>
  </si>
  <si>
    <t>生产前三天通知，我司去验货</t>
  </si>
  <si>
    <t>客户安排订舱CMA，小杜拖车报关</t>
  </si>
  <si>
    <t>J4268</t>
  </si>
  <si>
    <t>1x40HQ &amp;1x20FCL 轻钢龙骨</t>
  </si>
  <si>
    <t>CO 保单 电放 单据扫描件即可 同M4151</t>
  </si>
  <si>
    <t>惠禾订舱中远5800/6900，小杜拖车报关</t>
  </si>
  <si>
    <t>J4270</t>
  </si>
  <si>
    <t>1x20GP 烤漆龙骨</t>
  </si>
  <si>
    <t>以色列目的港限重26.5吨 客户订舱安排拖车报关 同J4218 4234</t>
  </si>
  <si>
    <t>J4275</t>
  </si>
  <si>
    <t>以色列目的港限重26.5吨 客户订舱安排拖车报关 同J4234 4270</t>
  </si>
  <si>
    <t>J4273</t>
  </si>
  <si>
    <t>1x20GP钉子</t>
  </si>
  <si>
    <t>10号装箱 13号上午报齐数据  天津华天装箱 水泥钉 HS: 73182900
灯钩 HS: 73181300  华悦信保走9710模式 5.15号货好  交期大概25-30天</t>
  </si>
  <si>
    <r>
      <rPr>
        <sz val="8"/>
        <color theme="1"/>
        <rFont val="宋体"/>
        <charset val="134"/>
      </rPr>
      <t xml:space="preserve">惠禾订舱中远5800，小杜拖车 汇昌报关 </t>
    </r>
    <r>
      <rPr>
        <sz val="8"/>
        <color rgb="FFFF0000"/>
        <rFont val="宋体"/>
        <charset val="134"/>
      </rPr>
      <t>华悦9710模式</t>
    </r>
  </si>
  <si>
    <t>J4285-1</t>
  </si>
  <si>
    <t>客户订舱 每捆上贴“条形码” 同J4233 4239</t>
  </si>
  <si>
    <t>J4285-2</t>
  </si>
  <si>
    <t>J4285-2+J4233-1客户订舱 每捆上贴“条形码” 同J4233 4239</t>
  </si>
  <si>
    <t>J4291</t>
  </si>
  <si>
    <t>同J4177</t>
  </si>
  <si>
    <t>代理Shipair订舱</t>
  </si>
  <si>
    <t>J4293</t>
  </si>
  <si>
    <t>烤漆龙骨</t>
  </si>
  <si>
    <t>同J3826</t>
  </si>
  <si>
    <t>J4311</t>
  </si>
  <si>
    <t>出form E VO金额和客户确定  寄件地址每次和客户确认 同J4205 4248 4249</t>
  </si>
  <si>
    <t>J4312</t>
  </si>
  <si>
    <t>出form E VO金额和客户确定  寄件地址每次和客户确认 同J4248 4249</t>
  </si>
  <si>
    <t>J4313</t>
  </si>
  <si>
    <t>石家庄北华矿棉板</t>
  </si>
  <si>
    <t>打孔边角</t>
  </si>
  <si>
    <t xml:space="preserve">X3696 </t>
  </si>
  <si>
    <r>
      <rPr>
        <sz val="8"/>
        <rFont val="宋体"/>
        <charset val="134"/>
      </rPr>
      <t>佛山市逸日盈进出口</t>
    </r>
    <r>
      <rPr>
        <sz val="8"/>
        <rFont val="Arial"/>
        <charset val="134"/>
      </rPr>
      <t>/</t>
    </r>
    <r>
      <rPr>
        <sz val="8"/>
        <rFont val="宋体"/>
        <charset val="134"/>
      </rPr>
      <t>冼先生</t>
    </r>
  </si>
  <si>
    <t>轻钢边角</t>
  </si>
  <si>
    <r>
      <rPr>
        <b/>
        <sz val="8"/>
        <rFont val="Arial"/>
        <charset val="134"/>
      </rPr>
      <t>广东佛山</t>
    </r>
    <r>
      <rPr>
        <b/>
        <sz val="8"/>
        <rFont val="Arial"/>
        <charset val="134"/>
      </rPr>
      <t xml:space="preserve">-- </t>
    </r>
    <r>
      <rPr>
        <b/>
        <sz val="8"/>
        <rFont val="宋体"/>
        <charset val="134"/>
      </rPr>
      <t>山东伟成付骨</t>
    </r>
  </si>
  <si>
    <t>X3748-2</t>
  </si>
  <si>
    <r>
      <rPr>
        <sz val="8"/>
        <rFont val="宋体"/>
        <charset val="134"/>
      </rPr>
      <t>沙特</t>
    </r>
    <r>
      <rPr>
        <sz val="8"/>
        <rFont val="Arial"/>
        <charset val="134"/>
      </rPr>
      <t>NOGOOM/Abdulrahman</t>
    </r>
  </si>
  <si>
    <r>
      <rPr>
        <sz val="8"/>
        <rFont val="Arial"/>
        <charset val="134"/>
      </rPr>
      <t>1x20GP</t>
    </r>
    <r>
      <rPr>
        <sz val="8"/>
        <rFont val="宋体"/>
        <charset val="134"/>
      </rPr>
      <t>空调支架及配件</t>
    </r>
  </si>
  <si>
    <t>xingang-JEDDAH, SAUDI ARABIA</t>
  </si>
  <si>
    <t>DHL8927796695 按低报出保险 CO 低报CCPIT</t>
  </si>
  <si>
    <r>
      <rPr>
        <sz val="8"/>
        <rFont val="宋体"/>
        <charset val="134"/>
      </rPr>
      <t>永鑫海中远</t>
    </r>
    <r>
      <rPr>
        <sz val="8"/>
        <rFont val="Arial"/>
        <charset val="134"/>
      </rPr>
      <t>1000,</t>
    </r>
    <r>
      <rPr>
        <sz val="8"/>
        <rFont val="宋体"/>
        <charset val="134"/>
      </rPr>
      <t>拖车报关</t>
    </r>
  </si>
  <si>
    <t>X3748-2客户水单25000美金 除去尾款多付4142美金 X3748-1尾款少付了一点66.47 和-2一起付</t>
  </si>
  <si>
    <t>X3748-1</t>
  </si>
  <si>
    <t>DHL8577662564 买单 CO CCPIT 除了COC这次要做saber,其他的都是一样的</t>
  </si>
  <si>
    <t>迪斯泰订舱APL1325，拖车报关</t>
  </si>
  <si>
    <r>
      <rPr>
        <sz val="8"/>
        <rFont val="宋体"/>
        <charset val="134"/>
      </rPr>
      <t>实际尾款</t>
    </r>
    <r>
      <rPr>
        <sz val="8"/>
        <rFont val="Arial"/>
        <charset val="134"/>
      </rPr>
      <t>$20792.16</t>
    </r>
    <r>
      <rPr>
        <sz val="8"/>
        <rFont val="宋体"/>
        <charset val="134"/>
      </rPr>
      <t>客户水单</t>
    </r>
    <r>
      <rPr>
        <sz val="8"/>
        <rFont val="Arial"/>
        <charset val="134"/>
      </rPr>
      <t>$20725.69</t>
    </r>
  </si>
  <si>
    <t>X3807</t>
  </si>
  <si>
    <r>
      <rPr>
        <sz val="8"/>
        <rFont val="宋体"/>
        <charset val="134"/>
      </rPr>
      <t>轻钢</t>
    </r>
    <r>
      <rPr>
        <sz val="8"/>
        <rFont val="Arial"/>
        <charset val="134"/>
      </rPr>
      <t>+</t>
    </r>
    <r>
      <rPr>
        <sz val="8"/>
        <rFont val="宋体"/>
        <charset val="134"/>
      </rPr>
      <t>纸带</t>
    </r>
    <r>
      <rPr>
        <sz val="8"/>
        <rFont val="Arial"/>
        <charset val="134"/>
      </rPr>
      <t>+</t>
    </r>
    <r>
      <rPr>
        <sz val="8"/>
        <rFont val="宋体"/>
        <charset val="134"/>
      </rPr>
      <t>干壁钉</t>
    </r>
  </si>
  <si>
    <t>改发货到天津了  卸费以及运费，华天工贸卞经理处装柜，需要配合提供相应数据，箱单发票</t>
  </si>
  <si>
    <t>X3846</t>
  </si>
  <si>
    <t>秘鲁MARTIN</t>
  </si>
  <si>
    <t xml:space="preserve">1*40HQ玻璃棉 &amp; 玻纤卷 &amp; 纸带 </t>
  </si>
  <si>
    <t>xiangang-CALLAO, PERU</t>
  </si>
  <si>
    <r>
      <rPr>
        <sz val="8"/>
        <rFont val="宋体"/>
        <charset val="134"/>
      </rPr>
      <t>DHL6418732876</t>
    </r>
    <r>
      <rPr>
        <sz val="8"/>
        <color theme="1"/>
        <rFont val="宋体"/>
        <charset val="134"/>
      </rPr>
      <t xml:space="preserve"> 信用证 645美金到账了 出CO</t>
    </r>
  </si>
  <si>
    <r>
      <rPr>
        <sz val="8"/>
        <color theme="1"/>
        <rFont val="宋体"/>
        <charset val="134"/>
      </rPr>
      <t>客户订舱</t>
    </r>
    <r>
      <rPr>
        <sz val="8"/>
        <color theme="1"/>
        <rFont val="Arial"/>
        <charset val="134"/>
      </rPr>
      <t>MSK</t>
    </r>
    <r>
      <rPr>
        <sz val="8"/>
        <color theme="1"/>
        <rFont val="宋体"/>
        <charset val="134"/>
      </rPr>
      <t>，会昌拖车报关</t>
    </r>
  </si>
  <si>
    <t>X3866-1</t>
  </si>
  <si>
    <t>沙特NOGOOM/Abdulrahman</t>
  </si>
  <si>
    <r>
      <rPr>
        <sz val="8"/>
        <rFont val="宋体"/>
        <charset val="134"/>
      </rPr>
      <t>DHL3319499061 低报CCPIT CO 同</t>
    </r>
    <r>
      <rPr>
        <sz val="8"/>
        <rFont val="Arial"/>
        <charset val="134"/>
      </rPr>
      <t>X3748</t>
    </r>
  </si>
  <si>
    <t>会昌订舱中远1430，拖车报关</t>
  </si>
  <si>
    <t>X3866-2</t>
  </si>
  <si>
    <t>DHL2194332862 28托1 保单 低报CCPIT CO X3748</t>
  </si>
  <si>
    <r>
      <rPr>
        <sz val="8"/>
        <rFont val="宋体"/>
        <charset val="134"/>
      </rPr>
      <t>迪斯泰订舱</t>
    </r>
    <r>
      <rPr>
        <sz val="8"/>
        <rFont val="Arial"/>
        <charset val="134"/>
      </rPr>
      <t>HPL5000,</t>
    </r>
    <r>
      <rPr>
        <sz val="8"/>
        <rFont val="宋体"/>
        <charset val="134"/>
      </rPr>
      <t>白沟源远拖车报关</t>
    </r>
  </si>
  <si>
    <t>X3963</t>
  </si>
  <si>
    <r>
      <rPr>
        <sz val="8"/>
        <color rgb="FFFF0000"/>
        <rFont val="宋体"/>
        <charset val="134"/>
      </rPr>
      <t>2*40NOR</t>
    </r>
    <r>
      <rPr>
        <sz val="8"/>
        <rFont val="宋体"/>
        <charset val="134"/>
      </rPr>
      <t>玻璃棉</t>
    </r>
    <r>
      <rPr>
        <sz val="8"/>
        <rFont val="Arial"/>
        <charset val="134"/>
      </rPr>
      <t>&amp;</t>
    </r>
    <r>
      <rPr>
        <sz val="8"/>
        <rFont val="宋体"/>
        <charset val="134"/>
      </rPr>
      <t>纸带</t>
    </r>
    <r>
      <rPr>
        <sz val="8"/>
        <rFont val="Arial"/>
        <charset val="134"/>
      </rPr>
      <t>&amp;</t>
    </r>
    <r>
      <rPr>
        <sz val="8"/>
        <rFont val="宋体"/>
        <charset val="134"/>
      </rPr>
      <t>玻纤带</t>
    </r>
  </si>
  <si>
    <r>
      <rPr>
        <sz val="8"/>
        <rFont val="宋体"/>
        <charset val="134"/>
      </rPr>
      <t>DHL4725871021 CO 机检 客户订舱的话提醒客户天津出单 NOR container用冷代普 同</t>
    </r>
    <r>
      <rPr>
        <sz val="8"/>
        <rFont val="Arial"/>
        <charset val="134"/>
      </rPr>
      <t>X3846</t>
    </r>
  </si>
  <si>
    <t>深圳三麦订舱中远，汇昌拖车报关</t>
  </si>
  <si>
    <t>X4180</t>
  </si>
  <si>
    <t>1*20GP铁丝</t>
  </si>
  <si>
    <t>安排到铁丝工厂装箱 跟M4151一起发</t>
  </si>
  <si>
    <t>Amy</t>
  </si>
  <si>
    <t>J3665</t>
  </si>
  <si>
    <t>A</t>
  </si>
  <si>
    <r>
      <rPr>
        <sz val="8"/>
        <rFont val="Arial"/>
        <charset val="134"/>
      </rPr>
      <t>印度</t>
    </r>
    <r>
      <rPr>
        <sz val="8"/>
        <rFont val="Arial"/>
        <charset val="134"/>
      </rPr>
      <t xml:space="preserve"> BHARAT /Raju</t>
    </r>
  </si>
  <si>
    <r>
      <rPr>
        <sz val="8"/>
        <rFont val="Arial"/>
        <charset val="134"/>
      </rPr>
      <t xml:space="preserve">1x20 </t>
    </r>
    <r>
      <rPr>
        <sz val="9"/>
        <rFont val="宋体"/>
        <charset val="134"/>
      </rPr>
      <t>烤漆</t>
    </r>
  </si>
  <si>
    <t>催款，年前寄单</t>
  </si>
  <si>
    <r>
      <rPr>
        <sz val="8"/>
        <color theme="1"/>
        <rFont val="Arial"/>
        <charset val="134"/>
      </rPr>
      <t>天津誉洲订舱</t>
    </r>
    <r>
      <rPr>
        <sz val="9"/>
        <rFont val="Arial"/>
        <charset val="134"/>
      </rPr>
      <t>953</t>
    </r>
    <r>
      <rPr>
        <sz val="9"/>
        <rFont val="宋体"/>
        <charset val="134"/>
      </rPr>
      <t>，鸣远拖车，金凯一达通报关</t>
    </r>
  </si>
  <si>
    <t>J3688</t>
  </si>
  <si>
    <r>
      <rPr>
        <sz val="8"/>
        <rFont val="Arial"/>
        <charset val="134"/>
      </rPr>
      <t>马其顿</t>
    </r>
    <r>
      <rPr>
        <sz val="8"/>
        <rFont val="Arial"/>
        <charset val="134"/>
      </rPr>
      <t xml:space="preserve"> LID/Ljupce</t>
    </r>
  </si>
  <si>
    <r>
      <rPr>
        <sz val="8"/>
        <rFont val="Arial"/>
        <charset val="134"/>
      </rPr>
      <t>1x40</t>
    </r>
    <r>
      <rPr>
        <sz val="9"/>
        <rFont val="宋体"/>
        <charset val="134"/>
      </rPr>
      <t>轻钢</t>
    </r>
  </si>
  <si>
    <t>xingang-greece</t>
  </si>
  <si>
    <t>dhl:4347342204</t>
  </si>
  <si>
    <t>张进山订舱，狄思泰拖车报关</t>
  </si>
  <si>
    <t>尾款分了三次打的</t>
  </si>
  <si>
    <t>X3697</t>
  </si>
  <si>
    <r>
      <rPr>
        <sz val="8"/>
        <rFont val="Arial"/>
        <charset val="134"/>
      </rPr>
      <t>迪拜</t>
    </r>
    <r>
      <rPr>
        <sz val="8"/>
        <rFont val="Arial"/>
        <charset val="134"/>
      </rPr>
      <t xml:space="preserve"> AL OMRAN/Muneer</t>
    </r>
  </si>
  <si>
    <r>
      <rPr>
        <sz val="8"/>
        <rFont val="Arial"/>
        <charset val="134"/>
      </rPr>
      <t>2x20PVC</t>
    </r>
    <r>
      <rPr>
        <sz val="9"/>
        <rFont val="宋体"/>
        <charset val="134"/>
      </rPr>
      <t>石膏板</t>
    </r>
  </si>
  <si>
    <t>qingdao-jebel ali</t>
  </si>
  <si>
    <t>dhl:4347367080</t>
  </si>
  <si>
    <r>
      <rPr>
        <sz val="8"/>
        <rFont val="宋体"/>
        <charset val="134"/>
      </rPr>
      <t>青岛凯瑞德订舱</t>
    </r>
    <r>
      <rPr>
        <sz val="8"/>
        <rFont val="Arial"/>
        <charset val="134"/>
      </rPr>
      <t>1100</t>
    </r>
    <r>
      <rPr>
        <sz val="8"/>
        <rFont val="宋体"/>
        <charset val="134"/>
      </rPr>
      <t>，华勤拖车报关</t>
    </r>
  </si>
  <si>
    <t>X3698</t>
  </si>
  <si>
    <r>
      <rPr>
        <sz val="8"/>
        <rFont val="Arial"/>
        <charset val="134"/>
      </rPr>
      <t>沙迦</t>
    </r>
    <r>
      <rPr>
        <sz val="8"/>
        <rFont val="Arial"/>
        <charset val="134"/>
      </rPr>
      <t xml:space="preserve"> AL BADYA/Salim</t>
    </r>
  </si>
  <si>
    <t>dhl:3748257181</t>
  </si>
  <si>
    <r>
      <rPr>
        <sz val="9"/>
        <rFont val="宋体"/>
        <charset val="134"/>
      </rPr>
      <t>青岛凯瑞德订舱</t>
    </r>
    <r>
      <rPr>
        <sz val="9"/>
        <rFont val="Arial"/>
        <charset val="134"/>
      </rPr>
      <t>1800</t>
    </r>
    <r>
      <rPr>
        <sz val="9"/>
        <rFont val="宋体"/>
        <charset val="134"/>
      </rPr>
      <t>，张静拖车报关</t>
    </r>
  </si>
  <si>
    <r>
      <rPr>
        <sz val="9"/>
        <rFont val="宋体"/>
        <charset val="134"/>
      </rPr>
      <t>实际尾款</t>
    </r>
    <r>
      <rPr>
        <sz val="9"/>
        <rFont val="Arial"/>
        <charset val="134"/>
      </rPr>
      <t>8311.3</t>
    </r>
  </si>
  <si>
    <t>J3714</t>
  </si>
  <si>
    <r>
      <rPr>
        <sz val="8"/>
        <rFont val="Arial"/>
        <charset val="134"/>
      </rPr>
      <t>沙特</t>
    </r>
    <r>
      <rPr>
        <sz val="8"/>
        <rFont val="Arial"/>
        <charset val="134"/>
      </rPr>
      <t>IBS/Eyad</t>
    </r>
  </si>
  <si>
    <r>
      <rPr>
        <sz val="8"/>
        <rFont val="Arial"/>
        <charset val="134"/>
      </rPr>
      <t>1x20</t>
    </r>
    <r>
      <rPr>
        <sz val="8"/>
        <rFont val="宋体"/>
        <charset val="134"/>
      </rPr>
      <t>螺杆</t>
    </r>
  </si>
  <si>
    <t>xingang-riyadh</t>
  </si>
  <si>
    <r>
      <rPr>
        <sz val="9"/>
        <rFont val="Arial"/>
        <charset val="134"/>
      </rPr>
      <t>30</t>
    </r>
    <r>
      <rPr>
        <sz val="9"/>
        <rFont val="宋体"/>
        <charset val="134"/>
      </rPr>
      <t>号到利雅得</t>
    </r>
    <r>
      <rPr>
        <sz val="9"/>
        <rFont val="Arial"/>
        <charset val="134"/>
      </rPr>
      <t xml:space="preserve">  </t>
    </r>
    <r>
      <rPr>
        <sz val="9"/>
        <rFont val="宋体"/>
        <charset val="134"/>
      </rPr>
      <t>打款出现问题</t>
    </r>
  </si>
  <si>
    <r>
      <rPr>
        <sz val="8"/>
        <rFont val="宋体"/>
        <charset val="134"/>
      </rPr>
      <t>实际尾款</t>
    </r>
    <r>
      <rPr>
        <sz val="8"/>
        <rFont val="Cambria"/>
        <charset val="134"/>
      </rPr>
      <t xml:space="preserve">$19279  </t>
    </r>
    <r>
      <rPr>
        <sz val="8"/>
        <rFont val="宋体"/>
        <charset val="134"/>
      </rPr>
      <t>给了</t>
    </r>
    <r>
      <rPr>
        <sz val="8"/>
        <rFont val="Cambria"/>
        <charset val="134"/>
      </rPr>
      <t>500USD</t>
    </r>
    <r>
      <rPr>
        <sz val="8"/>
        <rFont val="宋体"/>
        <charset val="134"/>
      </rPr>
      <t>的折扣</t>
    </r>
  </si>
  <si>
    <t>J3711</t>
  </si>
  <si>
    <r>
      <rPr>
        <sz val="8"/>
        <rFont val="宋体"/>
        <charset val="134"/>
      </rPr>
      <t>斯里兰卡</t>
    </r>
    <r>
      <rPr>
        <sz val="8"/>
        <rFont val="Arial"/>
        <charset val="134"/>
      </rPr>
      <t>SM Trading/Hasim</t>
    </r>
  </si>
  <si>
    <r>
      <rPr>
        <sz val="8"/>
        <rFont val="Arial"/>
        <charset val="134"/>
      </rPr>
      <t xml:space="preserve">1x20 </t>
    </r>
    <r>
      <rPr>
        <sz val="8"/>
        <rFont val="宋体"/>
        <charset val="134"/>
      </rPr>
      <t>烤漆龙骨</t>
    </r>
  </si>
  <si>
    <t>xingang-colombo</t>
  </si>
  <si>
    <t>TNT GD507369045WW      CO 收到差额再交单 看邮件 低报发票 做DP 交单银行提前和客户核对信息</t>
  </si>
  <si>
    <r>
      <rPr>
        <sz val="8"/>
        <rFont val="宋体"/>
        <charset val="134"/>
      </rPr>
      <t>会昌订舱</t>
    </r>
    <r>
      <rPr>
        <sz val="8"/>
        <rFont val="Arial"/>
        <charset val="134"/>
      </rPr>
      <t>MSC650</t>
    </r>
    <r>
      <rPr>
        <sz val="8"/>
        <rFont val="宋体"/>
        <charset val="134"/>
      </rPr>
      <t>，会昌拖车，金凯抬头报关</t>
    </r>
  </si>
  <si>
    <t>Sarah</t>
  </si>
  <si>
    <t>J3261-S</t>
  </si>
  <si>
    <r>
      <rPr>
        <sz val="8"/>
        <rFont val="Arial"/>
        <charset val="134"/>
      </rPr>
      <t>济南潘奥，</t>
    </r>
    <r>
      <rPr>
        <sz val="8"/>
        <rFont val="Arial"/>
        <charset val="134"/>
      </rPr>
      <t>Richard</t>
    </r>
  </si>
  <si>
    <r>
      <rPr>
        <sz val="8"/>
        <rFont val="Arial"/>
        <charset val="134"/>
      </rPr>
      <t xml:space="preserve">1*20 </t>
    </r>
    <r>
      <rPr>
        <sz val="8"/>
        <rFont val="宋体"/>
        <charset val="134"/>
      </rPr>
      <t>八字黑线</t>
    </r>
  </si>
  <si>
    <r>
      <rPr>
        <sz val="8"/>
        <color rgb="FF0000FF"/>
        <rFont val="Arial"/>
        <charset val="134"/>
      </rPr>
      <t>25</t>
    </r>
    <r>
      <rPr>
        <sz val="8"/>
        <color indexed="39"/>
        <rFont val="宋体"/>
        <charset val="134"/>
      </rPr>
      <t>日已装货，</t>
    </r>
    <r>
      <rPr>
        <sz val="8"/>
        <rFont val="宋体"/>
        <charset val="134"/>
      </rPr>
      <t>王先生</t>
    </r>
    <r>
      <rPr>
        <sz val="8"/>
        <rFont val="Arial"/>
        <charset val="134"/>
      </rPr>
      <t xml:space="preserve"> qq 648837082.</t>
    </r>
  </si>
  <si>
    <t>指定代理安泰远达、</t>
  </si>
  <si>
    <t>J3262-1- S</t>
  </si>
  <si>
    <r>
      <rPr>
        <sz val="8"/>
        <rFont val="Arial"/>
        <charset val="134"/>
      </rPr>
      <t>货款齐，已经发走一半，另外半走</t>
    </r>
    <r>
      <rPr>
        <sz val="8"/>
        <rFont val="Arial"/>
        <charset val="134"/>
      </rPr>
      <t>J3262-2</t>
    </r>
  </si>
  <si>
    <t>J3262-2-S</t>
  </si>
  <si>
    <r>
      <rPr>
        <sz val="8"/>
        <rFont val="Arial"/>
        <charset val="134"/>
      </rPr>
      <t>货款已付清，货物未发走。甩货的</t>
    </r>
    <r>
      <rPr>
        <sz val="8"/>
        <rFont val="Arial"/>
        <charset val="134"/>
      </rPr>
      <t>232</t>
    </r>
    <r>
      <rPr>
        <sz val="8"/>
        <rFont val="宋体"/>
        <charset val="134"/>
      </rPr>
      <t>件一起发走。</t>
    </r>
  </si>
  <si>
    <t>J3276-S</t>
  </si>
  <si>
    <r>
      <rPr>
        <sz val="8"/>
        <rFont val="宋体"/>
        <charset val="134"/>
      </rPr>
      <t>印度</t>
    </r>
    <r>
      <rPr>
        <sz val="8"/>
        <rFont val="Arial"/>
        <charset val="134"/>
      </rPr>
      <t>Krishnav</t>
    </r>
    <r>
      <rPr>
        <sz val="8"/>
        <rFont val="宋体"/>
        <charset val="134"/>
      </rPr>
      <t>（</t>
    </r>
    <r>
      <rPr>
        <sz val="8"/>
        <rFont val="Arial"/>
        <charset val="134"/>
      </rPr>
      <t>Hiren Savaniya</t>
    </r>
    <r>
      <rPr>
        <sz val="8"/>
        <rFont val="宋体"/>
        <charset val="134"/>
      </rPr>
      <t>）</t>
    </r>
  </si>
  <si>
    <r>
      <rPr>
        <sz val="8"/>
        <rFont val="Arial"/>
        <charset val="134"/>
      </rPr>
      <t>1*20</t>
    </r>
    <r>
      <rPr>
        <sz val="8"/>
        <rFont val="宋体"/>
        <charset val="134"/>
      </rPr>
      <t>烤漆龙骨</t>
    </r>
  </si>
  <si>
    <r>
      <rPr>
        <sz val="8"/>
        <color indexed="10"/>
        <rFont val="Arial"/>
        <charset val="134"/>
      </rPr>
      <t>甩货</t>
    </r>
    <r>
      <rPr>
        <sz val="8"/>
        <color indexed="10"/>
        <rFont val="Arial"/>
        <charset val="134"/>
      </rPr>
      <t>150</t>
    </r>
    <r>
      <rPr>
        <sz val="8"/>
        <color indexed="10"/>
        <rFont val="宋体"/>
        <charset val="134"/>
      </rPr>
      <t>件平面副骨，货值</t>
    </r>
    <r>
      <rPr>
        <sz val="8"/>
        <color indexed="10"/>
        <rFont val="Arial"/>
        <charset val="134"/>
      </rPr>
      <t>$1440,</t>
    </r>
    <r>
      <rPr>
        <sz val="8"/>
        <color indexed="10"/>
        <rFont val="宋体"/>
        <charset val="134"/>
      </rPr>
      <t>客户说下个订单一起付</t>
    </r>
  </si>
  <si>
    <t>克运拖车，一达通报关</t>
  </si>
  <si>
    <t>J3280-S</t>
  </si>
  <si>
    <r>
      <rPr>
        <sz val="8"/>
        <rFont val="Arial"/>
        <charset val="134"/>
      </rPr>
      <t>沙特</t>
    </r>
    <r>
      <rPr>
        <sz val="8"/>
        <rFont val="Arial"/>
        <charset val="134"/>
      </rPr>
      <t>Eastern Top,Nasir</t>
    </r>
  </si>
  <si>
    <r>
      <rPr>
        <sz val="8"/>
        <rFont val="Arial"/>
        <charset val="134"/>
      </rPr>
      <t>1*40</t>
    </r>
    <r>
      <rPr>
        <sz val="8"/>
        <rFont val="宋体"/>
        <charset val="134"/>
      </rPr>
      <t>轻钢龙骨</t>
    </r>
  </si>
  <si>
    <r>
      <rPr>
        <sz val="8"/>
        <rFont val="Arial"/>
        <charset val="134"/>
      </rPr>
      <t>CO</t>
    </r>
    <r>
      <rPr>
        <sz val="8"/>
        <rFont val="宋体"/>
        <charset val="134"/>
      </rPr>
      <t>和发票贸促会认证。单据已邮寄。欠客户</t>
    </r>
    <r>
      <rPr>
        <sz val="8"/>
        <rFont val="Arial"/>
        <charset val="134"/>
      </rPr>
      <t>650</t>
    </r>
    <r>
      <rPr>
        <sz val="8"/>
        <rFont val="宋体"/>
        <charset val="134"/>
      </rPr>
      <t>支</t>
    </r>
    <r>
      <rPr>
        <sz val="8"/>
        <rFont val="Arial"/>
        <charset val="134"/>
      </rPr>
      <t>track</t>
    </r>
    <r>
      <rPr>
        <sz val="8"/>
        <rFont val="宋体"/>
        <charset val="134"/>
      </rPr>
      <t>，</t>
    </r>
    <r>
      <rPr>
        <sz val="8"/>
        <rFont val="Arial"/>
        <charset val="134"/>
      </rPr>
      <t>$463.45</t>
    </r>
    <r>
      <rPr>
        <sz val="8"/>
        <rFont val="宋体"/>
        <charset val="134"/>
      </rPr>
      <t>美金（王姐按</t>
    </r>
    <r>
      <rPr>
        <sz val="8"/>
        <rFont val="Arial"/>
        <charset val="134"/>
      </rPr>
      <t>2%</t>
    </r>
    <r>
      <rPr>
        <sz val="8"/>
        <rFont val="宋体"/>
        <charset val="134"/>
      </rPr>
      <t>佣金，记在账上）</t>
    </r>
  </si>
  <si>
    <r>
      <rPr>
        <sz val="8"/>
        <rFont val="Arial"/>
        <charset val="134"/>
      </rPr>
      <t>克运订舱拖车报关，</t>
    </r>
    <r>
      <rPr>
        <sz val="8"/>
        <rFont val="Arial"/>
        <charset val="134"/>
      </rPr>
      <t>590</t>
    </r>
    <r>
      <rPr>
        <sz val="8"/>
        <rFont val="宋体"/>
        <charset val="134"/>
      </rPr>
      <t>美金</t>
    </r>
  </si>
  <si>
    <t>J3326-S</t>
  </si>
  <si>
    <r>
      <rPr>
        <sz val="8"/>
        <rFont val="Arial"/>
        <charset val="134"/>
      </rPr>
      <t>阿富汗</t>
    </r>
    <r>
      <rPr>
        <sz val="8"/>
        <rFont val="Arial"/>
        <charset val="134"/>
      </rPr>
      <t>Kandahar,Kablai Maris</t>
    </r>
  </si>
  <si>
    <r>
      <rPr>
        <sz val="8"/>
        <rFont val="Arial"/>
        <charset val="134"/>
      </rPr>
      <t xml:space="preserve"> 5000</t>
    </r>
    <r>
      <rPr>
        <sz val="8"/>
        <rFont val="宋体"/>
        <charset val="134"/>
      </rPr>
      <t>平米烤漆</t>
    </r>
  </si>
  <si>
    <r>
      <rPr>
        <sz val="8"/>
        <rFont val="Arial"/>
        <charset val="134"/>
      </rPr>
      <t>款齐。需要贴标签</t>
    </r>
    <r>
      <rPr>
        <sz val="8"/>
        <rFont val="Arial"/>
        <charset val="134"/>
      </rPr>
      <t>"MQZ"</t>
    </r>
    <r>
      <rPr>
        <sz val="8"/>
        <rFont val="宋体"/>
        <charset val="134"/>
      </rPr>
      <t>，已经跟萱萱说了</t>
    </r>
    <r>
      <rPr>
        <sz val="8"/>
        <rFont val="Arial"/>
        <charset val="134"/>
      </rPr>
      <t>10</t>
    </r>
    <r>
      <rPr>
        <sz val="8"/>
        <rFont val="Cambria"/>
        <charset val="134"/>
      </rPr>
      <t>月</t>
    </r>
    <r>
      <rPr>
        <sz val="8"/>
        <rFont val="Arial"/>
        <charset val="134"/>
      </rPr>
      <t>20</t>
    </r>
    <r>
      <rPr>
        <sz val="8"/>
        <rFont val="Cambria"/>
        <charset val="134"/>
      </rPr>
      <t>号左右发货</t>
    </r>
  </si>
  <si>
    <r>
      <rPr>
        <sz val="8"/>
        <rFont val="Arial"/>
        <charset val="134"/>
      </rPr>
      <t>送货地址：义乌端头二区</t>
    </r>
    <r>
      <rPr>
        <sz val="8"/>
        <rFont val="Arial"/>
        <charset val="134"/>
      </rPr>
      <t>19</t>
    </r>
    <r>
      <rPr>
        <sz val="8"/>
        <rFont val="宋体"/>
        <charset val="134"/>
      </rPr>
      <t>幢</t>
    </r>
    <r>
      <rPr>
        <sz val="8"/>
        <rFont val="Arial"/>
        <charset val="134"/>
      </rPr>
      <t>1</t>
    </r>
    <r>
      <rPr>
        <sz val="8"/>
        <rFont val="宋体"/>
        <charset val="134"/>
      </rPr>
      <t>楼</t>
    </r>
    <r>
      <rPr>
        <sz val="8"/>
        <rFont val="Arial"/>
        <charset val="134"/>
      </rPr>
      <t xml:space="preserve"> 13750957472 </t>
    </r>
    <r>
      <rPr>
        <sz val="8"/>
        <rFont val="宋体"/>
        <charset val="134"/>
      </rPr>
      <t>小周</t>
    </r>
  </si>
  <si>
    <t>J3328-S</t>
  </si>
  <si>
    <r>
      <rPr>
        <sz val="8"/>
        <rFont val="Arial"/>
        <charset val="134"/>
      </rPr>
      <t>印度</t>
    </r>
    <r>
      <rPr>
        <sz val="8"/>
        <rFont val="Arial"/>
        <charset val="134"/>
      </rPr>
      <t>PR Ceiling ,Ravi</t>
    </r>
  </si>
  <si>
    <r>
      <rPr>
        <sz val="8"/>
        <rFont val="Arial"/>
        <charset val="134"/>
      </rPr>
      <t xml:space="preserve">2x20’ </t>
    </r>
    <r>
      <rPr>
        <sz val="8"/>
        <rFont val="宋体"/>
        <charset val="134"/>
      </rPr>
      <t>烤漆</t>
    </r>
  </si>
  <si>
    <t>款到，已寄单。</t>
  </si>
  <si>
    <r>
      <rPr>
        <sz val="8"/>
        <rFont val="Arial"/>
        <charset val="134"/>
      </rPr>
      <t>指定代理华海</t>
    </r>
    <r>
      <rPr>
        <sz val="8"/>
        <rFont val="Arial"/>
        <charset val="134"/>
      </rPr>
      <t>Sera</t>
    </r>
    <r>
      <rPr>
        <sz val="8"/>
        <rFont val="Cambria"/>
        <charset val="134"/>
      </rPr>
      <t>，会昌拖车报关</t>
    </r>
  </si>
  <si>
    <t>J3349-S</t>
  </si>
  <si>
    <r>
      <rPr>
        <sz val="8"/>
        <rFont val="Arial"/>
        <charset val="134"/>
      </rPr>
      <t>济南潘奥</t>
    </r>
    <r>
      <rPr>
        <sz val="8"/>
        <rFont val="Arial"/>
        <charset val="134"/>
      </rPr>
      <t xml:space="preserve"> </t>
    </r>
  </si>
  <si>
    <r>
      <rPr>
        <sz val="8"/>
        <rFont val="Arial"/>
        <charset val="134"/>
      </rPr>
      <t xml:space="preserve">1*20 </t>
    </r>
    <r>
      <rPr>
        <sz val="8"/>
        <rFont val="宋体"/>
        <charset val="134"/>
      </rPr>
      <t>烤漆边角</t>
    </r>
  </si>
  <si>
    <t>安排了周一装。款已到</t>
  </si>
  <si>
    <r>
      <rPr>
        <sz val="8"/>
        <rFont val="Arial"/>
        <charset val="134"/>
      </rPr>
      <t>163200</t>
    </r>
    <r>
      <rPr>
        <sz val="8"/>
        <rFont val="宋体"/>
        <charset val="134"/>
      </rPr>
      <t>人民币</t>
    </r>
  </si>
  <si>
    <r>
      <rPr>
        <sz val="8"/>
        <rFont val="Arial"/>
        <charset val="134"/>
      </rPr>
      <t>50000</t>
    </r>
    <r>
      <rPr>
        <sz val="8"/>
        <rFont val="宋体"/>
        <charset val="134"/>
      </rPr>
      <t>人民币</t>
    </r>
  </si>
  <si>
    <t>J3354-S</t>
  </si>
  <si>
    <r>
      <rPr>
        <sz val="8"/>
        <rFont val="Arial"/>
        <charset val="134"/>
      </rPr>
      <t>厦门锡恩</t>
    </r>
    <r>
      <rPr>
        <sz val="8"/>
        <rFont val="Arial"/>
        <charset val="134"/>
      </rPr>
      <t xml:space="preserve"> </t>
    </r>
    <r>
      <rPr>
        <sz val="8"/>
        <rFont val="Cambria"/>
        <charset val="134"/>
      </rPr>
      <t>烤漆配件</t>
    </r>
    <r>
      <rPr>
        <sz val="8"/>
        <rFont val="Arial"/>
        <charset val="134"/>
      </rPr>
      <t xml:space="preserve"> 2972</t>
    </r>
    <r>
      <rPr>
        <sz val="8"/>
        <rFont val="Cambria"/>
        <charset val="134"/>
      </rPr>
      <t>元</t>
    </r>
  </si>
  <si>
    <t>J3359-S</t>
  </si>
  <si>
    <r>
      <rPr>
        <sz val="8"/>
        <rFont val="Arial"/>
        <charset val="134"/>
      </rPr>
      <t>印度</t>
    </r>
    <r>
      <rPr>
        <sz val="8"/>
        <rFont val="Arial"/>
        <charset val="134"/>
      </rPr>
      <t xml:space="preserve">Krishnav </t>
    </r>
    <r>
      <rPr>
        <sz val="8"/>
        <rFont val="宋体"/>
        <charset val="134"/>
      </rPr>
      <t>（</t>
    </r>
    <r>
      <rPr>
        <sz val="8"/>
        <rFont val="Arial"/>
        <charset val="134"/>
      </rPr>
      <t>Hiren</t>
    </r>
    <r>
      <rPr>
        <sz val="8"/>
        <rFont val="宋体"/>
        <charset val="134"/>
      </rPr>
      <t>）</t>
    </r>
  </si>
  <si>
    <r>
      <rPr>
        <sz val="8"/>
        <rFont val="Arial"/>
        <charset val="134"/>
      </rPr>
      <t>2x20</t>
    </r>
    <r>
      <rPr>
        <sz val="8"/>
        <rFont val="宋体"/>
        <charset val="134"/>
      </rPr>
      <t>烤漆龙骨</t>
    </r>
    <r>
      <rPr>
        <sz val="8"/>
        <rFont val="Arial"/>
        <charset val="134"/>
      </rPr>
      <t xml:space="preserve"> </t>
    </r>
    <r>
      <rPr>
        <sz val="8"/>
        <rFont val="宋体"/>
        <charset val="134"/>
      </rPr>
      <t>含黑线，金色</t>
    </r>
  </si>
  <si>
    <t>xiangang-nhava sheva</t>
  </si>
  <si>
    <r>
      <rPr>
        <sz val="8"/>
        <rFont val="Arial"/>
        <charset val="134"/>
      </rPr>
      <t>UNITEX</t>
    </r>
    <r>
      <rPr>
        <sz val="8"/>
        <rFont val="宋体"/>
        <charset val="134"/>
      </rPr>
      <t>订舱，锦硕拖车报关</t>
    </r>
  </si>
  <si>
    <t>$20814+$8659*6.73=58275RMB</t>
  </si>
  <si>
    <t>J3364-S</t>
  </si>
  <si>
    <r>
      <rPr>
        <sz val="8"/>
        <rFont val="Arial"/>
        <charset val="134"/>
      </rPr>
      <t>巴林</t>
    </r>
    <r>
      <rPr>
        <sz val="8"/>
        <rFont val="Arial"/>
        <charset val="134"/>
      </rPr>
      <t xml:space="preserve"> Alif </t>
    </r>
  </si>
  <si>
    <r>
      <rPr>
        <sz val="8"/>
        <rFont val="Arial"/>
        <charset val="134"/>
      </rPr>
      <t>1*20GP</t>
    </r>
    <r>
      <rPr>
        <sz val="8"/>
        <rFont val="宋体"/>
        <charset val="134"/>
      </rPr>
      <t>轻钢龙骨</t>
    </r>
    <r>
      <rPr>
        <sz val="8"/>
        <rFont val="Arial"/>
        <charset val="134"/>
      </rPr>
      <t xml:space="preserve"> </t>
    </r>
    <r>
      <rPr>
        <sz val="8"/>
        <rFont val="宋体"/>
        <charset val="134"/>
      </rPr>
      <t>（出厂前付清）</t>
    </r>
  </si>
  <si>
    <t>Xingang-KHALIFA BIN SALMAN PORT,BAHRAIN</t>
  </si>
  <si>
    <r>
      <rPr>
        <sz val="8"/>
        <rFont val="Arial"/>
        <charset val="134"/>
      </rPr>
      <t>小杜会昌订舱</t>
    </r>
    <r>
      <rPr>
        <sz val="8"/>
        <rFont val="Arial"/>
        <charset val="134"/>
      </rPr>
      <t>850</t>
    </r>
    <r>
      <rPr>
        <sz val="8"/>
        <rFont val="宋体"/>
        <charset val="134"/>
      </rPr>
      <t>，报客户</t>
    </r>
    <r>
      <rPr>
        <sz val="8"/>
        <rFont val="Arial"/>
        <charset val="134"/>
      </rPr>
      <t>850</t>
    </r>
    <r>
      <rPr>
        <sz val="8"/>
        <rFont val="宋体"/>
        <charset val="134"/>
      </rPr>
      <t>美金，会昌拖车报关</t>
    </r>
  </si>
  <si>
    <t>X3368-S</t>
  </si>
  <si>
    <r>
      <rPr>
        <sz val="8"/>
        <rFont val="Arial"/>
        <charset val="134"/>
      </rPr>
      <t>沙特</t>
    </r>
    <r>
      <rPr>
        <sz val="8"/>
        <rFont val="Arial"/>
        <charset val="134"/>
      </rPr>
      <t xml:space="preserve">OXGEN </t>
    </r>
  </si>
  <si>
    <r>
      <rPr>
        <sz val="8"/>
        <rFont val="Arial"/>
        <charset val="134"/>
      </rPr>
      <t xml:space="preserve">1*20 </t>
    </r>
    <r>
      <rPr>
        <sz val="8"/>
        <rFont val="宋体"/>
        <charset val="134"/>
      </rPr>
      <t>空调支架</t>
    </r>
  </si>
  <si>
    <t>XINGANG-DAMMAM ,SAUDI ARABIA</t>
  </si>
  <si>
    <r>
      <rPr>
        <sz val="8"/>
        <rFont val="Arial"/>
        <charset val="134"/>
      </rPr>
      <t>客户指定代理</t>
    </r>
    <r>
      <rPr>
        <sz val="8"/>
        <rFont val="Arial"/>
        <charset val="134"/>
      </rPr>
      <t>18200999852,</t>
    </r>
    <r>
      <rPr>
        <sz val="8"/>
        <rFont val="宋体"/>
        <charset val="134"/>
      </rPr>
      <t>会昌拖车报关</t>
    </r>
  </si>
  <si>
    <t xml:space="preserve">J3371-S </t>
  </si>
  <si>
    <r>
      <rPr>
        <sz val="8"/>
        <rFont val="Arial"/>
        <charset val="134"/>
      </rPr>
      <t>沙特</t>
    </r>
    <r>
      <rPr>
        <sz val="8"/>
        <rFont val="Arial"/>
        <charset val="134"/>
      </rPr>
      <t xml:space="preserve">EASTEN </t>
    </r>
    <r>
      <rPr>
        <sz val="8"/>
        <rFont val="宋体"/>
        <charset val="134"/>
      </rPr>
      <t>（</t>
    </r>
    <r>
      <rPr>
        <sz val="8"/>
        <rFont val="Arial"/>
        <charset val="134"/>
      </rPr>
      <t>Nasir</t>
    </r>
    <r>
      <rPr>
        <sz val="8"/>
        <rFont val="宋体"/>
        <charset val="134"/>
      </rPr>
      <t>）</t>
    </r>
  </si>
  <si>
    <r>
      <rPr>
        <sz val="8"/>
        <rFont val="Arial"/>
        <charset val="134"/>
      </rPr>
      <t xml:space="preserve">1*40 </t>
    </r>
    <r>
      <rPr>
        <sz val="8"/>
        <rFont val="宋体"/>
        <charset val="134"/>
      </rPr>
      <t>轻钢龙骨（全款）</t>
    </r>
  </si>
  <si>
    <r>
      <rPr>
        <sz val="8"/>
        <rFont val="Arial"/>
        <charset val="134"/>
      </rPr>
      <t>小杜会昌订舱</t>
    </r>
    <r>
      <rPr>
        <sz val="8"/>
        <rFont val="Arial"/>
        <charset val="134"/>
      </rPr>
      <t>925</t>
    </r>
    <r>
      <rPr>
        <sz val="8"/>
        <rFont val="宋体"/>
        <charset val="134"/>
      </rPr>
      <t>美金，中远，</t>
    </r>
    <r>
      <rPr>
        <sz val="8"/>
        <rFont val="Arial"/>
        <charset val="134"/>
      </rPr>
      <t>34</t>
    </r>
    <r>
      <rPr>
        <sz val="8"/>
        <rFont val="宋体"/>
        <charset val="134"/>
      </rPr>
      <t>天左右到，迪拜转</t>
    </r>
  </si>
  <si>
    <t>J3376-S</t>
  </si>
  <si>
    <r>
      <rPr>
        <sz val="8"/>
        <rFont val="Arial"/>
        <charset val="134"/>
      </rPr>
      <t>印度</t>
    </r>
    <r>
      <rPr>
        <sz val="8"/>
        <rFont val="Arial"/>
        <charset val="134"/>
      </rPr>
      <t xml:space="preserve">ANGI </t>
    </r>
    <r>
      <rPr>
        <sz val="8"/>
        <rFont val="宋体"/>
        <charset val="134"/>
      </rPr>
      <t>（</t>
    </r>
    <r>
      <rPr>
        <sz val="8"/>
        <rFont val="Arial"/>
        <charset val="134"/>
      </rPr>
      <t>Jayesh</t>
    </r>
    <r>
      <rPr>
        <sz val="8"/>
        <rFont val="宋体"/>
        <charset val="134"/>
      </rPr>
      <t>）</t>
    </r>
  </si>
  <si>
    <r>
      <rPr>
        <sz val="8"/>
        <rFont val="Arial"/>
        <charset val="134"/>
      </rPr>
      <t xml:space="preserve"> 1x20PVC</t>
    </r>
    <r>
      <rPr>
        <sz val="8"/>
        <rFont val="宋体"/>
        <charset val="134"/>
      </rPr>
      <t>石膏板</t>
    </r>
    <r>
      <rPr>
        <sz val="8"/>
        <rFont val="Arial"/>
        <charset val="134"/>
      </rPr>
      <t>+</t>
    </r>
    <r>
      <rPr>
        <sz val="8"/>
        <rFont val="宋体"/>
        <charset val="134"/>
      </rPr>
      <t>烤漆龙骨</t>
    </r>
  </si>
  <si>
    <r>
      <rPr>
        <sz val="8"/>
        <rFont val="Arial"/>
        <charset val="134"/>
      </rPr>
      <t>深圳市永皓运通订舱，</t>
    </r>
    <r>
      <rPr>
        <sz val="8"/>
        <rFont val="Arial"/>
        <charset val="134"/>
      </rPr>
      <t>Nick</t>
    </r>
    <r>
      <rPr>
        <sz val="8"/>
        <rFont val="宋体"/>
        <charset val="134"/>
      </rPr>
      <t>拖车，张晋山报关</t>
    </r>
  </si>
  <si>
    <t>J3390-S</t>
  </si>
  <si>
    <r>
      <rPr>
        <sz val="8"/>
        <rFont val="Arial"/>
        <charset val="134"/>
      </rPr>
      <t>马来西亚</t>
    </r>
    <r>
      <rPr>
        <u/>
        <sz val="8"/>
        <rFont val="Arial"/>
        <charset val="134"/>
      </rPr>
      <t>JCH</t>
    </r>
  </si>
  <si>
    <r>
      <rPr>
        <sz val="8"/>
        <rFont val="Arial"/>
        <charset val="134"/>
      </rPr>
      <t xml:space="preserve"> 1*40HQ </t>
    </r>
    <r>
      <rPr>
        <u/>
        <sz val="8"/>
        <rFont val="宋体"/>
        <charset val="134"/>
      </rPr>
      <t>轻钢镀锌小付骨</t>
    </r>
  </si>
  <si>
    <t>xinggang-sibu</t>
  </si>
  <si>
    <t>任佳明订舱，会昌拖车报关</t>
  </si>
  <si>
    <t>X3392-S</t>
  </si>
  <si>
    <r>
      <rPr>
        <sz val="8"/>
        <rFont val="Arial"/>
        <charset val="134"/>
      </rPr>
      <t>沙特</t>
    </r>
    <r>
      <rPr>
        <sz val="8"/>
        <rFont val="Arial"/>
        <charset val="134"/>
      </rPr>
      <t xml:space="preserve">Eastern  </t>
    </r>
    <r>
      <rPr>
        <sz val="8"/>
        <rFont val="宋体"/>
        <charset val="134"/>
      </rPr>
      <t>（</t>
    </r>
    <r>
      <rPr>
        <sz val="8"/>
        <rFont val="Arial"/>
        <charset val="134"/>
      </rPr>
      <t>Nasir</t>
    </r>
    <r>
      <rPr>
        <sz val="8"/>
        <rFont val="宋体"/>
        <charset val="134"/>
      </rPr>
      <t>）</t>
    </r>
  </si>
  <si>
    <r>
      <rPr>
        <sz val="8"/>
        <rFont val="Arial"/>
        <charset val="134"/>
      </rPr>
      <t xml:space="preserve">4*20 pvc </t>
    </r>
    <r>
      <rPr>
        <sz val="8"/>
        <rFont val="宋体"/>
        <charset val="134"/>
      </rPr>
      <t>石膏板</t>
    </r>
  </si>
  <si>
    <t>QINGDAO-DAMMAM ,SAUDI ARABIA</t>
  </si>
  <si>
    <r>
      <rPr>
        <sz val="8"/>
        <color indexed="8"/>
        <rFont val="Arial"/>
        <charset val="134"/>
      </rPr>
      <t>青岛凯瑞德报价</t>
    </r>
    <r>
      <rPr>
        <sz val="8"/>
        <color indexed="8"/>
        <rFont val="Arial"/>
        <charset val="134"/>
      </rPr>
      <t>HMM-780</t>
    </r>
    <r>
      <rPr>
        <sz val="8"/>
        <color indexed="8"/>
        <rFont val="宋体"/>
        <charset val="134"/>
      </rPr>
      <t>美金</t>
    </r>
  </si>
  <si>
    <t>J3395</t>
  </si>
  <si>
    <t>天津康宁</t>
  </si>
  <si>
    <r>
      <rPr>
        <sz val="8"/>
        <rFont val="Arial"/>
        <charset val="134"/>
      </rPr>
      <t>3500</t>
    </r>
    <r>
      <rPr>
        <sz val="8"/>
        <rFont val="宋体"/>
        <charset val="134"/>
      </rPr>
      <t>支边角</t>
    </r>
  </si>
  <si>
    <t xml:space="preserve">18360RMB </t>
  </si>
  <si>
    <t>5500RMB</t>
  </si>
  <si>
    <t xml:space="preserve">12860RMB </t>
  </si>
  <si>
    <t xml:space="preserve">J3406 </t>
  </si>
  <si>
    <r>
      <rPr>
        <sz val="8"/>
        <rFont val="宋体"/>
        <charset val="134"/>
      </rPr>
      <t>沙特</t>
    </r>
    <r>
      <rPr>
        <sz val="8"/>
        <rFont val="Arial"/>
        <charset val="134"/>
      </rPr>
      <t xml:space="preserve"> Eastern  </t>
    </r>
    <r>
      <rPr>
        <sz val="8"/>
        <rFont val="宋体"/>
        <charset val="134"/>
      </rPr>
      <t>（</t>
    </r>
    <r>
      <rPr>
        <sz val="8"/>
        <rFont val="Arial"/>
        <charset val="134"/>
      </rPr>
      <t>Nasir</t>
    </r>
    <r>
      <rPr>
        <sz val="8"/>
        <rFont val="宋体"/>
        <charset val="134"/>
      </rPr>
      <t>）</t>
    </r>
  </si>
  <si>
    <t>DHL: 69 3437 1883</t>
  </si>
  <si>
    <t>J3389</t>
  </si>
  <si>
    <r>
      <rPr>
        <sz val="8"/>
        <rFont val="Arial"/>
        <charset val="134"/>
      </rPr>
      <t>印度</t>
    </r>
    <r>
      <rPr>
        <sz val="8"/>
        <rFont val="Arial"/>
        <charset val="134"/>
      </rPr>
      <t xml:space="preserve"> Meet Pravin </t>
    </r>
  </si>
  <si>
    <r>
      <rPr>
        <b/>
        <sz val="8"/>
        <rFont val="Arial"/>
        <charset val="134"/>
      </rPr>
      <t>DHL</t>
    </r>
    <r>
      <rPr>
        <b/>
        <sz val="8"/>
        <rFont val="宋体"/>
        <charset val="134"/>
      </rPr>
      <t>：</t>
    </r>
    <r>
      <rPr>
        <b/>
        <sz val="8"/>
        <rFont val="Arial"/>
        <charset val="134"/>
      </rPr>
      <t>4265597674</t>
    </r>
  </si>
  <si>
    <r>
      <rPr>
        <b/>
        <sz val="8"/>
        <color theme="1"/>
        <rFont val="Arial"/>
        <charset val="134"/>
      </rPr>
      <t>汇利达订舱</t>
    </r>
    <r>
      <rPr>
        <b/>
        <sz val="8"/>
        <color theme="1"/>
        <rFont val="Arial"/>
        <charset val="134"/>
      </rPr>
      <t>,</t>
    </r>
    <r>
      <rPr>
        <b/>
        <sz val="8"/>
        <color theme="1"/>
        <rFont val="宋体"/>
        <charset val="134"/>
      </rPr>
      <t>捷运达拖车，金凯报关</t>
    </r>
  </si>
  <si>
    <r>
      <rPr>
        <sz val="8"/>
        <rFont val="Arial"/>
        <charset val="134"/>
      </rPr>
      <t>11010</t>
    </r>
    <r>
      <rPr>
        <sz val="8"/>
        <rFont val="宋体"/>
        <charset val="134"/>
      </rPr>
      <t>美金</t>
    </r>
    <r>
      <rPr>
        <sz val="8"/>
        <rFont val="Arial"/>
        <charset val="134"/>
      </rPr>
      <t>+21816RMB</t>
    </r>
  </si>
  <si>
    <t xml:space="preserve">J3417 </t>
  </si>
  <si>
    <t>山东华美</t>
  </si>
  <si>
    <r>
      <rPr>
        <sz val="8"/>
        <rFont val="Arial"/>
        <charset val="134"/>
      </rPr>
      <t>6000</t>
    </r>
    <r>
      <rPr>
        <sz val="8"/>
        <rFont val="宋体"/>
        <charset val="134"/>
      </rPr>
      <t>平米龙骨配件</t>
    </r>
  </si>
  <si>
    <t>8274RMB</t>
  </si>
  <si>
    <t>J3550</t>
  </si>
  <si>
    <r>
      <rPr>
        <sz val="8"/>
        <color theme="1"/>
        <rFont val="Arial"/>
        <charset val="134"/>
      </rPr>
      <t>多装的货</t>
    </r>
    <r>
      <rPr>
        <sz val="8"/>
        <color theme="1"/>
        <rFont val="Arial"/>
        <charset val="134"/>
      </rPr>
      <t xml:space="preserve"> J3431-3</t>
    </r>
    <r>
      <rPr>
        <sz val="8"/>
        <color theme="1"/>
        <rFont val="宋体"/>
        <charset val="134"/>
      </rPr>
      <t>多付了</t>
    </r>
    <r>
      <rPr>
        <sz val="8"/>
        <color theme="1"/>
        <rFont val="Arial"/>
        <charset val="134"/>
      </rPr>
      <t>396</t>
    </r>
    <r>
      <rPr>
        <sz val="8"/>
        <color theme="1"/>
        <rFont val="宋体"/>
        <charset val="134"/>
      </rPr>
      <t>美金</t>
    </r>
  </si>
  <si>
    <t>2019/1/6/18</t>
  </si>
  <si>
    <t>J3431-1</t>
  </si>
  <si>
    <t>尾款出厂前付清</t>
  </si>
  <si>
    <t>程小辰订舱，会昌拖车报关</t>
  </si>
  <si>
    <r>
      <rPr>
        <b/>
        <sz val="8"/>
        <color rgb="FFFF0000"/>
        <rFont val="宋体"/>
        <charset val="134"/>
      </rPr>
      <t>尾款付的人民币</t>
    </r>
    <r>
      <rPr>
        <b/>
        <sz val="8"/>
        <color rgb="FFFF0000"/>
        <rFont val="Arial"/>
        <charset val="134"/>
      </rPr>
      <t>RMB131520</t>
    </r>
  </si>
  <si>
    <t>J3431-2</t>
  </si>
  <si>
    <t>S</t>
  </si>
  <si>
    <r>
      <rPr>
        <sz val="8"/>
        <color rgb="FF000000"/>
        <rFont val="Arial"/>
        <charset val="134"/>
      </rPr>
      <t xml:space="preserve"> J3431-2 </t>
    </r>
    <r>
      <rPr>
        <sz val="8"/>
        <color rgb="FF000000"/>
        <rFont val="宋体"/>
        <charset val="134"/>
      </rPr>
      <t>发了一点货到山东装的</t>
    </r>
    <r>
      <rPr>
        <sz val="8"/>
        <color rgb="FF000000"/>
        <rFont val="Arial"/>
        <charset val="134"/>
      </rPr>
      <t xml:space="preserve">   </t>
    </r>
    <r>
      <rPr>
        <sz val="8"/>
        <color rgb="FF000000"/>
        <rFont val="宋体"/>
        <charset val="134"/>
      </rPr>
      <t>潘奥的因为长期不发货和占用库房需要补偿我方：</t>
    </r>
    <r>
      <rPr>
        <sz val="8"/>
        <color rgb="FF000000"/>
        <rFont val="Arial"/>
        <charset val="134"/>
      </rPr>
      <t>USD1327</t>
    </r>
    <r>
      <rPr>
        <sz val="8"/>
        <color rgb="FF000000"/>
        <rFont val="宋体"/>
        <charset val="134"/>
      </rPr>
      <t>，在</t>
    </r>
    <r>
      <rPr>
        <sz val="8"/>
        <color rgb="FF000000"/>
        <rFont val="Arial"/>
        <charset val="134"/>
      </rPr>
      <t>3431</t>
    </r>
    <r>
      <rPr>
        <sz val="8"/>
        <color rgb="FF000000"/>
        <rFont val="宋体"/>
        <charset val="134"/>
      </rPr>
      <t>最后一批里面收取</t>
    </r>
    <r>
      <rPr>
        <sz val="8"/>
        <color rgb="FF000000"/>
        <rFont val="Arial"/>
        <charset val="134"/>
      </rPr>
      <t xml:space="preserve">  </t>
    </r>
    <r>
      <rPr>
        <sz val="8"/>
        <color rgb="FF000000"/>
        <rFont val="宋体"/>
        <charset val="134"/>
      </rPr>
      <t>月初发一个柜子边角，月底发一个窄边</t>
    </r>
    <r>
      <rPr>
        <sz val="8"/>
        <color rgb="FF000000"/>
        <rFont val="Arial"/>
        <charset val="134"/>
      </rPr>
      <t xml:space="preserve">
</t>
    </r>
  </si>
  <si>
    <t>J3429</t>
  </si>
  <si>
    <r>
      <rPr>
        <sz val="8"/>
        <rFont val="Arial"/>
        <charset val="134"/>
      </rPr>
      <t>印度</t>
    </r>
    <r>
      <rPr>
        <sz val="8"/>
        <rFont val="Arial"/>
        <charset val="134"/>
      </rPr>
      <t xml:space="preserve"> shree/Hanuman</t>
    </r>
  </si>
  <si>
    <r>
      <rPr>
        <b/>
        <sz val="8"/>
        <rFont val="Arial"/>
        <charset val="134"/>
      </rPr>
      <t>电放</t>
    </r>
    <r>
      <rPr>
        <b/>
        <sz val="8"/>
        <rFont val="Arial"/>
        <charset val="134"/>
      </rPr>
      <t xml:space="preserve"> BL 2019.4.25</t>
    </r>
  </si>
  <si>
    <t>明海国际订舱，会昌拖车报关</t>
  </si>
  <si>
    <t>J3453</t>
  </si>
  <si>
    <r>
      <rPr>
        <sz val="8"/>
        <color theme="1"/>
        <rFont val="Arial"/>
        <charset val="134"/>
      </rPr>
      <t>DHL</t>
    </r>
    <r>
      <rPr>
        <sz val="8"/>
        <color theme="1"/>
        <rFont val="宋体"/>
        <charset val="134"/>
      </rPr>
      <t>：</t>
    </r>
    <r>
      <rPr>
        <sz val="8"/>
        <color theme="1"/>
        <rFont val="Arial"/>
        <charset val="134"/>
      </rPr>
      <t>6297264875</t>
    </r>
  </si>
  <si>
    <r>
      <rPr>
        <sz val="8"/>
        <color theme="1"/>
        <rFont val="Arial"/>
        <charset val="134"/>
      </rPr>
      <t>捷运达订舱</t>
    </r>
    <r>
      <rPr>
        <sz val="8"/>
        <color theme="1"/>
        <rFont val="Arial"/>
        <charset val="134"/>
      </rPr>
      <t>OC</t>
    </r>
    <r>
      <rPr>
        <sz val="8"/>
        <color theme="1"/>
        <rFont val="宋体"/>
        <charset val="134"/>
      </rPr>
      <t>，拖车报关</t>
    </r>
  </si>
  <si>
    <t>J3389-2</t>
  </si>
  <si>
    <r>
      <rPr>
        <sz val="8"/>
        <rFont val="Arial"/>
        <charset val="134"/>
      </rPr>
      <t>DHL</t>
    </r>
    <r>
      <rPr>
        <sz val="8"/>
        <rFont val="宋体"/>
        <charset val="134"/>
      </rPr>
      <t>：</t>
    </r>
    <r>
      <rPr>
        <sz val="8"/>
        <rFont val="Arial"/>
        <charset val="134"/>
      </rPr>
      <t>96 1981 5634</t>
    </r>
  </si>
  <si>
    <t>J3513</t>
  </si>
  <si>
    <r>
      <rPr>
        <sz val="8"/>
        <rFont val="Arial"/>
        <charset val="134"/>
      </rPr>
      <t>印度</t>
    </r>
    <r>
      <rPr>
        <sz val="8"/>
        <rFont val="Arial"/>
        <charset val="134"/>
      </rPr>
      <t xml:space="preserve"> Krishnav </t>
    </r>
    <r>
      <rPr>
        <sz val="8"/>
        <rFont val="宋体"/>
        <charset val="134"/>
      </rPr>
      <t>（</t>
    </r>
    <r>
      <rPr>
        <sz val="8"/>
        <rFont val="Arial"/>
        <charset val="134"/>
      </rPr>
      <t>Hiren</t>
    </r>
    <r>
      <rPr>
        <sz val="8"/>
        <rFont val="宋体"/>
        <charset val="134"/>
      </rPr>
      <t>）</t>
    </r>
  </si>
  <si>
    <r>
      <rPr>
        <b/>
        <sz val="8"/>
        <rFont val="Arial"/>
        <charset val="134"/>
      </rPr>
      <t>DHL</t>
    </r>
    <r>
      <rPr>
        <b/>
        <sz val="8"/>
        <rFont val="宋体"/>
        <charset val="134"/>
      </rPr>
      <t>：</t>
    </r>
    <r>
      <rPr>
        <b/>
        <sz val="8"/>
        <rFont val="Arial"/>
        <charset val="134"/>
      </rPr>
      <t>41 1460 9973</t>
    </r>
  </si>
  <si>
    <r>
      <rPr>
        <sz val="8"/>
        <color theme="1"/>
        <rFont val="Arial"/>
        <charset val="134"/>
      </rPr>
      <t>汇利达订舱</t>
    </r>
    <r>
      <rPr>
        <sz val="8"/>
        <color theme="1"/>
        <rFont val="Arial"/>
        <charset val="134"/>
      </rPr>
      <t>,</t>
    </r>
  </si>
  <si>
    <t>X3517</t>
  </si>
  <si>
    <r>
      <rPr>
        <sz val="8"/>
        <rFont val="Arial"/>
        <charset val="134"/>
      </rPr>
      <t>沙特</t>
    </r>
    <r>
      <rPr>
        <sz val="8"/>
        <rFont val="Arial"/>
        <charset val="134"/>
      </rPr>
      <t xml:space="preserve"> EASTEN </t>
    </r>
    <r>
      <rPr>
        <sz val="8"/>
        <rFont val="宋体"/>
        <charset val="134"/>
      </rPr>
      <t>（</t>
    </r>
    <r>
      <rPr>
        <sz val="8"/>
        <rFont val="Arial"/>
        <charset val="134"/>
      </rPr>
      <t>Nasir</t>
    </r>
    <r>
      <rPr>
        <sz val="8"/>
        <rFont val="宋体"/>
        <charset val="134"/>
      </rPr>
      <t>）</t>
    </r>
  </si>
  <si>
    <r>
      <rPr>
        <sz val="8"/>
        <rFont val="Arial"/>
        <charset val="134"/>
      </rPr>
      <t>1x40HQ</t>
    </r>
    <r>
      <rPr>
        <sz val="8"/>
        <rFont val="宋体"/>
        <charset val="134"/>
      </rPr>
      <t>天花板</t>
    </r>
  </si>
  <si>
    <t>Foshan-Dammam</t>
  </si>
  <si>
    <t>DHL:27 8488 9483</t>
  </si>
  <si>
    <r>
      <rPr>
        <sz val="8"/>
        <color theme="1"/>
        <rFont val="Arial"/>
        <charset val="134"/>
      </rPr>
      <t>上海集道订舱</t>
    </r>
    <r>
      <rPr>
        <sz val="8"/>
        <color theme="1"/>
        <rFont val="Arial"/>
        <charset val="134"/>
      </rPr>
      <t>1150</t>
    </r>
    <r>
      <rPr>
        <sz val="8"/>
        <color theme="1"/>
        <rFont val="宋体"/>
        <charset val="134"/>
      </rPr>
      <t>，联兴得利拖车报关</t>
    </r>
  </si>
  <si>
    <t>J3534</t>
  </si>
  <si>
    <r>
      <rPr>
        <sz val="8"/>
        <rFont val="宋体"/>
        <charset val="134"/>
      </rPr>
      <t>印度</t>
    </r>
    <r>
      <rPr>
        <sz val="8"/>
        <rFont val="Arial"/>
        <charset val="134"/>
      </rPr>
      <t xml:space="preserve"> MEET Pravin</t>
    </r>
  </si>
  <si>
    <r>
      <rPr>
        <sz val="8"/>
        <rFont val="Arial"/>
        <charset val="134"/>
      </rPr>
      <t>1x20</t>
    </r>
    <r>
      <rPr>
        <sz val="8"/>
        <rFont val="宋体"/>
        <charset val="134"/>
      </rPr>
      <t>烤漆窄边</t>
    </r>
  </si>
  <si>
    <t>DHL : 96 5632 4694</t>
  </si>
  <si>
    <t>汇利达订舱，会昌拖车报关</t>
  </si>
  <si>
    <t>3354+12142</t>
  </si>
  <si>
    <t>J3431-3</t>
  </si>
  <si>
    <r>
      <rPr>
        <sz val="8"/>
        <color theme="1"/>
        <rFont val="宋体"/>
        <charset val="134"/>
      </rPr>
      <t>会昌没集港报关</t>
    </r>
    <r>
      <rPr>
        <sz val="8"/>
        <color theme="1"/>
        <rFont val="Arial"/>
        <charset val="134"/>
      </rPr>
      <t xml:space="preserve"> </t>
    </r>
    <r>
      <rPr>
        <sz val="8"/>
        <color theme="1"/>
        <rFont val="宋体"/>
        <charset val="134"/>
      </rPr>
      <t>改到</t>
    </r>
    <r>
      <rPr>
        <sz val="8"/>
        <color theme="1"/>
        <rFont val="Arial"/>
        <charset val="134"/>
      </rPr>
      <t>9</t>
    </r>
    <r>
      <rPr>
        <sz val="8"/>
        <color theme="1"/>
        <rFont val="宋体"/>
        <charset val="134"/>
      </rPr>
      <t>号船</t>
    </r>
    <r>
      <rPr>
        <sz val="8"/>
        <color theme="1"/>
        <rFont val="Arial"/>
        <charset val="134"/>
      </rPr>
      <t xml:space="preserve"> </t>
    </r>
    <r>
      <rPr>
        <sz val="8"/>
        <color theme="1"/>
        <rFont val="宋体"/>
        <charset val="134"/>
      </rPr>
      <t>滞箱费</t>
    </r>
    <r>
      <rPr>
        <sz val="8"/>
        <color theme="1"/>
        <rFont val="Arial"/>
        <charset val="134"/>
      </rPr>
      <t>111/</t>
    </r>
    <r>
      <rPr>
        <sz val="8"/>
        <color theme="1"/>
        <rFont val="宋体"/>
        <charset val="134"/>
      </rPr>
      <t>天堆场收您车队这边</t>
    </r>
    <r>
      <rPr>
        <sz val="8"/>
        <color theme="1"/>
        <rFont val="Arial"/>
        <charset val="134"/>
      </rPr>
      <t xml:space="preserve">
22504+396.25</t>
    </r>
    <r>
      <rPr>
        <sz val="8"/>
        <color theme="1"/>
        <rFont val="宋体"/>
        <charset val="134"/>
      </rPr>
      <t>＝</t>
    </r>
    <r>
      <rPr>
        <sz val="8"/>
        <color theme="1"/>
        <rFont val="Arial"/>
        <charset val="134"/>
      </rPr>
      <t>22900.25
396</t>
    </r>
    <r>
      <rPr>
        <sz val="8"/>
        <color theme="1"/>
        <rFont val="宋体"/>
        <charset val="134"/>
      </rPr>
      <t>美金是</t>
    </r>
    <r>
      <rPr>
        <sz val="8"/>
        <color theme="1"/>
        <rFont val="Arial"/>
        <charset val="134"/>
      </rPr>
      <t>J3550</t>
    </r>
    <r>
      <rPr>
        <sz val="8"/>
        <color theme="1"/>
        <rFont val="宋体"/>
        <charset val="134"/>
      </rPr>
      <t>拼柜多装的货</t>
    </r>
    <r>
      <rPr>
        <sz val="8"/>
        <color theme="1"/>
        <rFont val="Arial"/>
        <charset val="134"/>
      </rPr>
      <t xml:space="preserve">
</t>
    </r>
    <r>
      <rPr>
        <sz val="8"/>
        <color theme="1"/>
        <rFont val="宋体"/>
        <charset val="134"/>
      </rPr>
      <t>实际甩货了</t>
    </r>
    <r>
      <rPr>
        <sz val="8"/>
        <color theme="1"/>
        <rFont val="Arial"/>
        <charset val="134"/>
      </rPr>
      <t xml:space="preserve"> </t>
    </r>
    <r>
      <rPr>
        <sz val="8"/>
        <color theme="1"/>
        <rFont val="宋体"/>
        <charset val="134"/>
      </rPr>
      <t>发票值是</t>
    </r>
    <r>
      <rPr>
        <sz val="8"/>
        <color theme="1"/>
        <rFont val="Arial"/>
        <charset val="134"/>
      </rPr>
      <t>27150.9</t>
    </r>
    <r>
      <rPr>
        <sz val="8"/>
        <color theme="1"/>
        <rFont val="宋体"/>
        <charset val="134"/>
      </rPr>
      <t>（客户多付</t>
    </r>
    <r>
      <rPr>
        <sz val="8"/>
        <color theme="1"/>
        <rFont val="Arial"/>
        <charset val="134"/>
      </rPr>
      <t>4646</t>
    </r>
    <r>
      <rPr>
        <sz val="8"/>
        <color theme="1"/>
        <rFont val="宋体"/>
        <charset val="134"/>
      </rPr>
      <t>美金）</t>
    </r>
    <r>
      <rPr>
        <sz val="8"/>
        <color theme="1"/>
        <rFont val="Arial"/>
        <charset val="134"/>
      </rPr>
      <t xml:space="preserve">
</t>
    </r>
  </si>
  <si>
    <t>J3431-4</t>
  </si>
  <si>
    <r>
      <rPr>
        <sz val="8"/>
        <rFont val="Arial"/>
        <charset val="134"/>
      </rPr>
      <t>济南潘奥</t>
    </r>
    <r>
      <rPr>
        <sz val="8"/>
        <rFont val="Arial"/>
        <charset val="134"/>
      </rPr>
      <t xml:space="preserve"> </t>
    </r>
    <r>
      <rPr>
        <sz val="8"/>
        <rFont val="Cambria"/>
        <charset val="134"/>
      </rPr>
      <t>王侃杜</t>
    </r>
    <r>
      <rPr>
        <sz val="8"/>
        <rFont val="Arial"/>
        <charset val="134"/>
      </rPr>
      <t>Richard</t>
    </r>
  </si>
  <si>
    <r>
      <rPr>
        <sz val="9"/>
        <rFont val="Arial"/>
        <charset val="134"/>
      </rPr>
      <t>1x20</t>
    </r>
    <r>
      <rPr>
        <sz val="9"/>
        <rFont val="宋体"/>
        <charset val="134"/>
      </rPr>
      <t>烤漆</t>
    </r>
  </si>
  <si>
    <r>
      <rPr>
        <sz val="8"/>
        <color theme="1"/>
        <rFont val="宋体"/>
        <charset val="134"/>
      </rPr>
      <t>拓航订舱</t>
    </r>
    <r>
      <rPr>
        <sz val="9"/>
        <rFont val="Arial"/>
        <charset val="134"/>
      </rPr>
      <t>MSC</t>
    </r>
    <r>
      <rPr>
        <sz val="9"/>
        <rFont val="宋体"/>
        <charset val="134"/>
      </rPr>
      <t>，会昌拖车 金凯抬头报关</t>
    </r>
  </si>
  <si>
    <r>
      <rPr>
        <sz val="9"/>
        <rFont val="Arial"/>
        <charset val="134"/>
      </rPr>
      <t>J3431</t>
    </r>
    <r>
      <rPr>
        <sz val="9"/>
        <rFont val="宋体"/>
        <charset val="134"/>
      </rPr>
      <t>定金两万</t>
    </r>
    <r>
      <rPr>
        <sz val="9"/>
        <rFont val="Arial"/>
        <charset val="134"/>
      </rPr>
      <t>J3603</t>
    </r>
    <r>
      <rPr>
        <sz val="9"/>
        <rFont val="宋体"/>
        <charset val="134"/>
      </rPr>
      <t>定金五千</t>
    </r>
    <r>
      <rPr>
        <sz val="9"/>
        <rFont val="Arial"/>
        <charset val="134"/>
      </rPr>
      <t xml:space="preserve">  J3431-1</t>
    </r>
    <r>
      <rPr>
        <sz val="9"/>
        <rFont val="宋体"/>
        <charset val="134"/>
      </rPr>
      <t>用掉</t>
    </r>
    <r>
      <rPr>
        <sz val="9"/>
        <rFont val="Arial"/>
        <charset val="134"/>
      </rPr>
      <t>4</t>
    </r>
    <r>
      <rPr>
        <sz val="9"/>
        <rFont val="宋体"/>
        <charset val="134"/>
      </rPr>
      <t>千</t>
    </r>
    <r>
      <rPr>
        <sz val="9"/>
        <rFont val="Arial"/>
        <charset val="134"/>
      </rPr>
      <t>-3</t>
    </r>
    <r>
      <rPr>
        <sz val="9"/>
        <rFont val="宋体"/>
        <charset val="134"/>
      </rPr>
      <t>用掉五千</t>
    </r>
    <r>
      <rPr>
        <sz val="9"/>
        <rFont val="Arial"/>
        <charset val="134"/>
      </rPr>
      <t xml:space="preserve">   </t>
    </r>
    <r>
      <rPr>
        <sz val="9"/>
        <rFont val="宋体"/>
        <charset val="134"/>
      </rPr>
      <t>目前定金还剩</t>
    </r>
    <r>
      <rPr>
        <sz val="9"/>
        <rFont val="Arial"/>
        <charset val="134"/>
      </rPr>
      <t>20000+5000-4000-5000-3510=12490</t>
    </r>
    <r>
      <rPr>
        <sz val="9"/>
        <rFont val="宋体"/>
        <charset val="134"/>
      </rPr>
      <t>美金</t>
    </r>
    <r>
      <rPr>
        <sz val="9"/>
        <rFont val="Arial"/>
        <charset val="134"/>
      </rPr>
      <t xml:space="preserve">  </t>
    </r>
    <r>
      <rPr>
        <sz val="9"/>
        <rFont val="宋体"/>
        <charset val="134"/>
      </rPr>
      <t>边骨剩余</t>
    </r>
    <r>
      <rPr>
        <sz val="9"/>
        <rFont val="Arial"/>
        <charset val="134"/>
      </rPr>
      <t>1225.8</t>
    </r>
    <r>
      <rPr>
        <sz val="9"/>
        <rFont val="宋体"/>
        <charset val="134"/>
      </rPr>
      <t>箱</t>
    </r>
    <r>
      <rPr>
        <sz val="9"/>
        <rFont val="Arial"/>
        <charset val="134"/>
      </rPr>
      <t>, 61290</t>
    </r>
    <r>
      <rPr>
        <sz val="9"/>
        <rFont val="宋体"/>
        <charset val="134"/>
      </rPr>
      <t>支</t>
    </r>
    <r>
      <rPr>
        <sz val="9"/>
        <rFont val="Arial"/>
        <charset val="134"/>
      </rPr>
      <t xml:space="preserve">,  </t>
    </r>
    <r>
      <rPr>
        <sz val="9"/>
        <rFont val="宋体"/>
        <charset val="134"/>
      </rPr>
      <t>金额</t>
    </r>
    <r>
      <rPr>
        <sz val="9"/>
        <rFont val="Arial"/>
        <charset val="134"/>
      </rPr>
      <t xml:space="preserve">19919.25, </t>
    </r>
    <r>
      <rPr>
        <sz val="9"/>
        <rFont val="宋体"/>
        <charset val="134"/>
      </rPr>
      <t>已付</t>
    </r>
    <r>
      <rPr>
        <sz val="9"/>
        <rFont val="Arial"/>
        <charset val="134"/>
      </rPr>
      <t xml:space="preserve">12490, </t>
    </r>
    <r>
      <rPr>
        <sz val="9"/>
        <rFont val="宋体"/>
        <charset val="134"/>
      </rPr>
      <t>尾款</t>
    </r>
    <r>
      <rPr>
        <sz val="9"/>
        <rFont val="Arial"/>
        <charset val="134"/>
      </rPr>
      <t xml:space="preserve">7429.25 </t>
    </r>
    <r>
      <rPr>
        <sz val="9"/>
        <rFont val="宋体"/>
        <charset val="134"/>
      </rPr>
      <t>（</t>
    </r>
    <r>
      <rPr>
        <sz val="9"/>
        <rFont val="Arial"/>
        <charset val="134"/>
      </rPr>
      <t>2021.6.15</t>
    </r>
    <r>
      <rPr>
        <sz val="9"/>
        <rFont val="宋体"/>
        <charset val="134"/>
      </rPr>
      <t>付了</t>
    </r>
    <r>
      <rPr>
        <sz val="9"/>
        <rFont val="Arial"/>
        <charset val="134"/>
      </rPr>
      <t xml:space="preserve">7429.25  </t>
    </r>
    <r>
      <rPr>
        <sz val="9"/>
        <rFont val="宋体"/>
        <charset val="134"/>
      </rPr>
      <t>和</t>
    </r>
    <r>
      <rPr>
        <sz val="9"/>
        <rFont val="Arial"/>
        <charset val="134"/>
      </rPr>
      <t>J4014</t>
    </r>
    <r>
      <rPr>
        <sz val="9"/>
        <rFont val="宋体"/>
        <charset val="134"/>
      </rPr>
      <t>一起付的）</t>
    </r>
  </si>
  <si>
    <t>JK-2153-1</t>
  </si>
  <si>
    <t>坦桑尼亚</t>
  </si>
  <si>
    <t>4x20'</t>
  </si>
  <si>
    <t>XY-2338-2</t>
  </si>
  <si>
    <r>
      <rPr>
        <u/>
        <sz val="8"/>
        <rFont val="Arial"/>
        <charset val="134"/>
      </rPr>
      <t>哥斯达黎加</t>
    </r>
    <r>
      <rPr>
        <u/>
        <sz val="8"/>
        <rFont val="Arial"/>
        <charset val="134"/>
      </rPr>
      <t>Hebei</t>
    </r>
  </si>
  <si>
    <t>2x20'</t>
  </si>
  <si>
    <t>退税：全齐</t>
  </si>
  <si>
    <t>XY-2355</t>
  </si>
  <si>
    <t>2x40HQ</t>
  </si>
  <si>
    <t>XY-2370</t>
  </si>
  <si>
    <r>
      <rPr>
        <u/>
        <sz val="8"/>
        <rFont val="Arial"/>
        <charset val="134"/>
      </rPr>
      <t>瓦利斯和浮图纳</t>
    </r>
    <r>
      <rPr>
        <u/>
        <sz val="8"/>
        <rFont val="Arial"/>
        <charset val="134"/>
      </rPr>
      <t>PROUX</t>
    </r>
  </si>
  <si>
    <t>1x20'</t>
  </si>
  <si>
    <r>
      <rPr>
        <u/>
        <sz val="8"/>
        <color indexed="53"/>
        <rFont val="Arial"/>
        <charset val="134"/>
      </rPr>
      <t>缺发票，</t>
    </r>
    <r>
      <rPr>
        <u/>
        <sz val="8"/>
        <rFont val="宋体"/>
        <charset val="134"/>
      </rPr>
      <t>关单收，华勤退税</t>
    </r>
  </si>
  <si>
    <t>XY-2374</t>
  </si>
  <si>
    <t>关单，发票，华勤退税</t>
  </si>
  <si>
    <t>XY-2376</t>
  </si>
  <si>
    <t>3x20'</t>
  </si>
  <si>
    <t>不退税</t>
  </si>
  <si>
    <t>XY-2377</t>
  </si>
  <si>
    <t>XY-2388</t>
  </si>
  <si>
    <t>XY-2412</t>
  </si>
  <si>
    <r>
      <rPr>
        <u/>
        <sz val="8"/>
        <rFont val="Arial"/>
        <charset val="134"/>
      </rPr>
      <t>2x20</t>
    </r>
    <r>
      <rPr>
        <u/>
        <sz val="8"/>
        <rFont val="宋体"/>
        <charset val="134"/>
      </rPr>
      <t>变高系列</t>
    </r>
  </si>
  <si>
    <t>XY-2411</t>
  </si>
  <si>
    <r>
      <rPr>
        <u/>
        <sz val="8"/>
        <rFont val="Arial"/>
        <charset val="134"/>
      </rPr>
      <t>埃及</t>
    </r>
    <r>
      <rPr>
        <u/>
        <sz val="8"/>
        <rFont val="Arial"/>
        <charset val="134"/>
      </rPr>
      <t>Khalil</t>
    </r>
  </si>
  <si>
    <r>
      <rPr>
        <u/>
        <sz val="8"/>
        <rFont val="Arial"/>
        <charset val="134"/>
      </rPr>
      <t xml:space="preserve">1x20 </t>
    </r>
    <r>
      <rPr>
        <u/>
        <sz val="8"/>
        <rFont val="宋体"/>
        <charset val="134"/>
      </rPr>
      <t>护角带</t>
    </r>
  </si>
  <si>
    <t>XY-2456</t>
  </si>
  <si>
    <t>2x20</t>
  </si>
  <si>
    <t>信用证</t>
  </si>
  <si>
    <t>XY-2505</t>
  </si>
  <si>
    <t>赊账</t>
  </si>
  <si>
    <t>JK-2539</t>
  </si>
  <si>
    <r>
      <rPr>
        <u/>
        <sz val="8"/>
        <rFont val="Arial"/>
        <charset val="134"/>
      </rPr>
      <t>坦桑</t>
    </r>
    <r>
      <rPr>
        <u/>
        <sz val="8"/>
        <rFont val="Arial"/>
        <charset val="134"/>
      </rPr>
      <t>Imports</t>
    </r>
    <r>
      <rPr>
        <u/>
        <sz val="8"/>
        <rFont val="宋体"/>
        <charset val="134"/>
      </rPr>
      <t>（</t>
    </r>
    <r>
      <rPr>
        <u/>
        <sz val="8"/>
        <rFont val="Arial"/>
        <charset val="134"/>
      </rPr>
      <t xml:space="preserve">Roshan </t>
    </r>
    <r>
      <rPr>
        <u/>
        <sz val="8"/>
        <rFont val="宋体"/>
        <charset val="134"/>
      </rPr>
      <t>）</t>
    </r>
  </si>
  <si>
    <t>XY-2552</t>
  </si>
  <si>
    <t>XY-2554</t>
  </si>
  <si>
    <t>2x40</t>
  </si>
  <si>
    <t>XY-2527</t>
  </si>
  <si>
    <r>
      <rPr>
        <u/>
        <sz val="8"/>
        <rFont val="Arial"/>
        <charset val="134"/>
      </rPr>
      <t>伊朗</t>
    </r>
    <r>
      <rPr>
        <u/>
        <sz val="8"/>
        <rFont val="Arial"/>
        <charset val="134"/>
      </rPr>
      <t xml:space="preserve">SHIK </t>
    </r>
    <r>
      <rPr>
        <u/>
        <sz val="8"/>
        <rFont val="Cambria"/>
        <charset val="134"/>
      </rPr>
      <t>（</t>
    </r>
    <r>
      <rPr>
        <u/>
        <sz val="8"/>
        <rFont val="Arial"/>
        <charset val="134"/>
      </rPr>
      <t>Mohsen</t>
    </r>
    <r>
      <rPr>
        <u/>
        <sz val="8"/>
        <rFont val="Cambria"/>
        <charset val="134"/>
      </rPr>
      <t>）</t>
    </r>
  </si>
  <si>
    <t>13000 RMB</t>
  </si>
  <si>
    <t>X2831</t>
  </si>
  <si>
    <t>肯尼亚</t>
  </si>
  <si>
    <r>
      <rPr>
        <u/>
        <sz val="8"/>
        <rFont val="Arial"/>
        <charset val="134"/>
      </rPr>
      <t>龙骨</t>
    </r>
    <r>
      <rPr>
        <u/>
        <sz val="8"/>
        <rFont val="Arial"/>
        <charset val="134"/>
      </rPr>
      <t>+</t>
    </r>
    <r>
      <rPr>
        <u/>
        <sz val="8"/>
        <rFont val="宋体"/>
        <charset val="134"/>
      </rPr>
      <t>腻子</t>
    </r>
  </si>
  <si>
    <t xml:space="preserve">               </t>
  </si>
  <si>
    <t>X3030</t>
  </si>
  <si>
    <r>
      <rPr>
        <u/>
        <sz val="8"/>
        <rFont val="Arial"/>
        <charset val="134"/>
      </rPr>
      <t>沙特</t>
    </r>
    <r>
      <rPr>
        <u/>
        <sz val="8"/>
        <rFont val="Arial"/>
        <charset val="134"/>
      </rPr>
      <t xml:space="preserve"> (Pervaiz)</t>
    </r>
  </si>
  <si>
    <r>
      <rPr>
        <u/>
        <sz val="8"/>
        <rFont val="Arial"/>
        <charset val="134"/>
      </rPr>
      <t>1x20</t>
    </r>
    <r>
      <rPr>
        <u/>
        <sz val="8"/>
        <rFont val="宋体"/>
        <charset val="134"/>
      </rPr>
      <t>纸箱</t>
    </r>
  </si>
  <si>
    <t>X3078</t>
  </si>
  <si>
    <t>哥斯达黎加</t>
  </si>
  <si>
    <r>
      <rPr>
        <u/>
        <sz val="8"/>
        <rFont val="Arial"/>
        <charset val="134"/>
      </rPr>
      <t>3x40 PVC+</t>
    </r>
    <r>
      <rPr>
        <u/>
        <sz val="8"/>
        <rFont val="宋体"/>
        <charset val="134"/>
      </rPr>
      <t>玻纤卷</t>
    </r>
    <r>
      <rPr>
        <u/>
        <sz val="8"/>
        <rFont val="Arial"/>
        <charset val="134"/>
      </rPr>
      <t>+</t>
    </r>
    <r>
      <rPr>
        <u/>
        <sz val="8"/>
        <rFont val="宋体"/>
        <charset val="134"/>
      </rPr>
      <t>手套</t>
    </r>
    <r>
      <rPr>
        <u/>
        <sz val="8"/>
        <rFont val="Arial"/>
        <charset val="134"/>
      </rPr>
      <t>+</t>
    </r>
    <r>
      <rPr>
        <u/>
        <sz val="8"/>
        <rFont val="宋体"/>
        <charset val="134"/>
      </rPr>
      <t>电视盒</t>
    </r>
  </si>
  <si>
    <t>已寄单</t>
  </si>
  <si>
    <t>X3111</t>
  </si>
  <si>
    <t>REPR (Javier)</t>
  </si>
  <si>
    <t xml:space="preserve">2x20 Roofing Tiles </t>
  </si>
  <si>
    <t>X3161</t>
  </si>
  <si>
    <t>FORCE (Pervaiz)</t>
  </si>
  <si>
    <t xml:space="preserve">1x20  Steel Coils </t>
  </si>
  <si>
    <t>X3203</t>
  </si>
  <si>
    <t>1x40 carton</t>
  </si>
  <si>
    <t>Snow</t>
  </si>
  <si>
    <t>J4213</t>
  </si>
  <si>
    <t>北京楚维迪/张小姐</t>
  </si>
  <si>
    <t>200只 打孔边角</t>
  </si>
  <si>
    <t>编号</t>
  </si>
  <si>
    <r>
      <rPr>
        <sz val="11"/>
        <rFont val="宋体"/>
        <charset val="134"/>
      </rPr>
      <t>客户</t>
    </r>
  </si>
  <si>
    <r>
      <rPr>
        <sz val="11"/>
        <rFont val="宋体"/>
        <charset val="134"/>
      </rPr>
      <t>固定定金</t>
    </r>
  </si>
  <si>
    <t>备注：如果固定定金被使用，请在下面备注</t>
  </si>
  <si>
    <t>澳大利亚RAK Robert（Tina）</t>
  </si>
  <si>
    <r>
      <rPr>
        <sz val="11"/>
        <rFont val="Calibri"/>
        <charset val="134"/>
      </rPr>
      <t>4000</t>
    </r>
    <r>
      <rPr>
        <sz val="11"/>
        <rFont val="宋体"/>
        <charset val="134"/>
      </rPr>
      <t>美金</t>
    </r>
    <r>
      <rPr>
        <sz val="11"/>
        <rFont val="Calibri"/>
        <charset val="134"/>
      </rPr>
      <t>2019.2.20</t>
    </r>
    <r>
      <rPr>
        <sz val="11"/>
        <rFont val="宋体"/>
        <charset val="134"/>
      </rPr>
      <t>收，</t>
    </r>
    <r>
      <rPr>
        <sz val="11"/>
        <rFont val="Calibri"/>
        <charset val="134"/>
      </rPr>
      <t>2020.2.23</t>
    </r>
    <r>
      <rPr>
        <sz val="11"/>
        <rFont val="宋体"/>
        <charset val="134"/>
      </rPr>
      <t>用做</t>
    </r>
    <r>
      <rPr>
        <sz val="11"/>
        <rFont val="Calibri"/>
        <charset val="134"/>
      </rPr>
      <t>J3749</t>
    </r>
    <r>
      <rPr>
        <sz val="11"/>
        <rFont val="宋体"/>
        <charset val="134"/>
      </rPr>
      <t>定金</t>
    </r>
  </si>
  <si>
    <t>J3749用掉了</t>
  </si>
  <si>
    <t>迪拜Danube (henry 肖勇）</t>
  </si>
  <si>
    <t>金凯账户</t>
  </si>
  <si>
    <t>用作J3305-7</t>
  </si>
  <si>
    <r>
      <rPr>
        <sz val="11"/>
        <rFont val="宋体"/>
        <charset val="134"/>
      </rPr>
      <t>印度</t>
    </r>
    <r>
      <rPr>
        <sz val="11"/>
        <rFont val="Calibri"/>
        <charset val="134"/>
      </rPr>
      <t>Kingston(Danny)</t>
    </r>
  </si>
  <si>
    <t>2022.2.11 J4167用掉1571</t>
  </si>
  <si>
    <t>helen</t>
  </si>
  <si>
    <t xml:space="preserve">20000RMB </t>
  </si>
  <si>
    <t>2022.2.21收$4967</t>
  </si>
  <si>
    <t>Customer</t>
  </si>
  <si>
    <t xml:space="preserve">备注 </t>
  </si>
  <si>
    <r>
      <rPr>
        <sz val="8"/>
        <rFont val="宋体"/>
        <charset val="134"/>
      </rPr>
      <t>伊朗</t>
    </r>
    <r>
      <rPr>
        <sz val="8"/>
        <rFont val="Cambria"/>
        <charset val="134"/>
      </rPr>
      <t xml:space="preserve"> SEPAHAN</t>
    </r>
    <r>
      <rPr>
        <sz val="8"/>
        <rFont val="宋体"/>
        <charset val="134"/>
      </rPr>
      <t>（</t>
    </r>
    <r>
      <rPr>
        <sz val="8"/>
        <rFont val="Cambria"/>
        <charset val="134"/>
      </rPr>
      <t>Mehrraz</t>
    </r>
    <r>
      <rPr>
        <sz val="8"/>
        <rFont val="宋体"/>
        <charset val="134"/>
      </rPr>
      <t>）</t>
    </r>
  </si>
  <si>
    <r>
      <rPr>
        <sz val="8"/>
        <rFont val="宋体"/>
        <charset val="134"/>
      </rPr>
      <t>迪拜</t>
    </r>
    <r>
      <rPr>
        <sz val="8"/>
        <rFont val="Cambria"/>
        <charset val="134"/>
      </rPr>
      <t xml:space="preserve"> SHANGHAI</t>
    </r>
    <r>
      <rPr>
        <sz val="8"/>
        <rFont val="宋体"/>
        <charset val="134"/>
      </rPr>
      <t>（</t>
    </r>
    <r>
      <rPr>
        <sz val="8"/>
        <rFont val="Cambria"/>
        <charset val="134"/>
      </rPr>
      <t>Thanveer</t>
    </r>
    <r>
      <rPr>
        <sz val="8"/>
        <rFont val="宋体"/>
        <charset val="134"/>
      </rPr>
      <t>）</t>
    </r>
  </si>
  <si>
    <r>
      <rPr>
        <sz val="8"/>
        <rFont val="宋体"/>
        <charset val="134"/>
      </rPr>
      <t xml:space="preserve">沙特 </t>
    </r>
    <r>
      <rPr>
        <sz val="8"/>
        <rFont val="Cambria"/>
        <charset val="134"/>
      </rPr>
      <t>Taliah</t>
    </r>
    <r>
      <rPr>
        <sz val="8"/>
        <rFont val="宋体"/>
        <charset val="134"/>
      </rPr>
      <t>（</t>
    </r>
    <r>
      <rPr>
        <sz val="8"/>
        <rFont val="Cambria"/>
        <charset val="134"/>
      </rPr>
      <t>Hameed</t>
    </r>
    <r>
      <rPr>
        <sz val="8"/>
        <rFont val="宋体"/>
        <charset val="134"/>
      </rPr>
      <t>）</t>
    </r>
  </si>
  <si>
    <t>$53.50 TUV Austria administration cost 革力减掉150代理费</t>
  </si>
  <si>
    <r>
      <rPr>
        <sz val="8"/>
        <rFont val="宋体"/>
        <charset val="134"/>
      </rPr>
      <t>印度</t>
    </r>
    <r>
      <rPr>
        <sz val="8"/>
        <rFont val="Cambria"/>
        <charset val="134"/>
      </rPr>
      <t xml:space="preserve"> MAB Jaison </t>
    </r>
  </si>
  <si>
    <r>
      <rPr>
        <sz val="8"/>
        <rFont val="宋体"/>
        <charset val="134"/>
      </rPr>
      <t>印度</t>
    </r>
    <r>
      <rPr>
        <sz val="8"/>
        <rFont val="Cambria"/>
        <charset val="134"/>
      </rPr>
      <t xml:space="preserve"> KINGSTON Danny</t>
    </r>
  </si>
  <si>
    <r>
      <rPr>
        <sz val="8"/>
        <rFont val="宋体"/>
        <charset val="134"/>
      </rPr>
      <t>越南</t>
    </r>
    <r>
      <rPr>
        <sz val="8"/>
        <rFont val="Cambria"/>
        <charset val="134"/>
      </rPr>
      <t xml:space="preserve"> DUC MINH (Quyen)</t>
    </r>
  </si>
  <si>
    <r>
      <rPr>
        <sz val="8"/>
        <rFont val="宋体"/>
        <charset val="134"/>
      </rPr>
      <t>迪拜</t>
    </r>
    <r>
      <rPr>
        <sz val="8"/>
        <rFont val="Cambria"/>
        <charset val="134"/>
      </rPr>
      <t xml:space="preserve"> GEMINI (Manoj)</t>
    </r>
  </si>
  <si>
    <t>外送费用945人民币+装箱费用 加在发票里</t>
  </si>
  <si>
    <r>
      <rPr>
        <sz val="8"/>
        <rFont val="宋体"/>
        <charset val="134"/>
      </rPr>
      <t>阿布扎比</t>
    </r>
    <r>
      <rPr>
        <sz val="8"/>
        <rFont val="Cambria"/>
        <charset val="134"/>
      </rPr>
      <t xml:space="preserve">THURAYA Okab </t>
    </r>
  </si>
  <si>
    <r>
      <rPr>
        <sz val="8"/>
        <rFont val="宋体"/>
        <charset val="134"/>
      </rPr>
      <t>菲律宾</t>
    </r>
    <r>
      <rPr>
        <sz val="8"/>
        <rFont val="Cambria"/>
        <charset val="134"/>
      </rPr>
      <t xml:space="preserve"> LEXUS (Ben)</t>
    </r>
  </si>
  <si>
    <r>
      <rPr>
        <sz val="8"/>
        <rFont val="宋体"/>
        <charset val="134"/>
      </rPr>
      <t>临沂张金珍</t>
    </r>
  </si>
  <si>
    <r>
      <rPr>
        <sz val="8"/>
        <rFont val="宋体"/>
        <charset val="134"/>
      </rPr>
      <t>委内瑞拉</t>
    </r>
    <r>
      <rPr>
        <sz val="8"/>
        <rFont val="Cambria"/>
        <charset val="134"/>
      </rPr>
      <t>HK BUILDCO (Steven)</t>
    </r>
  </si>
  <si>
    <r>
      <rPr>
        <sz val="8"/>
        <rFont val="宋体"/>
        <charset val="134"/>
      </rPr>
      <t xml:space="preserve">印尼 </t>
    </r>
    <r>
      <rPr>
        <sz val="8"/>
        <rFont val="Cambria"/>
        <charset val="134"/>
      </rPr>
      <t>PT ABADI Darman Jono</t>
    </r>
  </si>
  <si>
    <r>
      <rPr>
        <sz val="8"/>
        <rFont val="宋体"/>
        <charset val="134"/>
      </rPr>
      <t>阿曼</t>
    </r>
    <r>
      <rPr>
        <sz val="8"/>
        <rFont val="Cambria"/>
        <charset val="134"/>
      </rPr>
      <t xml:space="preserve"> MOHAMMAD RIAZ/Abhi</t>
    </r>
  </si>
  <si>
    <r>
      <rPr>
        <sz val="8"/>
        <rFont val="宋体"/>
        <charset val="134"/>
      </rPr>
      <t>迪拜</t>
    </r>
    <r>
      <rPr>
        <sz val="8"/>
        <rFont val="Cambria"/>
        <charset val="134"/>
      </rPr>
      <t xml:space="preserve"> DANUBE </t>
    </r>
    <r>
      <rPr>
        <sz val="8"/>
        <rFont val="宋体"/>
        <charset val="134"/>
      </rPr>
      <t>肖勇Henry</t>
    </r>
  </si>
  <si>
    <r>
      <rPr>
        <sz val="8"/>
        <rFont val="宋体"/>
        <charset val="134"/>
      </rPr>
      <t xml:space="preserve">埃及 </t>
    </r>
    <r>
      <rPr>
        <sz val="8"/>
        <rFont val="Cambria"/>
        <charset val="134"/>
      </rPr>
      <t>CONTRADEC Asmaa/Khalil</t>
    </r>
  </si>
  <si>
    <t>埃及红线客户配件 样品都要单独显示在箱单发票上</t>
  </si>
  <si>
    <r>
      <rPr>
        <sz val="8"/>
        <rFont val="宋体"/>
        <charset val="134"/>
      </rPr>
      <t>埃及</t>
    </r>
    <r>
      <rPr>
        <sz val="8"/>
        <rFont val="Cambria"/>
        <charset val="134"/>
      </rPr>
      <t xml:space="preserve"> SKY Ahmed Yahia</t>
    </r>
  </si>
  <si>
    <r>
      <rPr>
        <sz val="8"/>
        <rFont val="宋体"/>
        <charset val="134"/>
      </rPr>
      <t>土耳其</t>
    </r>
    <r>
      <rPr>
        <sz val="8"/>
        <rFont val="Cambria"/>
        <charset val="134"/>
      </rPr>
      <t>Hamza</t>
    </r>
  </si>
  <si>
    <r>
      <rPr>
        <sz val="8"/>
        <rFont val="宋体"/>
        <charset val="134"/>
      </rPr>
      <t xml:space="preserve">澳大利亚 </t>
    </r>
    <r>
      <rPr>
        <sz val="8"/>
        <rFont val="Cambria"/>
        <charset val="134"/>
      </rPr>
      <t>Source</t>
    </r>
    <r>
      <rPr>
        <sz val="8"/>
        <rFont val="宋体"/>
        <charset val="134"/>
      </rPr>
      <t>（Sheila）</t>
    </r>
  </si>
  <si>
    <t xml:space="preserve">广州白龙 BALLON Sami </t>
  </si>
  <si>
    <r>
      <rPr>
        <sz val="8"/>
        <rFont val="宋体"/>
        <charset val="134"/>
      </rPr>
      <t>埃及</t>
    </r>
    <r>
      <rPr>
        <sz val="8"/>
        <rFont val="Cambria"/>
        <charset val="134"/>
      </rPr>
      <t xml:space="preserve"> BM </t>
    </r>
    <r>
      <rPr>
        <sz val="8"/>
        <rFont val="宋体"/>
        <charset val="134"/>
      </rPr>
      <t>（</t>
    </r>
    <r>
      <rPr>
        <sz val="8"/>
        <rFont val="Cambria"/>
        <charset val="134"/>
      </rPr>
      <t>Ahmed Algareeb</t>
    </r>
    <r>
      <rPr>
        <sz val="8"/>
        <rFont val="宋体"/>
        <charset val="134"/>
      </rPr>
      <t>）</t>
    </r>
  </si>
  <si>
    <r>
      <rPr>
        <sz val="8"/>
        <rFont val="宋体"/>
        <charset val="134"/>
      </rPr>
      <t xml:space="preserve">印度 VAISHVI </t>
    </r>
    <r>
      <rPr>
        <sz val="8"/>
        <rFont val="Cambria"/>
        <charset val="134"/>
      </rPr>
      <t>Hiren KRISHNAV</t>
    </r>
  </si>
  <si>
    <r>
      <rPr>
        <sz val="8"/>
        <rFont val="宋体"/>
        <charset val="134"/>
      </rPr>
      <t>巴林</t>
    </r>
    <r>
      <rPr>
        <sz val="8"/>
        <rFont val="Cambria"/>
        <charset val="134"/>
      </rPr>
      <t xml:space="preserve"> ALIF Muhammed</t>
    </r>
  </si>
  <si>
    <t xml:space="preserve">印度 MEET Pravin </t>
  </si>
  <si>
    <r>
      <rPr>
        <sz val="8"/>
        <rFont val="宋体"/>
        <charset val="134"/>
      </rPr>
      <t>济南潘奥</t>
    </r>
    <r>
      <rPr>
        <sz val="8"/>
        <rFont val="Cambria"/>
        <charset val="134"/>
      </rPr>
      <t xml:space="preserve"> 王侃杜</t>
    </r>
    <r>
      <rPr>
        <sz val="8"/>
        <rFont val="宋体"/>
        <charset val="134"/>
      </rPr>
      <t>Richard</t>
    </r>
  </si>
  <si>
    <r>
      <rPr>
        <sz val="8"/>
        <rFont val="宋体"/>
        <charset val="134"/>
      </rPr>
      <t>埃及</t>
    </r>
    <r>
      <rPr>
        <sz val="8"/>
        <rFont val="Cambria"/>
        <charset val="134"/>
      </rPr>
      <t xml:space="preserve"> DECORAMA(Goma)</t>
    </r>
  </si>
  <si>
    <t>印度 ANGI （Jayesh）</t>
  </si>
  <si>
    <r>
      <rPr>
        <sz val="8"/>
        <rFont val="宋体"/>
        <charset val="134"/>
      </rPr>
      <t>阿曼</t>
    </r>
    <r>
      <rPr>
        <sz val="8"/>
        <rFont val="Cambria"/>
        <charset val="134"/>
      </rPr>
      <t xml:space="preserve">Khareef/ZAYAN </t>
    </r>
  </si>
  <si>
    <r>
      <rPr>
        <sz val="8"/>
        <rFont val="宋体"/>
        <charset val="134"/>
      </rPr>
      <t>迪拜</t>
    </r>
    <r>
      <rPr>
        <sz val="8"/>
        <rFont val="Cambria"/>
        <charset val="134"/>
      </rPr>
      <t xml:space="preserve"> Maraghi/Sunil </t>
    </r>
  </si>
  <si>
    <r>
      <rPr>
        <sz val="8"/>
        <rFont val="宋体"/>
        <charset val="134"/>
      </rPr>
      <t>巴林</t>
    </r>
    <r>
      <rPr>
        <sz val="8"/>
        <rFont val="Cambria"/>
        <charset val="134"/>
      </rPr>
      <t xml:space="preserve"> Altawasel Gate(Kurian)</t>
    </r>
  </si>
  <si>
    <t>巴林 Metromet/Kurian</t>
  </si>
  <si>
    <r>
      <rPr>
        <sz val="8"/>
        <rFont val="宋体"/>
        <charset val="134"/>
      </rPr>
      <t>尼日利亚</t>
    </r>
    <r>
      <rPr>
        <sz val="8"/>
        <rFont val="Cambria"/>
        <charset val="134"/>
      </rPr>
      <t>LUXEMBOURG(Ebere)</t>
    </r>
  </si>
  <si>
    <r>
      <rPr>
        <sz val="8"/>
        <rFont val="宋体"/>
        <charset val="134"/>
      </rPr>
      <t>山东华勤</t>
    </r>
    <r>
      <rPr>
        <sz val="8"/>
        <rFont val="Cambria"/>
        <charset val="134"/>
      </rPr>
      <t xml:space="preserve"> -(Rex)</t>
    </r>
  </si>
  <si>
    <r>
      <rPr>
        <sz val="8"/>
        <rFont val="宋体"/>
        <charset val="134"/>
      </rPr>
      <t>澳大利亚</t>
    </r>
    <r>
      <rPr>
        <sz val="8"/>
        <rFont val="Cambria"/>
        <charset val="134"/>
      </rPr>
      <t xml:space="preserve"> RAK</t>
    </r>
    <r>
      <rPr>
        <sz val="8"/>
        <rFont val="宋体"/>
        <charset val="134"/>
      </rPr>
      <t>（</t>
    </r>
    <r>
      <rPr>
        <sz val="8"/>
        <rFont val="Cambria"/>
        <charset val="134"/>
      </rPr>
      <t>Robert</t>
    </r>
    <r>
      <rPr>
        <sz val="8"/>
        <rFont val="宋体"/>
        <charset val="134"/>
      </rPr>
      <t>）</t>
    </r>
  </si>
  <si>
    <t>J4159还差USD265.65没付齐 J4220还有定金5674.3 账上剩5408.65</t>
  </si>
  <si>
    <r>
      <rPr>
        <sz val="8"/>
        <rFont val="宋体"/>
        <charset val="134"/>
      </rPr>
      <t>义乌开航</t>
    </r>
    <r>
      <rPr>
        <sz val="8"/>
        <rFont val="Cambria"/>
        <charset val="134"/>
      </rPr>
      <t>/</t>
    </r>
    <r>
      <rPr>
        <sz val="8"/>
        <rFont val="宋体"/>
        <charset val="134"/>
      </rPr>
      <t>林平</t>
    </r>
    <r>
      <rPr>
        <sz val="8"/>
        <rFont val="Cambria"/>
        <charset val="134"/>
      </rPr>
      <t xml:space="preserve"> </t>
    </r>
  </si>
  <si>
    <r>
      <rPr>
        <sz val="8"/>
        <rFont val="宋体"/>
        <charset val="134"/>
      </rPr>
      <t xml:space="preserve">利比亚 </t>
    </r>
    <r>
      <rPr>
        <sz val="8"/>
        <rFont val="Cambria"/>
        <charset val="134"/>
      </rPr>
      <t xml:space="preserve">Al-Etha/Salah Shanab </t>
    </r>
  </si>
  <si>
    <t>山东Roney</t>
  </si>
  <si>
    <t>哥斯达黎加 Jorge</t>
  </si>
  <si>
    <r>
      <rPr>
        <sz val="8"/>
        <rFont val="宋体"/>
        <charset val="134"/>
      </rPr>
      <t xml:space="preserve">利比亚 </t>
    </r>
    <r>
      <rPr>
        <sz val="8"/>
        <rFont val="Cambria"/>
        <charset val="134"/>
      </rPr>
      <t xml:space="preserve">Pearl   </t>
    </r>
  </si>
  <si>
    <t xml:space="preserve">卡塔尔 Decotech Mahamud </t>
  </si>
  <si>
    <t xml:space="preserve">深圳excel Cindy </t>
  </si>
  <si>
    <r>
      <rPr>
        <sz val="8"/>
        <rFont val="宋体"/>
        <charset val="134"/>
      </rPr>
      <t>卡塔尔</t>
    </r>
    <r>
      <rPr>
        <sz val="8"/>
        <rFont val="Cambria"/>
        <charset val="134"/>
      </rPr>
      <t>Al Jamal/Mehaboob</t>
    </r>
  </si>
  <si>
    <r>
      <rPr>
        <sz val="8"/>
        <rFont val="宋体"/>
        <charset val="134"/>
      </rPr>
      <t>卡塔尔</t>
    </r>
    <r>
      <rPr>
        <sz val="8"/>
        <rFont val="Cambria"/>
        <charset val="134"/>
      </rPr>
      <t>Total design/Osama</t>
    </r>
  </si>
  <si>
    <r>
      <rPr>
        <sz val="8"/>
        <rFont val="宋体"/>
        <charset val="134"/>
      </rPr>
      <t>卡塔尔</t>
    </r>
    <r>
      <rPr>
        <sz val="8"/>
        <rFont val="Cambria"/>
        <charset val="134"/>
      </rPr>
      <t>Unitech/Khaled</t>
    </r>
  </si>
  <si>
    <r>
      <rPr>
        <sz val="8"/>
        <rFont val="宋体"/>
        <charset val="134"/>
      </rPr>
      <t>卡塔尔</t>
    </r>
    <r>
      <rPr>
        <sz val="8"/>
        <rFont val="Cambria"/>
        <charset val="134"/>
      </rPr>
      <t xml:space="preserve"> Advanced/Muhammad</t>
    </r>
  </si>
  <si>
    <r>
      <rPr>
        <sz val="8"/>
        <rFont val="宋体"/>
        <charset val="134"/>
      </rPr>
      <t>马来西亚</t>
    </r>
    <r>
      <rPr>
        <sz val="8"/>
        <rFont val="Cambria"/>
        <charset val="134"/>
      </rPr>
      <t xml:space="preserve"> IK KEE</t>
    </r>
    <r>
      <rPr>
        <sz val="8"/>
        <rFont val="宋体"/>
        <charset val="134"/>
      </rPr>
      <t>（</t>
    </r>
    <r>
      <rPr>
        <sz val="8"/>
        <rFont val="Cambria"/>
        <charset val="134"/>
      </rPr>
      <t>david</t>
    </r>
    <r>
      <rPr>
        <sz val="8"/>
        <rFont val="宋体"/>
        <charset val="134"/>
      </rPr>
      <t>）</t>
    </r>
  </si>
  <si>
    <r>
      <rPr>
        <sz val="8"/>
        <rFont val="宋体"/>
        <charset val="134"/>
      </rPr>
      <t>迪拜</t>
    </r>
    <r>
      <rPr>
        <sz val="8"/>
        <rFont val="Cambria"/>
        <charset val="134"/>
      </rPr>
      <t>saed</t>
    </r>
  </si>
  <si>
    <t>英国 CAD/ROB</t>
  </si>
  <si>
    <t xml:space="preserve">卡塔尔 SHAHBA Abdul Hamed </t>
  </si>
  <si>
    <t>南美 Bemat</t>
  </si>
  <si>
    <t>安哥拉门及配件给清单  灯的清单和照片 如果HScode是九十五章  提前和报关货代说
2021.3.4收¥55000(汇率6.46，折合美金$8512.93)
冻结中</t>
  </si>
  <si>
    <r>
      <rPr>
        <sz val="8"/>
        <rFont val="宋体"/>
        <charset val="134"/>
      </rPr>
      <t>斯里兰卡</t>
    </r>
    <r>
      <rPr>
        <sz val="8"/>
        <rFont val="Cambria"/>
        <charset val="134"/>
      </rPr>
      <t>Nihal (Rizvi)</t>
    </r>
  </si>
  <si>
    <r>
      <rPr>
        <sz val="8"/>
        <rFont val="宋体"/>
        <charset val="134"/>
      </rPr>
      <t>印度</t>
    </r>
    <r>
      <rPr>
        <sz val="8"/>
        <rFont val="Cambria"/>
        <charset val="134"/>
      </rPr>
      <t>FURNITECH (Jignesh)</t>
    </r>
  </si>
  <si>
    <r>
      <rPr>
        <sz val="8"/>
        <rFont val="宋体"/>
        <charset val="134"/>
      </rPr>
      <t>印度</t>
    </r>
    <r>
      <rPr>
        <sz val="8"/>
        <rFont val="Cambria"/>
        <charset val="134"/>
      </rPr>
      <t>AAVA (Vik）</t>
    </r>
  </si>
  <si>
    <r>
      <rPr>
        <sz val="8"/>
        <color indexed="8"/>
        <rFont val="宋体"/>
        <charset val="134"/>
      </rPr>
      <t>唐山海港</t>
    </r>
    <r>
      <rPr>
        <sz val="8"/>
        <color indexed="8"/>
        <rFont val="Cambria"/>
        <charset val="134"/>
      </rPr>
      <t>(Helen)</t>
    </r>
  </si>
  <si>
    <r>
      <rPr>
        <sz val="8"/>
        <color indexed="8"/>
        <rFont val="宋体"/>
        <charset val="134"/>
      </rPr>
      <t>阿曼</t>
    </r>
    <r>
      <rPr>
        <sz val="8"/>
        <color indexed="8"/>
        <rFont val="Cambria"/>
        <charset val="134"/>
      </rPr>
      <t>(Hamad)</t>
    </r>
  </si>
  <si>
    <r>
      <rPr>
        <sz val="8"/>
        <color indexed="8"/>
        <rFont val="宋体"/>
        <charset val="134"/>
      </rPr>
      <t>菲律宾</t>
    </r>
    <r>
      <rPr>
        <sz val="8"/>
        <color indexed="8"/>
        <rFont val="Cambria"/>
        <charset val="134"/>
      </rPr>
      <t xml:space="preserve"> INFINITEOPTIONS   </t>
    </r>
  </si>
  <si>
    <r>
      <rPr>
        <sz val="8"/>
        <color theme="1"/>
        <rFont val="宋体"/>
        <charset val="134"/>
      </rPr>
      <t>马来西亚</t>
    </r>
    <r>
      <rPr>
        <sz val="8"/>
        <color theme="1"/>
        <rFont val="Cambria"/>
        <charset val="134"/>
      </rPr>
      <t>&amp;</t>
    </r>
    <r>
      <rPr>
        <sz val="8"/>
        <color theme="1"/>
        <rFont val="宋体"/>
        <charset val="134"/>
      </rPr>
      <t>加蓬ECOSCIENCE</t>
    </r>
    <r>
      <rPr>
        <sz val="8"/>
        <color theme="1"/>
        <rFont val="Cambria"/>
        <charset val="134"/>
      </rPr>
      <t xml:space="preserve"> </t>
    </r>
    <r>
      <rPr>
        <sz val="8"/>
        <color theme="1"/>
        <rFont val="宋体"/>
        <charset val="134"/>
      </rPr>
      <t>（</t>
    </r>
    <r>
      <rPr>
        <sz val="8"/>
        <color theme="1"/>
        <rFont val="Cambria"/>
        <charset val="134"/>
      </rPr>
      <t>Louis</t>
    </r>
    <r>
      <rPr>
        <sz val="8"/>
        <color theme="1"/>
        <rFont val="宋体"/>
        <charset val="134"/>
      </rPr>
      <t>）</t>
    </r>
  </si>
  <si>
    <r>
      <rPr>
        <sz val="8"/>
        <color rgb="FF000000"/>
        <rFont val="宋体"/>
        <charset val="134"/>
      </rPr>
      <t xml:space="preserve">阿曼 </t>
    </r>
    <r>
      <rPr>
        <sz val="8"/>
        <color rgb="FF000000"/>
        <rFont val="Cambria"/>
        <charset val="134"/>
      </rPr>
      <t>ARMOL  (Hamid)</t>
    </r>
  </si>
  <si>
    <r>
      <rPr>
        <sz val="8"/>
        <color indexed="8"/>
        <rFont val="宋体"/>
        <charset val="134"/>
      </rPr>
      <t>印度</t>
    </r>
    <r>
      <rPr>
        <sz val="8"/>
        <color theme="1"/>
        <rFont val="Cambria"/>
        <charset val="134"/>
      </rPr>
      <t>MDG(Poonam)</t>
    </r>
  </si>
  <si>
    <r>
      <rPr>
        <sz val="8"/>
        <color theme="1"/>
        <rFont val="宋体"/>
        <charset val="134"/>
      </rPr>
      <t>唐山海港</t>
    </r>
    <r>
      <rPr>
        <sz val="8"/>
        <color theme="1"/>
        <rFont val="Cambria"/>
        <charset val="134"/>
      </rPr>
      <t>TANGSHAN(Helen)</t>
    </r>
  </si>
  <si>
    <r>
      <rPr>
        <sz val="8"/>
        <color theme="1"/>
        <rFont val="Cambria"/>
        <charset val="134"/>
      </rPr>
      <t>南美LSR/</t>
    </r>
    <r>
      <rPr>
        <sz val="8"/>
        <color theme="1"/>
        <rFont val="宋体"/>
        <charset val="134"/>
      </rPr>
      <t>付经理</t>
    </r>
  </si>
  <si>
    <t>J3805客户尾款打的多</t>
  </si>
  <si>
    <r>
      <rPr>
        <sz val="8"/>
        <color theme="1"/>
        <rFont val="宋体"/>
        <charset val="134"/>
      </rPr>
      <t>马耳他</t>
    </r>
    <r>
      <rPr>
        <sz val="8"/>
        <color theme="1"/>
        <rFont val="Cambria"/>
        <charset val="134"/>
      </rPr>
      <t>APTC</t>
    </r>
    <r>
      <rPr>
        <sz val="8"/>
        <color theme="1"/>
        <rFont val="宋体"/>
        <charset val="134"/>
      </rPr>
      <t>（</t>
    </r>
    <r>
      <rPr>
        <sz val="8"/>
        <color theme="1"/>
        <rFont val="Cambria"/>
        <charset val="134"/>
      </rPr>
      <t>Rodianne</t>
    </r>
    <r>
      <rPr>
        <sz val="8"/>
        <color theme="1"/>
        <rFont val="宋体"/>
        <charset val="134"/>
      </rPr>
      <t>）</t>
    </r>
  </si>
  <si>
    <t>沙特 NOJOOM (Abd Al Rahman)</t>
  </si>
  <si>
    <r>
      <rPr>
        <sz val="8"/>
        <rFont val="宋体"/>
        <charset val="134"/>
      </rPr>
      <t xml:space="preserve">沙特 </t>
    </r>
    <r>
      <rPr>
        <sz val="8"/>
        <rFont val="Cambria"/>
        <charset val="134"/>
      </rPr>
      <t xml:space="preserve">EASTEN </t>
    </r>
    <r>
      <rPr>
        <sz val="8"/>
        <rFont val="宋体"/>
        <charset val="134"/>
      </rPr>
      <t>（</t>
    </r>
    <r>
      <rPr>
        <sz val="8"/>
        <rFont val="Cambria"/>
        <charset val="134"/>
      </rPr>
      <t>Nasir</t>
    </r>
    <r>
      <rPr>
        <sz val="8"/>
        <rFont val="宋体"/>
        <charset val="134"/>
      </rPr>
      <t>）</t>
    </r>
  </si>
  <si>
    <r>
      <rPr>
        <sz val="8"/>
        <rFont val="宋体"/>
        <charset val="134"/>
      </rPr>
      <t>阿富汗</t>
    </r>
    <r>
      <rPr>
        <sz val="8"/>
        <rFont val="Cambria"/>
        <charset val="134"/>
      </rPr>
      <t>Kandahar,Kablai Maris</t>
    </r>
  </si>
  <si>
    <t xml:space="preserve">厦门锡恩 </t>
  </si>
  <si>
    <r>
      <rPr>
        <sz val="8"/>
        <rFont val="宋体"/>
        <charset val="134"/>
      </rPr>
      <t>沙特</t>
    </r>
    <r>
      <rPr>
        <sz val="8"/>
        <rFont val="Cambria"/>
        <charset val="134"/>
      </rPr>
      <t xml:space="preserve"> OXGEN/Muhammed</t>
    </r>
  </si>
  <si>
    <r>
      <rPr>
        <sz val="8"/>
        <rFont val="宋体"/>
        <charset val="134"/>
      </rPr>
      <t>马来西亚</t>
    </r>
    <r>
      <rPr>
        <u/>
        <sz val="8"/>
        <rFont val="Cambria"/>
        <charset val="134"/>
      </rPr>
      <t>JCH</t>
    </r>
  </si>
  <si>
    <t>印度 shree/Hanuman</t>
  </si>
  <si>
    <r>
      <rPr>
        <u/>
        <sz val="8"/>
        <rFont val="宋体"/>
        <charset val="134"/>
      </rPr>
      <t>瓦利斯和浮图纳</t>
    </r>
    <r>
      <rPr>
        <u/>
        <sz val="8"/>
        <rFont val="Cambria"/>
        <charset val="134"/>
      </rPr>
      <t xml:space="preserve"> PROUX</t>
    </r>
  </si>
  <si>
    <r>
      <rPr>
        <u/>
        <sz val="8"/>
        <rFont val="宋体"/>
        <charset val="134"/>
      </rPr>
      <t>坦桑</t>
    </r>
    <r>
      <rPr>
        <u/>
        <sz val="8"/>
        <rFont val="Cambria"/>
        <charset val="134"/>
      </rPr>
      <t>Imports</t>
    </r>
    <r>
      <rPr>
        <u/>
        <sz val="8"/>
        <rFont val="宋体"/>
        <charset val="134"/>
      </rPr>
      <t>（</t>
    </r>
    <r>
      <rPr>
        <u/>
        <sz val="8"/>
        <rFont val="Cambria"/>
        <charset val="134"/>
      </rPr>
      <t xml:space="preserve">Roshan </t>
    </r>
    <r>
      <rPr>
        <u/>
        <sz val="8"/>
        <rFont val="宋体"/>
        <charset val="134"/>
      </rPr>
      <t>）</t>
    </r>
  </si>
  <si>
    <r>
      <rPr>
        <u/>
        <sz val="8"/>
        <rFont val="宋体"/>
        <charset val="134"/>
      </rPr>
      <t>伊朗</t>
    </r>
    <r>
      <rPr>
        <u/>
        <sz val="8"/>
        <rFont val="Cambria"/>
        <charset val="134"/>
      </rPr>
      <t>SHIK （Mohsen）</t>
    </r>
  </si>
  <si>
    <r>
      <rPr>
        <sz val="8"/>
        <rFont val="宋体"/>
        <charset val="134"/>
      </rPr>
      <t>科威特</t>
    </r>
    <r>
      <rPr>
        <sz val="8"/>
        <rFont val="Cambria"/>
        <charset val="134"/>
      </rPr>
      <t xml:space="preserve"> ABDUL SALAM  Ali</t>
    </r>
  </si>
  <si>
    <t>收货人可能变 每次和客户确认下收货人 必须受到客户明确回复</t>
  </si>
  <si>
    <t>印尼 PT.SURYA （Chris）</t>
  </si>
  <si>
    <t>深圳三禾/Amy</t>
  </si>
  <si>
    <t>邮寄地址地区用2222</t>
  </si>
  <si>
    <r>
      <rPr>
        <sz val="8"/>
        <rFont val="宋体"/>
        <charset val="134"/>
      </rPr>
      <t>迪拜</t>
    </r>
    <r>
      <rPr>
        <sz val="8"/>
        <rFont val="Cambria"/>
        <charset val="134"/>
      </rPr>
      <t xml:space="preserve"> AL OMRAN/Muneer</t>
    </r>
  </si>
  <si>
    <r>
      <rPr>
        <sz val="8"/>
        <rFont val="宋体"/>
        <charset val="134"/>
      </rPr>
      <t>沙迦</t>
    </r>
    <r>
      <rPr>
        <sz val="8"/>
        <rFont val="Cambria"/>
        <charset val="134"/>
      </rPr>
      <t xml:space="preserve"> AL BADYA/Salim</t>
    </r>
  </si>
  <si>
    <t>多米尼加 CRYSTAL/Wilton</t>
  </si>
  <si>
    <t>沙特IBS/Eyad</t>
  </si>
  <si>
    <t>斯里兰卡SM Trading/Hasim</t>
  </si>
  <si>
    <t>马其顿 LID/Ljupce</t>
  </si>
  <si>
    <t>印度 BHARAT /Raju</t>
  </si>
  <si>
    <t xml:space="preserve">台湾 TAINDO/Johnson潘 </t>
  </si>
  <si>
    <t>兰威金属/史先生</t>
  </si>
  <si>
    <t>深圳Excel/Maggie</t>
  </si>
</sst>
</file>

<file path=xl/styles.xml><?xml version="1.0" encoding="utf-8"?>
<styleSheet xmlns="http://schemas.openxmlformats.org/spreadsheetml/2006/main">
  <numFmts count="16">
    <numFmt numFmtId="7" formatCode="&quot;￥&quot;#,##0.00;&quot;￥&quot;\-#,##0.00"/>
    <numFmt numFmtId="24" formatCode="\$#,##0_);[Red]\(\$#,##0\)"/>
    <numFmt numFmtId="26" formatCode="\$#,##0.00_);[Red]\(\$#,##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quot;￥&quot;#,##0.00_);[Red]\(&quot;￥&quot;#,##0.00\)"/>
    <numFmt numFmtId="177" formatCode="yyyy/m/d;@"/>
    <numFmt numFmtId="178" formatCode="\$#,##0.00;[Red]\$#,##0.00"/>
    <numFmt numFmtId="179" formatCode="&quot;￥&quot;#,##0.00"/>
    <numFmt numFmtId="180" formatCode="\$#,##0.00;\-\$#,##0.00"/>
    <numFmt numFmtId="181" formatCode="m/d;@"/>
    <numFmt numFmtId="182" formatCode="[$CAD]\ #,##0.00;[$CAD]\ \-#,##0.00"/>
    <numFmt numFmtId="183" formatCode="&quot;￥&quot;#,##0.00;[Red]&quot;￥&quot;#,##0.00"/>
    <numFmt numFmtId="184" formatCode="\$#,##0.0_);[Red]\(\$#,##0.0\)"/>
  </numFmts>
  <fonts count="154">
    <font>
      <sz val="12"/>
      <name val="宋体"/>
      <charset val="134"/>
    </font>
    <font>
      <sz val="8"/>
      <name val="Cambria"/>
      <charset val="134"/>
    </font>
    <font>
      <sz val="10"/>
      <color rgb="FFFF0000"/>
      <name val="宋体"/>
      <charset val="134"/>
    </font>
    <font>
      <b/>
      <sz val="8"/>
      <color theme="1"/>
      <name val="Cambria"/>
      <charset val="134"/>
    </font>
    <font>
      <sz val="8"/>
      <name val="宋体"/>
      <charset val="134"/>
    </font>
    <font>
      <sz val="8"/>
      <color rgb="FF000000"/>
      <name val="宋体"/>
      <charset val="134"/>
    </font>
    <font>
      <sz val="8"/>
      <color theme="1"/>
      <name val="Cambria"/>
      <charset val="134"/>
    </font>
    <font>
      <sz val="8"/>
      <color theme="1"/>
      <name val="宋体"/>
      <charset val="134"/>
    </font>
    <font>
      <u/>
      <sz val="8"/>
      <name val="宋体"/>
      <charset val="134"/>
    </font>
    <font>
      <u/>
      <sz val="8"/>
      <name val="Cambria"/>
      <charset val="134"/>
    </font>
    <font>
      <u/>
      <sz val="8"/>
      <color theme="1"/>
      <name val="Cambria"/>
      <charset val="134"/>
    </font>
    <font>
      <sz val="8"/>
      <color theme="1"/>
      <name val="宋体"/>
      <charset val="134"/>
      <scheme val="minor"/>
    </font>
    <font>
      <sz val="12"/>
      <color theme="1"/>
      <name val="宋体"/>
      <charset val="134"/>
      <scheme val="minor"/>
    </font>
    <font>
      <sz val="8"/>
      <name val="华文宋体"/>
      <charset val="134"/>
    </font>
    <font>
      <sz val="11"/>
      <name val="宋体"/>
      <charset val="134"/>
    </font>
    <font>
      <sz val="11"/>
      <name val="Calibri"/>
      <charset val="134"/>
    </font>
    <font>
      <sz val="9"/>
      <color indexed="8"/>
      <name val="宋体"/>
      <charset val="134"/>
    </font>
    <font>
      <sz val="9"/>
      <name val="宋体"/>
      <charset val="134"/>
    </font>
    <font>
      <b/>
      <sz val="9"/>
      <color indexed="10"/>
      <name val="宋体"/>
      <charset val="134"/>
    </font>
    <font>
      <b/>
      <sz val="9"/>
      <color indexed="48"/>
      <name val="宋体"/>
      <charset val="134"/>
    </font>
    <font>
      <sz val="10"/>
      <name val="宋体"/>
      <charset val="134"/>
    </font>
    <font>
      <sz val="12"/>
      <name val="Arial"/>
      <charset val="134"/>
    </font>
    <font>
      <sz val="8"/>
      <name val="Arial"/>
      <charset val="134"/>
    </font>
    <font>
      <b/>
      <sz val="8"/>
      <color theme="1"/>
      <name val="Arial"/>
      <charset val="134"/>
    </font>
    <font>
      <sz val="9"/>
      <color indexed="22"/>
      <name val="Arial"/>
      <charset val="134"/>
    </font>
    <font>
      <sz val="9"/>
      <color theme="1"/>
      <name val="Arial"/>
      <charset val="134"/>
    </font>
    <font>
      <sz val="9"/>
      <name val="Arial"/>
      <charset val="134"/>
    </font>
    <font>
      <sz val="8"/>
      <color indexed="22"/>
      <name val="Arial"/>
      <charset val="134"/>
    </font>
    <font>
      <b/>
      <sz val="8"/>
      <name val="Arial"/>
      <charset val="134"/>
    </font>
    <font>
      <b/>
      <sz val="8"/>
      <color theme="0" tint="-0.25"/>
      <name val="Arial"/>
      <charset val="134"/>
    </font>
    <font>
      <b/>
      <sz val="8"/>
      <color rgb="FF0000D4"/>
      <name val="Arial"/>
      <charset val="134"/>
    </font>
    <font>
      <sz val="8"/>
      <color rgb="FFFF0000"/>
      <name val="Arial"/>
      <charset val="134"/>
    </font>
    <font>
      <sz val="8"/>
      <color rgb="FF0000FF"/>
      <name val="Arial"/>
      <charset val="134"/>
    </font>
    <font>
      <sz val="8"/>
      <color theme="1"/>
      <name val="Arial"/>
      <charset val="134"/>
    </font>
    <font>
      <b/>
      <sz val="8"/>
      <color rgb="FFFF0000"/>
      <name val="Arial"/>
      <charset val="134"/>
    </font>
    <font>
      <b/>
      <sz val="8"/>
      <color theme="0"/>
      <name val="Arial"/>
      <charset val="134"/>
    </font>
    <font>
      <b/>
      <sz val="8"/>
      <color theme="2" tint="-0.5"/>
      <name val="华文宋体"/>
      <charset val="134"/>
    </font>
    <font>
      <sz val="8"/>
      <color rgb="FFC00000"/>
      <name val="Arial"/>
      <charset val="134"/>
    </font>
    <font>
      <b/>
      <sz val="6"/>
      <color theme="0" tint="-0.25"/>
      <name val="华文宋体"/>
      <charset val="134"/>
    </font>
    <font>
      <b/>
      <sz val="6"/>
      <color rgb="FF0000D4"/>
      <name val="华文宋体"/>
      <charset val="134"/>
    </font>
    <font>
      <b/>
      <sz val="6"/>
      <color theme="1"/>
      <name val="华文宋体"/>
      <charset val="134"/>
    </font>
    <font>
      <b/>
      <sz val="8"/>
      <color theme="1"/>
      <name val="华文宋体"/>
      <charset val="134"/>
    </font>
    <font>
      <b/>
      <sz val="8"/>
      <color rgb="FF000000"/>
      <name val="Arial"/>
      <charset val="134"/>
    </font>
    <font>
      <b/>
      <sz val="8"/>
      <color indexed="8"/>
      <name val="Arial"/>
      <charset val="134"/>
    </font>
    <font>
      <b/>
      <sz val="8"/>
      <color rgb="FF0000FF"/>
      <name val="Arial"/>
      <charset val="134"/>
    </font>
    <font>
      <b/>
      <sz val="8"/>
      <color rgb="FF000000"/>
      <name val="华文宋体"/>
      <charset val="134"/>
    </font>
    <font>
      <b/>
      <sz val="8"/>
      <color theme="1" tint="0.0499893185216834"/>
      <name val="Arial"/>
      <charset val="134"/>
    </font>
    <font>
      <sz val="6"/>
      <name val="Arial"/>
      <charset val="134"/>
    </font>
    <font>
      <sz val="8"/>
      <color rgb="FF000000"/>
      <name val="Arial"/>
      <charset val="134"/>
    </font>
    <font>
      <b/>
      <sz val="8"/>
      <name val="华文宋体"/>
      <charset val="134"/>
    </font>
    <font>
      <sz val="9"/>
      <color rgb="FFFF0000"/>
      <name val="Arial"/>
      <charset val="134"/>
    </font>
    <font>
      <sz val="9"/>
      <color rgb="FF0000FF"/>
      <name val="Arial"/>
      <charset val="134"/>
    </font>
    <font>
      <b/>
      <sz val="6"/>
      <color rgb="FFFF0000"/>
      <name val="Arial"/>
      <charset val="134"/>
    </font>
    <font>
      <b/>
      <sz val="6"/>
      <color rgb="FF0000FF"/>
      <name val="Arial"/>
      <charset val="134"/>
    </font>
    <font>
      <sz val="12"/>
      <color rgb="FFFF0000"/>
      <name val="Arial"/>
      <charset val="134"/>
    </font>
    <font>
      <sz val="12"/>
      <color rgb="FF0000FF"/>
      <name val="Arial"/>
      <charset val="134"/>
    </font>
    <font>
      <sz val="8"/>
      <color theme="1" tint="0.0499893185216834"/>
      <name val="Arial"/>
      <charset val="134"/>
    </font>
    <font>
      <sz val="8"/>
      <color indexed="8"/>
      <name val="Arial"/>
      <charset val="134"/>
    </font>
    <font>
      <sz val="8"/>
      <color rgb="FF0000FF"/>
      <name val="宋体"/>
      <charset val="134"/>
    </font>
    <font>
      <b/>
      <sz val="9"/>
      <color theme="8"/>
      <name val="Arial"/>
      <charset val="134"/>
    </font>
    <font>
      <b/>
      <sz val="9"/>
      <color rgb="FFFF0000"/>
      <name val="Arial"/>
      <charset val="134"/>
    </font>
    <font>
      <b/>
      <sz val="9"/>
      <color rgb="FF0000FF"/>
      <name val="Arial"/>
      <charset val="134"/>
    </font>
    <font>
      <sz val="8"/>
      <color indexed="39"/>
      <name val="Arial"/>
      <charset val="134"/>
    </font>
    <font>
      <b/>
      <sz val="9"/>
      <name val="Arial"/>
      <charset val="134"/>
    </font>
    <font>
      <sz val="9"/>
      <color theme="8"/>
      <name val="Arial"/>
      <charset val="134"/>
    </font>
    <font>
      <b/>
      <sz val="8"/>
      <color rgb="FF0000FF"/>
      <name val="华文宋体"/>
      <charset val="134"/>
    </font>
    <font>
      <sz val="8"/>
      <color rgb="FFFFC000"/>
      <name val="Arial"/>
      <charset val="134"/>
    </font>
    <font>
      <sz val="8"/>
      <color rgb="FFFF0000"/>
      <name val="宋体"/>
      <charset val="134"/>
    </font>
    <font>
      <b/>
      <sz val="8"/>
      <color rgb="FF0000FF"/>
      <name val="宋体"/>
      <charset val="134"/>
    </font>
    <font>
      <b/>
      <sz val="8"/>
      <name val="宋体"/>
      <charset val="134"/>
    </font>
    <font>
      <sz val="8"/>
      <color rgb="FF0000D4"/>
      <name val="宋体"/>
      <charset val="134"/>
    </font>
    <font>
      <sz val="8"/>
      <color theme="1" tint="0.05"/>
      <name val="宋体"/>
      <charset val="134"/>
    </font>
    <font>
      <b/>
      <sz val="8"/>
      <color theme="1" tint="0.05"/>
      <name val="Arial"/>
      <charset val="134"/>
    </font>
    <font>
      <sz val="8"/>
      <color theme="1" tint="0.05"/>
      <name val="Arial"/>
      <charset val="134"/>
    </font>
    <font>
      <b/>
      <sz val="9"/>
      <color theme="0" tint="-0.25"/>
      <name val="Arial"/>
      <charset val="134"/>
    </font>
    <font>
      <b/>
      <sz val="9"/>
      <color rgb="FF0000D4"/>
      <name val="Arial"/>
      <charset val="134"/>
    </font>
    <font>
      <sz val="9"/>
      <color theme="0" tint="-0.25"/>
      <name val="Arial"/>
      <charset val="134"/>
    </font>
    <font>
      <sz val="9"/>
      <color rgb="FF0000D4"/>
      <name val="Arial"/>
      <charset val="134"/>
    </font>
    <font>
      <sz val="9"/>
      <color indexed="8"/>
      <name val="Arial"/>
      <charset val="134"/>
    </font>
    <font>
      <b/>
      <sz val="8"/>
      <color theme="8"/>
      <name val="Arial"/>
      <charset val="134"/>
    </font>
    <font>
      <sz val="9"/>
      <color rgb="FF000000"/>
      <name val="Arial"/>
      <charset val="134"/>
    </font>
    <font>
      <b/>
      <sz val="9"/>
      <color theme="1"/>
      <name val="Arial"/>
      <charset val="134"/>
    </font>
    <font>
      <sz val="8"/>
      <color theme="0" tint="-0.25"/>
      <name val="Arial"/>
      <charset val="134"/>
    </font>
    <font>
      <sz val="8"/>
      <color rgb="FF0000D4"/>
      <name val="Arial"/>
      <charset val="134"/>
    </font>
    <font>
      <b/>
      <sz val="8"/>
      <color rgb="FF000000"/>
      <name val="宋体"/>
      <charset val="134"/>
    </font>
    <font>
      <sz val="9"/>
      <color rgb="FF000000"/>
      <name val="宋体"/>
      <charset val="134"/>
    </font>
    <font>
      <b/>
      <u/>
      <sz val="9"/>
      <name val="Arial"/>
      <charset val="134"/>
    </font>
    <font>
      <b/>
      <u/>
      <sz val="8"/>
      <color indexed="8"/>
      <name val="Arial"/>
      <charset val="134"/>
    </font>
    <font>
      <b/>
      <u/>
      <sz val="8"/>
      <color theme="0" tint="-0.25"/>
      <name val="Arial"/>
      <charset val="134"/>
    </font>
    <font>
      <b/>
      <u/>
      <sz val="8"/>
      <color rgb="FF0000D4"/>
      <name val="Arial"/>
      <charset val="134"/>
    </font>
    <font>
      <u/>
      <sz val="8"/>
      <color indexed="8"/>
      <name val="Arial"/>
      <charset val="134"/>
    </font>
    <font>
      <u/>
      <sz val="8"/>
      <name val="Arial"/>
      <charset val="134"/>
    </font>
    <font>
      <u/>
      <sz val="8"/>
      <color indexed="53"/>
      <name val="Arial"/>
      <charset val="134"/>
    </font>
    <font>
      <u/>
      <sz val="8"/>
      <color indexed="22"/>
      <name val="Arial"/>
      <charset val="134"/>
    </font>
    <font>
      <b/>
      <u/>
      <sz val="8"/>
      <color theme="1"/>
      <name val="Arial"/>
      <charset val="134"/>
    </font>
    <font>
      <b/>
      <u/>
      <sz val="8"/>
      <name val="Arial"/>
      <charset val="134"/>
    </font>
    <font>
      <u/>
      <sz val="8"/>
      <color theme="1"/>
      <name val="Arial"/>
      <charset val="134"/>
    </font>
    <font>
      <b/>
      <u/>
      <sz val="8"/>
      <color rgb="FF000000"/>
      <name val="Arial"/>
      <charset val="134"/>
    </font>
    <font>
      <sz val="8"/>
      <color indexed="10"/>
      <name val="Arial"/>
      <charset val="134"/>
    </font>
    <font>
      <b/>
      <sz val="8"/>
      <color rgb="FFFF0000"/>
      <name val="宋体"/>
      <charset val="134"/>
    </font>
    <font>
      <b/>
      <u/>
      <sz val="8"/>
      <color rgb="FF0000FF"/>
      <name val="Arial"/>
      <charset val="134"/>
    </font>
    <font>
      <u/>
      <sz val="8"/>
      <color rgb="FF0000FF"/>
      <name val="Arial"/>
      <charset val="134"/>
    </font>
    <font>
      <b/>
      <u/>
      <sz val="8"/>
      <color rgb="FFFF0000"/>
      <name val="Arial"/>
      <charset val="134"/>
    </font>
    <font>
      <sz val="11"/>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scheme val="minor"/>
    </font>
    <font>
      <sz val="12"/>
      <color indexed="60"/>
      <name val="宋体"/>
      <charset val="134"/>
    </font>
    <font>
      <sz val="11"/>
      <color indexed="8"/>
      <name val="Calibri"/>
      <charset val="134"/>
    </font>
    <font>
      <i/>
      <sz val="11"/>
      <color indexed="23"/>
      <name val="Calibri"/>
      <charset val="134"/>
    </font>
    <font>
      <i/>
      <sz val="12"/>
      <color indexed="23"/>
      <name val="宋体"/>
      <charset val="134"/>
    </font>
    <font>
      <sz val="11"/>
      <color indexed="60"/>
      <name val="Calibri"/>
      <charset val="134"/>
    </font>
    <font>
      <sz val="8"/>
      <color indexed="8"/>
      <name val="宋体"/>
      <charset val="134"/>
    </font>
    <font>
      <sz val="8"/>
      <color indexed="8"/>
      <name val="Cambria"/>
      <charset val="134"/>
    </font>
    <font>
      <sz val="8"/>
      <color rgb="FF000000"/>
      <name val="Cambria"/>
      <charset val="134"/>
    </font>
    <font>
      <sz val="8"/>
      <color theme="2" tint="-0.5"/>
      <name val="Arial"/>
      <charset val="134"/>
    </font>
    <font>
      <b/>
      <sz val="9"/>
      <name val="华文宋体"/>
      <charset val="134"/>
    </font>
    <font>
      <sz val="8"/>
      <color indexed="39"/>
      <name val="宋体"/>
      <charset val="134"/>
    </font>
    <font>
      <b/>
      <sz val="9"/>
      <name val="宋体"/>
      <charset val="134"/>
    </font>
    <font>
      <b/>
      <sz val="8"/>
      <color theme="1"/>
      <name val="宋体"/>
      <charset val="134"/>
    </font>
    <font>
      <sz val="9"/>
      <color theme="1"/>
      <name val="宋体"/>
      <charset val="134"/>
    </font>
    <font>
      <sz val="8"/>
      <color theme="1"/>
      <name val="微软雅黑"/>
      <charset val="134"/>
    </font>
    <font>
      <sz val="6"/>
      <name val="宋体"/>
      <charset val="134"/>
    </font>
    <font>
      <sz val="8"/>
      <color rgb="FF000000"/>
      <name val="华文宋体"/>
      <charset val="134"/>
    </font>
    <font>
      <sz val="9"/>
      <name val="Cambria"/>
      <charset val="134"/>
    </font>
    <font>
      <sz val="8"/>
      <color rgb="FF002060"/>
      <name val="Arial"/>
      <charset val="134"/>
    </font>
    <font>
      <sz val="8"/>
      <color indexed="10"/>
      <name val="宋体"/>
      <charset val="134"/>
    </font>
    <font>
      <b/>
      <sz val="9"/>
      <name val="方正书宋_GBK"/>
      <charset val="134"/>
    </font>
    <font>
      <b/>
      <sz val="11"/>
      <name val="MS PGothic"/>
      <charset val="134"/>
    </font>
    <font>
      <sz val="11"/>
      <name val="宋体"/>
      <charset val="134"/>
    </font>
    <font>
      <b/>
      <sz val="9"/>
      <name val="宋体"/>
      <charset val="134"/>
    </font>
    <font>
      <sz val="9"/>
      <name val="宋体"/>
      <charset val="134"/>
    </font>
    <font>
      <b/>
      <sz val="9"/>
      <name val="Tahoma"/>
      <charset val="134"/>
    </font>
    <font>
      <sz val="11"/>
      <name val="MS PGothic"/>
      <charset val="134"/>
    </font>
    <font>
      <sz val="9"/>
      <name val="方正书宋_GBK"/>
      <charset val="134"/>
    </font>
    <font>
      <sz val="9"/>
      <name val="Tahoma"/>
      <charset val="134"/>
    </font>
  </fonts>
  <fills count="45">
    <fill>
      <patternFill patternType="none"/>
    </fill>
    <fill>
      <patternFill patternType="gray125"/>
    </fill>
    <fill>
      <patternFill patternType="solid">
        <fgColor theme="0"/>
        <bgColor indexed="64"/>
      </patternFill>
    </fill>
    <fill>
      <patternFill patternType="solid">
        <fgColor rgb="FFF4FFE8"/>
        <bgColor indexed="64"/>
      </patternFill>
    </fill>
    <fill>
      <patternFill patternType="solid">
        <fgColor theme="9" tint="0.8"/>
        <bgColor indexed="64"/>
      </patternFill>
    </fill>
    <fill>
      <patternFill patternType="solid">
        <fgColor theme="4" tint="0.8"/>
        <bgColor indexed="64"/>
      </patternFill>
    </fill>
    <fill>
      <patternFill patternType="solid">
        <fgColor rgb="FFFFFF00"/>
        <bgColor indexed="64"/>
      </patternFill>
    </fill>
    <fill>
      <patternFill patternType="solid">
        <fgColor indexed="29"/>
        <bgColor indexed="64"/>
      </patternFill>
    </fill>
    <fill>
      <patternFill patternType="solid">
        <fgColor indexed="47"/>
        <bgColor indexed="64"/>
      </patternFill>
    </fill>
    <fill>
      <patternFill patternType="solid">
        <fgColor theme="6" tint="0.799981688894314"/>
        <bgColor indexed="64"/>
      </patternFill>
    </fill>
    <fill>
      <patternFill patternType="solid">
        <fgColor rgb="FFFFCC99"/>
        <bgColor indexed="64"/>
      </patternFill>
    </fill>
    <fill>
      <patternFill patternType="solid">
        <fgColor indexed="43"/>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indexed="22"/>
        <bgColor indexed="64"/>
      </patternFill>
    </fill>
    <fill>
      <patternFill patternType="solid">
        <fgColor rgb="FFFFFFCC"/>
        <bgColor indexed="64"/>
      </patternFill>
    </fill>
    <fill>
      <patternFill patternType="solid">
        <fgColor theme="5" tint="0.399975585192419"/>
        <bgColor indexed="64"/>
      </patternFill>
    </fill>
    <fill>
      <patternFill patternType="solid">
        <fgColor indexed="2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indexed="26"/>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4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left>
      <right style="thin">
        <color theme="2"/>
      </right>
      <top style="thin">
        <color theme="2"/>
      </top>
      <bottom/>
      <diagonal/>
    </border>
    <border>
      <left style="thin">
        <color theme="2"/>
      </left>
      <right style="thin">
        <color theme="2"/>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27865">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42" fontId="104" fillId="0" borderId="0" applyFont="0" applyFill="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6" fillId="10" borderId="6"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4" fontId="104" fillId="0" borderId="0" applyFont="0" applyFill="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1" fontId="104" fillId="0" borderId="0" applyFont="0" applyFill="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7"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3" fontId="104"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1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9" fontId="104" fillId="0" borderId="0" applyFont="0" applyFill="0" applyBorder="0" applyAlignment="0" applyProtection="0">
      <alignment vertical="center"/>
    </xf>
    <xf numFmtId="0" fontId="0" fillId="0" borderId="0">
      <alignment vertical="center"/>
    </xf>
    <xf numFmtId="0" fontId="1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4" fillId="16" borderId="7" applyNumberFormat="0" applyFont="0" applyAlignment="0" applyProtection="0">
      <alignment vertical="center"/>
    </xf>
    <xf numFmtId="0" fontId="0" fillId="0" borderId="0">
      <alignment vertical="center"/>
    </xf>
    <xf numFmtId="0" fontId="108"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1" fillId="0" borderId="0" applyNumberFormat="0" applyFill="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2"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3" fillId="0" borderId="0" applyNumberFormat="0" applyFill="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4"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5" fillId="0" borderId="8" applyNumberFormat="0" applyFill="0" applyAlignment="0" applyProtection="0">
      <alignment vertical="center"/>
    </xf>
    <xf numFmtId="0" fontId="116" fillId="0" borderId="8" applyNumberFormat="0" applyFill="0" applyAlignment="0" applyProtection="0">
      <alignment vertical="center"/>
    </xf>
    <xf numFmtId="0" fontId="0" fillId="0" borderId="0">
      <alignment vertical="center"/>
    </xf>
    <xf numFmtId="0" fontId="108"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1" fillId="0" borderId="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0"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17" fillId="21" borderId="10"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8" fillId="21" borderId="6"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9" fillId="23" borderId="11"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8" fillId="2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0" fillId="0" borderId="1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21" fillId="0" borderId="13"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2" fillId="2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3"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0"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5"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3"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4"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6"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8" fillId="3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9"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4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4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5" fillId="42"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8" fillId="4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5" fillId="22" borderId="0" applyNumberFormat="0" applyBorder="0" applyAlignment="0" applyProtection="0"/>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28"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103" fillId="44"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24"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409">
    <xf numFmtId="0" fontId="0" fillId="0" borderId="0" xfId="0">
      <alignment vertical="center"/>
    </xf>
    <xf numFmtId="0" fontId="1" fillId="0" borderId="0" xfId="0" applyFont="1" applyFill="1" applyBorder="1" applyAlignment="1">
      <alignment horizontal="left" vertical="center"/>
    </xf>
    <xf numFmtId="0" fontId="2" fillId="0" borderId="0" xfId="0" applyFont="1">
      <alignment vertical="center"/>
    </xf>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1"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4" fillId="0" borderId="0" xfId="9548" applyNumberFormat="1" applyFont="1" applyFill="1" applyBorder="1" applyAlignment="1">
      <alignment horizontal="left" vertical="center"/>
    </xf>
    <xf numFmtId="0" fontId="5" fillId="0" borderId="1" xfId="0" applyFont="1" applyBorder="1">
      <alignment vertical="center"/>
    </xf>
    <xf numFmtId="0" fontId="2" fillId="0" borderId="0" xfId="0" applyFont="1" applyAlignment="1">
      <alignment vertical="center" wrapText="1"/>
    </xf>
    <xf numFmtId="0" fontId="6"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10" fillId="0" borderId="0" xfId="0" applyFont="1" applyFill="1" applyBorder="1" applyAlignment="1">
      <alignment horizontal="left" vertical="center"/>
    </xf>
    <xf numFmtId="0" fontId="4" fillId="0" borderId="1" xfId="0" applyNumberFormat="1" applyFont="1" applyFill="1" applyBorder="1" applyAlignment="1">
      <alignment horizontal="left" vertical="center"/>
    </xf>
    <xf numFmtId="0" fontId="11"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left" vertical="center"/>
    </xf>
    <xf numFmtId="0" fontId="12" fillId="0" borderId="0" xfId="0" applyFont="1" applyFill="1" applyBorder="1" applyAlignment="1">
      <alignment vertical="center"/>
    </xf>
    <xf numFmtId="0" fontId="13" fillId="0" borderId="0" xfId="0" applyFont="1">
      <alignment vertical="center"/>
    </xf>
    <xf numFmtId="0" fontId="14" fillId="0" borderId="1" xfId="0" applyFont="1" applyBorder="1" applyAlignment="1">
      <alignment horizontal="center" vertical="center"/>
    </xf>
    <xf numFmtId="0" fontId="15" fillId="0" borderId="1" xfId="0" applyFont="1" applyBorder="1">
      <alignment vertical="center"/>
    </xf>
    <xf numFmtId="24" fontId="15" fillId="0" borderId="1" xfId="24585" applyNumberFormat="1" applyFont="1" applyFill="1" applyBorder="1" applyAlignment="1">
      <alignment horizontal="left" vertical="center"/>
    </xf>
    <xf numFmtId="0" fontId="15" fillId="0" borderId="1" xfId="0" applyFont="1" applyFill="1" applyBorder="1" applyAlignment="1">
      <alignment horizontal="left" vertical="center"/>
    </xf>
    <xf numFmtId="0" fontId="16" fillId="0" borderId="0" xfId="0" applyNumberFormat="1" applyFont="1" applyFill="1" applyAlignment="1">
      <alignment horizontal="left" vertical="center"/>
    </xf>
    <xf numFmtId="0" fontId="0" fillId="0" borderId="0" xfId="0" applyAlignment="1">
      <alignment horizontal="center" vertical="center"/>
    </xf>
    <xf numFmtId="0" fontId="17" fillId="0" borderId="0" xfId="0" applyFont="1" applyFill="1" applyAlignment="1">
      <alignment horizontal="left" vertical="center"/>
    </xf>
    <xf numFmtId="177" fontId="18" fillId="0" borderId="0" xfId="0" applyNumberFormat="1" applyFont="1" applyFill="1" applyAlignment="1">
      <alignment horizontal="left" vertical="center" wrapText="1"/>
    </xf>
    <xf numFmtId="0" fontId="19" fillId="0" borderId="0" xfId="0" applyFont="1" applyFill="1" applyAlignment="1">
      <alignment vertical="center"/>
    </xf>
    <xf numFmtId="0" fontId="14" fillId="0" borderId="1" xfId="0" applyFont="1" applyBorder="1">
      <alignment vertical="center"/>
    </xf>
    <xf numFmtId="0" fontId="14" fillId="0" borderId="1" xfId="0" applyFont="1" applyBorder="1" applyAlignment="1">
      <alignment vertical="center" wrapText="1"/>
    </xf>
    <xf numFmtId="0" fontId="20" fillId="0" borderId="0" xfId="0" applyFont="1">
      <alignment vertical="center"/>
    </xf>
    <xf numFmtId="0" fontId="0" fillId="0" borderId="1" xfId="0" applyBorder="1">
      <alignment vertical="center"/>
    </xf>
    <xf numFmtId="177" fontId="17" fillId="0" borderId="0" xfId="0" applyNumberFormat="1" applyFont="1" applyFill="1" applyAlignment="1">
      <alignment horizontal="left" vertical="center"/>
    </xf>
    <xf numFmtId="0" fontId="21" fillId="2" borderId="0" xfId="0" applyFont="1" applyFill="1" applyAlignment="1">
      <alignment horizontal="left" vertical="center"/>
    </xf>
    <xf numFmtId="0" fontId="22" fillId="3" borderId="0" xfId="0" applyFont="1" applyFill="1" applyAlignment="1">
      <alignment horizontal="left" vertical="center"/>
    </xf>
    <xf numFmtId="0" fontId="23" fillId="4" borderId="0" xfId="0" applyFont="1" applyFill="1" applyAlignment="1">
      <alignment horizontal="left" vertical="center"/>
    </xf>
    <xf numFmtId="0" fontId="24" fillId="2" borderId="2" xfId="0" applyFont="1" applyFill="1" applyBorder="1" applyAlignment="1">
      <alignment horizontal="left" vertical="center"/>
    </xf>
    <xf numFmtId="0" fontId="21" fillId="2" borderId="2" xfId="0" applyFont="1" applyFill="1" applyBorder="1" applyAlignment="1">
      <alignment horizontal="left" vertical="center"/>
    </xf>
    <xf numFmtId="0" fontId="25" fillId="2" borderId="2" xfId="0" applyFont="1" applyFill="1" applyBorder="1" applyAlignment="1">
      <alignment horizontal="left" vertical="center"/>
    </xf>
    <xf numFmtId="0" fontId="26" fillId="2" borderId="2" xfId="0" applyFont="1" applyFill="1" applyBorder="1" applyAlignment="1">
      <alignment horizontal="left" vertical="center"/>
    </xf>
    <xf numFmtId="0" fontId="27" fillId="2" borderId="2" xfId="0" applyFont="1" applyFill="1" applyBorder="1" applyAlignment="1">
      <alignment horizontal="left" vertical="center"/>
    </xf>
    <xf numFmtId="0" fontId="24" fillId="5" borderId="2" xfId="0" applyFont="1" applyFill="1" applyBorder="1" applyAlignment="1">
      <alignment horizontal="left" vertical="center"/>
    </xf>
    <xf numFmtId="0" fontId="22" fillId="2" borderId="2" xfId="0" applyFont="1" applyFill="1" applyBorder="1" applyAlignment="1">
      <alignment horizontal="left" vertical="center"/>
    </xf>
    <xf numFmtId="0" fontId="28" fillId="0" borderId="0" xfId="0" applyFont="1" applyFill="1" applyAlignment="1">
      <alignment horizontal="left" vertical="center"/>
    </xf>
    <xf numFmtId="0" fontId="29" fillId="0" borderId="0" xfId="0" applyFont="1" applyFill="1" applyAlignment="1">
      <alignment horizontal="left" vertical="center"/>
    </xf>
    <xf numFmtId="0" fontId="30" fillId="0" borderId="0" xfId="0" applyFont="1" applyFill="1" applyAlignment="1">
      <alignment horizontal="left" vertical="center"/>
    </xf>
    <xf numFmtId="0" fontId="22" fillId="0" borderId="0" xfId="0" applyFont="1" applyFill="1" applyAlignment="1">
      <alignment horizontal="left" vertical="center"/>
    </xf>
    <xf numFmtId="0" fontId="31" fillId="0" borderId="0" xfId="0" applyFont="1" applyFill="1" applyAlignment="1">
      <alignment horizontal="center" vertical="center"/>
    </xf>
    <xf numFmtId="177" fontId="22" fillId="0" borderId="0" xfId="0" applyNumberFormat="1" applyFont="1" applyFill="1" applyAlignment="1">
      <alignment horizontal="left" vertical="center"/>
    </xf>
    <xf numFmtId="177" fontId="32" fillId="0" borderId="0" xfId="0" applyNumberFormat="1" applyFont="1" applyFill="1" applyAlignment="1">
      <alignment horizontal="left" vertical="center"/>
    </xf>
    <xf numFmtId="0" fontId="33" fillId="0" borderId="0" xfId="0" applyFont="1" applyFill="1" applyAlignment="1">
      <alignment horizontal="left" vertical="center"/>
    </xf>
    <xf numFmtId="180" fontId="22" fillId="0" borderId="0" xfId="0" applyNumberFormat="1" applyFont="1" applyFill="1" applyAlignment="1">
      <alignment horizontal="left" vertical="center"/>
    </xf>
    <xf numFmtId="26" fontId="34" fillId="5" borderId="0" xfId="0" applyNumberFormat="1" applyFont="1" applyFill="1" applyAlignment="1">
      <alignment horizontal="left" vertical="center"/>
    </xf>
    <xf numFmtId="176" fontId="34" fillId="5" borderId="0" xfId="0" applyNumberFormat="1" applyFont="1" applyFill="1" applyAlignment="1">
      <alignment horizontal="left" vertical="center"/>
    </xf>
    <xf numFmtId="0" fontId="21" fillId="0" borderId="0" xfId="0" applyFont="1" applyFill="1" applyAlignment="1">
      <alignment horizontal="left" vertical="center"/>
    </xf>
    <xf numFmtId="0" fontId="28" fillId="2" borderId="0" xfId="0" applyFont="1" applyFill="1" applyAlignment="1">
      <alignment horizontal="left" vertical="center"/>
    </xf>
    <xf numFmtId="0" fontId="29" fillId="2" borderId="0" xfId="0" applyFont="1" applyFill="1" applyAlignment="1">
      <alignment horizontal="left" vertical="center"/>
    </xf>
    <xf numFmtId="0" fontId="30" fillId="2" borderId="0" xfId="0" applyFont="1" applyFill="1" applyAlignment="1">
      <alignment horizontal="left" vertical="center"/>
    </xf>
    <xf numFmtId="0" fontId="22" fillId="2" borderId="0" xfId="0" applyFont="1" applyFill="1" applyAlignment="1">
      <alignment horizontal="left" vertical="center"/>
    </xf>
    <xf numFmtId="0" fontId="31" fillId="2" borderId="0" xfId="0" applyFont="1" applyFill="1" applyAlignment="1">
      <alignment horizontal="center" vertical="center"/>
    </xf>
    <xf numFmtId="0" fontId="35" fillId="3" borderId="0" xfId="0" applyFont="1" applyFill="1" applyAlignment="1">
      <alignment horizontal="left" vertical="center"/>
    </xf>
    <xf numFmtId="0" fontId="29" fillId="3" borderId="0" xfId="0" applyFont="1" applyFill="1" applyAlignment="1">
      <alignment horizontal="left" vertical="center"/>
    </xf>
    <xf numFmtId="0" fontId="30" fillId="3" borderId="0" xfId="0" applyFont="1" applyFill="1" applyAlignment="1">
      <alignment horizontal="left" vertical="center"/>
    </xf>
    <xf numFmtId="0" fontId="36" fillId="3" borderId="0" xfId="0" applyFont="1" applyFill="1" applyAlignment="1">
      <alignment horizontal="left" vertical="center"/>
    </xf>
    <xf numFmtId="0" fontId="37" fillId="3" borderId="0" xfId="0" applyFont="1" applyFill="1" applyAlignment="1">
      <alignment horizontal="center" vertical="center"/>
    </xf>
    <xf numFmtId="0" fontId="31" fillId="3" borderId="0" xfId="0" applyFont="1" applyFill="1" applyAlignment="1">
      <alignment horizontal="center" vertical="center"/>
    </xf>
    <xf numFmtId="0" fontId="36" fillId="3" borderId="0" xfId="0" applyFont="1" applyFill="1" applyAlignment="1">
      <alignment horizontal="center" vertical="center"/>
    </xf>
    <xf numFmtId="0" fontId="23" fillId="4" borderId="0" xfId="0" applyNumberFormat="1" applyFont="1" applyFill="1" applyBorder="1" applyAlignment="1">
      <alignment horizontal="left" vertical="center"/>
    </xf>
    <xf numFmtId="0" fontId="38" fillId="4" borderId="0" xfId="0" applyNumberFormat="1" applyFont="1" applyFill="1" applyBorder="1" applyAlignment="1">
      <alignment horizontal="left" vertical="center" wrapText="1"/>
    </xf>
    <xf numFmtId="0" fontId="39" fillId="4" borderId="0" xfId="0" applyNumberFormat="1" applyFont="1" applyFill="1" applyBorder="1" applyAlignment="1">
      <alignment horizontal="left" vertical="center" wrapText="1"/>
    </xf>
    <xf numFmtId="181" fontId="40" fillId="4" borderId="0" xfId="0" applyNumberFormat="1" applyFont="1" applyFill="1" applyBorder="1" applyAlignment="1">
      <alignment horizontal="left" vertical="center" wrapText="1"/>
    </xf>
    <xf numFmtId="0" fontId="41" fillId="4" borderId="0" xfId="0" applyNumberFormat="1" applyFont="1" applyFill="1" applyBorder="1" applyAlignment="1">
      <alignment horizontal="left" vertical="center" wrapText="1"/>
    </xf>
    <xf numFmtId="181" fontId="23" fillId="4" borderId="0" xfId="0" applyNumberFormat="1" applyFont="1" applyFill="1" applyBorder="1" applyAlignment="1">
      <alignment horizontal="left" vertical="center"/>
    </xf>
    <xf numFmtId="181" fontId="23" fillId="4" borderId="0" xfId="0" applyNumberFormat="1" applyFont="1" applyFill="1" applyBorder="1" applyAlignment="1">
      <alignment horizontal="center" vertical="center"/>
    </xf>
    <xf numFmtId="17" fontId="28" fillId="2" borderId="2" xfId="0" applyNumberFormat="1" applyFont="1" applyFill="1" applyBorder="1" applyAlignment="1">
      <alignment horizontal="left" vertical="center"/>
    </xf>
    <xf numFmtId="17" fontId="29" fillId="2" borderId="2" xfId="0" applyNumberFormat="1" applyFont="1" applyFill="1" applyBorder="1" applyAlignment="1">
      <alignment horizontal="left" vertical="center"/>
    </xf>
    <xf numFmtId="17" fontId="30"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xf>
    <xf numFmtId="0" fontId="31" fillId="2" borderId="2" xfId="0" applyNumberFormat="1" applyFont="1" applyFill="1" applyBorder="1" applyAlignment="1">
      <alignment horizontal="center" vertical="center"/>
    </xf>
    <xf numFmtId="0" fontId="4" fillId="2" borderId="2" xfId="0" applyNumberFormat="1" applyFont="1" applyFill="1" applyBorder="1" applyAlignment="1">
      <alignment horizontal="left" vertical="center"/>
    </xf>
    <xf numFmtId="0" fontId="13"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wrapText="1"/>
    </xf>
    <xf numFmtId="17" fontId="42" fillId="2" borderId="2" xfId="0" applyNumberFormat="1" applyFont="1" applyFill="1" applyBorder="1" applyAlignment="1">
      <alignment horizontal="left" vertical="center"/>
    </xf>
    <xf numFmtId="177" fontId="22" fillId="2" borderId="0" xfId="0" applyNumberFormat="1" applyFont="1" applyFill="1" applyAlignment="1">
      <alignment horizontal="left" vertical="center"/>
    </xf>
    <xf numFmtId="177" fontId="32" fillId="2" borderId="0" xfId="0" applyNumberFormat="1" applyFont="1" applyFill="1" applyAlignment="1">
      <alignment horizontal="left" vertical="center"/>
    </xf>
    <xf numFmtId="0" fontId="33" fillId="2" borderId="0" xfId="0" applyFont="1" applyFill="1" applyAlignment="1">
      <alignment horizontal="left" vertical="center"/>
    </xf>
    <xf numFmtId="180" fontId="22" fillId="2" borderId="0" xfId="0" applyNumberFormat="1" applyFont="1" applyFill="1" applyAlignment="1">
      <alignment horizontal="left" vertical="center"/>
    </xf>
    <xf numFmtId="0" fontId="32" fillId="3" borderId="0" xfId="0" applyFont="1" applyFill="1" applyAlignment="1">
      <alignment horizontal="center" vertical="center"/>
    </xf>
    <xf numFmtId="0" fontId="33" fillId="3" borderId="0" xfId="0" applyFont="1" applyFill="1" applyAlignment="1">
      <alignment horizontal="left" vertical="center"/>
    </xf>
    <xf numFmtId="181" fontId="23" fillId="4" borderId="0" xfId="0" applyNumberFormat="1" applyFont="1" applyFill="1" applyAlignment="1">
      <alignment horizontal="center" vertical="center"/>
    </xf>
    <xf numFmtId="0" fontId="43" fillId="4" borderId="0" xfId="24585" applyNumberFormat="1" applyFont="1" applyFill="1" applyBorder="1" applyAlignment="1">
      <alignment horizontal="left" vertical="center"/>
    </xf>
    <xf numFmtId="177" fontId="23" fillId="4" borderId="0" xfId="0" applyNumberFormat="1" applyFont="1" applyFill="1" applyBorder="1" applyAlignment="1">
      <alignment horizontal="left" vertical="center"/>
    </xf>
    <xf numFmtId="177" fontId="44" fillId="4" borderId="0" xfId="0" applyNumberFormat="1" applyFont="1" applyFill="1" applyBorder="1" applyAlignment="1">
      <alignment horizontal="left" vertical="center"/>
    </xf>
    <xf numFmtId="181" fontId="33" fillId="4" borderId="0" xfId="0" applyNumberFormat="1" applyFont="1" applyFill="1" applyBorder="1" applyAlignment="1">
      <alignment horizontal="left" vertical="center"/>
    </xf>
    <xf numFmtId="0" fontId="45" fillId="4" borderId="0" xfId="0" applyNumberFormat="1" applyFont="1" applyFill="1" applyBorder="1" applyAlignment="1">
      <alignment horizontal="left" vertical="center" wrapText="1"/>
    </xf>
    <xf numFmtId="0" fontId="45" fillId="4" borderId="0" xfId="0" applyNumberFormat="1" applyFont="1" applyFill="1" applyAlignment="1">
      <alignment horizontal="left" vertical="center" wrapText="1"/>
    </xf>
    <xf numFmtId="180" fontId="41" fillId="4" borderId="0" xfId="0" applyNumberFormat="1" applyFont="1" applyFill="1" applyAlignment="1">
      <alignment horizontal="center" vertical="center" wrapText="1"/>
    </xf>
    <xf numFmtId="177" fontId="22" fillId="2" borderId="2" xfId="0" applyNumberFormat="1" applyFont="1" applyFill="1" applyBorder="1" applyAlignment="1">
      <alignment horizontal="left" vertical="center"/>
    </xf>
    <xf numFmtId="14" fontId="33" fillId="2" borderId="2" xfId="0" applyNumberFormat="1" applyFont="1" applyFill="1" applyBorder="1" applyAlignment="1">
      <alignment horizontal="left" vertical="center"/>
    </xf>
    <xf numFmtId="180" fontId="22" fillId="2" borderId="2" xfId="0" applyNumberFormat="1" applyFont="1" applyFill="1" applyBorder="1" applyAlignment="1">
      <alignment horizontal="left" vertical="center"/>
    </xf>
    <xf numFmtId="177" fontId="28" fillId="2" borderId="2" xfId="0" applyNumberFormat="1" applyFont="1" applyFill="1" applyBorder="1" applyAlignment="1">
      <alignment horizontal="left" vertical="center"/>
    </xf>
    <xf numFmtId="177" fontId="33" fillId="2" borderId="2" xfId="9548" applyNumberFormat="1" applyFont="1" applyFill="1" applyBorder="1" applyAlignment="1">
      <alignment horizontal="left" vertical="center" wrapText="1"/>
    </xf>
    <xf numFmtId="177" fontId="44" fillId="2" borderId="2" xfId="0" applyNumberFormat="1" applyFont="1" applyFill="1" applyBorder="1" applyAlignment="1">
      <alignment horizontal="left" vertical="center"/>
    </xf>
    <xf numFmtId="177" fontId="46" fillId="2" borderId="2" xfId="0" applyNumberFormat="1" applyFont="1" applyFill="1" applyBorder="1" applyAlignment="1">
      <alignment horizontal="left" vertical="center"/>
    </xf>
    <xf numFmtId="180" fontId="47" fillId="2" borderId="2" xfId="0" applyNumberFormat="1" applyFont="1" applyFill="1" applyBorder="1" applyAlignment="1">
      <alignment horizontal="left" vertical="center"/>
    </xf>
    <xf numFmtId="177" fontId="33" fillId="2" borderId="2" xfId="0" applyNumberFormat="1" applyFont="1" applyFill="1" applyBorder="1" applyAlignment="1">
      <alignment horizontal="left" vertical="center" wrapText="1"/>
    </xf>
    <xf numFmtId="14" fontId="32" fillId="2" borderId="2" xfId="0" applyNumberFormat="1" applyFont="1" applyFill="1" applyBorder="1" applyAlignment="1">
      <alignment horizontal="left" vertical="center"/>
    </xf>
    <xf numFmtId="14" fontId="44" fillId="2" borderId="2" xfId="0" applyNumberFormat="1" applyFont="1" applyFill="1" applyBorder="1" applyAlignment="1">
      <alignment horizontal="left" vertical="center"/>
    </xf>
    <xf numFmtId="177" fontId="48" fillId="2" borderId="2" xfId="0" applyNumberFormat="1" applyFont="1" applyFill="1" applyBorder="1" applyAlignment="1">
      <alignment horizontal="left" vertical="center"/>
    </xf>
    <xf numFmtId="14" fontId="48" fillId="2" borderId="2" xfId="0" applyNumberFormat="1" applyFont="1" applyFill="1" applyBorder="1" applyAlignment="1">
      <alignment horizontal="left" vertical="center"/>
    </xf>
    <xf numFmtId="180" fontId="48" fillId="2" borderId="2" xfId="0" applyNumberFormat="1" applyFont="1" applyFill="1" applyBorder="1" applyAlignment="1">
      <alignment horizontal="left" vertical="center"/>
    </xf>
    <xf numFmtId="177" fontId="42" fillId="2" borderId="2" xfId="0" applyNumberFormat="1" applyFont="1" applyFill="1" applyBorder="1" applyAlignment="1">
      <alignment horizontal="left" vertical="center"/>
    </xf>
    <xf numFmtId="0" fontId="48" fillId="2" borderId="2" xfId="0" applyFont="1" applyFill="1" applyBorder="1" applyAlignment="1">
      <alignment horizontal="left" vertical="center"/>
    </xf>
    <xf numFmtId="177" fontId="48" fillId="2" borderId="2" xfId="0" applyNumberFormat="1" applyFont="1" applyFill="1" applyBorder="1" applyAlignment="1">
      <alignment horizontal="left" vertical="center" wrapText="1"/>
    </xf>
    <xf numFmtId="26" fontId="22" fillId="2" borderId="0" xfId="39" applyNumberFormat="1" applyFont="1" applyFill="1" applyAlignment="1">
      <alignment horizontal="left" vertical="center"/>
    </xf>
    <xf numFmtId="176" fontId="22" fillId="2" borderId="0" xfId="0" applyNumberFormat="1" applyFont="1" applyFill="1" applyAlignment="1">
      <alignment horizontal="left" vertical="center"/>
    </xf>
    <xf numFmtId="180" fontId="37" fillId="3" borderId="0" xfId="0" applyNumberFormat="1" applyFont="1" applyFill="1" applyAlignment="1">
      <alignment horizontal="left" vertical="center"/>
    </xf>
    <xf numFmtId="180" fontId="41" fillId="4" borderId="0" xfId="0" applyNumberFormat="1" applyFont="1" applyFill="1" applyBorder="1" applyAlignment="1">
      <alignment horizontal="left" vertical="center" wrapText="1"/>
    </xf>
    <xf numFmtId="26" fontId="49" fillId="4" borderId="0" xfId="39" applyNumberFormat="1" applyFont="1" applyFill="1" applyBorder="1" applyAlignment="1">
      <alignment horizontal="center" vertical="center" wrapText="1"/>
    </xf>
    <xf numFmtId="176" fontId="49" fillId="4" borderId="0" xfId="0" applyNumberFormat="1" applyFont="1" applyFill="1" applyBorder="1" applyAlignment="1">
      <alignment horizontal="center" vertical="center" wrapText="1"/>
    </xf>
    <xf numFmtId="180" fontId="49" fillId="4" borderId="0" xfId="0" applyNumberFormat="1" applyFont="1" applyFill="1" applyBorder="1" applyAlignment="1">
      <alignment horizontal="center" vertical="center"/>
    </xf>
    <xf numFmtId="180" fontId="41" fillId="4" borderId="0" xfId="0" applyNumberFormat="1" applyFont="1" applyFill="1" applyAlignment="1">
      <alignment horizontal="center" vertical="center"/>
    </xf>
    <xf numFmtId="0" fontId="23" fillId="4" borderId="0" xfId="24585" applyNumberFormat="1" applyFont="1" applyFill="1" applyAlignment="1">
      <alignment horizontal="left" vertical="center"/>
    </xf>
    <xf numFmtId="26" fontId="50" fillId="5" borderId="2" xfId="0" applyNumberFormat="1" applyFont="1" applyFill="1" applyBorder="1" applyAlignment="1">
      <alignment horizontal="left" vertical="center"/>
    </xf>
    <xf numFmtId="176" fontId="51" fillId="4" borderId="2" xfId="0" applyNumberFormat="1" applyFont="1" applyFill="1" applyBorder="1" applyAlignment="1">
      <alignment horizontal="left" vertical="center"/>
    </xf>
    <xf numFmtId="180" fontId="28" fillId="2" borderId="2" xfId="0" applyNumberFormat="1" applyFont="1" applyFill="1" applyBorder="1" applyAlignment="1">
      <alignment horizontal="left" vertical="center"/>
    </xf>
    <xf numFmtId="180" fontId="26" fillId="2" borderId="2" xfId="0" applyNumberFormat="1" applyFont="1" applyFill="1" applyBorder="1" applyAlignment="1">
      <alignment horizontal="left" vertical="center"/>
    </xf>
    <xf numFmtId="180" fontId="44" fillId="2" borderId="2" xfId="0" applyNumberFormat="1" applyFont="1" applyFill="1" applyBorder="1" applyAlignment="1">
      <alignment horizontal="left" vertical="center"/>
    </xf>
    <xf numFmtId="26" fontId="34" fillId="5" borderId="2" xfId="0" applyNumberFormat="1" applyFont="1" applyFill="1" applyBorder="1" applyAlignment="1">
      <alignment horizontal="left" vertical="center"/>
    </xf>
    <xf numFmtId="176" fontId="44" fillId="4" borderId="2" xfId="0" applyNumberFormat="1" applyFont="1" applyFill="1" applyBorder="1" applyAlignment="1">
      <alignment horizontal="left" vertical="center"/>
    </xf>
    <xf numFmtId="26" fontId="52" fillId="5" borderId="2" xfId="0" applyNumberFormat="1" applyFont="1" applyFill="1" applyBorder="1" applyAlignment="1">
      <alignment horizontal="left" vertical="center"/>
    </xf>
    <xf numFmtId="176" fontId="53" fillId="4" borderId="2" xfId="0" applyNumberFormat="1" applyFont="1" applyFill="1" applyBorder="1" applyAlignment="1">
      <alignment horizontal="left" vertical="center"/>
    </xf>
    <xf numFmtId="180" fontId="53" fillId="2" borderId="2" xfId="0" applyNumberFormat="1" applyFont="1" applyFill="1" applyBorder="1" applyAlignment="1">
      <alignment horizontal="left" vertical="center"/>
    </xf>
    <xf numFmtId="180" fontId="46" fillId="2" borderId="2" xfId="0" applyNumberFormat="1" applyFont="1" applyFill="1" applyBorder="1" applyAlignment="1">
      <alignment horizontal="left" vertical="center"/>
    </xf>
    <xf numFmtId="26" fontId="54" fillId="5" borderId="2" xfId="0" applyNumberFormat="1" applyFont="1" applyFill="1" applyBorder="1" applyAlignment="1">
      <alignment horizontal="left" vertical="center"/>
    </xf>
    <xf numFmtId="176" fontId="55" fillId="4" borderId="2" xfId="0" applyNumberFormat="1" applyFont="1" applyFill="1" applyBorder="1" applyAlignment="1">
      <alignment horizontal="left" vertical="center"/>
    </xf>
    <xf numFmtId="180" fontId="31" fillId="2" borderId="2" xfId="0" applyNumberFormat="1" applyFont="1" applyFill="1" applyBorder="1" applyAlignment="1">
      <alignment horizontal="left" vertical="center"/>
    </xf>
    <xf numFmtId="180" fontId="42" fillId="2" borderId="2" xfId="0" applyNumberFormat="1" applyFont="1" applyFill="1" applyBorder="1" applyAlignment="1">
      <alignment horizontal="left" vertical="center"/>
    </xf>
    <xf numFmtId="17" fontId="23" fillId="2" borderId="2" xfId="0" applyNumberFormat="1" applyFont="1" applyFill="1" applyBorder="1" applyAlignment="1">
      <alignment horizontal="left" vertical="center"/>
    </xf>
    <xf numFmtId="0" fontId="33" fillId="2" borderId="2" xfId="0" applyNumberFormat="1" applyFont="1" applyFill="1" applyBorder="1" applyAlignment="1">
      <alignment horizontal="left" vertical="center"/>
    </xf>
    <xf numFmtId="0" fontId="33" fillId="2" borderId="2" xfId="0" applyFont="1" applyFill="1" applyBorder="1" applyAlignment="1">
      <alignment horizontal="left" vertical="center"/>
    </xf>
    <xf numFmtId="0" fontId="28" fillId="2" borderId="2" xfId="0" applyFont="1" applyFill="1" applyBorder="1" applyAlignment="1">
      <alignment horizontal="left" vertical="center"/>
    </xf>
    <xf numFmtId="0" fontId="42" fillId="2" borderId="2" xfId="0" applyFont="1" applyFill="1" applyBorder="1" applyAlignment="1">
      <alignment horizontal="left" vertical="center"/>
    </xf>
    <xf numFmtId="179" fontId="48" fillId="2" borderId="2" xfId="0" applyNumberFormat="1" applyFont="1" applyFill="1" applyBorder="1" applyAlignment="1">
      <alignment horizontal="left" vertical="center"/>
    </xf>
    <xf numFmtId="177" fontId="42" fillId="2" borderId="2" xfId="0" applyNumberFormat="1" applyFont="1" applyFill="1" applyBorder="1" applyAlignment="1">
      <alignment horizontal="left" vertical="center" wrapText="1"/>
    </xf>
    <xf numFmtId="14" fontId="56" fillId="2" borderId="2" xfId="0" applyNumberFormat="1" applyFont="1" applyFill="1" applyBorder="1" applyAlignment="1">
      <alignment horizontal="left" vertical="center"/>
    </xf>
    <xf numFmtId="14" fontId="31" fillId="2" borderId="2" xfId="0" applyNumberFormat="1" applyFont="1" applyFill="1" applyBorder="1" applyAlignment="1">
      <alignment horizontal="left" vertical="center"/>
    </xf>
    <xf numFmtId="14" fontId="22" fillId="2" borderId="2" xfId="0" applyNumberFormat="1" applyFont="1" applyFill="1" applyBorder="1" applyAlignment="1">
      <alignment horizontal="left" vertical="top" wrapText="1"/>
    </xf>
    <xf numFmtId="14" fontId="57" fillId="2" borderId="2" xfId="0" applyNumberFormat="1" applyFont="1" applyFill="1" applyBorder="1" applyAlignment="1">
      <alignment horizontal="left" vertical="center" wrapText="1"/>
    </xf>
    <xf numFmtId="14" fontId="4" fillId="2" borderId="2" xfId="0" applyNumberFormat="1" applyFont="1" applyFill="1" applyBorder="1" applyAlignment="1">
      <alignment horizontal="left" vertical="center" wrapText="1"/>
    </xf>
    <xf numFmtId="0" fontId="22"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wrapText="1"/>
    </xf>
    <xf numFmtId="0" fontId="4"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xf>
    <xf numFmtId="14" fontId="57" fillId="2" borderId="2" xfId="0" applyNumberFormat="1" applyFont="1" applyFill="1" applyBorder="1" applyAlignment="1">
      <alignment horizontal="left" vertical="center"/>
    </xf>
    <xf numFmtId="17" fontId="22" fillId="2" borderId="2" xfId="0" applyNumberFormat="1" applyFont="1" applyFill="1" applyBorder="1" applyAlignment="1">
      <alignment horizontal="left" vertical="center"/>
    </xf>
    <xf numFmtId="177" fontId="22" fillId="2" borderId="2" xfId="0" applyNumberFormat="1" applyFont="1" applyFill="1" applyBorder="1" applyAlignment="1">
      <alignment horizontal="left" vertical="center" wrapText="1"/>
    </xf>
    <xf numFmtId="0" fontId="26" fillId="2" borderId="2" xfId="0" applyFont="1" applyFill="1" applyBorder="1" applyAlignment="1">
      <alignment horizontal="left" vertical="center" wrapText="1"/>
    </xf>
    <xf numFmtId="177" fontId="22" fillId="2" borderId="2" xfId="0" applyNumberFormat="1" applyFont="1" applyFill="1" applyBorder="1" applyAlignment="1">
      <alignment horizontal="left" vertical="top" wrapText="1"/>
    </xf>
    <xf numFmtId="177" fontId="57" fillId="2" borderId="2" xfId="0" applyNumberFormat="1" applyFont="1" applyFill="1" applyBorder="1" applyAlignment="1">
      <alignment horizontal="left" vertical="center" wrapText="1"/>
    </xf>
    <xf numFmtId="177" fontId="26" fillId="2" borderId="2" xfId="0" applyNumberFormat="1" applyFont="1" applyFill="1" applyBorder="1" applyAlignment="1">
      <alignment horizontal="left" vertical="center" wrapText="1"/>
    </xf>
    <xf numFmtId="177" fontId="58" fillId="2" borderId="2" xfId="0" applyNumberFormat="1" applyFont="1" applyFill="1" applyBorder="1" applyAlignment="1">
      <alignment horizontal="left" vertical="center" wrapText="1"/>
    </xf>
    <xf numFmtId="177" fontId="4" fillId="2" borderId="2" xfId="0" applyNumberFormat="1" applyFont="1" applyFill="1" applyBorder="1" applyAlignment="1">
      <alignment horizontal="left" vertical="center" wrapText="1"/>
    </xf>
    <xf numFmtId="180" fontId="57" fillId="2" borderId="2" xfId="0" applyNumberFormat="1" applyFont="1" applyFill="1" applyBorder="1" applyAlignment="1">
      <alignment horizontal="left" vertical="center"/>
    </xf>
    <xf numFmtId="58" fontId="59" fillId="2" borderId="2" xfId="0" applyNumberFormat="1" applyFont="1" applyFill="1" applyBorder="1" applyAlignment="1">
      <alignment horizontal="left" vertical="center"/>
    </xf>
    <xf numFmtId="180" fontId="21" fillId="2" borderId="2" xfId="0" applyNumberFormat="1" applyFont="1" applyFill="1" applyBorder="1" applyAlignment="1">
      <alignment horizontal="left" vertical="center"/>
    </xf>
    <xf numFmtId="180" fontId="33" fillId="2" borderId="2" xfId="0" applyNumberFormat="1" applyFont="1" applyFill="1" applyBorder="1" applyAlignment="1">
      <alignment horizontal="left" vertical="center"/>
    </xf>
    <xf numFmtId="58" fontId="26" fillId="2" borderId="2" xfId="0" applyNumberFormat="1" applyFont="1" applyFill="1" applyBorder="1" applyAlignment="1">
      <alignment horizontal="left" vertical="center"/>
    </xf>
    <xf numFmtId="26" fontId="60" fillId="5" borderId="2" xfId="0" applyNumberFormat="1" applyFont="1" applyFill="1" applyBorder="1" applyAlignment="1">
      <alignment horizontal="left" vertical="center"/>
    </xf>
    <xf numFmtId="176" fontId="61" fillId="4" borderId="2" xfId="0" applyNumberFormat="1" applyFont="1" applyFill="1" applyBorder="1" applyAlignment="1">
      <alignment horizontal="left" vertical="center"/>
    </xf>
    <xf numFmtId="180" fontId="49" fillId="2" borderId="2" xfId="0" applyNumberFormat="1" applyFont="1" applyFill="1" applyBorder="1" applyAlignment="1">
      <alignment horizontal="left" vertical="center"/>
    </xf>
    <xf numFmtId="0" fontId="29" fillId="2" borderId="2" xfId="0" applyFont="1" applyFill="1" applyBorder="1" applyAlignment="1">
      <alignment horizontal="left" vertical="center"/>
    </xf>
    <xf numFmtId="0" fontId="30" fillId="2" borderId="2" xfId="0" applyFont="1" applyFill="1" applyBorder="1" applyAlignment="1">
      <alignment horizontal="left" vertical="center"/>
    </xf>
    <xf numFmtId="14" fontId="56" fillId="2" borderId="2" xfId="0" applyNumberFormat="1" applyFont="1" applyFill="1" applyBorder="1" applyAlignment="1">
      <alignment horizontal="left" vertical="center" wrapText="1"/>
    </xf>
    <xf numFmtId="177" fontId="5" fillId="2" borderId="2" xfId="0" applyNumberFormat="1" applyFont="1" applyFill="1" applyBorder="1" applyAlignment="1">
      <alignment horizontal="left" vertical="center" wrapText="1"/>
    </xf>
    <xf numFmtId="177" fontId="32" fillId="2" borderId="2" xfId="0" applyNumberFormat="1" applyFont="1" applyFill="1" applyBorder="1" applyAlignment="1">
      <alignment horizontal="left" vertical="center" wrapText="1"/>
    </xf>
    <xf numFmtId="177" fontId="47" fillId="2" borderId="2" xfId="0" applyNumberFormat="1" applyFont="1" applyFill="1" applyBorder="1" applyAlignment="1">
      <alignment horizontal="left" vertical="center"/>
    </xf>
    <xf numFmtId="177" fontId="62" fillId="2" borderId="2" xfId="0" applyNumberFormat="1" applyFont="1" applyFill="1" applyBorder="1" applyAlignment="1">
      <alignment horizontal="left" vertical="center" wrapText="1"/>
    </xf>
    <xf numFmtId="177" fontId="28" fillId="2" borderId="2" xfId="0" applyNumberFormat="1" applyFont="1" applyFill="1" applyBorder="1" applyAlignment="1">
      <alignment horizontal="left" vertical="center" wrapText="1"/>
    </xf>
    <xf numFmtId="177" fontId="44" fillId="2" borderId="2" xfId="0" applyNumberFormat="1" applyFont="1" applyFill="1" applyBorder="1" applyAlignment="1">
      <alignment horizontal="left" vertical="center" wrapText="1"/>
    </xf>
    <xf numFmtId="177" fontId="63" fillId="2" borderId="2" xfId="0" applyNumberFormat="1" applyFont="1" applyFill="1" applyBorder="1" applyAlignment="1">
      <alignment horizontal="left" vertical="center" wrapText="1"/>
    </xf>
    <xf numFmtId="58" fontId="64" fillId="2" borderId="2" xfId="0" applyNumberFormat="1" applyFont="1" applyFill="1" applyBorder="1" applyAlignment="1">
      <alignment horizontal="left" vertical="center"/>
    </xf>
    <xf numFmtId="180" fontId="13" fillId="2" borderId="2" xfId="0" applyNumberFormat="1" applyFont="1" applyFill="1" applyBorder="1" applyAlignment="1">
      <alignment horizontal="left" vertical="center"/>
    </xf>
    <xf numFmtId="58" fontId="22" fillId="2" borderId="2" xfId="0" applyNumberFormat="1" applyFont="1" applyFill="1" applyBorder="1" applyAlignment="1">
      <alignment horizontal="left" vertical="center"/>
    </xf>
    <xf numFmtId="0" fontId="26" fillId="2" borderId="2" xfId="0" applyFont="1" applyFill="1" applyBorder="1" applyAlignment="1">
      <alignment horizontal="center" vertical="center"/>
    </xf>
    <xf numFmtId="180" fontId="65" fillId="2" borderId="2" xfId="0" applyNumberFormat="1" applyFont="1" applyFill="1" applyBorder="1" applyAlignment="1">
      <alignment horizontal="left" vertical="center"/>
    </xf>
    <xf numFmtId="180" fontId="34" fillId="2" borderId="2" xfId="0" applyNumberFormat="1" applyFont="1" applyFill="1" applyBorder="1" applyAlignment="1">
      <alignment horizontal="left" vertical="center"/>
    </xf>
    <xf numFmtId="0" fontId="23" fillId="2" borderId="2" xfId="0" applyFont="1" applyFill="1" applyBorder="1" applyAlignment="1">
      <alignment horizontal="left" vertical="center"/>
    </xf>
    <xf numFmtId="0" fontId="28" fillId="2" borderId="2" xfId="9548" applyFont="1" applyFill="1" applyBorder="1" applyAlignment="1">
      <alignment horizontal="left" vertical="center"/>
    </xf>
    <xf numFmtId="0" fontId="22" fillId="2" borderId="2" xfId="9548" applyFont="1" applyFill="1" applyBorder="1" applyAlignment="1">
      <alignment horizontal="left" vertical="center"/>
    </xf>
    <xf numFmtId="0" fontId="4" fillId="2" borderId="2" xfId="9548" applyNumberFormat="1" applyFont="1" applyFill="1" applyBorder="1" applyAlignment="1">
      <alignment horizontal="left" vertical="center"/>
    </xf>
    <xf numFmtId="0" fontId="22" fillId="2" borderId="2" xfId="9548" applyNumberFormat="1" applyFont="1" applyFill="1" applyBorder="1" applyAlignment="1">
      <alignment horizontal="left" vertical="center"/>
    </xf>
    <xf numFmtId="0" fontId="66" fillId="2" borderId="2" xfId="0" applyFont="1" applyFill="1" applyBorder="1" applyAlignment="1">
      <alignment horizontal="left" vertical="center"/>
    </xf>
    <xf numFmtId="177" fontId="23" fillId="2" borderId="2" xfId="0" applyNumberFormat="1" applyFont="1" applyFill="1" applyBorder="1" applyAlignment="1">
      <alignment horizontal="left" vertical="center" wrapText="1"/>
    </xf>
    <xf numFmtId="177" fontId="32" fillId="2" borderId="2" xfId="0" applyNumberFormat="1" applyFont="1" applyFill="1" applyBorder="1" applyAlignment="1">
      <alignment horizontal="left" vertical="center"/>
    </xf>
    <xf numFmtId="177" fontId="7" fillId="2" borderId="2" xfId="0" applyNumberFormat="1" applyFont="1" applyFill="1" applyBorder="1" applyAlignment="1">
      <alignment horizontal="left" vertical="center" wrapText="1"/>
    </xf>
    <xf numFmtId="177" fontId="31" fillId="2" borderId="2" xfId="0" applyNumberFormat="1" applyFont="1" applyFill="1" applyBorder="1" applyAlignment="1">
      <alignment horizontal="left" vertical="center" wrapText="1"/>
    </xf>
    <xf numFmtId="177" fontId="33" fillId="2" borderId="2" xfId="0" applyNumberFormat="1" applyFont="1" applyFill="1" applyBorder="1" applyAlignment="1">
      <alignment horizontal="left" vertical="center"/>
    </xf>
    <xf numFmtId="177" fontId="67" fillId="2" borderId="2" xfId="0" applyNumberFormat="1" applyFont="1" applyFill="1" applyBorder="1" applyAlignment="1">
      <alignment horizontal="left" vertical="center" wrapText="1"/>
    </xf>
    <xf numFmtId="177" fontId="33" fillId="2" borderId="2" xfId="22498" applyNumberFormat="1" applyFont="1" applyFill="1" applyBorder="1" applyAlignment="1">
      <alignment horizontal="left" vertical="center" wrapText="1"/>
    </xf>
    <xf numFmtId="180" fontId="22" fillId="2" borderId="2" xfId="0" applyNumberFormat="1" applyFont="1" applyFill="1" applyBorder="1" applyAlignment="1">
      <alignment horizontal="left" vertical="center" wrapText="1"/>
    </xf>
    <xf numFmtId="0" fontId="22" fillId="2" borderId="2" xfId="22498" applyFont="1" applyFill="1" applyBorder="1" applyAlignment="1">
      <alignment horizontal="left" vertical="center"/>
    </xf>
    <xf numFmtId="177" fontId="22" fillId="2" borderId="2" xfId="9548" applyNumberFormat="1" applyFont="1" applyFill="1" applyBorder="1" applyAlignment="1">
      <alignment horizontal="left" vertical="center"/>
    </xf>
    <xf numFmtId="177" fontId="28" fillId="2" borderId="2" xfId="9548" applyNumberFormat="1" applyFont="1" applyFill="1" applyBorder="1" applyAlignment="1">
      <alignment horizontal="left" vertical="center" wrapText="1"/>
    </xf>
    <xf numFmtId="180" fontId="22" fillId="2" borderId="2" xfId="9548" applyNumberFormat="1" applyFont="1" applyFill="1" applyBorder="1" applyAlignment="1">
      <alignment horizontal="left" vertical="center"/>
    </xf>
    <xf numFmtId="177" fontId="22" fillId="2" borderId="2" xfId="9548" applyNumberFormat="1" applyFont="1" applyFill="1" applyBorder="1" applyAlignment="1">
      <alignment horizontal="left" vertical="center" wrapText="1"/>
    </xf>
    <xf numFmtId="0" fontId="63" fillId="2" borderId="2" xfId="0" applyFont="1" applyFill="1" applyBorder="1" applyAlignment="1">
      <alignment horizontal="left" vertical="center"/>
    </xf>
    <xf numFmtId="58" fontId="28" fillId="2" borderId="2" xfId="0" applyNumberFormat="1" applyFont="1" applyFill="1" applyBorder="1" applyAlignment="1">
      <alignment horizontal="left" vertical="center"/>
    </xf>
    <xf numFmtId="180" fontId="22" fillId="2" borderId="2" xfId="0" applyNumberFormat="1" applyFont="1" applyFill="1" applyBorder="1" applyAlignment="1">
      <alignment horizontal="center" vertical="center"/>
    </xf>
    <xf numFmtId="177" fontId="22" fillId="2" borderId="2" xfId="22498" applyNumberFormat="1" applyFont="1" applyFill="1" applyBorder="1" applyAlignment="1">
      <alignment horizontal="left" vertical="center"/>
    </xf>
    <xf numFmtId="180" fontId="22" fillId="2" borderId="2" xfId="22498" applyNumberFormat="1" applyFont="1" applyFill="1" applyBorder="1" applyAlignment="1">
      <alignment horizontal="left" vertical="center"/>
    </xf>
    <xf numFmtId="180" fontId="47" fillId="2" borderId="2" xfId="0" applyNumberFormat="1" applyFont="1" applyFill="1" applyBorder="1" applyAlignment="1">
      <alignment horizontal="left" vertical="center" wrapText="1"/>
    </xf>
    <xf numFmtId="180" fontId="44" fillId="2" borderId="2" xfId="9548" applyNumberFormat="1" applyFont="1" applyFill="1" applyBorder="1" applyAlignment="1">
      <alignment horizontal="left" vertical="center"/>
    </xf>
    <xf numFmtId="58" fontId="26" fillId="2" borderId="2" xfId="9548" applyNumberFormat="1" applyFont="1" applyFill="1" applyBorder="1" applyAlignment="1">
      <alignment horizontal="left" vertical="center"/>
    </xf>
    <xf numFmtId="180" fontId="44" fillId="2" borderId="2" xfId="0" applyNumberFormat="1" applyFont="1" applyFill="1" applyBorder="1" applyAlignment="1">
      <alignment horizontal="left" vertical="center" wrapText="1"/>
    </xf>
    <xf numFmtId="26" fontId="34" fillId="2" borderId="2" xfId="0" applyNumberFormat="1" applyFont="1" applyFill="1" applyBorder="1" applyAlignment="1">
      <alignment horizontal="left" vertical="center"/>
    </xf>
    <xf numFmtId="180" fontId="68" fillId="2" borderId="2" xfId="0" applyNumberFormat="1" applyFont="1" applyFill="1" applyBorder="1" applyAlignment="1">
      <alignment horizontal="left" vertical="center"/>
    </xf>
    <xf numFmtId="0" fontId="28" fillId="0" borderId="2" xfId="0" applyFont="1" applyFill="1" applyBorder="1" applyAlignment="1">
      <alignment horizontal="left" vertical="center"/>
    </xf>
    <xf numFmtId="0" fontId="28" fillId="5" borderId="2" xfId="0" applyFont="1" applyFill="1" applyBorder="1" applyAlignment="1">
      <alignment horizontal="left" vertical="center"/>
    </xf>
    <xf numFmtId="0" fontId="29" fillId="5" borderId="2" xfId="0" applyFont="1" applyFill="1" applyBorder="1" applyAlignment="1">
      <alignment horizontal="left" vertical="center"/>
    </xf>
    <xf numFmtId="0" fontId="30" fillId="5" borderId="2" xfId="0" applyFont="1" applyFill="1" applyBorder="1" applyAlignment="1">
      <alignment horizontal="left" vertical="center"/>
    </xf>
    <xf numFmtId="0" fontId="22" fillId="5" borderId="2" xfId="0" applyFont="1" applyFill="1" applyBorder="1" applyAlignment="1">
      <alignment horizontal="left" vertical="center"/>
    </xf>
    <xf numFmtId="0" fontId="22" fillId="5" borderId="2" xfId="0" applyNumberFormat="1" applyFont="1" applyFill="1" applyBorder="1" applyAlignment="1">
      <alignment horizontal="left" vertical="center"/>
    </xf>
    <xf numFmtId="0" fontId="31" fillId="5" borderId="2" xfId="0" applyNumberFormat="1" applyFont="1" applyFill="1" applyBorder="1" applyAlignment="1">
      <alignment horizontal="center" vertical="center"/>
    </xf>
    <xf numFmtId="0" fontId="22" fillId="5" borderId="2" xfId="0" applyNumberFormat="1" applyFont="1" applyFill="1" applyBorder="1" applyAlignment="1">
      <alignment horizontal="left" vertical="center" wrapText="1"/>
    </xf>
    <xf numFmtId="0" fontId="4" fillId="5" borderId="2" xfId="0" applyNumberFormat="1" applyFont="1" applyFill="1" applyBorder="1" applyAlignment="1">
      <alignment horizontal="left" vertical="center"/>
    </xf>
    <xf numFmtId="0" fontId="4" fillId="2" borderId="2" xfId="0" applyFont="1" applyFill="1" applyBorder="1" applyAlignment="1">
      <alignment horizontal="left" vertical="center"/>
    </xf>
    <xf numFmtId="26" fontId="22" fillId="2" borderId="2" xfId="0" applyNumberFormat="1" applyFont="1" applyFill="1" applyBorder="1" applyAlignment="1">
      <alignment horizontal="left" vertical="center"/>
    </xf>
    <xf numFmtId="0" fontId="13" fillId="2" borderId="2" xfId="0" applyFont="1" applyFill="1" applyBorder="1" applyAlignment="1">
      <alignment horizontal="left" vertical="center"/>
    </xf>
    <xf numFmtId="177" fontId="31" fillId="2" borderId="2" xfId="0" applyNumberFormat="1" applyFont="1" applyFill="1" applyBorder="1" applyAlignment="1">
      <alignment horizontal="left" vertical="center"/>
    </xf>
    <xf numFmtId="177" fontId="33" fillId="5" borderId="2" xfId="0" applyNumberFormat="1" applyFont="1" applyFill="1" applyBorder="1" applyAlignment="1">
      <alignment horizontal="left" vertical="center" wrapText="1"/>
    </xf>
    <xf numFmtId="177" fontId="22" fillId="5" borderId="2" xfId="0" applyNumberFormat="1" applyFont="1" applyFill="1" applyBorder="1" applyAlignment="1">
      <alignment horizontal="left" vertical="center"/>
    </xf>
    <xf numFmtId="177" fontId="4" fillId="5" borderId="2" xfId="0" applyNumberFormat="1" applyFont="1" applyFill="1" applyBorder="1" applyAlignment="1">
      <alignment horizontal="left" vertical="center" wrapText="1"/>
    </xf>
    <xf numFmtId="177" fontId="7" fillId="5" borderId="2" xfId="0" applyNumberFormat="1" applyFont="1" applyFill="1" applyBorder="1" applyAlignment="1">
      <alignment horizontal="left" vertical="center" wrapText="1"/>
    </xf>
    <xf numFmtId="177" fontId="33" fillId="5" borderId="2" xfId="9548" applyNumberFormat="1" applyFont="1" applyFill="1" applyBorder="1" applyAlignment="1">
      <alignment horizontal="left" vertical="center" wrapText="1"/>
    </xf>
    <xf numFmtId="180" fontId="22" fillId="5" borderId="2" xfId="0" applyNumberFormat="1" applyFont="1" applyFill="1" applyBorder="1" applyAlignment="1">
      <alignment horizontal="left" vertical="center"/>
    </xf>
    <xf numFmtId="177" fontId="22" fillId="5" borderId="2" xfId="0" applyNumberFormat="1" applyFont="1" applyFill="1" applyBorder="1" applyAlignment="1">
      <alignment horizontal="left" vertical="center" wrapText="1"/>
    </xf>
    <xf numFmtId="7" fontId="22" fillId="2" borderId="2" xfId="0" applyNumberFormat="1" applyFont="1" applyFill="1" applyBorder="1" applyAlignment="1">
      <alignment horizontal="left" vertical="center"/>
    </xf>
    <xf numFmtId="26" fontId="34" fillId="5" borderId="2" xfId="9548" applyNumberFormat="1" applyFont="1" applyFill="1" applyBorder="1" applyAlignment="1">
      <alignment horizontal="left" vertical="center"/>
    </xf>
    <xf numFmtId="176" fontId="44" fillId="4" borderId="2" xfId="9548" applyNumberFormat="1" applyFont="1" applyFill="1" applyBorder="1" applyAlignment="1">
      <alignment horizontal="left" vertical="center"/>
    </xf>
    <xf numFmtId="180" fontId="69" fillId="2" borderId="2" xfId="0" applyNumberFormat="1" applyFont="1" applyFill="1" applyBorder="1" applyAlignment="1">
      <alignment horizontal="left" vertical="center"/>
    </xf>
    <xf numFmtId="180" fontId="69" fillId="2" borderId="2" xfId="0" applyNumberFormat="1" applyFont="1" applyFill="1" applyBorder="1" applyAlignment="1">
      <alignment horizontal="left" vertical="center" wrapText="1"/>
    </xf>
    <xf numFmtId="180" fontId="68" fillId="2" borderId="2" xfId="0" applyNumberFormat="1" applyFont="1" applyFill="1" applyBorder="1" applyAlignment="1">
      <alignment horizontal="left" vertical="center" wrapText="1"/>
    </xf>
    <xf numFmtId="180" fontId="4" fillId="2" borderId="2" xfId="0" applyNumberFormat="1" applyFont="1" applyFill="1" applyBorder="1" applyAlignment="1">
      <alignment horizontal="left" vertical="center"/>
    </xf>
    <xf numFmtId="176" fontId="44" fillId="5" borderId="2" xfId="9548" applyNumberFormat="1" applyFont="1" applyFill="1" applyBorder="1" applyAlignment="1">
      <alignment horizontal="left" vertical="center"/>
    </xf>
    <xf numFmtId="180" fontId="44" fillId="5" borderId="2" xfId="0" applyNumberFormat="1" applyFont="1" applyFill="1" applyBorder="1" applyAlignment="1">
      <alignment horizontal="left" vertical="center"/>
    </xf>
    <xf numFmtId="58" fontId="26" fillId="5" borderId="2" xfId="0" applyNumberFormat="1" applyFont="1" applyFill="1" applyBorder="1" applyAlignment="1">
      <alignment horizontal="left" vertical="center"/>
    </xf>
    <xf numFmtId="177" fontId="70" fillId="2" borderId="2" xfId="0" applyNumberFormat="1" applyFont="1" applyFill="1" applyBorder="1" applyAlignment="1">
      <alignment horizontal="left" vertical="center" wrapText="1"/>
    </xf>
    <xf numFmtId="177" fontId="71" fillId="2" borderId="2" xfId="0" applyNumberFormat="1" applyFont="1" applyFill="1" applyBorder="1" applyAlignment="1">
      <alignment horizontal="left" vertical="center" wrapText="1"/>
    </xf>
    <xf numFmtId="0" fontId="72" fillId="2" borderId="2" xfId="0" applyFont="1" applyFill="1" applyBorder="1" applyAlignment="1">
      <alignment horizontal="left" vertical="center"/>
    </xf>
    <xf numFmtId="180" fontId="73" fillId="2" borderId="2" xfId="0" applyNumberFormat="1" applyFont="1" applyFill="1" applyBorder="1" applyAlignment="1">
      <alignment horizontal="left" vertical="center"/>
    </xf>
    <xf numFmtId="0" fontId="31" fillId="2" borderId="2" xfId="0" applyFont="1" applyFill="1" applyBorder="1" applyAlignment="1">
      <alignment horizontal="left" vertical="center"/>
    </xf>
    <xf numFmtId="0" fontId="34" fillId="2" borderId="2" xfId="0" applyFont="1" applyFill="1" applyBorder="1" applyAlignment="1">
      <alignment horizontal="left" vertical="center"/>
    </xf>
    <xf numFmtId="0" fontId="44" fillId="2" borderId="2" xfId="0" applyFont="1" applyFill="1" applyBorder="1" applyAlignment="1">
      <alignment horizontal="left" vertical="center"/>
    </xf>
    <xf numFmtId="0" fontId="42" fillId="2" borderId="2" xfId="9548" applyFont="1" applyFill="1" applyBorder="1" applyAlignment="1">
      <alignment horizontal="left" vertical="center"/>
    </xf>
    <xf numFmtId="0" fontId="29" fillId="2" borderId="2" xfId="9548" applyFont="1" applyFill="1" applyBorder="1" applyAlignment="1">
      <alignment horizontal="left" vertical="center"/>
    </xf>
    <xf numFmtId="0" fontId="30" fillId="2" borderId="2" xfId="9548" applyFont="1" applyFill="1" applyBorder="1" applyAlignment="1">
      <alignment horizontal="left" vertical="center"/>
    </xf>
    <xf numFmtId="0" fontId="42" fillId="2" borderId="2" xfId="0" applyFont="1" applyFill="1" applyBorder="1">
      <alignment vertical="center"/>
    </xf>
    <xf numFmtId="0" fontId="28" fillId="2" borderId="2" xfId="0" applyFont="1" applyFill="1" applyBorder="1">
      <alignment vertical="center"/>
    </xf>
    <xf numFmtId="182" fontId="22" fillId="2" borderId="2" xfId="0" applyNumberFormat="1" applyFont="1" applyFill="1" applyBorder="1" applyAlignment="1">
      <alignment horizontal="left" vertical="center"/>
    </xf>
    <xf numFmtId="182" fontId="31" fillId="2" borderId="2" xfId="0" applyNumberFormat="1" applyFont="1" applyFill="1" applyBorder="1" applyAlignment="1">
      <alignment horizontal="left" vertical="center"/>
    </xf>
    <xf numFmtId="7" fontId="22" fillId="2" borderId="3" xfId="0" applyNumberFormat="1" applyFont="1" applyFill="1" applyBorder="1" applyAlignment="1">
      <alignment horizontal="left" vertical="center"/>
    </xf>
    <xf numFmtId="26" fontId="22" fillId="2" borderId="2" xfId="6832" applyNumberFormat="1" applyFont="1" applyFill="1" applyBorder="1" applyAlignment="1">
      <alignment horizontal="left" vertical="center"/>
    </xf>
    <xf numFmtId="177" fontId="7" fillId="2" borderId="2" xfId="9548" applyNumberFormat="1" applyFont="1" applyFill="1" applyBorder="1" applyAlignment="1">
      <alignment horizontal="left" vertical="center" wrapText="1"/>
    </xf>
    <xf numFmtId="180" fontId="22" fillId="2" borderId="4" xfId="0" applyNumberFormat="1" applyFont="1" applyFill="1" applyBorder="1" applyAlignment="1">
      <alignment horizontal="left" vertical="center"/>
    </xf>
    <xf numFmtId="180" fontId="22" fillId="2" borderId="3" xfId="0" applyNumberFormat="1" applyFont="1" applyFill="1" applyBorder="1" applyAlignment="1">
      <alignment horizontal="left" vertical="center"/>
    </xf>
    <xf numFmtId="180" fontId="22" fillId="2" borderId="2" xfId="9548" applyNumberFormat="1" applyFont="1" applyFill="1" applyBorder="1" applyAlignment="1">
      <alignment horizontal="center" vertical="center"/>
    </xf>
    <xf numFmtId="0" fontId="74" fillId="2" borderId="2" xfId="0" applyFont="1" applyFill="1" applyBorder="1" applyAlignment="1">
      <alignment horizontal="left" vertical="center"/>
    </xf>
    <xf numFmtId="0" fontId="75" fillId="2" borderId="2" xfId="0" applyFont="1" applyFill="1" applyBorder="1" applyAlignment="1">
      <alignment horizontal="left" vertical="center"/>
    </xf>
    <xf numFmtId="0" fontId="26" fillId="2" borderId="2" xfId="0" applyNumberFormat="1" applyFont="1" applyFill="1" applyBorder="1" applyAlignment="1">
      <alignment horizontal="left" vertical="center"/>
    </xf>
    <xf numFmtId="0" fontId="76" fillId="2" borderId="2" xfId="0" applyFont="1" applyFill="1" applyBorder="1" applyAlignment="1">
      <alignment horizontal="left" vertical="center"/>
    </xf>
    <xf numFmtId="0" fontId="77" fillId="2" borderId="2" xfId="0" applyFont="1" applyFill="1" applyBorder="1" applyAlignment="1">
      <alignment horizontal="left" vertical="center"/>
    </xf>
    <xf numFmtId="0" fontId="17" fillId="2" borderId="2" xfId="0" applyFont="1" applyFill="1" applyBorder="1" applyAlignment="1">
      <alignment horizontal="left" vertical="center"/>
    </xf>
    <xf numFmtId="177" fontId="25" fillId="2" borderId="2" xfId="0" applyNumberFormat="1" applyFont="1" applyFill="1" applyBorder="1" applyAlignment="1">
      <alignment horizontal="left" vertical="center" wrapText="1"/>
    </xf>
    <xf numFmtId="177" fontId="78" fillId="2" borderId="2" xfId="0" applyNumberFormat="1" applyFont="1" applyFill="1" applyBorder="1" applyAlignment="1">
      <alignment horizontal="left" vertical="center" wrapText="1"/>
    </xf>
    <xf numFmtId="177" fontId="48" fillId="2" borderId="2" xfId="0" applyNumberFormat="1" applyFont="1" applyFill="1" applyBorder="1" applyAlignment="1">
      <alignment vertical="center" wrapText="1"/>
    </xf>
    <xf numFmtId="26" fontId="34" fillId="5" borderId="4" xfId="0" applyNumberFormat="1" applyFont="1" applyFill="1" applyBorder="1" applyAlignment="1">
      <alignment horizontal="left" vertical="center"/>
    </xf>
    <xf numFmtId="26" fontId="34" fillId="5" borderId="3" xfId="0" applyNumberFormat="1" applyFont="1" applyFill="1" applyBorder="1" applyAlignment="1">
      <alignment horizontal="left" vertical="center"/>
    </xf>
    <xf numFmtId="180" fontId="22" fillId="2" borderId="5" xfId="0" applyNumberFormat="1" applyFont="1" applyFill="1" applyBorder="1" applyAlignment="1">
      <alignment horizontal="left" vertical="center"/>
    </xf>
    <xf numFmtId="180" fontId="61" fillId="2" borderId="2" xfId="0" applyNumberFormat="1" applyFont="1" applyFill="1" applyBorder="1" applyAlignment="1">
      <alignment horizontal="left" vertical="center"/>
    </xf>
    <xf numFmtId="26" fontId="60" fillId="5" borderId="2" xfId="39" applyNumberFormat="1" applyFont="1" applyFill="1" applyBorder="1" applyAlignment="1">
      <alignment horizontal="left" vertical="center"/>
    </xf>
    <xf numFmtId="26" fontId="34" fillId="5" borderId="2" xfId="39" applyNumberFormat="1" applyFont="1" applyFill="1" applyBorder="1" applyAlignment="1">
      <alignment horizontal="left" vertical="center"/>
    </xf>
    <xf numFmtId="58" fontId="79" fillId="2" borderId="2" xfId="0" applyNumberFormat="1" applyFont="1" applyFill="1" applyBorder="1" applyAlignment="1">
      <alignment horizontal="left" vertical="center"/>
    </xf>
    <xf numFmtId="177" fontId="80" fillId="2" borderId="2" xfId="0" applyNumberFormat="1" applyFont="1" applyFill="1" applyBorder="1" applyAlignment="1">
      <alignment horizontal="left" vertical="center" wrapText="1"/>
    </xf>
    <xf numFmtId="177" fontId="4" fillId="2" borderId="2" xfId="0" applyNumberFormat="1" applyFont="1" applyFill="1" applyBorder="1" applyAlignment="1">
      <alignment horizontal="left" vertical="center"/>
    </xf>
    <xf numFmtId="177" fontId="81" fillId="2" borderId="2" xfId="0" applyNumberFormat="1" applyFont="1" applyFill="1" applyBorder="1" applyAlignment="1">
      <alignment horizontal="left" vertical="center" wrapText="1"/>
    </xf>
    <xf numFmtId="178" fontId="22" fillId="2" borderId="2" xfId="6832" applyNumberFormat="1" applyFont="1" applyFill="1" applyBorder="1" applyAlignment="1">
      <alignment horizontal="left" vertical="center"/>
    </xf>
    <xf numFmtId="4" fontId="22" fillId="2" borderId="2" xfId="0" applyNumberFormat="1" applyFont="1" applyFill="1" applyBorder="1" applyAlignment="1">
      <alignment horizontal="left" vertical="center"/>
    </xf>
    <xf numFmtId="0" fontId="33" fillId="2" borderId="2" xfId="0" applyFont="1" applyFill="1" applyBorder="1">
      <alignment vertical="center"/>
    </xf>
    <xf numFmtId="0" fontId="23" fillId="2" borderId="2" xfId="0" applyFont="1" applyFill="1" applyBorder="1">
      <alignment vertical="center"/>
    </xf>
    <xf numFmtId="0" fontId="34" fillId="2" borderId="2" xfId="0" applyFont="1" applyFill="1" applyBorder="1">
      <alignment vertical="center"/>
    </xf>
    <xf numFmtId="0" fontId="33" fillId="2" borderId="2" xfId="0" applyFont="1" applyFill="1" applyBorder="1" applyAlignment="1">
      <alignment horizontal="left"/>
    </xf>
    <xf numFmtId="17" fontId="82" fillId="2" borderId="2" xfId="0" applyNumberFormat="1" applyFont="1" applyFill="1" applyBorder="1" applyAlignment="1">
      <alignment horizontal="left" vertical="center"/>
    </xf>
    <xf numFmtId="17" fontId="83" fillId="2" borderId="2" xfId="0" applyNumberFormat="1" applyFont="1" applyFill="1" applyBorder="1" applyAlignment="1">
      <alignment horizontal="left" vertical="center"/>
    </xf>
    <xf numFmtId="183" fontId="31" fillId="2" borderId="2" xfId="0" applyNumberFormat="1" applyFont="1" applyFill="1" applyBorder="1" applyAlignment="1">
      <alignment horizontal="left" vertical="center"/>
    </xf>
    <xf numFmtId="180" fontId="32" fillId="2" borderId="2" xfId="0" applyNumberFormat="1" applyFont="1" applyFill="1" applyBorder="1" applyAlignment="1">
      <alignment horizontal="left" vertical="center" wrapText="1"/>
    </xf>
    <xf numFmtId="180" fontId="84" fillId="2" borderId="2" xfId="0" applyNumberFormat="1" applyFont="1" applyFill="1" applyBorder="1" applyAlignment="1">
      <alignment horizontal="left" vertical="center"/>
    </xf>
    <xf numFmtId="176" fontId="22" fillId="4" borderId="2" xfId="0" applyNumberFormat="1" applyFont="1" applyFill="1" applyBorder="1" applyAlignment="1">
      <alignment horizontal="left" vertical="center"/>
    </xf>
    <xf numFmtId="26" fontId="22" fillId="2" borderId="2" xfId="0" applyNumberFormat="1" applyFont="1" applyFill="1" applyBorder="1" applyAlignment="1">
      <alignment horizontal="center" vertical="center"/>
    </xf>
    <xf numFmtId="0" fontId="33" fillId="2" borderId="2" xfId="9548" applyFont="1" applyFill="1" applyBorder="1" applyAlignment="1">
      <alignment horizontal="left" vertical="center"/>
    </xf>
    <xf numFmtId="0" fontId="23" fillId="2" borderId="2" xfId="0" applyNumberFormat="1" applyFont="1" applyFill="1" applyBorder="1" applyAlignment="1">
      <alignment horizontal="left" vertical="center"/>
    </xf>
    <xf numFmtId="0" fontId="47" fillId="2" borderId="2" xfId="9548" applyNumberFormat="1" applyFont="1" applyFill="1" applyBorder="1" applyAlignment="1">
      <alignment horizontal="left" vertical="center" wrapText="1"/>
    </xf>
    <xf numFmtId="0" fontId="33" fillId="2" borderId="2" xfId="9548" applyNumberFormat="1" applyFont="1" applyFill="1" applyBorder="1" applyAlignment="1">
      <alignment horizontal="left" vertical="center"/>
    </xf>
    <xf numFmtId="0" fontId="48" fillId="2" borderId="2" xfId="0" applyFont="1" applyFill="1" applyBorder="1">
      <alignment vertical="center"/>
    </xf>
    <xf numFmtId="0" fontId="5" fillId="2" borderId="2" xfId="0" applyFont="1" applyFill="1" applyBorder="1">
      <alignment vertical="center"/>
    </xf>
    <xf numFmtId="0" fontId="28" fillId="0" borderId="2" xfId="0" applyFont="1" applyFill="1" applyBorder="1">
      <alignment vertical="center"/>
    </xf>
    <xf numFmtId="180" fontId="63" fillId="2" borderId="2" xfId="0" applyNumberFormat="1" applyFont="1" applyFill="1" applyBorder="1" applyAlignment="1">
      <alignment horizontal="left" vertical="center"/>
    </xf>
    <xf numFmtId="177" fontId="69" fillId="2" borderId="2" xfId="9548" applyNumberFormat="1" applyFont="1" applyFill="1" applyBorder="1" applyAlignment="1">
      <alignment horizontal="left" vertical="center" wrapText="1"/>
    </xf>
    <xf numFmtId="26" fontId="22" fillId="2" borderId="2" xfId="9548" applyNumberFormat="1" applyFont="1" applyFill="1" applyBorder="1" applyAlignment="1">
      <alignment horizontal="left" vertical="center"/>
    </xf>
    <xf numFmtId="177" fontId="44" fillId="2" borderId="2" xfId="9548" applyNumberFormat="1" applyFont="1" applyFill="1" applyBorder="1" applyAlignment="1">
      <alignment horizontal="left" vertical="center" wrapText="1"/>
    </xf>
    <xf numFmtId="0" fontId="22" fillId="2" borderId="2" xfId="0" applyFont="1" applyFill="1" applyBorder="1" applyAlignment="1">
      <alignment vertical="center" wrapText="1"/>
    </xf>
    <xf numFmtId="0" fontId="33" fillId="2" borderId="2" xfId="0" applyFont="1" applyFill="1" applyBorder="1" applyAlignment="1">
      <alignment vertical="center" wrapText="1"/>
    </xf>
    <xf numFmtId="0" fontId="4" fillId="2" borderId="2" xfId="0" applyFont="1" applyFill="1" applyBorder="1" applyAlignment="1">
      <alignment vertical="center" wrapText="1"/>
    </xf>
    <xf numFmtId="0" fontId="32" fillId="2" borderId="2" xfId="0" applyFont="1" applyFill="1" applyBorder="1" applyAlignment="1">
      <alignment vertical="center" wrapText="1"/>
    </xf>
    <xf numFmtId="176" fontId="22" fillId="2" borderId="2" xfId="0" applyNumberFormat="1" applyFont="1" applyFill="1" applyBorder="1" applyAlignment="1">
      <alignment horizontal="left" vertical="center"/>
    </xf>
    <xf numFmtId="26" fontId="22" fillId="2" borderId="2" xfId="0" applyNumberFormat="1" applyFont="1" applyFill="1" applyBorder="1" applyAlignment="1">
      <alignment horizontal="left" vertical="center" wrapText="1"/>
    </xf>
    <xf numFmtId="58" fontId="28" fillId="2" borderId="2" xfId="9548" applyNumberFormat="1" applyFont="1" applyFill="1" applyBorder="1" applyAlignment="1">
      <alignment horizontal="left" vertical="center"/>
    </xf>
    <xf numFmtId="26" fontId="34" fillId="5" borderId="2" xfId="0" applyNumberFormat="1" applyFont="1" applyFill="1" applyBorder="1" applyAlignment="1">
      <alignment horizontal="left" vertical="center" wrapText="1"/>
    </xf>
    <xf numFmtId="176" fontId="44" fillId="4" borderId="2" xfId="0" applyNumberFormat="1" applyFont="1" applyFill="1" applyBorder="1" applyAlignment="1">
      <alignment horizontal="left" vertical="center" wrapText="1"/>
    </xf>
    <xf numFmtId="26" fontId="22" fillId="5" borderId="2" xfId="0" applyNumberFormat="1" applyFont="1" applyFill="1" applyBorder="1" applyAlignment="1">
      <alignment horizontal="left" vertical="center"/>
    </xf>
    <xf numFmtId="0" fontId="28" fillId="2" borderId="2" xfId="0" applyFont="1" applyFill="1" applyBorder="1" applyAlignment="1">
      <alignment vertical="center" wrapText="1"/>
    </xf>
    <xf numFmtId="0" fontId="7" fillId="2" borderId="2" xfId="0" applyNumberFormat="1" applyFont="1" applyFill="1" applyBorder="1" applyAlignment="1">
      <alignment horizontal="left" vertical="center"/>
    </xf>
    <xf numFmtId="0" fontId="58" fillId="2" borderId="2" xfId="0" applyFont="1" applyFill="1" applyBorder="1" applyAlignment="1">
      <alignment vertical="center" wrapText="1"/>
    </xf>
    <xf numFmtId="0" fontId="7" fillId="2" borderId="2" xfId="0" applyFont="1" applyFill="1" applyBorder="1" applyAlignment="1">
      <alignment vertical="center" wrapText="1"/>
    </xf>
    <xf numFmtId="26" fontId="33" fillId="2" borderId="2" xfId="0" applyNumberFormat="1" applyFont="1" applyFill="1" applyBorder="1" applyAlignment="1">
      <alignment horizontal="left" vertical="center"/>
    </xf>
    <xf numFmtId="26" fontId="48" fillId="2" borderId="2" xfId="0" applyNumberFormat="1" applyFont="1" applyFill="1" applyBorder="1" applyAlignment="1">
      <alignment horizontal="left" vertical="center"/>
    </xf>
    <xf numFmtId="180" fontId="4" fillId="2" borderId="2" xfId="0" applyNumberFormat="1" applyFont="1" applyFill="1" applyBorder="1" applyAlignment="1">
      <alignment horizontal="left" vertical="center" wrapText="1"/>
    </xf>
    <xf numFmtId="0" fontId="57" fillId="2" borderId="2" xfId="0" applyNumberFormat="1" applyFont="1" applyFill="1" applyBorder="1" applyAlignment="1">
      <alignment horizontal="left" vertical="center"/>
    </xf>
    <xf numFmtId="26" fontId="31" fillId="2" borderId="2" xfId="0" applyNumberFormat="1" applyFont="1" applyFill="1" applyBorder="1" applyAlignment="1">
      <alignment horizontal="left" vertical="center"/>
    </xf>
    <xf numFmtId="7" fontId="31" fillId="2" borderId="2" xfId="0" applyNumberFormat="1" applyFont="1" applyFill="1" applyBorder="1" applyAlignment="1">
      <alignment horizontal="left" vertical="center"/>
    </xf>
    <xf numFmtId="177" fontId="17" fillId="2" borderId="2" xfId="0" applyNumberFormat="1" applyFont="1" applyFill="1" applyBorder="1" applyAlignment="1">
      <alignment horizontal="left" vertical="center" wrapText="1"/>
    </xf>
    <xf numFmtId="177" fontId="85" fillId="2" borderId="2" xfId="0" applyNumberFormat="1" applyFont="1" applyFill="1" applyBorder="1" applyAlignment="1">
      <alignment horizontal="left" vertical="center" wrapText="1"/>
    </xf>
    <xf numFmtId="0" fontId="33" fillId="2" borderId="2" xfId="0" applyFont="1" applyFill="1" applyBorder="1" applyAlignment="1">
      <alignment horizontal="left" vertical="center" wrapText="1"/>
    </xf>
    <xf numFmtId="58" fontId="23" fillId="2" borderId="2" xfId="0" applyNumberFormat="1" applyFont="1" applyFill="1" applyBorder="1" applyAlignment="1">
      <alignment horizontal="left" vertical="center"/>
    </xf>
    <xf numFmtId="0" fontId="7" fillId="2" borderId="2" xfId="0" applyFont="1" applyFill="1" applyBorder="1" applyAlignment="1">
      <alignment horizontal="left" vertical="center"/>
    </xf>
    <xf numFmtId="0" fontId="32" fillId="2" borderId="2" xfId="0" applyFont="1" applyFill="1" applyBorder="1" applyAlignment="1">
      <alignment horizontal="left" vertical="center"/>
    </xf>
    <xf numFmtId="0" fontId="58" fillId="2" borderId="2" xfId="0" applyFont="1" applyFill="1" applyBorder="1" applyAlignment="1">
      <alignment horizontal="left" vertical="center" wrapText="1"/>
    </xf>
    <xf numFmtId="177" fontId="69" fillId="2" borderId="2" xfId="0" applyNumberFormat="1" applyFont="1" applyFill="1" applyBorder="1" applyAlignment="1">
      <alignment horizontal="left" vertical="center" wrapText="1"/>
    </xf>
    <xf numFmtId="0" fontId="7" fillId="2" borderId="2" xfId="0" applyFont="1" applyFill="1" applyBorder="1" applyAlignment="1">
      <alignment horizontal="left" vertical="center" wrapText="1"/>
    </xf>
    <xf numFmtId="0" fontId="70" fillId="2" borderId="2" xfId="0" applyFont="1" applyFill="1" applyBorder="1" applyAlignment="1">
      <alignment horizontal="left" vertical="center" wrapText="1"/>
    </xf>
    <xf numFmtId="26" fontId="31" fillId="5" borderId="2" xfId="39" applyNumberFormat="1" applyFont="1" applyFill="1" applyBorder="1" applyAlignment="1">
      <alignment horizontal="left" vertical="center"/>
    </xf>
    <xf numFmtId="176" fontId="32" fillId="4" borderId="2" xfId="0" applyNumberFormat="1" applyFont="1" applyFill="1" applyBorder="1" applyAlignment="1">
      <alignment horizontal="left" vertical="center"/>
    </xf>
    <xf numFmtId="180" fontId="58" fillId="2" borderId="2" xfId="0" applyNumberFormat="1" applyFont="1" applyFill="1" applyBorder="1" applyAlignment="1">
      <alignment horizontal="left" vertical="center"/>
    </xf>
    <xf numFmtId="26" fontId="28" fillId="5" borderId="2" xfId="0" applyNumberFormat="1" applyFont="1" applyFill="1" applyBorder="1" applyAlignment="1">
      <alignment horizontal="left" vertical="center"/>
    </xf>
    <xf numFmtId="176" fontId="28" fillId="4" borderId="2" xfId="0" applyNumberFormat="1" applyFont="1" applyFill="1" applyBorder="1" applyAlignment="1">
      <alignment horizontal="left" vertical="center"/>
    </xf>
    <xf numFmtId="176" fontId="22" fillId="0" borderId="2" xfId="0" applyNumberFormat="1" applyFont="1" applyFill="1" applyBorder="1" applyAlignment="1">
      <alignment horizontal="left" vertical="center"/>
    </xf>
    <xf numFmtId="0" fontId="44" fillId="2" borderId="2" xfId="0" applyFont="1" applyFill="1" applyBorder="1">
      <alignment vertical="center"/>
    </xf>
    <xf numFmtId="0" fontId="67" fillId="2" borderId="2" xfId="0" applyFont="1" applyFill="1" applyBorder="1" applyAlignment="1">
      <alignment horizontal="left" vertical="center"/>
    </xf>
    <xf numFmtId="0" fontId="86" fillId="2" borderId="2" xfId="0" applyFont="1" applyFill="1" applyBorder="1" applyAlignment="1">
      <alignment horizontal="left" vertical="center"/>
    </xf>
    <xf numFmtId="0" fontId="67" fillId="2" borderId="2" xfId="0" applyFont="1" applyFill="1" applyBorder="1" applyAlignment="1">
      <alignment vertical="center" wrapText="1"/>
    </xf>
    <xf numFmtId="177" fontId="27" fillId="2" borderId="2" xfId="0" applyNumberFormat="1" applyFont="1" applyFill="1" applyBorder="1" applyAlignment="1">
      <alignment horizontal="left" vertical="center"/>
    </xf>
    <xf numFmtId="0" fontId="51" fillId="2" borderId="2" xfId="0" applyFont="1" applyFill="1" applyBorder="1" applyAlignment="1">
      <alignment horizontal="left" vertical="center"/>
    </xf>
    <xf numFmtId="14" fontId="33" fillId="2" borderId="2" xfId="0" applyNumberFormat="1" applyFont="1" applyFill="1" applyBorder="1" applyAlignment="1">
      <alignment horizontal="left" vertical="center" wrapText="1"/>
    </xf>
    <xf numFmtId="0" fontId="32" fillId="2" borderId="2" xfId="0" applyFont="1" applyFill="1" applyBorder="1" applyAlignment="1">
      <alignment horizontal="left" wrapText="1"/>
    </xf>
    <xf numFmtId="26" fontId="22" fillId="5" borderId="2" xfId="39" applyNumberFormat="1" applyFont="1" applyFill="1" applyBorder="1" applyAlignment="1">
      <alignment horizontal="left" vertical="center"/>
    </xf>
    <xf numFmtId="0" fontId="82" fillId="2" borderId="2" xfId="0" applyFont="1" applyFill="1" applyBorder="1" applyAlignment="1">
      <alignment horizontal="left" vertical="center"/>
    </xf>
    <xf numFmtId="0" fontId="83" fillId="2" borderId="2" xfId="0" applyFont="1" applyFill="1" applyBorder="1" applyAlignment="1">
      <alignment horizontal="left" vertical="center"/>
    </xf>
    <xf numFmtId="0" fontId="28" fillId="2" borderId="2" xfId="0" applyFont="1" applyFill="1" applyBorder="1" applyAlignment="1">
      <alignment horizontal="left" vertical="center" wrapText="1"/>
    </xf>
    <xf numFmtId="0" fontId="29" fillId="2" borderId="2" xfId="0" applyFont="1" applyFill="1" applyBorder="1" applyAlignment="1">
      <alignment horizontal="left" vertical="center" wrapText="1"/>
    </xf>
    <xf numFmtId="0" fontId="30" fillId="2" borderId="2" xfId="0" applyFont="1" applyFill="1" applyBorder="1" applyAlignment="1">
      <alignment horizontal="left" vertical="center" wrapText="1"/>
    </xf>
    <xf numFmtId="0" fontId="28" fillId="6" borderId="2" xfId="0" applyFont="1" applyFill="1" applyBorder="1" applyAlignment="1">
      <alignment horizontal="left" vertical="center"/>
    </xf>
    <xf numFmtId="0" fontId="87" fillId="2" borderId="2" xfId="0" applyNumberFormat="1" applyFont="1" applyFill="1" applyBorder="1" applyAlignment="1">
      <alignment horizontal="left" vertical="center"/>
    </xf>
    <xf numFmtId="0" fontId="88" fillId="2" borderId="2" xfId="0" applyNumberFormat="1" applyFont="1" applyFill="1" applyBorder="1" applyAlignment="1">
      <alignment horizontal="left" vertical="center"/>
    </xf>
    <xf numFmtId="0" fontId="89" fillId="2" borderId="2" xfId="0" applyNumberFormat="1" applyFont="1" applyFill="1" applyBorder="1" applyAlignment="1">
      <alignment horizontal="left" vertical="center"/>
    </xf>
    <xf numFmtId="0" fontId="90" fillId="2" borderId="2" xfId="0" applyNumberFormat="1" applyFont="1" applyFill="1" applyBorder="1" applyAlignment="1">
      <alignment horizontal="left" vertical="center"/>
    </xf>
    <xf numFmtId="0" fontId="91" fillId="2" borderId="2" xfId="0" applyNumberFormat="1" applyFont="1" applyFill="1" applyBorder="1" applyAlignment="1">
      <alignment horizontal="left" vertical="center"/>
    </xf>
    <xf numFmtId="0" fontId="87" fillId="2" borderId="2" xfId="0" applyFont="1" applyFill="1" applyBorder="1" applyAlignment="1">
      <alignment horizontal="left" vertical="center"/>
    </xf>
    <xf numFmtId="0" fontId="88" fillId="2" borderId="2" xfId="0" applyFont="1" applyFill="1" applyBorder="1" applyAlignment="1">
      <alignment horizontal="left" vertical="center"/>
    </xf>
    <xf numFmtId="0" fontId="89" fillId="2" borderId="2" xfId="0" applyFont="1" applyFill="1" applyBorder="1" applyAlignment="1">
      <alignment horizontal="left" vertical="center"/>
    </xf>
    <xf numFmtId="0" fontId="91" fillId="2" borderId="2" xfId="0" applyFont="1" applyFill="1" applyBorder="1" applyAlignment="1">
      <alignment horizontal="left" vertical="center"/>
    </xf>
    <xf numFmtId="14" fontId="91" fillId="2" borderId="2" xfId="0" applyNumberFormat="1" applyFont="1" applyFill="1" applyBorder="1" applyAlignment="1">
      <alignment horizontal="left" vertical="center"/>
    </xf>
    <xf numFmtId="0" fontId="92" fillId="2" borderId="2" xfId="0" applyFont="1" applyFill="1" applyBorder="1" applyAlignment="1">
      <alignment horizontal="left" vertical="center"/>
    </xf>
    <xf numFmtId="0" fontId="91" fillId="2" borderId="2" xfId="0" applyNumberFormat="1" applyFont="1" applyFill="1" applyBorder="1" applyAlignment="1">
      <alignment horizontal="left" vertical="center" wrapText="1"/>
    </xf>
    <xf numFmtId="0" fontId="93" fillId="2" borderId="2" xfId="0" applyFont="1" applyFill="1" applyBorder="1" applyAlignment="1">
      <alignment horizontal="left" vertical="center"/>
    </xf>
    <xf numFmtId="0" fontId="94" fillId="2" borderId="2" xfId="0" applyFont="1" applyFill="1" applyBorder="1" applyAlignment="1">
      <alignment horizontal="left" vertical="center"/>
    </xf>
    <xf numFmtId="0" fontId="95" fillId="2" borderId="2" xfId="0" applyFont="1" applyFill="1" applyBorder="1" applyAlignment="1">
      <alignment horizontal="left" vertical="center"/>
    </xf>
    <xf numFmtId="0" fontId="96" fillId="2" borderId="2" xfId="0" applyFont="1" applyFill="1" applyBorder="1" applyAlignment="1">
      <alignment horizontal="left" vertical="center"/>
    </xf>
    <xf numFmtId="0" fontId="97" fillId="2" borderId="2" xfId="0" applyFont="1" applyFill="1" applyBorder="1" applyAlignment="1">
      <alignment horizontal="left" vertical="center"/>
    </xf>
    <xf numFmtId="0" fontId="22" fillId="2" borderId="2" xfId="0" applyFont="1" applyFill="1" applyBorder="1" applyAlignment="1">
      <alignment horizontal="left"/>
    </xf>
    <xf numFmtId="0" fontId="98" fillId="2" borderId="2" xfId="0" applyFont="1" applyFill="1" applyBorder="1" applyAlignment="1">
      <alignment horizontal="left"/>
    </xf>
    <xf numFmtId="0" fontId="22" fillId="2" borderId="2" xfId="0" applyFont="1" applyFill="1" applyBorder="1" applyAlignment="1">
      <alignment horizontal="left" vertical="top" wrapText="1"/>
    </xf>
    <xf numFmtId="0" fontId="22" fillId="2" borderId="2" xfId="0" applyFont="1" applyFill="1" applyBorder="1" applyAlignment="1">
      <alignment horizontal="left" wrapText="1"/>
    </xf>
    <xf numFmtId="14" fontId="28" fillId="2" borderId="2" xfId="0" applyNumberFormat="1" applyFont="1" applyFill="1" applyBorder="1" applyAlignment="1">
      <alignment horizontal="left" vertical="center"/>
    </xf>
    <xf numFmtId="14" fontId="23" fillId="2" borderId="2" xfId="0" applyNumberFormat="1" applyFont="1" applyFill="1" applyBorder="1" applyAlignment="1">
      <alignment horizontal="left" vertical="center" wrapText="1"/>
    </xf>
    <xf numFmtId="14" fontId="48" fillId="2" borderId="2" xfId="0" applyNumberFormat="1" applyFont="1" applyFill="1" applyBorder="1" applyAlignment="1">
      <alignment horizontal="left" vertical="center" wrapText="1"/>
    </xf>
    <xf numFmtId="14" fontId="7" fillId="2" borderId="2" xfId="0" applyNumberFormat="1" applyFont="1" applyFill="1" applyBorder="1" applyAlignment="1">
      <alignment horizontal="left" vertical="center" wrapText="1"/>
    </xf>
    <xf numFmtId="58" fontId="24" fillId="2" borderId="2" xfId="0" applyNumberFormat="1" applyFont="1" applyFill="1" applyBorder="1" applyAlignment="1">
      <alignment horizontal="left" vertical="center"/>
    </xf>
    <xf numFmtId="177" fontId="96" fillId="2" borderId="2" xfId="0" applyNumberFormat="1" applyFont="1" applyFill="1" applyBorder="1" applyAlignment="1">
      <alignment horizontal="left" vertical="center" wrapText="1"/>
    </xf>
    <xf numFmtId="177" fontId="90" fillId="2" borderId="2" xfId="0" applyNumberFormat="1" applyFont="1" applyFill="1" applyBorder="1" applyAlignment="1">
      <alignment horizontal="left" vertical="center"/>
    </xf>
    <xf numFmtId="177" fontId="91" fillId="2" borderId="2" xfId="0" applyNumberFormat="1" applyFont="1" applyFill="1" applyBorder="1" applyAlignment="1">
      <alignment horizontal="left" vertical="center"/>
    </xf>
    <xf numFmtId="177" fontId="96" fillId="2" borderId="2" xfId="0" applyNumberFormat="1" applyFont="1" applyFill="1" applyBorder="1" applyAlignment="1">
      <alignment horizontal="left" vertical="center"/>
    </xf>
    <xf numFmtId="180" fontId="90" fillId="2" borderId="2" xfId="0" applyNumberFormat="1" applyFont="1" applyFill="1" applyBorder="1" applyAlignment="1">
      <alignment horizontal="left" vertical="center"/>
    </xf>
    <xf numFmtId="14" fontId="96" fillId="2" borderId="2" xfId="0" applyNumberFormat="1" applyFont="1" applyFill="1" applyBorder="1" applyAlignment="1">
      <alignment horizontal="left" vertical="center"/>
    </xf>
    <xf numFmtId="180" fontId="91" fillId="2" borderId="2" xfId="0" applyNumberFormat="1" applyFont="1" applyFill="1" applyBorder="1" applyAlignment="1">
      <alignment horizontal="left" vertical="center"/>
    </xf>
    <xf numFmtId="177" fontId="91" fillId="2" borderId="2" xfId="0" applyNumberFormat="1" applyFont="1" applyFill="1" applyBorder="1" applyAlignment="1">
      <alignment horizontal="left" vertical="center" wrapText="1"/>
    </xf>
    <xf numFmtId="180" fontId="96" fillId="2" borderId="2" xfId="0" applyNumberFormat="1" applyFont="1" applyFill="1" applyBorder="1" applyAlignment="1">
      <alignment horizontal="left" vertical="center"/>
    </xf>
    <xf numFmtId="180" fontId="99" fillId="2" borderId="2" xfId="0" applyNumberFormat="1" applyFont="1" applyFill="1" applyBorder="1" applyAlignment="1">
      <alignment horizontal="left" vertical="center"/>
    </xf>
    <xf numFmtId="176" fontId="100" fillId="4" borderId="2" xfId="0" applyNumberFormat="1" applyFont="1" applyFill="1" applyBorder="1" applyAlignment="1">
      <alignment horizontal="left" vertical="center"/>
    </xf>
    <xf numFmtId="14" fontId="91" fillId="2" borderId="2" xfId="24585" applyNumberFormat="1" applyFont="1" applyFill="1" applyBorder="1" applyAlignment="1">
      <alignment horizontal="left" vertical="center"/>
    </xf>
    <xf numFmtId="180" fontId="91" fillId="2" borderId="2" xfId="0" applyNumberFormat="1" applyFont="1" applyFill="1" applyBorder="1" applyAlignment="1">
      <alignment horizontal="left" vertical="center" wrapText="1"/>
    </xf>
    <xf numFmtId="176" fontId="100" fillId="4" borderId="2" xfId="0" applyNumberFormat="1" applyFont="1" applyFill="1" applyBorder="1" applyAlignment="1">
      <alignment horizontal="left" vertical="center" wrapText="1"/>
    </xf>
    <xf numFmtId="184" fontId="91" fillId="2" borderId="2" xfId="0" applyNumberFormat="1" applyFont="1" applyFill="1" applyBorder="1" applyAlignment="1">
      <alignment horizontal="left" vertical="center"/>
    </xf>
    <xf numFmtId="180" fontId="94" fillId="2" borderId="2" xfId="0" applyNumberFormat="1" applyFont="1" applyFill="1" applyBorder="1" applyAlignment="1">
      <alignment horizontal="left" vertical="center"/>
    </xf>
    <xf numFmtId="180" fontId="101" fillId="2" borderId="2" xfId="0" applyNumberFormat="1" applyFont="1" applyFill="1" applyBorder="1" applyAlignment="1">
      <alignment horizontal="left" vertical="center"/>
    </xf>
    <xf numFmtId="176" fontId="44" fillId="4" borderId="0" xfId="0" applyNumberFormat="1" applyFont="1" applyFill="1" applyAlignment="1">
      <alignment horizontal="left" vertical="center"/>
    </xf>
    <xf numFmtId="180" fontId="102" fillId="4" borderId="2" xfId="0" applyNumberFormat="1" applyFont="1" applyFill="1" applyBorder="1" applyAlignment="1">
      <alignment horizontal="left" vertical="center"/>
    </xf>
  </cellXfs>
  <cellStyles count="27865">
    <cellStyle name="常规" xfId="0" builtinId="0"/>
    <cellStyle name="40% - 强调文字颜色 2 2 3 2 3 3 2" xfId="1"/>
    <cellStyle name="汇总 2 5 5 2" xfId="2"/>
    <cellStyle name="货币[0]" xfId="3" builtinId="7"/>
    <cellStyle name="计算 2 2 4 2 3 3" xfId="4"/>
    <cellStyle name="常规 3 3 2 2 4 2" xfId="5"/>
    <cellStyle name="20% - 强调文字颜色 6 2 5 2 2 2" xfId="6"/>
    <cellStyle name="强调文字颜色 6 2 2 2 2 3 2 2 2" xfId="7"/>
    <cellStyle name="汇总 2 2 7 2 9" xfId="8"/>
    <cellStyle name="60% - 强调文字颜色 3 3 2 3 2 2" xfId="9"/>
    <cellStyle name="强调文字颜色 1 2 2 2 2 2 4" xfId="10"/>
    <cellStyle name="计算 2 3 2 2 5 2" xfId="11"/>
    <cellStyle name="常规 10 3 4 2 2" xfId="12"/>
    <cellStyle name="60% - 强调文字颜色 1 2 2 2 6 2" xfId="13"/>
    <cellStyle name="计算 2 4 7 3" xfId="14"/>
    <cellStyle name="60% - 强调文字颜色 6 2 3 5 2 2 3" xfId="15"/>
    <cellStyle name="汇总 2 12 3 2" xfId="16"/>
    <cellStyle name="20% - 强调文字颜色 3" xfId="17" builtinId="38"/>
    <cellStyle name="汇总 2 6 11" xfId="18"/>
    <cellStyle name="汇总 3 12" xfId="19"/>
    <cellStyle name="差 2 2 3 3 4" xfId="20"/>
    <cellStyle name="计算 3 2 2 5 2 2" xfId="21"/>
    <cellStyle name="汇总 2 2 5 2 9 2" xfId="22"/>
    <cellStyle name="输出 3" xfId="23"/>
    <cellStyle name="强调文字颜色 2 2 3 3 2 3" xfId="24"/>
    <cellStyle name="20% - 强调文字颜色 2 4 2 3" xfId="25"/>
    <cellStyle name="输入 2 6 2 2 4" xfId="26"/>
    <cellStyle name="汇总 2 2 4 2 2 2 8" xfId="27"/>
    <cellStyle name="输入" xfId="28" builtinId="20"/>
    <cellStyle name="计算 2 8 11" xfId="29"/>
    <cellStyle name="注释 2 2 3 4 2 2 3" xfId="30"/>
    <cellStyle name="强调文字颜色 2 3 2" xfId="31"/>
    <cellStyle name="输出 3 2 3 3" xfId="32"/>
    <cellStyle name="常规 2 2 2 5 3 2" xfId="33"/>
    <cellStyle name="注释 2 2 4 2 2 4 2" xfId="34"/>
    <cellStyle name="计算 3 2 8 3" xfId="35"/>
    <cellStyle name="输入 2 2 10 2 5" xfId="36"/>
    <cellStyle name="常规 12 3 2 2 2" xfId="37"/>
    <cellStyle name="强调文字颜色 6 2 2 2 2 5 2 2" xfId="38"/>
    <cellStyle name="货币" xfId="39" builtinId="4"/>
    <cellStyle name="强调文字颜色 2 2 3 2 6" xfId="40"/>
    <cellStyle name="计算 2 2 3 2 2 5" xfId="41"/>
    <cellStyle name="20% - 强调文字颜色 2 3 6" xfId="42"/>
    <cellStyle name="常规 9 2 5" xfId="43"/>
    <cellStyle name="注释 2 2 6 3 3 2" xfId="44"/>
    <cellStyle name="40% - 强调文字颜色 3 2 6 2 2 2" xfId="45"/>
    <cellStyle name="适中 2 2 3 6" xfId="46"/>
    <cellStyle name="汇总 2 2 7 3 2 6" xfId="47"/>
    <cellStyle name="超链接 2 3 2 2 3" xfId="48"/>
    <cellStyle name="标题 2 4 2 3 2 2 2" xfId="49"/>
    <cellStyle name="千位分隔[0]" xfId="50" builtinId="6"/>
    <cellStyle name="40% - 强调文字颜色 2 2 3 2 2" xfId="51"/>
    <cellStyle name="差 2 2 2 2 2 3 3" xfId="52"/>
    <cellStyle name="链接单元格 2 2 2 3 6" xfId="53"/>
    <cellStyle name="常规 3 4 3" xfId="54"/>
    <cellStyle name="输入 2 5 10 2" xfId="55"/>
    <cellStyle name="强调文字颜色 6 3 3 3 2" xfId="56"/>
    <cellStyle name="注释 2 2 3 2 2 2 3 2 2" xfId="57"/>
    <cellStyle name="输入 4 3 3" xfId="58"/>
    <cellStyle name="汇总 2 3 9 2" xfId="59"/>
    <cellStyle name="解释性文本 2 3 6" xfId="60"/>
    <cellStyle name="40% - 强调文字颜色 3" xfId="61" builtinId="39"/>
    <cellStyle name="强调文字颜色 3 2 2 5 3 2" xfId="62"/>
    <cellStyle name="汇总 2 3 4 7" xfId="63"/>
    <cellStyle name="输入 2 2 7 2 2 3" xfId="64"/>
    <cellStyle name="汇总 2 2 2 2 2 2 2 2" xfId="65"/>
    <cellStyle name="链接单元格 2 5" xfId="66"/>
    <cellStyle name="警告文本 2 3 3 7" xfId="67"/>
    <cellStyle name="注释 2 3 2 5" xfId="68"/>
    <cellStyle name="差" xfId="69" builtinId="27"/>
    <cellStyle name="标题 1 2 4 4" xfId="70"/>
    <cellStyle name="强调文字颜色 5 2 3 3 2 2" xfId="71"/>
    <cellStyle name="计算 2 5 3" xfId="72"/>
    <cellStyle name="适中 2 4 10" xfId="73"/>
    <cellStyle name="超链接 2 3 7 2" xfId="74"/>
    <cellStyle name="常规 5 6 5 2" xfId="75"/>
    <cellStyle name="汇总 2 7 2 3 2" xfId="76"/>
    <cellStyle name="常规 4 3 4 5 2" xfId="77"/>
    <cellStyle name="40% - 强调文字颜色 6 2 2 2 5 2" xfId="78"/>
    <cellStyle name="60% - 强调文字颜色 6 2 3 3 3" xfId="79"/>
    <cellStyle name="计算 2 2 5 2 3 4" xfId="80"/>
    <cellStyle name="输入 2 7 3 4 2" xfId="81"/>
    <cellStyle name="超链接 3 3 2 4 2" xfId="82"/>
    <cellStyle name="汇总 2 4 2 4 4" xfId="83"/>
    <cellStyle name="60% - 强调文字颜色 2 2 2 4 2 3 2" xfId="84"/>
    <cellStyle name="解释性文本 2 3 2 4" xfId="85"/>
    <cellStyle name="千位分隔" xfId="86" builtinId="3"/>
    <cellStyle name="输入 2 2 4 2 3 5" xfId="87"/>
    <cellStyle name="输出 2 3 13" xfId="88"/>
    <cellStyle name="计算 2 2 8 2 2 2" xfId="89"/>
    <cellStyle name="40% - 强调文字颜色 2 2 2 2 2 2 5 2" xfId="90"/>
    <cellStyle name="60% - 强调文字颜色 5 2 5 3 2" xfId="91"/>
    <cellStyle name="差 2 3 4 3 2 2" xfId="92"/>
    <cellStyle name="解释性文本 2 2 2 3 2" xfId="93"/>
    <cellStyle name="注释 2 2 8" xfId="94"/>
    <cellStyle name="计算 2 2 3 4 5 2" xfId="95"/>
    <cellStyle name="标题 5 2 2 2 2 3 3" xfId="96"/>
    <cellStyle name="60% - 强调文字颜色 1 4 2 2" xfId="97"/>
    <cellStyle name="输出 2 2 3 2 2 2" xfId="98"/>
    <cellStyle name="常规 7 3 3 3 2" xfId="99"/>
    <cellStyle name="注释 2 2 3 3 2 2 2 2 2" xfId="100"/>
    <cellStyle name="60% - 强调文字颜色 3" xfId="101" builtinId="40"/>
    <cellStyle name="20% - 强调文字颜色 1 2 2 3 3 2 2" xfId="102"/>
    <cellStyle name="计算 2 2 6 3 2 2 3" xfId="103"/>
    <cellStyle name="好 4 2 2 3" xfId="104"/>
    <cellStyle name="常规 12 2 3" xfId="105"/>
    <cellStyle name="常规 4 13" xfId="106"/>
    <cellStyle name="输入 2 6 2 2 2 2 2 2" xfId="107"/>
    <cellStyle name="汇总 2 2 2 9 3" xfId="108"/>
    <cellStyle name="汇总 2 4 3 5 2 2" xfId="109"/>
    <cellStyle name="注释 2 6 3 3" xfId="110"/>
    <cellStyle name="输入 2 2 4 2 2 2 6" xfId="111"/>
    <cellStyle name="标题 2 3 3 2 3" xfId="112"/>
    <cellStyle name="输出 2 5 2 4 2" xfId="113"/>
    <cellStyle name="解释性文本 2 4 3 2 2" xfId="114"/>
    <cellStyle name="强调文字颜色 4 2 2 6 3 2" xfId="115"/>
    <cellStyle name="计算 2 7 3 2 4 2" xfId="116"/>
    <cellStyle name="计算 2 5 2 6 5" xfId="117"/>
    <cellStyle name="输入 2 2 6 3 2 5" xfId="118"/>
    <cellStyle name="20% - 强调文字颜色 2 2 3 3 5" xfId="119"/>
    <cellStyle name="超链接" xfId="120" builtinId="8"/>
    <cellStyle name="计算 2 2 4 2 2 2 3 3" xfId="121"/>
    <cellStyle name="汇总 2 5 3 6 2" xfId="122"/>
    <cellStyle name="计算 2 6 3 5 2 2" xfId="123"/>
    <cellStyle name="强调文字颜色 6 2 6 2 3" xfId="124"/>
    <cellStyle name="汇总 2 2 4 11 2 2" xfId="125"/>
    <cellStyle name="百分比" xfId="126" builtinId="5"/>
    <cellStyle name="适中 2 4 2" xfId="127"/>
    <cellStyle name="已访问的超链接" xfId="128" builtinId="9"/>
    <cellStyle name="注释 3 2 2 2 2 2" xfId="129"/>
    <cellStyle name="计算 2 7 3 2 2 3" xfId="130"/>
    <cellStyle name="60% - 强调文字颜色 4 2 4 2 2 2 2" xfId="131"/>
    <cellStyle name="输出 2 5 2 2 3" xfId="132"/>
    <cellStyle name="40% - 强调文字颜色 2 3 3 4" xfId="133"/>
    <cellStyle name="汇总 2 2 4 2 11 2 2" xfId="134"/>
    <cellStyle name="注释" xfId="135" builtinId="10"/>
    <cellStyle name="标题 5 2 2 4 3 2 2" xfId="136"/>
    <cellStyle name="60% - 强调文字颜色 2" xfId="137" builtinId="36"/>
    <cellStyle name="强调文字颜色 1 2 3 2 3 3 2 2" xfId="138"/>
    <cellStyle name="计算 2 2 4 2 5 4" xfId="139"/>
    <cellStyle name="60% - 强调文字颜色 2 2 2 4" xfId="140"/>
    <cellStyle name="计算 2 10 4" xfId="141"/>
    <cellStyle name="注释 3 3 3 2 2" xfId="142"/>
    <cellStyle name="常规 9 4 4 2" xfId="143"/>
    <cellStyle name="常规 13 2 3 2 2 2" xfId="144"/>
    <cellStyle name="标题 4" xfId="145" builtinId="19"/>
    <cellStyle name="汇总 2 5 5 2 3" xfId="146"/>
    <cellStyle name="输出 2 3 2 2 5" xfId="147"/>
    <cellStyle name="20% - 强调文字颜色 5 2 2 3 4 2 2 2" xfId="148"/>
    <cellStyle name="20% - 强调文字颜色 5 3 6" xfId="149"/>
    <cellStyle name="标题 1 5 2 2 2" xfId="150"/>
    <cellStyle name="汇总 2 7 8" xfId="151"/>
    <cellStyle name="计算 2 5 2 3 5 2" xfId="152"/>
    <cellStyle name="常规 3 3 7 2 4" xfId="153"/>
    <cellStyle name="常规 12 3 5 2 2" xfId="154"/>
    <cellStyle name="强调文字颜色 1 2 3 4" xfId="155"/>
    <cellStyle name="注释 2 2 2 2 10" xfId="156"/>
    <cellStyle name="差 2 2 2 2 3 3 3" xfId="157"/>
    <cellStyle name="警告文本" xfId="158" builtinId="11"/>
    <cellStyle name="常规 4 4 3" xfId="159"/>
    <cellStyle name="输入 5 3 3" xfId="160"/>
    <cellStyle name="注释 5" xfId="161"/>
    <cellStyle name="计算 2 5 2 3 2 3 2" xfId="162"/>
    <cellStyle name="输入 2 5 2 3 2 5" xfId="163"/>
    <cellStyle name="计算 2 2 4 3 8" xfId="164"/>
    <cellStyle name="60% - 强调文字颜色 2 3 5" xfId="165"/>
    <cellStyle name="汇总 2 5 2 6 3 3" xfId="166"/>
    <cellStyle name="标题 3 2 4 3 4" xfId="167"/>
    <cellStyle name="标题" xfId="168" builtinId="15"/>
    <cellStyle name="汇总 2 2 4 2 2 3 2 2 2" xfId="169"/>
    <cellStyle name="20% - 强调文字颜色 5 2 3 4 2 2" xfId="170"/>
    <cellStyle name="标题 4 5 2 2 3" xfId="171"/>
    <cellStyle name="输出 2 2 5 3 2 4" xfId="172"/>
    <cellStyle name="汇总 2 2 7 8 2" xfId="173"/>
    <cellStyle name="强调文字颜色 6 2 2 2 4 3 3" xfId="174"/>
    <cellStyle name="适中 2 7 3" xfId="175"/>
    <cellStyle name="解释性文本" xfId="176" builtinId="53"/>
    <cellStyle name="汇总 4 3 2 2 2" xfId="177"/>
    <cellStyle name="汇总 2 2 4 2 3 3 3 2" xfId="178"/>
    <cellStyle name="注释 2 6 4 5" xfId="179"/>
    <cellStyle name="常规 2 2 9 2" xfId="180"/>
    <cellStyle name="计算 2 2 4 2 4 2 7" xfId="181"/>
    <cellStyle name="计算 2 3 2 4 5" xfId="182"/>
    <cellStyle name="标题 1" xfId="183" builtinId="16"/>
    <cellStyle name="标题 2" xfId="184" builtinId="17"/>
    <cellStyle name="注释 2 2 4 4 2 2 2 2" xfId="185"/>
    <cellStyle name="60% - 强调文字颜色 1" xfId="186" builtinId="32"/>
    <cellStyle name="汇总 3 3 6 2 2" xfId="187"/>
    <cellStyle name="强调文字颜色 5 2 4 6" xfId="188"/>
    <cellStyle name="汇总 2 6 3 3 2" xfId="189"/>
    <cellStyle name="常规 9 7 2" xfId="190"/>
    <cellStyle name="20% - 强调文字颜色 5 2 3 3" xfId="191"/>
    <cellStyle name="汇总 2 6 5 3" xfId="192"/>
    <cellStyle name="计算 2 2 4 3 3 4" xfId="193"/>
    <cellStyle name="常规 9 5 2 2" xfId="194"/>
    <cellStyle name="40% - 强调文字颜色 1 6 2 2" xfId="195"/>
    <cellStyle name="常规 4 2 5 3 2 2" xfId="196"/>
    <cellStyle name="说明文本 2 3" xfId="197"/>
    <cellStyle name="计算 2 2 4 2 3 3 2" xfId="198"/>
    <cellStyle name="标题 3" xfId="199" builtinId="18"/>
    <cellStyle name="输出 2 3 2 2 4" xfId="200"/>
    <cellStyle name="好 2 2 2 2 3 2 2 2" xfId="201"/>
    <cellStyle name="强调文字颜色 1 2 2 2 2 4 4" xfId="202"/>
    <cellStyle name="常规 5 3 3 2 5" xfId="203"/>
    <cellStyle name="输入 2 2 6 2 2 2 2" xfId="204"/>
    <cellStyle name="汇总 2 5 7 2" xfId="205"/>
    <cellStyle name="计算 2 2 4 2 5 3" xfId="206"/>
    <cellStyle name="60% - 强调文字颜色 2 2 2 3" xfId="207"/>
    <cellStyle name="计算 2 10 3" xfId="208"/>
    <cellStyle name="适中 2 6 2" xfId="209"/>
    <cellStyle name="60% - 强调文字颜色 4" xfId="210" builtinId="44"/>
    <cellStyle name="常规 8 2 2 3 2 2 2" xfId="211"/>
    <cellStyle name="20% - 强调文字颜色 5 2 2 2 2 4 3 2 2" xfId="212"/>
    <cellStyle name="输出" xfId="213" builtinId="21"/>
    <cellStyle name="计算 2 7 2 2 2 4 2" xfId="214"/>
    <cellStyle name="差 2 2 2 3 2 2 2 2 2" xfId="215"/>
    <cellStyle name="汇总 2 2 2 4 2 5 2" xfId="216"/>
    <cellStyle name="20% - 强调文字颜色 3 2 9 2" xfId="217"/>
    <cellStyle name="计算 2 2 2 2 5" xfId="218"/>
    <cellStyle name="汇总 2 2 9 3 3" xfId="219"/>
    <cellStyle name="注释 2 5 3 4 2 2" xfId="220"/>
    <cellStyle name="标题 1 2 2 4 2 3 3" xfId="221"/>
    <cellStyle name="计算" xfId="222" builtinId="22"/>
    <cellStyle name="常规 5 6 3 2" xfId="223"/>
    <cellStyle name="强调文字颜色 3 2 3 3 4" xfId="224"/>
    <cellStyle name="计算 2 3 3 2 3 3" xfId="225"/>
    <cellStyle name="输入 2 2 4 2 8 3" xfId="226"/>
    <cellStyle name="输出 2 4 11" xfId="227"/>
    <cellStyle name="差 2 2 7" xfId="228"/>
    <cellStyle name="链接单元格 3 4 3" xfId="229"/>
    <cellStyle name="汇总 2 2 4 4 2 3 2" xfId="230"/>
    <cellStyle name="汇总 2 5 2 3 3 4" xfId="231"/>
    <cellStyle name="检查单元格" xfId="232" builtinId="23"/>
    <cellStyle name="汇总 3 6 2" xfId="233"/>
    <cellStyle name="注释 2 3 3 4 3" xfId="234"/>
    <cellStyle name="汇总 2 2 4 2 3 6" xfId="235"/>
    <cellStyle name="60% - 强调文字颜色 6 2 2 2 8" xfId="236"/>
    <cellStyle name="40% - 强调文字颜色 3 3 3 3 2" xfId="237"/>
    <cellStyle name="输出 2 6 2 2 2 2" xfId="238"/>
    <cellStyle name="汇总 2 4 2 9 2" xfId="239"/>
    <cellStyle name="标题 5 3 4" xfId="240"/>
    <cellStyle name="输入 2 2 5 8 2" xfId="241"/>
    <cellStyle name="20% - 强调文字颜色 6" xfId="242" builtinId="50"/>
    <cellStyle name="计算 2 4 2 2 2 5 2" xfId="243"/>
    <cellStyle name="常规 5 2 4 2 4 2" xfId="244"/>
    <cellStyle name="输出 2 2 4 3 3" xfId="245"/>
    <cellStyle name="60% - 强调文字颜色 5 2 4 3 2 2" xfId="246"/>
    <cellStyle name="计算 2 2 4 5 6" xfId="247"/>
    <cellStyle name="汇总 2 2 3 11" xfId="248"/>
    <cellStyle name="计算 2 2 9 3 3" xfId="249"/>
    <cellStyle name="输出 2 3 2 12" xfId="250"/>
    <cellStyle name="常规 5 3 2 6 3" xfId="251"/>
    <cellStyle name="计算 2 7 2 2 6" xfId="252"/>
    <cellStyle name="输入 2 5 2 2 2 2 2 2" xfId="253"/>
    <cellStyle name="计算 2 9 5 3" xfId="254"/>
    <cellStyle name="计算 2 2 8 2 3 2" xfId="255"/>
    <cellStyle name="输入 2 2 4 2 4 5" xfId="256"/>
    <cellStyle name="常规 5 2 5 3 4" xfId="257"/>
    <cellStyle name="超链接 2 2 2 2 2 2 3" xfId="258"/>
    <cellStyle name="解释性文本 2 2 2 4 2" xfId="259"/>
    <cellStyle name="40% - 强调文字颜色 1 2 9" xfId="260"/>
    <cellStyle name="解释性文本 2 2 5 3" xfId="261"/>
    <cellStyle name="强调文字颜色 2" xfId="262" builtinId="33"/>
    <cellStyle name="标题 5 2 3 4 2 2 2" xfId="263"/>
    <cellStyle name="输出 2 3 4 5" xfId="264"/>
    <cellStyle name="常规 2 2 2 5" xfId="265"/>
    <cellStyle name="汇总 2 2 2 3 8" xfId="266"/>
    <cellStyle name="标题 3 4 3 2" xfId="267"/>
    <cellStyle name="计算 2 2 8 5 2" xfId="268"/>
    <cellStyle name="60% - 强调文字颜色 3 2 2 7 2 2" xfId="269"/>
    <cellStyle name="输出 3 9 2" xfId="270"/>
    <cellStyle name="强调文字颜色 6 2 2 2 3 3" xfId="271"/>
    <cellStyle name="链接单元格" xfId="272" builtinId="24"/>
    <cellStyle name="注释 2 3" xfId="273"/>
    <cellStyle name="汇总 2 6 7 2" xfId="274"/>
    <cellStyle name="常规 4 2 3 2 2 3 3" xfId="275"/>
    <cellStyle name="汇总 2 4 2 3 3 3" xfId="276"/>
    <cellStyle name="60% - 强调文字颜色 6 6 2 2 2" xfId="277"/>
    <cellStyle name="输入 2 3 6" xfId="278"/>
    <cellStyle name="计算 2 9 3 2 3" xfId="279"/>
    <cellStyle name="差 2 3 5 2 2 3" xfId="280"/>
    <cellStyle name="好 2 2 2 2 3 3 2 2" xfId="281"/>
    <cellStyle name="计算 2 2 4 2 3 2 2 2" xfId="282"/>
    <cellStyle name="汇总 2 2 4 14" xfId="283"/>
    <cellStyle name="20% - 强调文字颜色 3 2 3 2 2 5 2 2" xfId="284"/>
    <cellStyle name="Normal 2 3 2 2" xfId="285"/>
    <cellStyle name="汇总" xfId="286" builtinId="25"/>
    <cellStyle name="适中 2 2 3 2 2 2 2" xfId="287"/>
    <cellStyle name="强调文字颜色 3 2 2 2 2 3 3" xfId="288"/>
    <cellStyle name="60% - 强调文字颜色 5 2 2 3 5" xfId="289"/>
    <cellStyle name="适中 2 5" xfId="290"/>
    <cellStyle name="计算 2 4 2 2 4 2 2" xfId="291"/>
    <cellStyle name="40% - 强调文字颜色 6 5" xfId="292"/>
    <cellStyle name="好 3 6" xfId="293"/>
    <cellStyle name="输入 2 2 2 3 5 3" xfId="294"/>
    <cellStyle name="好" xfId="295" builtinId="26"/>
    <cellStyle name="差 2 3 2" xfId="296"/>
    <cellStyle name="60% - 强调文字颜色 6 2 2 2 2 2" xfId="297"/>
    <cellStyle name="超链接 2 3 8" xfId="298"/>
    <cellStyle name="汇总 2 2 5 4 2 4 2 2" xfId="299"/>
    <cellStyle name="计算 2 5 3 2 3 2" xfId="300"/>
    <cellStyle name="强调文字颜色 5 2 3 3 3" xfId="301"/>
    <cellStyle name="常规 5 6 6" xfId="302"/>
    <cellStyle name="汇总 2 7 2 4" xfId="303"/>
    <cellStyle name="常规 4 3 4 6" xfId="304"/>
    <cellStyle name="40% - 强调文字颜色 6 2 2 2 6" xfId="305"/>
    <cellStyle name="强调文字颜色 3 2 2 4 3 2" xfId="306"/>
    <cellStyle name="汇总 2 2 5 2 2 3 3 2 2" xfId="307"/>
    <cellStyle name="汇总 2 2 4 7" xfId="308"/>
    <cellStyle name="强调文字颜色 4 2 2 2 2 4" xfId="309"/>
    <cellStyle name="强调文字颜色 5 2 3 2 2 2" xfId="310"/>
    <cellStyle name="强调文字颜色 3 2 2 5 4" xfId="311"/>
    <cellStyle name="常规 4 3 3 5 2" xfId="312"/>
    <cellStyle name="汇总 2 2 2 2 2 2 3" xfId="313"/>
    <cellStyle name="汇总 2 2 3 6 2" xfId="314"/>
    <cellStyle name="差 3 4" xfId="315"/>
    <cellStyle name="注释 2 2 3 2 2 4 2 2" xfId="316"/>
    <cellStyle name="警告文本 2 2 2 6 2" xfId="317"/>
    <cellStyle name="超链接 3 3 3 2 2 2" xfId="318"/>
    <cellStyle name="输入 2 7 4 2 2 2" xfId="319"/>
    <cellStyle name="适中" xfId="320" builtinId="28"/>
    <cellStyle name="注释 2 3 5 3" xfId="321"/>
    <cellStyle name="汇总 2 4 3 2 4 2" xfId="322"/>
    <cellStyle name="输出 3 3" xfId="323"/>
    <cellStyle name="强调文字颜色 1 2 2 2 2 5 2 2" xfId="324"/>
    <cellStyle name="汇总 2 3 4 2 2 2 2" xfId="325"/>
    <cellStyle name="输入 2 2 4 2 4 2 3" xfId="326"/>
    <cellStyle name="计算 2 4 2 2 3 2 2 2" xfId="327"/>
    <cellStyle name="注释 5 3 2 2" xfId="328"/>
    <cellStyle name="强调文字颜色 6 2 2 4 3" xfId="329"/>
    <cellStyle name="20% - 强调文字颜色 5" xfId="330" builtinId="46"/>
    <cellStyle name="汇总 2 6 13" xfId="331"/>
    <cellStyle name="常规 2 3 2 2 3 2 2 2" xfId="332"/>
    <cellStyle name="超链接 2 5 2 3 2" xfId="333"/>
    <cellStyle name="常规 12 2 2 5 2" xfId="334"/>
    <cellStyle name="汇总 2 4 2 5 3" xfId="335"/>
    <cellStyle name="好 2 2 3 2 2 2 2 2" xfId="336"/>
    <cellStyle name="计算 2 2 6 11 2" xfId="337"/>
    <cellStyle name="计算 2 9 5 2" xfId="338"/>
    <cellStyle name="常规 8 2" xfId="339"/>
    <cellStyle name="链接单元格 2 2 3 5 3" xfId="340"/>
    <cellStyle name="输出 4 7 2" xfId="341"/>
    <cellStyle name="注释 2 3 2 2 3" xfId="342"/>
    <cellStyle name="解释性文本 2 2 5 2" xfId="343"/>
    <cellStyle name="强调文字颜色 1" xfId="344" builtinId="29"/>
    <cellStyle name="60% - 强调文字颜色 5 2 8 2" xfId="345"/>
    <cellStyle name="输出 2 3 4 4" xfId="346"/>
    <cellStyle name="常规 2 2 2 4" xfId="347"/>
    <cellStyle name="汇总 2 2 2 3 7" xfId="348"/>
    <cellStyle name="汇总 2 4 2" xfId="349"/>
    <cellStyle name="汇总 2 3 4 4 3" xfId="350"/>
    <cellStyle name="输入 2 2 8 6" xfId="351"/>
    <cellStyle name="计算 2 7 10" xfId="352"/>
    <cellStyle name="检查单元格 3 2" xfId="353"/>
    <cellStyle name="警告文本 2 2 4 3 2 2" xfId="354"/>
    <cellStyle name="检查单元格 2 4 4 3" xfId="355"/>
    <cellStyle name="计算 2 2 4 2 3 2 7" xfId="356"/>
    <cellStyle name="20% - 强调文字颜色 1" xfId="357" builtinId="30"/>
    <cellStyle name="注释 2 5 4 5" xfId="358"/>
    <cellStyle name="40% - 强调文字颜色 1 3 3 2 2 2 2" xfId="359"/>
    <cellStyle name="超链接 2 2 2 4" xfId="360"/>
    <cellStyle name="差 2 5 3 2" xfId="361"/>
    <cellStyle name="常规 9 2 3 2 2 2 2" xfId="362"/>
    <cellStyle name="常规 11 3 5" xfId="363"/>
    <cellStyle name="20% - 强调文字颜色 5 2 2 2 4 2" xfId="364"/>
    <cellStyle name="40% - 强调文字颜色 1 2 3 7 2" xfId="365"/>
    <cellStyle name="汇总 2 6 4 2 4 2" xfId="366"/>
    <cellStyle name="链接单元格 2 2 3 6" xfId="367"/>
    <cellStyle name="注释 2 2 3 2 4 3 2" xfId="368"/>
    <cellStyle name="40% - 强调文字颜色 1" xfId="369" builtinId="31"/>
    <cellStyle name="计算 2 6 2 4 2" xfId="370"/>
    <cellStyle name="汇总 2 4 2 6" xfId="371"/>
    <cellStyle name="输入 2 4 4 3 3" xfId="372"/>
    <cellStyle name="标题 5 4" xfId="373"/>
    <cellStyle name="60% - 强调文字颜色 6 2 3 5 2 2 2" xfId="374"/>
    <cellStyle name="20% - 强调文字颜色 2" xfId="375" builtinId="34"/>
    <cellStyle name="计算 2 2 2 2 5 2" xfId="376"/>
    <cellStyle name="汇总 2 2 9 3 3 2" xfId="377"/>
    <cellStyle name="注释 2 5 4 6" xfId="378"/>
    <cellStyle name="汇总 2 6 10" xfId="379"/>
    <cellStyle name="链接单元格 2 2 3 7" xfId="380"/>
    <cellStyle name="40% - 强调文字颜色 2" xfId="381" builtinId="35"/>
    <cellStyle name="常规 11 4 2 5" xfId="382"/>
    <cellStyle name="汇总 3 4" xfId="383"/>
    <cellStyle name="40% - 强调文字颜色 1 2 3 6 2 2 2" xfId="384"/>
    <cellStyle name="20% - 强调文字颜色 5 2 2 2 3 2 2 2" xfId="385"/>
    <cellStyle name="常规 5 2 5 5" xfId="386"/>
    <cellStyle name="汇总 2 2 5 4 2" xfId="387"/>
    <cellStyle name="差 2 2 8 3" xfId="388"/>
    <cellStyle name="强调文字颜色 5 3 2 4 2" xfId="389"/>
    <cellStyle name="解释性文本 2 2 5 4" xfId="390"/>
    <cellStyle name="强调文字颜色 3" xfId="391" builtinId="37"/>
    <cellStyle name="20% - 强调文字颜色 1 2 3 3 2 2 2" xfId="392"/>
    <cellStyle name="40% - 强调文字颜色 4 2 3 4" xfId="393"/>
    <cellStyle name="适中 2 3 2 4 2 2 2" xfId="394"/>
    <cellStyle name="汇总 2 2 2 3 9" xfId="395"/>
    <cellStyle name="常规 8 5 3 2 2" xfId="396"/>
    <cellStyle name="注释 2 2 11 2 2" xfId="397"/>
    <cellStyle name="常规 4 2 4 3 3 2 2" xfId="398"/>
    <cellStyle name="计算 2 7 6 2 3" xfId="399"/>
    <cellStyle name="输出 2 8 2 3" xfId="400"/>
    <cellStyle name="强调文字颜色 4" xfId="401" builtinId="41"/>
    <cellStyle name="常规 2 2 2 7" xfId="402"/>
    <cellStyle name="输出 2 3 4 7" xfId="403"/>
    <cellStyle name="计算 2 2 8 5 4" xfId="404"/>
    <cellStyle name="20% - 强调文字颜色 1 2 2 6 3 2" xfId="405"/>
    <cellStyle name="强调文字颜色 6 2 3 2 3 2 2" xfId="406"/>
    <cellStyle name="解释性文本 2 7 3 2" xfId="407"/>
    <cellStyle name="输出 2 8 2 4" xfId="408"/>
    <cellStyle name="输入 2 2 4 3 2 4 2 2" xfId="409"/>
    <cellStyle name="常规 9 3 3 4 2" xfId="410"/>
    <cellStyle name="输出 2 4 3 2 3 2" xfId="411"/>
    <cellStyle name="汇总 2 12 3 3" xfId="412"/>
    <cellStyle name="20% - 强调文字颜色 4" xfId="413" builtinId="42"/>
    <cellStyle name="计算 2 2 4 5 4" xfId="414"/>
    <cellStyle name="20% - 强调文字颜色 1 2 2 2 3 2" xfId="415"/>
    <cellStyle name="注释 2 2 5 4 2 2 2" xfId="416"/>
    <cellStyle name="常规 4 5 2 4 2" xfId="417"/>
    <cellStyle name="常规 7 4 4 2" xfId="418"/>
    <cellStyle name="注释 2 2 5 11" xfId="419"/>
    <cellStyle name="常规 4 2 3 2 4 2" xfId="420"/>
    <cellStyle name="输出 2 4 2 4" xfId="421"/>
    <cellStyle name="60% - 强调文字颜色 5 3 6 2" xfId="422"/>
    <cellStyle name="解释性文本 2 3 3 2" xfId="423"/>
    <cellStyle name="计算 2 7 2 2 4" xfId="424"/>
    <cellStyle name="输出 2 6 2 2 2" xfId="425"/>
    <cellStyle name="检查单元格 2 2 7 3" xfId="426"/>
    <cellStyle name="40% - 强调文字颜色 4" xfId="427" builtinId="43"/>
    <cellStyle name="差 2 3 2 6 2 2" xfId="428"/>
    <cellStyle name="好 6 2 2" xfId="429"/>
    <cellStyle name="汇总 2 2 5 4 4" xfId="430"/>
    <cellStyle name="20% - 强调文字颜色 2 2 2 2 2 2 2" xfId="431"/>
    <cellStyle name="常规 5 2 3 2 3 2 2" xfId="432"/>
    <cellStyle name="常规 4 2 2 2 3 4 2" xfId="433"/>
    <cellStyle name="40% - 强调文字颜色 4 2 3 6" xfId="434"/>
    <cellStyle name="标题 1 2 3 5 2 2" xfId="435"/>
    <cellStyle name="输出 2 2 8 3 2" xfId="436"/>
    <cellStyle name="计算 2 4 4 2 2" xfId="437"/>
    <cellStyle name="强调文字颜色 5" xfId="438" builtinId="45"/>
    <cellStyle name="强调文字颜色 6 2 3 2 3 2 3" xfId="439"/>
    <cellStyle name="解释性文本 2 7 3 3" xfId="440"/>
    <cellStyle name="输出 2 8 2 5" xfId="441"/>
    <cellStyle name="汇总 2 2 4 3 3 2 2 2" xfId="442"/>
    <cellStyle name="60% - 强调文字颜色 6 2 3 2 4 2 2" xfId="443"/>
    <cellStyle name="输出 2 4 3 2 3 3" xfId="444"/>
    <cellStyle name="计算 2 2 5 4 2 5 2" xfId="445"/>
    <cellStyle name="警告文本 2 4 5" xfId="446"/>
    <cellStyle name="链接单元格 2 2 7" xfId="447"/>
    <cellStyle name="强调文字颜色 5 5 3" xfId="448"/>
    <cellStyle name="60% - 强调文字颜色 4 2 4 3 2 2 2" xfId="449"/>
    <cellStyle name="40% - 强调文字颜色 5" xfId="450" builtinId="47"/>
    <cellStyle name="20% - 强调文字颜色 1 2 3 2 3 2 2" xfId="451"/>
    <cellStyle name="40% - 强调文字颜色 3 3 3 4" xfId="452"/>
    <cellStyle name="输出 2 6 2 2 3" xfId="453"/>
    <cellStyle name="适中 2 3 2 3 3 2 2" xfId="454"/>
    <cellStyle name="好 6 2 3" xfId="455"/>
    <cellStyle name="20% - 强调文字颜色 2 2 2 2 5 2" xfId="456"/>
    <cellStyle name="计算 2 3 3 4" xfId="457"/>
    <cellStyle name="标题 1 2 2 4 4" xfId="458"/>
    <cellStyle name="强调文字颜色 6 2 2 9" xfId="459"/>
    <cellStyle name="计算 3 3 6" xfId="460"/>
    <cellStyle name="输出 2 2 2 2 5 2" xfId="461"/>
    <cellStyle name="常规 13 3 3 3 3" xfId="462"/>
    <cellStyle name="输入 3 4 3 2" xfId="463"/>
    <cellStyle name="适中 3 2 2 2 2" xfId="464"/>
    <cellStyle name="检查单元格 2 2 2 5 2 2 2" xfId="465"/>
    <cellStyle name="适中 2 6 3" xfId="466"/>
    <cellStyle name="60% - 强调文字颜色 5" xfId="467" builtinId="48"/>
    <cellStyle name="60% - 强调文字颜色 5 2 2 4 2 2 2 2" xfId="468"/>
    <cellStyle name="汇总 2 7 5 4 2" xfId="469"/>
    <cellStyle name="解释性文本 2 2 2 2 2 2 3" xfId="470"/>
    <cellStyle name="计算 2 2 2 2 11" xfId="471"/>
    <cellStyle name="常规 2 2 8 2" xfId="472"/>
    <cellStyle name="输出 2 2 8 3 3" xfId="473"/>
    <cellStyle name="计算 2 4 4 2 3" xfId="474"/>
    <cellStyle name="强调文字颜色 6" xfId="475" builtinId="49"/>
    <cellStyle name="汇总 2 2 5 3 3 4 2" xfId="476"/>
    <cellStyle name="常规 3 2 6 2" xfId="477"/>
    <cellStyle name="输出 3 2 2 5 2 2" xfId="478"/>
    <cellStyle name="40% - 强调文字颜色 6" xfId="479" builtinId="51"/>
    <cellStyle name="输出 2 4 2 3 3 2" xfId="480"/>
    <cellStyle name="20% - 强调文字颜色 3 2 2 2 7 2" xfId="481"/>
    <cellStyle name="适中 2 6 4" xfId="482"/>
    <cellStyle name="60% - 强调文字颜色 6" xfId="483" builtinId="52"/>
    <cellStyle name="60% - 强调文字颜色 2 4 2 2 2 2" xfId="484"/>
    <cellStyle name="输出 2 2 4 2 2 2 2 2" xfId="485"/>
    <cellStyle name="输出 2 7 5" xfId="486"/>
    <cellStyle name="常规 2 6 3" xfId="487"/>
    <cellStyle name="标题 1 4 2 3 2" xfId="488"/>
    <cellStyle name="计算 4 3 2 2" xfId="489"/>
    <cellStyle name="输出 2 2 3 2 3 4 2" xfId="490"/>
    <cellStyle name="标题 3 3 2 3 2 3" xfId="491"/>
    <cellStyle name="注释 2 4 4 2 5" xfId="492"/>
    <cellStyle name="检查单元格 2 8" xfId="493"/>
    <cellStyle name="计算 2 6 2 2 5 2" xfId="494"/>
    <cellStyle name="常规 13 3 4 2 2" xfId="495"/>
    <cellStyle name="汇总 2 5 11" xfId="496"/>
    <cellStyle name="输入 2 5 2 5 5" xfId="497"/>
    <cellStyle name="强调文字颜色 3 2 3 4 3 3" xfId="498"/>
    <cellStyle name="60% - 强调文字颜色 4 6" xfId="499"/>
    <cellStyle name="输入 2 10 2 2" xfId="500"/>
    <cellStyle name="计算 2 5 4 2 3 3" xfId="501"/>
    <cellStyle name="60% - 强调文字颜色 5 2 2 2 2 5" xfId="502"/>
    <cellStyle name="常规 6 4 4 3 2" xfId="503"/>
    <cellStyle name="60% - 强调文字颜色 6 2 3 2 2 3" xfId="504"/>
    <cellStyle name="输入 2 2 8 2 6" xfId="505"/>
    <cellStyle name="强调文字颜色 2 2 2 6 3 2 2" xfId="506"/>
    <cellStyle name="汇总 2 2 3 5 4 2" xfId="507"/>
    <cellStyle name="输入 2 5 4 5 2 2" xfId="508"/>
    <cellStyle name="常规 9 6 2 3" xfId="509"/>
    <cellStyle name="汇总 2 6 3 2 2 3" xfId="510"/>
    <cellStyle name="常规 5 2 5 2 5" xfId="511"/>
    <cellStyle name="40% - 强调文字颜色 2 2 3 2 3 2 2 2 2" xfId="512"/>
    <cellStyle name="计算 2 2 8 2 2 3" xfId="513"/>
    <cellStyle name="汇总 2 5 4 2 2 2" xfId="514"/>
    <cellStyle name="输入 2 2 4 2 3 6" xfId="515"/>
    <cellStyle name="标题 2 2 2 2 2 5" xfId="516"/>
    <cellStyle name="标题 3 2 3 2 2 3" xfId="517"/>
    <cellStyle name="输出 2 9 4 2" xfId="518"/>
    <cellStyle name="输入 2 2 2" xfId="519"/>
    <cellStyle name="20% - 强调文字颜色 4 2 3 3 3 2" xfId="520"/>
    <cellStyle name="适中 3 2 6" xfId="521"/>
    <cellStyle name="输入 2 2 8 3 2 5" xfId="522"/>
    <cellStyle name="汇总 2 2 3 2 4 3 2 2" xfId="523"/>
    <cellStyle name="注释 2 2 3 2 4 3" xfId="524"/>
    <cellStyle name="计算 2 6 2 4" xfId="525"/>
    <cellStyle name="常规 9 3 2 4 2 2" xfId="526"/>
    <cellStyle name="解释性文本 2 6 3 2 2" xfId="527"/>
    <cellStyle name="输出 2 7 2 4 2" xfId="528"/>
    <cellStyle name="注释 2 2 2 2 2 3 3" xfId="529"/>
    <cellStyle name="常规 13 6" xfId="530"/>
    <cellStyle name="汇总 3 6 3" xfId="531"/>
    <cellStyle name="60% - 强调文字颜色 1 2 5 3 2" xfId="532"/>
    <cellStyle name="40% - 强调文字颜色 1 2 2 3 4 3" xfId="533"/>
    <cellStyle name="注释 2 7 7" xfId="534"/>
    <cellStyle name="计算 2 3 3 3 3" xfId="535"/>
    <cellStyle name="注释 2 4 3 3 2 2" xfId="536"/>
    <cellStyle name="汇总 2 2 5 2 2 5 2" xfId="537"/>
    <cellStyle name="输入 2 2 3 2 3 2" xfId="538"/>
    <cellStyle name="输出 2 2 5 4 2 2" xfId="539"/>
    <cellStyle name="强调文字颜色 3 2 2 3 3 4" xfId="540"/>
    <cellStyle name="标题 2 2 5 2" xfId="541"/>
    <cellStyle name="强调文字颜色 4 2 3 3 3 2" xfId="542"/>
    <cellStyle name="输入 2 2 3 2 2 2 2 3" xfId="543"/>
    <cellStyle name="计算 2 4 3 2 3 2 2" xfId="544"/>
    <cellStyle name="40% - 强调文字颜色 1 2 2 2 2 4 2 2 2" xfId="545"/>
    <cellStyle name="常规 9 4 5" xfId="546"/>
    <cellStyle name="注释 2 2 3 2 12" xfId="547"/>
    <cellStyle name="输入 2 4 2 2" xfId="548"/>
    <cellStyle name="标题 5 2 2 3" xfId="549"/>
    <cellStyle name="输入 2 2 8 3 4" xfId="550"/>
    <cellStyle name="计算 2 7 2 8" xfId="551"/>
    <cellStyle name="常规 3 3 7 2 2 2" xfId="552"/>
    <cellStyle name="汇总 2 7 6 2" xfId="553"/>
    <cellStyle name="说明文本 2 2 2" xfId="554"/>
    <cellStyle name="链接单元格 2 2 3 4 2 3" xfId="555"/>
    <cellStyle name="标题 2 2 2 2 4" xfId="556"/>
    <cellStyle name="汇总 2 4 2 4 2 3" xfId="557"/>
    <cellStyle name="输入 3 2 6" xfId="558"/>
    <cellStyle name="汇总 2 2 8 5" xfId="559"/>
    <cellStyle name="计算 2 8 2 2 2 2 2" xfId="560"/>
    <cellStyle name="20% - 强调文字颜色 5 2 3 2 4 3 2 2" xfId="561"/>
    <cellStyle name="汇总 2 2 4 5 2 3" xfId="562"/>
    <cellStyle name="汇总 2 2 6 4 4" xfId="563"/>
    <cellStyle name="计算 2 5 4 2 4 3" xfId="564"/>
    <cellStyle name="常规 5 2 2 4 2 5" xfId="565"/>
    <cellStyle name="20% - 强调文字颜色 3 2 7 3" xfId="566"/>
    <cellStyle name="标题 6 5 2" xfId="567"/>
    <cellStyle name="标题 5 2 3 4 2" xfId="568"/>
    <cellStyle name="解释性文本 2 2 4 3 2 3" xfId="569"/>
    <cellStyle name="60% - 强调文字颜色 2 4 2 4 2" xfId="570"/>
    <cellStyle name="输出 2 2 2 4" xfId="571"/>
    <cellStyle name="汇总 2 2 6 10 2 2" xfId="572"/>
    <cellStyle name="注释 2 3 2 3 2 3" xfId="573"/>
    <cellStyle name="计算 2 8 4 3 2 2" xfId="574"/>
    <cellStyle name="汇总 3 2 4 2" xfId="575"/>
    <cellStyle name="解释性文本 2 2 2 4 2 2" xfId="576"/>
    <cellStyle name="标题 4 2 4 2 2" xfId="577"/>
    <cellStyle name="20% - 强调文字颜色 3 2 2 2 2 2 3" xfId="578"/>
    <cellStyle name="强调文字颜色 5 2 5" xfId="579"/>
    <cellStyle name="输出 6 2" xfId="580"/>
    <cellStyle name="计算 2 8 3 2 6" xfId="581"/>
    <cellStyle name="标题 1 3 2 2 4 2" xfId="582"/>
    <cellStyle name="汇总 2 2 7 2 3 3" xfId="583"/>
    <cellStyle name="计算 2 6 4 2 4 3" xfId="584"/>
    <cellStyle name="计算 2 8 3 2 2 2 2" xfId="585"/>
    <cellStyle name="好 3 2 4 3" xfId="586"/>
    <cellStyle name="输入 3 2 2 5 3" xfId="587"/>
    <cellStyle name="汇总 2 6 2 3 4 2 2" xfId="588"/>
    <cellStyle name="计算 2 2 4 2 3 6 2 2" xfId="589"/>
    <cellStyle name="计算 2 2 8 3 2 4 2" xfId="590"/>
    <cellStyle name="输出 2 4 4 5 3" xfId="591"/>
    <cellStyle name="汇总 3 4 3 3" xfId="592"/>
    <cellStyle name="汇总 2 2 3 4 2" xfId="593"/>
    <cellStyle name="常规 11 6 3" xfId="594"/>
    <cellStyle name="标题 6 2 2 2 2 2" xfId="595"/>
    <cellStyle name="常规 7 2 2 2 4 2 2 2" xfId="596"/>
    <cellStyle name="20% - 强调文字颜色 3 2 4 3 2 2 2" xfId="597"/>
    <cellStyle name="标题 2 3 2 2 3 2 2" xfId="598"/>
    <cellStyle name="注释 2 5 3 3 2 2" xfId="599"/>
    <cellStyle name="汇总 2 2 6 2 2 5 2" xfId="600"/>
    <cellStyle name="计算 3 3 3 3 3" xfId="601"/>
    <cellStyle name="常规 4 3 3 3 2" xfId="602"/>
    <cellStyle name="汇总 2 5 6 3 2" xfId="603"/>
    <cellStyle name="计算 2 2 4 2 4 4 2" xfId="604"/>
    <cellStyle name="解释性文本 2 2 2 2 2 3" xfId="605"/>
    <cellStyle name="注释 2 2 3 2 3 4 2 2" xfId="606"/>
    <cellStyle name="常规 11 3 3 4 2" xfId="607"/>
    <cellStyle name="计算 2 6 3 3 4" xfId="608"/>
    <cellStyle name="计算 2 5 4 2 3 2" xfId="609"/>
    <cellStyle name="标题 4 2 2 4 5 2" xfId="610"/>
    <cellStyle name="输出 2 2 6 3" xfId="611"/>
    <cellStyle name="计算 2 4 2 2" xfId="612"/>
    <cellStyle name="标题 1 2 3 3 2" xfId="613"/>
    <cellStyle name="20% - 强调文字颜色 2 3 2 4 2 2 2" xfId="614"/>
    <cellStyle name="强调文字颜色 6 5 2" xfId="615"/>
    <cellStyle name="强调文字颜色 4 2 2 4 5 2 2" xfId="616"/>
    <cellStyle name="输出 2 4 3 3 3 2" xfId="617"/>
    <cellStyle name="常规 9 3 4 4 2" xfId="618"/>
    <cellStyle name="解释性文本 2 8 3 2" xfId="619"/>
    <cellStyle name="解释性文本 2 2 3 2 2 2 2" xfId="620"/>
    <cellStyle name="输出 2 4 2 10" xfId="621"/>
    <cellStyle name="强调文字颜色 5 2 3 3" xfId="622"/>
    <cellStyle name="输入 3 2 2 7" xfId="623"/>
    <cellStyle name="计算 2 2 4 2 2 2 2 3 3" xfId="624"/>
    <cellStyle name="强调文字颜色 6 2 3 2 4 2 2" xfId="625"/>
    <cellStyle name="注释 2 2 3 2 2 5" xfId="626"/>
    <cellStyle name="强调文字颜色 5 2 3 5 2 2" xfId="627"/>
    <cellStyle name="输出 2 2 2 10" xfId="628"/>
    <cellStyle name="输出 2 2 9 2" xfId="629"/>
    <cellStyle name="注释 2 5 2 5" xfId="630"/>
    <cellStyle name="计算 2 2 2 2 2 2 8" xfId="631"/>
    <cellStyle name="好 2 6 3" xfId="632"/>
    <cellStyle name="计算 2 2 4 2 2 8" xfId="633"/>
    <cellStyle name="输出 3 2" xfId="634"/>
    <cellStyle name="适中 2 2 3 5 3" xfId="635"/>
    <cellStyle name="计算 2 2 4 5 3 2" xfId="636"/>
    <cellStyle name="警告文本 2 2 4 3" xfId="637"/>
    <cellStyle name="汇总 2 2 3 2 7 2 2" xfId="638"/>
    <cellStyle name="强调文字颜色 5 3 2 3" xfId="639"/>
    <cellStyle name="标题 5 4 2 2 2" xfId="640"/>
    <cellStyle name="汇总 2 3 16" xfId="641"/>
    <cellStyle name="超链接 2 4 4" xfId="642"/>
    <cellStyle name="40% - 强调文字颜色 6 2 2 3 2" xfId="643"/>
    <cellStyle name="常规 4 3 5 2" xfId="644"/>
    <cellStyle name="检查单元格 2 2 2 2 5 2 2" xfId="645"/>
    <cellStyle name="输出 2 5 3 7" xfId="646"/>
    <cellStyle name="汇总 2 3 2 2 2 5 2 2" xfId="647"/>
    <cellStyle name="输入 2 2 2 2 2 2 2" xfId="648"/>
    <cellStyle name="40% - 强调文字颜色 3 2 3 2 4 2 2 2" xfId="649"/>
    <cellStyle name="输出 2 5 3 2 2" xfId="650"/>
    <cellStyle name="强调文字颜色 3 2 2 4 2 2 3" xfId="651"/>
    <cellStyle name="注释 2 2 3 6" xfId="652"/>
    <cellStyle name="计算 2 5 8 2 2" xfId="653"/>
    <cellStyle name="注释 4 2 2 3 2" xfId="654"/>
    <cellStyle name="常规 7 2 2 4 2 2" xfId="655"/>
    <cellStyle name="20% - 强调文字颜色 6 2 2 2 2 3 3 2" xfId="656"/>
    <cellStyle name="差 2 2 2 3" xfId="657"/>
    <cellStyle name="标题 5 2 2 2 4" xfId="658"/>
    <cellStyle name="差 3 9" xfId="659"/>
    <cellStyle name="注释 2 2 3 2 5 2" xfId="660"/>
    <cellStyle name="输出 2 6 2 2 3 2" xfId="661"/>
    <cellStyle name="常规 5 2 2 2 2" xfId="662"/>
    <cellStyle name="汇总 2 2 16 2 2" xfId="663"/>
    <cellStyle name="注释 2 2 6 3 2" xfId="664"/>
    <cellStyle name="汇总 2 4 2 2 3 2 2 2" xfId="665"/>
    <cellStyle name="60% - 强调文字颜色 4 3 2 3" xfId="666"/>
    <cellStyle name="计算 2 2 6 3 5 3" xfId="667"/>
    <cellStyle name="差 2 4 5" xfId="668"/>
    <cellStyle name="汇总 2 5 2 3 5 2" xfId="669"/>
    <cellStyle name="汇总 2 7 3 7" xfId="670"/>
    <cellStyle name="20% - 强调文字颜色 2 3 2 2 3 2 2" xfId="671"/>
    <cellStyle name="强调文字颜色 1 4 2 3 2" xfId="672"/>
    <cellStyle name="汇总 3 10 2" xfId="673"/>
    <cellStyle name="差 2 2 3 3 2 2" xfId="674"/>
    <cellStyle name="适中 2 2 3 3 3" xfId="675"/>
    <cellStyle name="注释 2 2 4 6 2 2" xfId="676"/>
    <cellStyle name="汇总 2 2 7 3 2 3 3" xfId="677"/>
    <cellStyle name="20% - 强调文字颜色 5 2 5 2 3 2" xfId="678"/>
    <cellStyle name="Normal 3 4" xfId="679"/>
    <cellStyle name="常规 2 3 2 2 5 2" xfId="680"/>
    <cellStyle name="汇总 2 2 4 2 6 2 2 2" xfId="681"/>
    <cellStyle name="汇总 2 12 5" xfId="682"/>
    <cellStyle name="汇总 3 3 3 2 3" xfId="683"/>
    <cellStyle name="计算 2 6 4 2 2 2 2" xfId="684"/>
    <cellStyle name="输入 2 2 4 5 2 2 3" xfId="685"/>
    <cellStyle name="标题 3 2 2 2 2 3 2 2 3" xfId="686"/>
    <cellStyle name="20% - 强调文字颜色 2 2 2 6 3" xfId="687"/>
    <cellStyle name="汇总 2 2 5 2 3 4" xfId="688"/>
    <cellStyle name="汇总 2 4 2 3 3 2 2" xfId="689"/>
    <cellStyle name="强调文字颜色 6 2 3 3 2 3" xfId="690"/>
    <cellStyle name="40% - 强调文字颜色 5 2 2 2 2 3 3 2" xfId="691"/>
    <cellStyle name="常规 6 2 2 2" xfId="692"/>
    <cellStyle name="60% - 强调文字颜色 2 3 2 2 2" xfId="693"/>
    <cellStyle name="计算 2 2 4 3 5 2 2" xfId="694"/>
    <cellStyle name="输入 2 2 6 2 8" xfId="695"/>
    <cellStyle name="好 2 7 2" xfId="696"/>
    <cellStyle name="注释 3 2 10" xfId="697"/>
    <cellStyle name="常规 4 2 3 2 2 3 2 2" xfId="698"/>
    <cellStyle name="40% - 强调文字颜色 5 6 2" xfId="699"/>
    <cellStyle name="注释 2 2 2" xfId="700"/>
    <cellStyle name="20% - 强调文字颜色 2 2 4 2" xfId="701"/>
    <cellStyle name="汇总 2 7 10 3" xfId="702"/>
    <cellStyle name="好 2 2 6 2 2" xfId="703"/>
    <cellStyle name="汇总 2 2 5 2 3 3 2 2" xfId="704"/>
    <cellStyle name="注释 2 2 2 8 3" xfId="705"/>
    <cellStyle name="40% - 强调文字颜色 3 2 2 7 2" xfId="706"/>
    <cellStyle name="百分比 2 2 2 3 2" xfId="707"/>
    <cellStyle name="解释性文本 2 3 2 2 2 2 3" xfId="708"/>
    <cellStyle name="汇总 3 2 2 6" xfId="709"/>
    <cellStyle name="输入 2 5 2 3 3" xfId="710"/>
    <cellStyle name="输出 2 5 4 5 2" xfId="711"/>
    <cellStyle name="输出 2 7 3 2 2 2" xfId="712"/>
    <cellStyle name="注释 2 2 6 2 2 3" xfId="713"/>
    <cellStyle name="强调文字颜色 6 2 2 3 2 2 2 3" xfId="714"/>
    <cellStyle name="常规 5 3 2 5" xfId="715"/>
    <cellStyle name="计算 2 2 9 2" xfId="716"/>
    <cellStyle name="强调文字颜色 5 2 2 2 2 5" xfId="717"/>
    <cellStyle name="强调文字颜色 6 2 3 2 2 3" xfId="718"/>
    <cellStyle name="链接单元格 2 2 3 3 2 2 2" xfId="719"/>
    <cellStyle name="汇总 2 4 2 3 2 2 2" xfId="720"/>
    <cellStyle name="汇总 2 3 2 2 2 2 4" xfId="721"/>
    <cellStyle name="输入 2 2 5 2" xfId="722"/>
    <cellStyle name="40% - 强调文字颜色 1 2 2 2 2 2 3 2 2 2" xfId="723"/>
    <cellStyle name="常规 7 4 2 2 2 2" xfId="724"/>
    <cellStyle name="常规 9 3 2 5" xfId="725"/>
    <cellStyle name="40% - 强调文字颜色 4 6 2" xfId="726"/>
    <cellStyle name="警告文本 2 2 2 2 4 4" xfId="727"/>
    <cellStyle name="解释性文本 2 6 4" xfId="728"/>
    <cellStyle name="输入 2 2 4 3 2 3 3" xfId="729"/>
    <cellStyle name="汇总 2 2 3 2 4 4" xfId="730"/>
    <cellStyle name="汇总 2 8 3 4 2" xfId="731"/>
    <cellStyle name="常规 6 2 2 2 5 2 2" xfId="732"/>
    <cellStyle name="输入 2 8 3 2 4" xfId="733"/>
    <cellStyle name="汇总 2 5 2 2 6" xfId="734"/>
    <cellStyle name="常规 9 11" xfId="735"/>
    <cellStyle name="输入 2 2 10 2" xfId="736"/>
    <cellStyle name="标题 3 2 2 2 4 2 2 3" xfId="737"/>
    <cellStyle name="输入 2 2 6 4 2 3" xfId="738"/>
    <cellStyle name="输出 2 2 6 2 2 3" xfId="739"/>
    <cellStyle name="强调文字颜色 6 2 2 3 3 3 2" xfId="740"/>
    <cellStyle name="强调文字颜色 2 2 2 7" xfId="741"/>
    <cellStyle name="注释 2 2 7 3 2" xfId="742"/>
    <cellStyle name="汇总 2 2 17 2 2" xfId="743"/>
    <cellStyle name="汇总 2 4 2 2 3 3 2 2" xfId="744"/>
    <cellStyle name="汇总 2 5 2 4 5 2" xfId="745"/>
    <cellStyle name="标题 3 2 2 5 3" xfId="746"/>
    <cellStyle name="60% - 强调文字颜色 4 4 2 3" xfId="747"/>
    <cellStyle name="汇总 2 3 2" xfId="748"/>
    <cellStyle name="汇总 2 3 4 3 3" xfId="749"/>
    <cellStyle name="计算 2 4 2 2 4 3" xfId="750"/>
    <cellStyle name="输出 2 2 3 2 2 2 5 2" xfId="751"/>
    <cellStyle name="40% - 强调文字颜色 1 2 2 3 4 2 2 2" xfId="752"/>
    <cellStyle name="常规 5 2 4 4 2" xfId="753"/>
    <cellStyle name="计算 3 2 6 2" xfId="754"/>
    <cellStyle name="检查单元格 2 2 4 3 3 2" xfId="755"/>
    <cellStyle name="好 2 2 3 3" xfId="756"/>
    <cellStyle name="强调文字颜色 2 4 4" xfId="757"/>
    <cellStyle name="输入 2 5 2 2 4 2 2" xfId="758"/>
    <cellStyle name="计算 2 4 2 2 3 4 2" xfId="759"/>
    <cellStyle name="超链接 2 5 3 2 3" xfId="760"/>
    <cellStyle name="汇总 2 2 3 2" xfId="761"/>
    <cellStyle name="超链接 2 4 2 2 2 2" xfId="762"/>
    <cellStyle name="计算 2 3 2 3" xfId="763"/>
    <cellStyle name="输入 2 2 3 2 3 2 2 2" xfId="764"/>
    <cellStyle name="标题 5 2 3 6 3" xfId="765"/>
    <cellStyle name="输出 2 9 2" xfId="766"/>
    <cellStyle name="计算 2 6 2 2 3 3" xfId="767"/>
    <cellStyle name="40% - 强调文字颜色 4 2 2 3 2 2 2 2" xfId="768"/>
    <cellStyle name="计算 2 2 9 5" xfId="769"/>
    <cellStyle name="60% - 强调文字颜色 3 2 2 8 2" xfId="770"/>
    <cellStyle name="计算 2 7 5 2 2" xfId="771"/>
    <cellStyle name="标题 3 5 3" xfId="772"/>
    <cellStyle name="常规 5 3 2 8" xfId="773"/>
    <cellStyle name="计算 2 2 2 5 3 2 2" xfId="774"/>
    <cellStyle name="输出 2 7 2 2" xfId="775"/>
    <cellStyle name="计算 2 2 6 13" xfId="776"/>
    <cellStyle name="输出 2 2 2 5 2" xfId="777"/>
    <cellStyle name="计算 2 9 7" xfId="778"/>
    <cellStyle name="标题 2 2 2 2 2 3 3 3" xfId="779"/>
    <cellStyle name="输出 4 9" xfId="780"/>
    <cellStyle name="计算 2 2 7 3 2 2" xfId="781"/>
    <cellStyle name="输出 2 3 2 9" xfId="782"/>
    <cellStyle name="汇总 2 2 5 3 3 2 2" xfId="783"/>
    <cellStyle name="解释性文本 2 2 3 7" xfId="784"/>
    <cellStyle name="强调文字颜色 3 2 2 2 2 2 2 2 3" xfId="785"/>
    <cellStyle name="计算 2 6 4 2 5 2" xfId="786"/>
    <cellStyle name="汇总 2 2 2 2 6 3" xfId="787"/>
    <cellStyle name="输入 2 5 3 2 4 3" xfId="788"/>
    <cellStyle name="强调文字颜色 3 2 2 7 2 2" xfId="789"/>
    <cellStyle name="20% - 强调文字颜色 2 2 8 2" xfId="790"/>
    <cellStyle name="常规 6 2 2 4 3 2" xfId="791"/>
    <cellStyle name="注释 2 2 14" xfId="792"/>
    <cellStyle name="输入 2 3 3 3" xfId="793"/>
    <cellStyle name="常规 4 2 2 2 3 2" xfId="794"/>
    <cellStyle name="汇总 2 2 4 2 2 2 2 5" xfId="795"/>
    <cellStyle name="常规 6 4 3 2" xfId="796"/>
    <cellStyle name="计算 2 6 3 2 6" xfId="797"/>
    <cellStyle name="输出 2 2 11" xfId="798"/>
    <cellStyle name="常规 5 2 3 3 4 2" xfId="799"/>
    <cellStyle name="警告文本 4 4" xfId="800"/>
    <cellStyle name="标题 1 2 2 2 2 3" xfId="801"/>
    <cellStyle name="20% - 强调文字颜色 2 2 2 3 3 2" xfId="802"/>
    <cellStyle name="检查单元格 2 3 2 5 2" xfId="803"/>
    <cellStyle name="60% - 强调文字颜色 5 2 3 4 2 2" xfId="804"/>
    <cellStyle name="检查单元格 2 2 5 2 3" xfId="805"/>
    <cellStyle name="计算 2 7 8 2" xfId="806"/>
    <cellStyle name="输出 2 2 2 3 3 2" xfId="807"/>
    <cellStyle name="计算 2 6 2 2 4 3" xfId="808"/>
    <cellStyle name="20% - 强调文字颜色 2 2 10" xfId="809"/>
    <cellStyle name="超链接 2 5 3 4" xfId="810"/>
    <cellStyle name="检查单元格 2 2 5 2 2" xfId="811"/>
    <cellStyle name="适中 2 4 4 2 3" xfId="812"/>
    <cellStyle name="注释 4 4 2 2" xfId="813"/>
    <cellStyle name="检查单元格 2 3 5 3" xfId="814"/>
    <cellStyle name="注释 2 2 7 7 2" xfId="815"/>
    <cellStyle name="40% - 强调文字颜色 5 2 2 6 2 2" xfId="816"/>
    <cellStyle name="警告文本 2 2 4 2 3 2" xfId="817"/>
    <cellStyle name="好 2 3 2 6 2 2" xfId="818"/>
    <cellStyle name="标题 4 2 2 3 4 2 2" xfId="819"/>
    <cellStyle name="强调文字颜色 5 3 2 2 3 2" xfId="820"/>
    <cellStyle name="计算 2 6 3 2 5" xfId="821"/>
    <cellStyle name="常规 13 4 4 2" xfId="822"/>
    <cellStyle name="常规 11 3 3 3 3" xfId="823"/>
    <cellStyle name="注释 5 4 3" xfId="824"/>
    <cellStyle name="60% - 强调文字颜色 6 3 2 2 4" xfId="825"/>
    <cellStyle name="汇总 2 2 5 2 3 2" xfId="826"/>
    <cellStyle name="常规 12 4 2 2 2" xfId="827"/>
    <cellStyle name="标题 1 2 2 10" xfId="828"/>
    <cellStyle name="计算 2 2 4 2 2 5" xfId="829"/>
    <cellStyle name="汇总 2 5 4 4" xfId="830"/>
    <cellStyle name="汇总 2 2 3 3 3 2" xfId="831"/>
    <cellStyle name="警告文本 2 2 2 3 3 2" xfId="832"/>
    <cellStyle name="常规 5 5 2 3 2" xfId="833"/>
    <cellStyle name="强调文字颜色 3 2 2 2 5 2" xfId="834"/>
    <cellStyle name="常规 4 3 3 2 3 2" xfId="835"/>
    <cellStyle name="适中 2 3 2 5 2" xfId="836"/>
    <cellStyle name="输出 2 2 3 5 8" xfId="837"/>
    <cellStyle name="常规 6 2 5 2 2" xfId="838"/>
    <cellStyle name="汇总 2 4 9" xfId="839"/>
    <cellStyle name="20% - 强调文字颜色 3 2 2 3 2 2 2 2 2" xfId="840"/>
    <cellStyle name="计算 2 5 2 3 2 3" xfId="841"/>
    <cellStyle name="警告文本 2 4 8" xfId="842"/>
    <cellStyle name="输出 2 2 4 2 11" xfId="843"/>
    <cellStyle name="好 2 2 3 4 3 2" xfId="844"/>
    <cellStyle name="计算 2 7 17" xfId="845"/>
    <cellStyle name="检查单元格 3 9" xfId="846"/>
    <cellStyle name="40% - 强调文字颜色 3 2 2 2 2 2 5" xfId="847"/>
    <cellStyle name="说明文本 2 3 2" xfId="848"/>
    <cellStyle name="输入 2 2 6 2 4 2 2" xfId="849"/>
    <cellStyle name="汇总 2 2 9 5" xfId="850"/>
    <cellStyle name="输入 3 3 6" xfId="851"/>
    <cellStyle name="标题 2 2 2 3 4" xfId="852"/>
    <cellStyle name="汇总 2 4 2 4 3 3" xfId="853"/>
    <cellStyle name="计算 2 2 2 2 10 2" xfId="854"/>
    <cellStyle name="输出 2 2 3 2 3 2 4" xfId="855"/>
    <cellStyle name="注释 2 6 3 4 2" xfId="856"/>
    <cellStyle name="计算 2 2 4 10 2" xfId="857"/>
    <cellStyle name="输入 2 2 8 2 7" xfId="858"/>
    <cellStyle name="常规 9 2 3 2 3 2" xfId="859"/>
    <cellStyle name="计算 2 2 5 3 2 3 2 2" xfId="860"/>
    <cellStyle name="差 2 6 3" xfId="861"/>
    <cellStyle name="注释 5 2 2" xfId="862"/>
    <cellStyle name="输入 2 4 3 6" xfId="863"/>
    <cellStyle name="强调文字颜色 4 4 4 2" xfId="864"/>
    <cellStyle name="常规 3 3 2 5 2" xfId="865"/>
    <cellStyle name="注释 2 2 4 2 2 3 2" xfId="866"/>
    <cellStyle name="计算 3 2 7 3" xfId="867"/>
    <cellStyle name="标题 1 2 2 3 5 3" xfId="868"/>
    <cellStyle name="注释 2 4 3 2 4 2" xfId="869"/>
    <cellStyle name="输出 2 2 3 5 2 2 2" xfId="870"/>
    <cellStyle name="标题 1 4 3 2" xfId="871"/>
    <cellStyle name="20% - 强调文字颜色 5 2 2 3 3 3 2" xfId="872"/>
    <cellStyle name="常规 12 2 6 2" xfId="873"/>
    <cellStyle name="标题 5 2 3 2 2 2 2" xfId="874"/>
    <cellStyle name="标题 4 2 2 2 2 4 2" xfId="875"/>
    <cellStyle name="输出 2 2 4 2 2 2 2 2 2" xfId="876"/>
    <cellStyle name="常规 16 6" xfId="877"/>
    <cellStyle name="链接单元格 2 4 2 2 2 2" xfId="878"/>
    <cellStyle name="计算 2 2 6 3 4" xfId="879"/>
    <cellStyle name="注释 2 2 3 2 7 3" xfId="880"/>
    <cellStyle name="差 2 2 3 8" xfId="881"/>
    <cellStyle name="输入 2 2 7 6 2 2" xfId="882"/>
    <cellStyle name="汇总 2 7 4 6" xfId="883"/>
    <cellStyle name="常规 9 2 3 2 2 3" xfId="884"/>
    <cellStyle name="60% - 强调文字颜色 4 3 3 2" xfId="885"/>
    <cellStyle name="计算 2 2 6 3 6 2" xfId="886"/>
    <cellStyle name="差 2 5 4" xfId="887"/>
    <cellStyle name="计算 3 2 2 2 2 2" xfId="888"/>
    <cellStyle name="汇总 2 2 6 9" xfId="889"/>
    <cellStyle name="20% - 强调文字颜色 5 2 2 2 5" xfId="890"/>
    <cellStyle name="汇总 2 6 4 2 5" xfId="891"/>
    <cellStyle name="输入 2 5 4 2" xfId="892"/>
    <cellStyle name="40% - 强调文字颜色 1 2 3 8" xfId="893"/>
    <cellStyle name="汇总 3 2 7 2" xfId="894"/>
    <cellStyle name="汇总 2 2 7 3 4 2 2" xfId="895"/>
    <cellStyle name="输出 2 2 3 2 3 5 2" xfId="896"/>
    <cellStyle name="输出 3 8 3" xfId="897"/>
    <cellStyle name="标题 2 2 2 2 2 3 2 2 3" xfId="898"/>
    <cellStyle name="汇总 2 16 2 2" xfId="899"/>
    <cellStyle name="汇总 2 2 2 2 9" xfId="900"/>
    <cellStyle name="输入 2 5 3 2 7" xfId="901"/>
    <cellStyle name="计算 2 2 8 4 3" xfId="902"/>
    <cellStyle name="标题 3 4 2 3" xfId="903"/>
    <cellStyle name="强调文字颜色 3 2 2 2 4 4" xfId="904"/>
    <cellStyle name="强调文字颜色 4 2 3 2 4 2" xfId="905"/>
    <cellStyle name="常规 5 5 2 2 4" xfId="906"/>
    <cellStyle name="汇总 2 2 4 11 2" xfId="907"/>
    <cellStyle name="常规 4 6 3 5" xfId="908"/>
    <cellStyle name="注释 3 2 4 3" xfId="909"/>
    <cellStyle name="注释 2 2 13" xfId="910"/>
    <cellStyle name="好 2 5 2" xfId="911"/>
    <cellStyle name="常规 12 2 6 3" xfId="912"/>
    <cellStyle name="标题 1 4 3 3" xfId="913"/>
    <cellStyle name="适中 2 3 2 2 2 2 2" xfId="914"/>
    <cellStyle name="强调文字颜色 3 2 2 3 3 2 3" xfId="915"/>
    <cellStyle name="输入 3 2 2 2 2" xfId="916"/>
    <cellStyle name="计算 2 2 2 2 7 2 2" xfId="917"/>
    <cellStyle name="20% - 强调文字颜色 1 3 2 2 4 2" xfId="918"/>
    <cellStyle name="检查单元格 2 2 2 3 3 2" xfId="919"/>
    <cellStyle name="输入 2 2 6 14" xfId="920"/>
    <cellStyle name="40% - 强调文字颜色 4 2 2 2 2 3 2 2 2 2" xfId="921"/>
    <cellStyle name="计算 2 5 2 3 3 3 2 2" xfId="922"/>
    <cellStyle name="强调文字颜色 1 3 9" xfId="923"/>
    <cellStyle name="汇总 2 2 2 4 2" xfId="924"/>
    <cellStyle name="汇总 3 3 3 3" xfId="925"/>
    <cellStyle name="60% - 强调文字颜色 6 2 3 6 3" xfId="926"/>
    <cellStyle name="输入 2 4 12" xfId="927"/>
    <cellStyle name="60% - 强调文字颜色 3 2 3 4" xfId="928"/>
    <cellStyle name="汇总 2 2 4 9 2" xfId="929"/>
    <cellStyle name="强调文字颜色 4 2 3 4 3 2 2" xfId="930"/>
    <cellStyle name="输入 2 2 4 2 4 2 5" xfId="931"/>
    <cellStyle name="注释 2 8 3 2" xfId="932"/>
    <cellStyle name="标题 2 3 5 2 2" xfId="933"/>
    <cellStyle name="汇总 2 3 2 2 6 2 2" xfId="934"/>
    <cellStyle name="汇总 2 6 5 3 3" xfId="935"/>
    <cellStyle name="超链接 3 2 2 2 4 2 2" xfId="936"/>
    <cellStyle name="输出 2 4 2 3 5" xfId="937"/>
    <cellStyle name="20% - 强调文字颜色 5 2 3 3 3" xfId="938"/>
    <cellStyle name="强调文字颜色 3 3 2 2 2" xfId="939"/>
    <cellStyle name="输入 2 2 4 4 9" xfId="940"/>
    <cellStyle name="强调文字颜色 5 2 2 6 2 3" xfId="941"/>
    <cellStyle name="汇总 2 2 2 2 2 2 5 2" xfId="942"/>
    <cellStyle name="常规 5 2 2 3 5 2 2" xfId="943"/>
    <cellStyle name="40% - 强调文字颜色 6 2 5 3 2 2" xfId="944"/>
    <cellStyle name="强调文字颜色 2 2 6" xfId="945"/>
    <cellStyle name="常规 4 2 4 5 2 2" xfId="946"/>
    <cellStyle name="汇总 2 6 2 3 2 2" xfId="947"/>
    <cellStyle name="输出 3 2 2 7" xfId="948"/>
    <cellStyle name="强调文字颜色 5 2 2 3 2 2 2" xfId="949"/>
    <cellStyle name="强调文字颜色 1 2 4 3" xfId="950"/>
    <cellStyle name="40% - 强调文字颜色 4 2 3 2 2 4 3" xfId="951"/>
    <cellStyle name="汇总 2 8 7" xfId="952"/>
    <cellStyle name="20% - 强调文字颜色 5 4 5" xfId="953"/>
    <cellStyle name="计算 2 2 4 2 3 4 2" xfId="954"/>
    <cellStyle name="输出 2 3 2 3 4" xfId="955"/>
    <cellStyle name="汇总 2 5 5 3 2" xfId="956"/>
    <cellStyle name="计算 2 5 4 4 3" xfId="957"/>
    <cellStyle name="20% - 强调文字颜色 3 2 2 3 3" xfId="958"/>
    <cellStyle name="计算 2 2 5 2 4 3" xfId="959"/>
    <cellStyle name="输入 2 8 2 2 2 2" xfId="960"/>
    <cellStyle name="输入 2 2 4 2 2 2 2 2" xfId="961"/>
    <cellStyle name="标题 1 2 5 3" xfId="962"/>
    <cellStyle name="强调文字颜色 4 2 2 3 3 3" xfId="963"/>
    <cellStyle name="警告文本 2 4 2 2 2 3" xfId="964"/>
    <cellStyle name="适中 2 3 2 5 3" xfId="965"/>
    <cellStyle name="40% - 强调文字颜色 1 2 3 2 5 2 2 2" xfId="966"/>
    <cellStyle name="汇总 2 6 2 2 4" xfId="967"/>
    <cellStyle name="输入 2 9 3 2 2" xfId="968"/>
    <cellStyle name="超链接 3 5 2 2 2" xfId="969"/>
    <cellStyle name="常规 13 2 2 4 2" xfId="970"/>
    <cellStyle name="注释 3 2 5 2" xfId="971"/>
    <cellStyle name="输出 3 2 4 2 2" xfId="972"/>
    <cellStyle name="常规 4 3 3 2 3 3" xfId="973"/>
    <cellStyle name="强调文字颜色 3 2 2 2 5 3" xfId="974"/>
    <cellStyle name="计算 2 2 4 2 2 6" xfId="975"/>
    <cellStyle name="常规 6 3 2 5 2" xfId="976"/>
    <cellStyle name="超链接 3 5 2 2 2 2" xfId="977"/>
    <cellStyle name="常规 13 2 2 4 2 2" xfId="978"/>
    <cellStyle name="汇总 2 6 2 2 4 2" xfId="979"/>
    <cellStyle name="注释 3 2 5 2 2" xfId="980"/>
    <cellStyle name="计算 2 2 4 2 2 6 2" xfId="981"/>
    <cellStyle name="输入 2 2 4 2 3 7" xfId="982"/>
    <cellStyle name="汇总 2 5 4 2 2 3" xfId="983"/>
    <cellStyle name="计算 2 2 8 2 2 4" xfId="984"/>
    <cellStyle name="常规 6 3 2 5 2 2" xfId="985"/>
    <cellStyle name="汇总 2 5 4 5 2" xfId="986"/>
    <cellStyle name="解释性文本 2 2 2 3 4" xfId="987"/>
    <cellStyle name="计算 2 2 4 2 2 3 2 3" xfId="988"/>
    <cellStyle name="计算 2 2 5 4 3 2 2" xfId="989"/>
    <cellStyle name="标题 4 2 2 2 2 5 2 2" xfId="990"/>
    <cellStyle name="计算 2 2 3 2 2 10" xfId="991"/>
    <cellStyle name="常规 4 5 3" xfId="992"/>
    <cellStyle name="强调文字颜色 4 2 2 5 2 2 2" xfId="993"/>
    <cellStyle name="标题 1 4 4 2 2" xfId="994"/>
    <cellStyle name="常规 4 2 3 3" xfId="995"/>
    <cellStyle name="常规 7 5" xfId="996"/>
    <cellStyle name="常规 5 3 2 2 5 3" xfId="997"/>
    <cellStyle name="解释性文本 2 3 2 6" xfId="998"/>
    <cellStyle name="强调文字颜色 6 2 3 2 2 3 2" xfId="999"/>
    <cellStyle name="强调文字颜色 5 2 2 2 2 5 2" xfId="1000"/>
    <cellStyle name="20% - 强调文字颜色 5 2 2 2 2 5 2 2 2" xfId="1001"/>
    <cellStyle name="强调文字颜色 2 3 2 3 2" xfId="1002"/>
    <cellStyle name="20% - 强调文字颜色 6 2 3 2 2 3 2 2 2" xfId="1003"/>
    <cellStyle name="汇总 2 2 6 2 7" xfId="1004"/>
    <cellStyle name="常规 2 3" xfId="1005"/>
    <cellStyle name="计算 2 6 2 7 2 2" xfId="1006"/>
    <cellStyle name="汇总 2 5 3 3 3 3" xfId="1007"/>
    <cellStyle name="强调文字颜色 1 2 3 2 3 2 2" xfId="1008"/>
    <cellStyle name="常规 5 3 8" xfId="1009"/>
    <cellStyle name="汇总 2 2 4 2 6 4 2" xfId="1010"/>
    <cellStyle name="20% - 强调文字颜色 1 2 2 2 2 2 4 2 2" xfId="1011"/>
    <cellStyle name="40% - 强调文字颜色 4 2 2 2 2 3 2" xfId="1012"/>
    <cellStyle name="常规 11 2" xfId="1013"/>
    <cellStyle name="常规 6 2 5 3" xfId="1014"/>
    <cellStyle name="输入 2 3 8 3" xfId="1015"/>
    <cellStyle name="汇总 2 7 6 3 2 2" xfId="1016"/>
    <cellStyle name="强调文字颜色 2 2 3 4 2 3" xfId="1017"/>
    <cellStyle name="输入 2 2 3 2 2 2 4" xfId="1018"/>
    <cellStyle name="计算 3 2 2 6 2 2" xfId="1019"/>
    <cellStyle name="输出 3 2 5 2" xfId="1020"/>
    <cellStyle name="差 2 2 4 3 4" xfId="1021"/>
    <cellStyle name="汇总 2 2 2 2 12" xfId="1022"/>
    <cellStyle name="汇总 2 2 2 4 2 2" xfId="1023"/>
    <cellStyle name="汇总 3 3 3 3 2" xfId="1024"/>
    <cellStyle name="输出 2 2 3 4 5 3" xfId="1025"/>
    <cellStyle name="汇总 2 2 4 2 2 7" xfId="1026"/>
    <cellStyle name="计算 2 2 7 3 2 3 2" xfId="1027"/>
    <cellStyle name="汇总 2 5 3 3 2 2 2" xfId="1028"/>
    <cellStyle name="注释 2 2 2 2 2 2 3" xfId="1029"/>
    <cellStyle name="计算 2 3 3 2 3" xfId="1030"/>
    <cellStyle name="强调文字颜色 6 2 2 7 3" xfId="1031"/>
    <cellStyle name="标题 1 2 2 4 2 3" xfId="1032"/>
    <cellStyle name="汇总 2 8 3 2 4" xfId="1033"/>
    <cellStyle name="无色 5 2" xfId="1034"/>
    <cellStyle name="计算 2 3" xfId="1035"/>
    <cellStyle name="20% - 强调文字颜色 2 2 2 5 3 2" xfId="1036"/>
    <cellStyle name="输入 2 2 4 5 4 2 2" xfId="1037"/>
    <cellStyle name="汇总 2 2 5 4 3 3" xfId="1038"/>
    <cellStyle name="常规 12 6" xfId="1039"/>
    <cellStyle name="60% - 强调文字颜色 1 2 5 2 2" xfId="1040"/>
    <cellStyle name="40% - 强调文字颜色 1 2 2 3 3 3" xfId="1041"/>
    <cellStyle name="好 2 2 6 2" xfId="1042"/>
    <cellStyle name="计算 3 4 3 3" xfId="1043"/>
    <cellStyle name="60% - 强调文字颜色 1 2 3 2 2 2" xfId="1044"/>
    <cellStyle name="汇总 2 2 4 3 8" xfId="1045"/>
    <cellStyle name="输出 2 5 4 5" xfId="1046"/>
    <cellStyle name="输出 2 7 3 2 2" xfId="1047"/>
    <cellStyle name="计算 2 2 5 2 2 2 4 2" xfId="1048"/>
    <cellStyle name="超链接 2 5 2" xfId="1049"/>
    <cellStyle name="输出 2 2 2 6 2 2" xfId="1050"/>
    <cellStyle name="注释 2 3 4 2 4" xfId="1051"/>
    <cellStyle name="计算 2 2 7 3 3 2 2" xfId="1052"/>
    <cellStyle name="汇总 2 6 2 4 2 2 2" xfId="1053"/>
    <cellStyle name="标题 4 2 2 2 3 2" xfId="1054"/>
    <cellStyle name="强调文字颜色 3 2 6 2" xfId="1055"/>
    <cellStyle name="适中 2 7 2" xfId="1056"/>
    <cellStyle name="汇总 2 5 4 6" xfId="1057"/>
    <cellStyle name="计算 2 2 4 2 2 7" xfId="1058"/>
    <cellStyle name="汇总 2 2 7 3 3 2 2" xfId="1059"/>
    <cellStyle name="计算 2 2 4 2 3 9" xfId="1060"/>
    <cellStyle name="汇总 2 5 5 8" xfId="1061"/>
    <cellStyle name="常规 2 2 2 2 2 2 2" xfId="1062"/>
    <cellStyle name="输出 2 3 4 2 2 2 2" xfId="1063"/>
    <cellStyle name="计算 2 3 2 3 2" xfId="1064"/>
    <cellStyle name="汇总 2 3 2 4 3 2 2" xfId="1065"/>
    <cellStyle name="汇总 2 8 2 3 3" xfId="1066"/>
    <cellStyle name="标题 1 2 2 3 3 2" xfId="1067"/>
    <cellStyle name="检查单元格 2 2 4 3 2 2" xfId="1068"/>
    <cellStyle name="计算 3 2 5 2" xfId="1069"/>
    <cellStyle name="汇总 2 2 5 3 4 2" xfId="1070"/>
    <cellStyle name="常规 4 2 2 2 3 3 2 2" xfId="1071"/>
    <cellStyle name="检查单元格 2 4 6 3" xfId="1072"/>
    <cellStyle name="强调文字颜色 5 2 2 2 8" xfId="1073"/>
    <cellStyle name="检查单元格 5 2" xfId="1074"/>
    <cellStyle name="汇总 2 2 7 3 4" xfId="1075"/>
    <cellStyle name="60% - 强调文字颜色 4 2 2 3 3 3 2" xfId="1076"/>
    <cellStyle name="计算 3 5 2 3" xfId="1077"/>
    <cellStyle name="计算 2 4 2 3 2" xfId="1078"/>
    <cellStyle name="输出 2 2 6 4 2" xfId="1079"/>
    <cellStyle name="输入 2 2 4 10" xfId="1080"/>
    <cellStyle name="输入 2 2 4 2 3" xfId="1081"/>
    <cellStyle name="标题 1 2 2 2 7" xfId="1082"/>
    <cellStyle name="汇总 2 9 2 3 3" xfId="1083"/>
    <cellStyle name="标题 1 2 3 3 3 2" xfId="1084"/>
    <cellStyle name="计算 2 2 6 6 5" xfId="1085"/>
    <cellStyle name="60% - 强调文字颜色 4 6 2" xfId="1086"/>
    <cellStyle name="标题 3 2 4 5" xfId="1087"/>
    <cellStyle name="输入 2 10 2 2 2" xfId="1088"/>
    <cellStyle name="汇总 2 5 11 2" xfId="1089"/>
    <cellStyle name="输出 2 2 2 2 3 5" xfId="1090"/>
    <cellStyle name="计算 2 6 2 2 5 2 2" xfId="1091"/>
    <cellStyle name="计算 2 3 2 4 2 2 2" xfId="1092"/>
    <cellStyle name="标题 1 2 2 3 4 2 2 2" xfId="1093"/>
    <cellStyle name="汇总 2 10 8" xfId="1094"/>
    <cellStyle name="计算 2 5 4 2 4" xfId="1095"/>
    <cellStyle name="输出 2 2 2 4 4 2 2" xfId="1096"/>
    <cellStyle name="输出 2 2 3 2 4 5" xfId="1097"/>
    <cellStyle name="计算 2 2 10 6" xfId="1098"/>
    <cellStyle name="计算 2 2 8 7 2 2" xfId="1099"/>
    <cellStyle name="注释 2 4 3 2 2 2 2" xfId="1100"/>
    <cellStyle name="计算 2 3 2 3 3 2" xfId="1101"/>
    <cellStyle name="强调文字颜色 4 4 2 2 2" xfId="1102"/>
    <cellStyle name="常规 3 3 2 3 2 2" xfId="1103"/>
    <cellStyle name="汇总 2 2 6 6 2 3" xfId="1104"/>
    <cellStyle name="40% - 强调文字颜色 4 2 2 2 2 2 2 2 2 2 2" xfId="1105"/>
    <cellStyle name="警告文本 2 6 2 2" xfId="1106"/>
    <cellStyle name="链接单元格 2 2 3 2 2" xfId="1107"/>
    <cellStyle name="40% - 强调文字颜色 1 2 2 2 2 2 2 2" xfId="1108"/>
    <cellStyle name="汇总 2 4 2 2 2" xfId="1109"/>
    <cellStyle name="常规 12 2 2 5" xfId="1110"/>
    <cellStyle name="超链接 2 5 2 3" xfId="1111"/>
    <cellStyle name="常规 2 3 2 2 3 2 2" xfId="1112"/>
    <cellStyle name="计算 2 2 6 11" xfId="1113"/>
    <cellStyle name="常规 8" xfId="1114"/>
    <cellStyle name="输出 4 7" xfId="1115"/>
    <cellStyle name="注释 2 4 2 2 6 2" xfId="1116"/>
    <cellStyle name="输入 2 2 3 3 3 3" xfId="1117"/>
    <cellStyle name="计算 2 2 2 7 3" xfId="1118"/>
    <cellStyle name="计算 2 4 3 2 6" xfId="1119"/>
    <cellStyle name="输出 2 2 7 3 6" xfId="1120"/>
    <cellStyle name="标题 1 2 2 3 6 2 2" xfId="1121"/>
    <cellStyle name="警告文本 2 2 2 2 3 3" xfId="1122"/>
    <cellStyle name="解释性文本 2 5 3" xfId="1123"/>
    <cellStyle name="常规 4 2 3 4 4" xfId="1124"/>
    <cellStyle name="输入 2 9 2 2 2" xfId="1125"/>
    <cellStyle name="20% - 强调文字颜色 5 2 2 9 2" xfId="1126"/>
    <cellStyle name="输出 3 2 3 2 2" xfId="1127"/>
    <cellStyle name="标题 7 3" xfId="1128"/>
    <cellStyle name="注释 2 2 3 4 2 2 2 2" xfId="1129"/>
    <cellStyle name="计算 2 2 3 2 3 4 2 2" xfId="1130"/>
    <cellStyle name="超链接 3 2 2 2 2 3 2" xfId="1131"/>
    <cellStyle name="好 2 2 3 5 2 2" xfId="1132"/>
    <cellStyle name="注释 2 2 5 2 2 4 2" xfId="1133"/>
    <cellStyle name="输出 2 2 3 3 2 4 2 2" xfId="1134"/>
    <cellStyle name="汇总 3 3 9" xfId="1135"/>
    <cellStyle name="60% - 强调文字颜色 2 2 5 3 2 2" xfId="1136"/>
    <cellStyle name="汇总 2 6 3 4" xfId="1137"/>
    <cellStyle name="标题 5 4 6 3" xfId="1138"/>
    <cellStyle name="计算 2 5 2 3 2 2 3" xfId="1139"/>
    <cellStyle name="强调文字颜色 4 2 3 3 2 2 2" xfId="1140"/>
    <cellStyle name="标题 2 2 4 2 2" xfId="1141"/>
    <cellStyle name="输入 5 2 4" xfId="1142"/>
    <cellStyle name="汇总 2 4 8 3" xfId="1143"/>
    <cellStyle name="计算 2 2 4 2 9" xfId="1144"/>
    <cellStyle name="60% - 强调文字颜色 2 2 6" xfId="1145"/>
    <cellStyle name="计算 2 14" xfId="1146"/>
    <cellStyle name="常规 5 6" xfId="1147"/>
    <cellStyle name="60% - 强调文字颜色 6 3 2 4 2" xfId="1148"/>
    <cellStyle name="汇总 2 5 2 7" xfId="1149"/>
    <cellStyle name="计算 2 2 4 2 2 2 2 2" xfId="1150"/>
    <cellStyle name="20% - 强调文字颜色 2 2 3 2 4" xfId="1151"/>
    <cellStyle name="差 2 3 4 2 2 3" xfId="1152"/>
    <cellStyle name="60% - 强调文字颜色 5 2 4 3 3" xfId="1153"/>
    <cellStyle name="40% - 强调文字颜色 2 2 3 6 2 2 2" xfId="1154"/>
    <cellStyle name="20% - 强调文字颜色 5 3 2 2 3 2 2 2" xfId="1155"/>
    <cellStyle name="计算 2 4 2 2 2 6" xfId="1156"/>
    <cellStyle name="汇总 2 2 4 3 2 3 2" xfId="1157"/>
    <cellStyle name="计算 2 2 5 3 3 5" xfId="1158"/>
    <cellStyle name="输入 2 2 5 2 10" xfId="1159"/>
    <cellStyle name="注释 4 2 4 2 2" xfId="1160"/>
    <cellStyle name="注释 2 4 2 6" xfId="1161"/>
    <cellStyle name="常规 5 6 3 4 2" xfId="1162"/>
    <cellStyle name="强调文字颜色 6 2 4 7" xfId="1163"/>
    <cellStyle name="标题 1 2 2 6 2" xfId="1164"/>
    <cellStyle name="百分比 2 3 3" xfId="1165"/>
    <cellStyle name="检查单元格 2 2 3 4 2 2" xfId="1166"/>
    <cellStyle name="强调文字颜色 3 2 3 2 4 3 2" xfId="1167"/>
    <cellStyle name="40% - 强调文字颜色 6 2 2 2 2 2 3 2" xfId="1168"/>
    <cellStyle name="计算 3 5 4" xfId="1169"/>
    <cellStyle name="计算 2 2 3 3 2" xfId="1170"/>
    <cellStyle name="超链接 2 3 4 2 3 2" xfId="1171"/>
    <cellStyle name="适中 2 3 2 3 3" xfId="1172"/>
    <cellStyle name="60% - 强调文字颜色 4 2 4 3 2" xfId="1173"/>
    <cellStyle name="差 2 2 4 2 2 2" xfId="1174"/>
    <cellStyle name="汇总 4 2 2 4 2" xfId="1175"/>
    <cellStyle name="汇总 2 2 4 2 2 3 5 2" xfId="1176"/>
    <cellStyle name="强调文字颜色 3 2 2 2 3 3" xfId="1177"/>
    <cellStyle name="强调文字颜色 3 2 5 3 2" xfId="1178"/>
    <cellStyle name="标题 4 2 2 2 2 3 2" xfId="1179"/>
    <cellStyle name="注释 2 2 3 2 2 2 2 3" xfId="1180"/>
    <cellStyle name="强调文字颜色 6 3 2 4" xfId="1181"/>
    <cellStyle name="强调文字颜色 6 2 2 2 3 2 3" xfId="1182"/>
    <cellStyle name="强调文字颜色 3 2 2 4 5 2 2" xfId="1183"/>
    <cellStyle name="强调文字颜色 3 2 2" xfId="1184"/>
    <cellStyle name="计算 2 2 8 5 3 2 2" xfId="1185"/>
    <cellStyle name="输入 2 5 3 6" xfId="1186"/>
    <cellStyle name="常规 3 3 3 5 2" xfId="1187"/>
    <cellStyle name="注释 2 2 4 2 3 3 2" xfId="1188"/>
    <cellStyle name="输出 2 2 3 5 3 2 2" xfId="1189"/>
    <cellStyle name="计算 2 2 15 2" xfId="1190"/>
    <cellStyle name="标题 3 2 6 3 3" xfId="1191"/>
    <cellStyle name="40% - 强调文字颜色 1 2 2 2 6 2" xfId="1192"/>
    <cellStyle name="汇总 2 8 2" xfId="1193"/>
    <cellStyle name="20% - 强调文字颜色 2 4 2 3 2 2 2" xfId="1194"/>
    <cellStyle name="汇总 2 6 3 9" xfId="1195"/>
    <cellStyle name="输出 3 2 2 2" xfId="1196"/>
    <cellStyle name="汇总 2 2 5 3 6 2" xfId="1197"/>
    <cellStyle name="注释 2 2 2 4 3 3" xfId="1198"/>
    <cellStyle name="汇总 2 2 7 5 4" xfId="1199"/>
    <cellStyle name="40% - 强调文字颜色 4 2 2 2 2 3 3" xfId="1200"/>
    <cellStyle name="常规 3 3 4 3 2 2" xfId="1201"/>
    <cellStyle name="强调文字颜色 1 2 2 3 4 4" xfId="1202"/>
    <cellStyle name="计算 2 5 2 3 7 2" xfId="1203"/>
    <cellStyle name="计算 2 2 4 4 3 2 2 2" xfId="1204"/>
    <cellStyle name="汇总 2 6 2 3 3 3" xfId="1205"/>
    <cellStyle name="强调文字颜色 2 3 7" xfId="1206"/>
    <cellStyle name="常规 2 2 5 2 2" xfId="1207"/>
    <cellStyle name="输出 2 3 7 2 2" xfId="1208"/>
    <cellStyle name="标题 2 3 2 2 2 3" xfId="1209"/>
    <cellStyle name="注释 2 5 3 2 3" xfId="1210"/>
    <cellStyle name="常规 5 4 2 3 3 2 2" xfId="1211"/>
    <cellStyle name="常规 4 3 2 4" xfId="1212"/>
    <cellStyle name="输入 2 4 2 3 2" xfId="1213"/>
    <cellStyle name="汇总 2 2 2 5" xfId="1214"/>
    <cellStyle name="常规 6 2 2 5 2 2 2" xfId="1215"/>
    <cellStyle name="计算 2 2 3 2 2 6 2 2" xfId="1216"/>
    <cellStyle name="计算 2 5 5 9" xfId="1217"/>
    <cellStyle name="警告文本 2 2 2 2 3 2 2" xfId="1218"/>
    <cellStyle name="解释性文本 2 5 2 2" xfId="1219"/>
    <cellStyle name="汇总 2 7 2 3 4" xfId="1220"/>
    <cellStyle name="常规 13 3 2 5 2" xfId="1221"/>
    <cellStyle name="汇总 2 4 3 3 3 2" xfId="1222"/>
    <cellStyle name="注释 2 4 4 3" xfId="1223"/>
    <cellStyle name="链接单元格 2 2 4 3 3 2" xfId="1224"/>
    <cellStyle name="计算 2 2 4 2 2 2 5" xfId="1225"/>
    <cellStyle name="输出 5 5 2 2" xfId="1226"/>
    <cellStyle name="百分比 2 2 4 2 2 3" xfId="1227"/>
    <cellStyle name="解释性文本 5" xfId="1228"/>
    <cellStyle name="常规 5 6 5 2 2" xfId="1229"/>
    <cellStyle name="输入 2 2 8 2 3 3" xfId="1230"/>
    <cellStyle name="汇总 2 7 2 3 2 2" xfId="1231"/>
    <cellStyle name="40% - 强调文字颜色 6 2 2 2 5 2 2" xfId="1232"/>
    <cellStyle name="常规 10 2 6 3" xfId="1233"/>
    <cellStyle name="20% - 强调文字颜色 6 2 4 4 3" xfId="1234"/>
    <cellStyle name="输入 2 3 2 9" xfId="1235"/>
    <cellStyle name="常规 10 2 3 2 4" xfId="1236"/>
    <cellStyle name="标题 4 2 8 3" xfId="1237"/>
    <cellStyle name="强调文字颜色 2 2 2 3 6" xfId="1238"/>
    <cellStyle name="注释 2 9 3 2 2" xfId="1239"/>
    <cellStyle name="注释 2 7 9" xfId="1240"/>
    <cellStyle name="常规 8 3 2 3" xfId="1241"/>
    <cellStyle name="计算 3 5" xfId="1242"/>
    <cellStyle name="强调文字颜色 6 2 6 3 3" xfId="1243"/>
    <cellStyle name="60% - 强调文字颜色 5 4 2 3 2 2 2" xfId="1244"/>
    <cellStyle name="汇总 2 5 3 7 2" xfId="1245"/>
    <cellStyle name="计算 2 2 4 2 2 2 4 3" xfId="1246"/>
    <cellStyle name="检查单元格 2 6" xfId="1247"/>
    <cellStyle name="强调文字颜色 4 2 2 2 4 2 2 2" xfId="1248"/>
    <cellStyle name="注释 2 4 4 2 3" xfId="1249"/>
    <cellStyle name="标题 2 2 2 3 2 2 3" xfId="1250"/>
    <cellStyle name="汇总 2 7 2 2 5 3" xfId="1251"/>
    <cellStyle name="汇总 2 12 2 2" xfId="1252"/>
    <cellStyle name="60% - 强调文字颜色 1 2 2 2 5 2" xfId="1253"/>
    <cellStyle name="计算 2 4 6 3" xfId="1254"/>
    <cellStyle name="汇总 2 3 2 10" xfId="1255"/>
    <cellStyle name="汇总 3 2 7 2 2" xfId="1256"/>
    <cellStyle name="常规 5 3 2 2 3 3" xfId="1257"/>
    <cellStyle name="汇总 2 4 2 2 6" xfId="1258"/>
    <cellStyle name="超链接 3 3 2 2 4" xfId="1259"/>
    <cellStyle name="输入 2 7 3 2 4" xfId="1260"/>
    <cellStyle name="常规 5 5" xfId="1261"/>
    <cellStyle name="差 2 2 2 2 4 4" xfId="1262"/>
    <cellStyle name="计算 2 5 2 3 2 2 2" xfId="1263"/>
    <cellStyle name="输入 5 2 3" xfId="1264"/>
    <cellStyle name="60% - 强调文字颜色 2 2 5" xfId="1265"/>
    <cellStyle name="计算 2 2 4 2 8" xfId="1266"/>
    <cellStyle name="计算 2 13" xfId="1267"/>
    <cellStyle name="计算 2 2 2 2 2 2 4 2" xfId="1268"/>
    <cellStyle name="计算 2 4 4 2 4 2" xfId="1269"/>
    <cellStyle name="汇总 2 5 4 3 2" xfId="1270"/>
    <cellStyle name="计算 2 2 4 2 2 4 2" xfId="1271"/>
    <cellStyle name="计算 2 5 4 2 3" xfId="1272"/>
    <cellStyle name="标题 4 2 2 4 5" xfId="1273"/>
    <cellStyle name="60% - 强调文字颜色 6 2 3 2 2" xfId="1274"/>
    <cellStyle name="40% - 强调文字颜色 5 2 3 7" xfId="1275"/>
    <cellStyle name="好 2 3 3 7" xfId="1276"/>
    <cellStyle name="好 3 2 4 2 2 2" xfId="1277"/>
    <cellStyle name="输出 2 5 2 2 5 3" xfId="1278"/>
    <cellStyle name="汇总 2 2 4 2 2 8 2" xfId="1279"/>
    <cellStyle name="40% - 强调文字颜色 3 4 2" xfId="1280"/>
    <cellStyle name="输出 2 2 6 2 7" xfId="1281"/>
    <cellStyle name="注释 5 5" xfId="1282"/>
    <cellStyle name="警告文本 2 3 2 6" xfId="1283"/>
    <cellStyle name="常规 6 3 4 3" xfId="1284"/>
    <cellStyle name="40% - 强调文字颜色 4 2 2 2 3 2 2" xfId="1285"/>
    <cellStyle name="标题 1 6 2" xfId="1286"/>
    <cellStyle name="20% - 强调文字颜色 5 2 2 3 5 2" xfId="1287"/>
    <cellStyle name="汇总 2 2 4 2 4" xfId="1288"/>
    <cellStyle name="常规 12 4 5" xfId="1289"/>
    <cellStyle name="常规 6 4 2 2 2" xfId="1290"/>
    <cellStyle name="40% - 强调文字颜色 6 2 3 2 2 3 3 2 2" xfId="1291"/>
    <cellStyle name="常规 4 2 2 2 2 2 2" xfId="1292"/>
    <cellStyle name="强调文字颜色 3 2 7 3" xfId="1293"/>
    <cellStyle name="注释 2 11 2" xfId="1294"/>
    <cellStyle name="输出 2 5 2 2 2 6" xfId="1295"/>
    <cellStyle name="常规 4 4 2 2 2 2" xfId="1296"/>
    <cellStyle name="标题 4 2 2 2 4 3" xfId="1297"/>
    <cellStyle name="汇总 2 5 2 5 5" xfId="1298"/>
    <cellStyle name="汇总 2 4 2 2 3 4 2" xfId="1299"/>
    <cellStyle name="汇总 2 2 18 2" xfId="1300"/>
    <cellStyle name="注释 2 2 8 3" xfId="1301"/>
    <cellStyle name="常规 5 2 4 2" xfId="1302"/>
    <cellStyle name="输出 2 2 3 2 2 2 3" xfId="1303"/>
    <cellStyle name="强调文字颜色 4 2 6" xfId="1304"/>
    <cellStyle name="汇总 2 6 2 5 2 2" xfId="1305"/>
    <cellStyle name="标题 4 2 3 2 3" xfId="1306"/>
    <cellStyle name="20% - 强调文字颜色 2 2 3 2 2 2 3" xfId="1307"/>
    <cellStyle name="20% - 强调文字颜色 4 4 2 4 2" xfId="1308"/>
    <cellStyle name="20% - 强调文字颜色 1 2 2 2 2 4 3" xfId="1309"/>
    <cellStyle name="标题 1 5 2 2 2 2" xfId="1310"/>
    <cellStyle name="20% - 强调文字颜色 5 3 6 2" xfId="1311"/>
    <cellStyle name="输出 2 2 4 2 3 3" xfId="1312"/>
    <cellStyle name="汇总 2 7 8 2" xfId="1313"/>
    <cellStyle name="计算 3 3 2 4" xfId="1314"/>
    <cellStyle name="注释 2 4 8" xfId="1315"/>
    <cellStyle name="60% - 强调文字颜色 1 4 4 2" xfId="1316"/>
    <cellStyle name="检查单元格 2 3 4 3 3" xfId="1317"/>
    <cellStyle name="无色 3 3" xfId="1318"/>
    <cellStyle name="计算 2 2 10 3" xfId="1319"/>
    <cellStyle name="输出 2 2 3 2 4 2" xfId="1320"/>
    <cellStyle name="汇总 2 10 2" xfId="1321"/>
    <cellStyle name="汇总 2 3 2 3 7" xfId="1322"/>
    <cellStyle name="常规 13 3 2 6" xfId="1323"/>
    <cellStyle name="解释性文本 2 5 2 3" xfId="1324"/>
    <cellStyle name="60% - 强调文字颜色 5 2 2 2 2 3 2" xfId="1325"/>
    <cellStyle name="警告文本 2 2 2 2 3 2 3" xfId="1326"/>
    <cellStyle name="警告文本 2 2 5 3 2 2" xfId="1327"/>
    <cellStyle name="汇总 2 2 3 2 3 2 3" xfId="1328"/>
    <cellStyle name="汇总 2 2 6 3 2 2" xfId="1329"/>
    <cellStyle name="输入 2 2 4 2 9" xfId="1330"/>
    <cellStyle name="计算 2 2 4 3 3 2 3" xfId="1331"/>
    <cellStyle name="计算 2 4 2 3 8" xfId="1332"/>
    <cellStyle name="计算 2 2 5 2 4 4" xfId="1333"/>
    <cellStyle name="适中 2 3 4 3 2 2" xfId="1334"/>
    <cellStyle name="汇总 2 2 11 3 2 2" xfId="1335"/>
    <cellStyle name="60% - 强调文字颜色 6 2 3 4 3" xfId="1336"/>
    <cellStyle name="20% - 强调文字颜色 1 2 5 2 2 2" xfId="1337"/>
    <cellStyle name="超链接 3 9" xfId="1338"/>
    <cellStyle name="输出 2 2 7 5 3" xfId="1339"/>
    <cellStyle name="计算 2 4 3 4 3" xfId="1340"/>
    <cellStyle name="计算 2 4 2 8" xfId="1341"/>
    <cellStyle name="输出 2 2 6 9" xfId="1342"/>
    <cellStyle name="40% - 强调文字颜色 3 4 4 2 2 2" xfId="1343"/>
    <cellStyle name="输入 2 2 5 3 4" xfId="1344"/>
    <cellStyle name="60% - 强调文字颜色 1 2 2 2 2 3 3" xfId="1345"/>
    <cellStyle name="汇总 2 5 16" xfId="1346"/>
    <cellStyle name="汇总 3 2 2 2 5" xfId="1347"/>
    <cellStyle name="链接单元格 2 2 7 2" xfId="1348"/>
    <cellStyle name="输入 4 4" xfId="1349"/>
    <cellStyle name="注释 2 2 4 3 3 2 2" xfId="1350"/>
    <cellStyle name="40% - 强调文字颜色 3 2 4 2 2 2 2" xfId="1351"/>
    <cellStyle name="60% - 强调文字颜色 3 2 2 2 4" xfId="1352"/>
    <cellStyle name="输入 2 2 3 4 3" xfId="1353"/>
    <cellStyle name="计算 2 2 3 7" xfId="1354"/>
    <cellStyle name="输出 2 2 5 6 2" xfId="1355"/>
    <cellStyle name="输出 2 7 3 3 2" xfId="1356"/>
    <cellStyle name="解释性文本 2 4 6 3" xfId="1357"/>
    <cellStyle name="20% - 强调文字颜色 4 2 2 7" xfId="1358"/>
    <cellStyle name="计算 2 5 4 6 3" xfId="1359"/>
    <cellStyle name="20% - 强调文字颜色 3 2 2 5 3" xfId="1360"/>
    <cellStyle name="输出 2 4 3 4 3" xfId="1361"/>
    <cellStyle name="解释性文本 2 9 3" xfId="1362"/>
    <cellStyle name="40% - 强调文字颜色 2 2 2 2 2 2 3 3 2 2" xfId="1363"/>
    <cellStyle name="40% - 强调文字颜色 4 3 2 2 3" xfId="1364"/>
    <cellStyle name="说明文本 4 2 2" xfId="1365"/>
    <cellStyle name="60% - 强调文字颜色 2 2 8" xfId="1366"/>
    <cellStyle name="计算 2 16" xfId="1367"/>
    <cellStyle name="计算 2 21" xfId="1368"/>
    <cellStyle name="计算 2 2 7 2 4 2" xfId="1369"/>
    <cellStyle name="汇总 2 7" xfId="1370"/>
    <cellStyle name="输出 2 5 3 5" xfId="1371"/>
    <cellStyle name="解释性文本 2 4 4 3" xfId="1372"/>
    <cellStyle name="标题 6 4 3" xfId="1373"/>
    <cellStyle name="计算 2 6 2 2 4 2 2" xfId="1374"/>
    <cellStyle name="检查单元格 2 2 5 2 2 2" xfId="1375"/>
    <cellStyle name="输入 2 2 3 2 3" xfId="1376"/>
    <cellStyle name="输出 2 2 5 4 2" xfId="1377"/>
    <cellStyle name="超链接 2 4 5" xfId="1378"/>
    <cellStyle name="标题 5 4 2 2 3" xfId="1379"/>
    <cellStyle name="汇总 2 7 4 4 2 2" xfId="1380"/>
    <cellStyle name="40% - 强调文字颜色 2 2 5 5 2" xfId="1381"/>
    <cellStyle name="输出 2 5 3 8" xfId="1382"/>
    <cellStyle name="差 2 5 2 2 2" xfId="1383"/>
    <cellStyle name="常规 11 2 5 2" xfId="1384"/>
    <cellStyle name="输入 2 2 3 2 6" xfId="1385"/>
    <cellStyle name="输出 2 2 5 4 5" xfId="1386"/>
    <cellStyle name="20% - 强调文字颜色 5 2 2 2 3 2 2" xfId="1387"/>
    <cellStyle name="汇总 2 6 4 2 3 2 2" xfId="1388"/>
    <cellStyle name="40% - 强调文字颜色 1 2 3 6 2 2" xfId="1389"/>
    <cellStyle name="计算 2 15 3" xfId="1390"/>
    <cellStyle name="警告文本 2 2 4 4" xfId="1391"/>
    <cellStyle name="汇总 2 2 5 4" xfId="1392"/>
    <cellStyle name="常规 10 2 2 2 5 2 2" xfId="1393"/>
    <cellStyle name="输入 2 2 5 3 8" xfId="1394"/>
    <cellStyle name="常规 9 3 3 5" xfId="1395"/>
    <cellStyle name="20% - 强调文字颜色 5 2 4 2 2" xfId="1396"/>
    <cellStyle name="输出 2 4 3 2 4" xfId="1397"/>
    <cellStyle name="汇总 2 6 6 2 2" xfId="1398"/>
    <cellStyle name="输入 2 2 4 3 2 4 3" xfId="1399"/>
    <cellStyle name="解释性文本 2 7 4" xfId="1400"/>
    <cellStyle name="强调文字颜色 5 6" xfId="1401"/>
    <cellStyle name="计算 3 7 2" xfId="1402"/>
    <cellStyle name="强调文字颜色 4 2 2 4 4 3" xfId="1403"/>
    <cellStyle name="输入 2 2 4 2 2 3 3 2" xfId="1404"/>
    <cellStyle name="20% - 强调文字颜色 1 2 7 3 2" xfId="1405"/>
    <cellStyle name="输入 2 2 5 2 9" xfId="1406"/>
    <cellStyle name="差 2 2 2 2 2" xfId="1407"/>
    <cellStyle name="强调文字颜色 3 2 2 4 4 2 2" xfId="1408"/>
    <cellStyle name="计算 2 5 2 2 5 3" xfId="1409"/>
    <cellStyle name="20% - 强调文字颜色 5 2 3 2 2 3 3 2" xfId="1410"/>
    <cellStyle name="汇总 2 2 2 5 3 3" xfId="1411"/>
    <cellStyle name="输入 5 6" xfId="1412"/>
    <cellStyle name="适中 2 2 3 3 2 2 2" xfId="1413"/>
    <cellStyle name="Normal 3 3 2 2" xfId="1414"/>
    <cellStyle name="注释 2 6 10" xfId="1415"/>
    <cellStyle name="常规 9 3 4 3" xfId="1416"/>
    <cellStyle name="输出 2 4 3 3 2" xfId="1417"/>
    <cellStyle name="警告文本 2 2 2 2 6 2" xfId="1418"/>
    <cellStyle name="汇总 2 5 2 2 10" xfId="1419"/>
    <cellStyle name="强调文字颜色 4 2 2 3 5" xfId="1420"/>
    <cellStyle name="标题 1 2 7" xfId="1421"/>
    <cellStyle name="强调文字颜色 3 2 3 8" xfId="1422"/>
    <cellStyle name="强调文字颜色 1 2 2 2 2 5 2" xfId="1423"/>
    <cellStyle name="计算 2 2 4 2 3 5" xfId="1424"/>
    <cellStyle name="60% - 强调文字颜色 2 2 2 2 3 2 2 2" xfId="1425"/>
    <cellStyle name="汇总 2 5 5 4" xfId="1426"/>
    <cellStyle name="强调文字颜色 3 2 2 2 6 2" xfId="1427"/>
    <cellStyle name="常规 5 5 2 4 2" xfId="1428"/>
    <cellStyle name="常规 5 2 2 3 2 2 2" xfId="1429"/>
    <cellStyle name="强调文字颜色 5 2 2 3 2 3" xfId="1430"/>
    <cellStyle name="20% - 强调文字颜色 1 2 3 5 2" xfId="1431"/>
    <cellStyle name="适中 2 3 2 6 2" xfId="1432"/>
    <cellStyle name="链接单元格 2 3 4 2 3" xfId="1433"/>
    <cellStyle name="适中 2 2 3 5 2" xfId="1434"/>
    <cellStyle name="常规 3 2 2 2 2 2" xfId="1435"/>
    <cellStyle name="常规 5 2 5 2 3" xfId="1436"/>
    <cellStyle name="好 2 2 6 2 2 2" xfId="1437"/>
    <cellStyle name="输入 2 2 4 2 3 4" xfId="1438"/>
    <cellStyle name="60% - 强调文字颜色 1 2 3 2 2 2 2 2" xfId="1439"/>
    <cellStyle name="输出 2 3 12" xfId="1440"/>
    <cellStyle name="输入 2 2 2 3 2 2 2" xfId="1441"/>
    <cellStyle name="40% - 强调文字颜色 4 3 3 2 2 2" xfId="1442"/>
    <cellStyle name="输入 2 4 2 2 3 2" xfId="1443"/>
    <cellStyle name="解释性文本 2 3 5 2 2 2" xfId="1444"/>
    <cellStyle name="汇总 3 2 5 3" xfId="1445"/>
    <cellStyle name="输出 2 4 4 4 2 2" xfId="1446"/>
    <cellStyle name="常规 2 3 2 4 2 2" xfId="1447"/>
    <cellStyle name="注释 2 2 3 2 2 2 2 2" xfId="1448"/>
    <cellStyle name="强调文字颜色 5 2 3 2 3 3 3" xfId="1449"/>
    <cellStyle name="强调文字颜色 4 2 2 2 3 2 2" xfId="1450"/>
    <cellStyle name="强调文字颜色 3 2 2 6 2 2" xfId="1451"/>
    <cellStyle name="汇总 2 4 3 7" xfId="1452"/>
    <cellStyle name="20% - 强调文字颜色 6 2 2 2 7 2" xfId="1453"/>
    <cellStyle name="常规 6 2 5 2" xfId="1454"/>
    <cellStyle name="输出 2 2 3 3 2 3 3" xfId="1455"/>
    <cellStyle name="计算 2 9 5 2 2" xfId="1456"/>
    <cellStyle name="好 3 2 3 3" xfId="1457"/>
    <cellStyle name="解释性文本 2 2 2 6" xfId="1458"/>
    <cellStyle name="警告文本 2 5 4" xfId="1459"/>
    <cellStyle name="计算 3 7 2 2" xfId="1460"/>
    <cellStyle name="汇总 2 5 2 2 2 7" xfId="1461"/>
    <cellStyle name="链接单元格 2 3 6" xfId="1462"/>
    <cellStyle name="计算 2 2 6 2 2 8" xfId="1463"/>
    <cellStyle name="强调文字颜色 5 6 2" xfId="1464"/>
    <cellStyle name="好 3 2 3 2 3" xfId="1465"/>
    <cellStyle name="计算 2 2 5 3 2" xfId="1466"/>
    <cellStyle name="输出 2 2 7 11" xfId="1467"/>
    <cellStyle name="汇总 2 7 5 3 3" xfId="1468"/>
    <cellStyle name="输出 2 5 2 3 5" xfId="1469"/>
    <cellStyle name="注释 2 3 2 7 2" xfId="1470"/>
    <cellStyle name="计算 2 5 5 2" xfId="1471"/>
    <cellStyle name="强调文字颜色 3 2 4 4" xfId="1472"/>
    <cellStyle name="汇总 2 2 4 6 4 2" xfId="1473"/>
    <cellStyle name="输出 2 3 2 2 2 3 3" xfId="1474"/>
    <cellStyle name="汇总 2 2 7 6 3" xfId="1475"/>
    <cellStyle name="汇总 2 2 2 2 2 2 2 4 2" xfId="1476"/>
    <cellStyle name="40% - 强调文字颜色 5 2 2 2 2 3 2" xfId="1477"/>
    <cellStyle name="百分比 2 2 3 2 2 2" xfId="1478"/>
    <cellStyle name="40% - 强调文字颜色 3 2 3 6 2 2" xfId="1479"/>
    <cellStyle name="标题 2 2 2 2 3 7" xfId="1480"/>
    <cellStyle name="20% - 强调文字颜色 3 2 2 2 2 2 4 3" xfId="1481"/>
    <cellStyle name="强调文字颜色 5 2 6 3" xfId="1482"/>
    <cellStyle name="汇总 2 2 8 4 7" xfId="1483"/>
    <cellStyle name="计算 2 3 4 2 2 2 2" xfId="1484"/>
    <cellStyle name="差 2 2 2 4 3 2" xfId="1485"/>
    <cellStyle name="汇总 2 7 15" xfId="1486"/>
    <cellStyle name="强调文字颜色 5 2 2 4 3 3 2" xfId="1487"/>
    <cellStyle name="输入 2 2 2 2 2 4" xfId="1488"/>
    <cellStyle name="汇总 2 9 6 3" xfId="1489"/>
    <cellStyle name="输入 3 2 3 2 2 2" xfId="1490"/>
    <cellStyle name="强调文字颜色 1 2 2 2 4 2" xfId="1491"/>
    <cellStyle name="60% - 强调文字颜色 2 2 9" xfId="1492"/>
    <cellStyle name="计算 2 17" xfId="1493"/>
    <cellStyle name="输出 2 6 2 4" xfId="1494"/>
    <cellStyle name="输入 2 2 4 3 2 2 2 2" xfId="1495"/>
    <cellStyle name="解释性文本 2 5 3 2" xfId="1496"/>
    <cellStyle name="警告文本 2 2 2 2 3 3 2" xfId="1497"/>
    <cellStyle name="汇总 2 4 4 5 2" xfId="1498"/>
    <cellStyle name="输入 2 7 2" xfId="1499"/>
    <cellStyle name="计算 2 2 11 7" xfId="1500"/>
    <cellStyle name="汇总 3 3 7 2" xfId="1501"/>
    <cellStyle name="注释 2 2 4 4 2 3 2" xfId="1502"/>
    <cellStyle name="常规 10 4 3 5" xfId="1503"/>
    <cellStyle name="输入 2 2 10" xfId="1504"/>
    <cellStyle name="强调文字颜色 5 2 3 6" xfId="1505"/>
    <cellStyle name="注释 2 4 9 2" xfId="1506"/>
    <cellStyle name="40% - 强调文字颜色 1 3 2 2 2 2 2 2" xfId="1507"/>
    <cellStyle name="计算 3 3 2 5 2" xfId="1508"/>
    <cellStyle name="常规 9 2 2 2 2 2 2 2" xfId="1509"/>
    <cellStyle name="汇总 2 2 7 3 4 3" xfId="1510"/>
    <cellStyle name="60% - 强调文字颜色 4 2 2 2 3 3" xfId="1511"/>
    <cellStyle name="输入 2 2 2 4 2 2 3" xfId="1512"/>
    <cellStyle name="强调文字颜色 1 2 3 2 4 2 2" xfId="1513"/>
    <cellStyle name="40% - 强调文字颜色 3 5 2" xfId="1514"/>
    <cellStyle name="检查单元格 2 4 6" xfId="1515"/>
    <cellStyle name="输入 2 2 7 2 2 2" xfId="1516"/>
    <cellStyle name="汇总 2 3 4 6" xfId="1517"/>
    <cellStyle name="输入 2 4 3 5 3" xfId="1518"/>
    <cellStyle name="链接单元格 2 4" xfId="1519"/>
    <cellStyle name="注释 2 2 3 2 3 5 2" xfId="1520"/>
    <cellStyle name="警告文本 2 3 3 6" xfId="1521"/>
    <cellStyle name="强调文字颜色 1 2 2 2 3 2 2 2" xfId="1522"/>
    <cellStyle name="输入 2 2 2 4 5 2" xfId="1523"/>
    <cellStyle name="计算 2 5 4 3 3" xfId="1524"/>
    <cellStyle name="汇总 2 11 7" xfId="1525"/>
    <cellStyle name="计算 2 2 2 3 2 3 3" xfId="1526"/>
    <cellStyle name="40% - 强调文字颜色 4 2 4 3 2" xfId="1527"/>
    <cellStyle name="常规 2 2 3 5 2" xfId="1528"/>
    <cellStyle name="解释性文本 2 2 6 3 2" xfId="1529"/>
    <cellStyle name="计算 3 2 2 7" xfId="1530"/>
    <cellStyle name="输入 2 3 3 3 3" xfId="1531"/>
    <cellStyle name="标题 3 3 2 3 2 2" xfId="1532"/>
    <cellStyle name="计算 2 2 7 4 3 2 2" xfId="1533"/>
    <cellStyle name="注释 2 4 4 2 4" xfId="1534"/>
    <cellStyle name="输出 2 2 3 6 2 2" xfId="1535"/>
    <cellStyle name="检查单元格 2 7" xfId="1536"/>
    <cellStyle name="输入 2 5 2 4 2 3" xfId="1537"/>
    <cellStyle name="计算 3 5 3 3" xfId="1538"/>
    <cellStyle name="好 2 3 6 2" xfId="1539"/>
    <cellStyle name="40% - 强调文字颜色 5 2 6 2" xfId="1540"/>
    <cellStyle name="汇总 2 2 2 4 2 6" xfId="1541"/>
    <cellStyle name="强调文字颜色 3 2 2 4 3 3 2" xfId="1542"/>
    <cellStyle name="注释 2 8 2 2" xfId="1543"/>
    <cellStyle name="汇总 2 2 4 8 2" xfId="1544"/>
    <cellStyle name="差 2 2 2 3 2 2 2 3" xfId="1545"/>
    <cellStyle name="常规 6 3 4 3 2 2" xfId="1546"/>
    <cellStyle name="40% - 强调文字颜色 4 2 2 2 3 2 2 2 2" xfId="1547"/>
    <cellStyle name="标题 1 2 6 4" xfId="1548"/>
    <cellStyle name="强调文字颜色 4 2 2 3 4 4" xfId="1549"/>
    <cellStyle name="输入 2 2 4 2 2 2 3 3" xfId="1550"/>
    <cellStyle name="输入 2 4 2 10" xfId="1551"/>
    <cellStyle name="强调文字颜色 6 2 3 4 3 2" xfId="1552"/>
    <cellStyle name="计算 2 6 3 2 4 2 2" xfId="1553"/>
    <cellStyle name="强调文字颜色 5 2 2 4 3 4" xfId="1554"/>
    <cellStyle name="注释 3 3 7 2" xfId="1555"/>
    <cellStyle name="检查单元格 2 3 5 2 2 2" xfId="1556"/>
    <cellStyle name="检查单元格 2 2 2 4 3 3" xfId="1557"/>
    <cellStyle name="输入 3 2 3 2 3" xfId="1558"/>
    <cellStyle name="60% - 强调文字颜色 3 4 3 2" xfId="1559"/>
    <cellStyle name="计算 2 2 5 4 6 2" xfId="1560"/>
    <cellStyle name="汇总 2 2 3 2 2" xfId="1561"/>
    <cellStyle name="解释性文本 2 4" xfId="1562"/>
    <cellStyle name="链接单元格 3 2 2 3" xfId="1563"/>
    <cellStyle name="标题 6 2 4 2" xfId="1564"/>
    <cellStyle name="输入 2 2 6 7 2 2" xfId="1565"/>
    <cellStyle name="解释性文本 3 7 2 2" xfId="1566"/>
    <cellStyle name="20% - 强调文字颜色 6 2 2 2 2 3 3" xfId="1567"/>
    <cellStyle name="常规 7 2 2 4 2" xfId="1568"/>
    <cellStyle name="计算 2 5 8 2" xfId="1569"/>
    <cellStyle name="注释 4 2 2 3" xfId="1570"/>
    <cellStyle name="超链接 2 3 3 5" xfId="1571"/>
    <cellStyle name="注释 2 4 5 2 2 2 2" xfId="1572"/>
    <cellStyle name="计算 2 5 2 3 3 2" xfId="1573"/>
    <cellStyle name="输出 2 5 2 2 3 2 2" xfId="1574"/>
    <cellStyle name="强调文字颜色 3 2 7 2" xfId="1575"/>
    <cellStyle name="输出 2 5 2 2 2 5" xfId="1576"/>
    <cellStyle name="汇总 2 2 4 2 3" xfId="1577"/>
    <cellStyle name="强调文字颜色 6 2 2 2 2 2 4" xfId="1578"/>
    <cellStyle name="解释性文本 2 2 6 3" xfId="1579"/>
    <cellStyle name="常规 2 2 3 5" xfId="1580"/>
    <cellStyle name="40% - 强调文字颜色 4 2 4 3" xfId="1581"/>
    <cellStyle name="汇总 2 2 2 4 8" xfId="1582"/>
    <cellStyle name="输出 2 2 2 4 3 2" xfId="1583"/>
    <cellStyle name="计算 2 8 8 2" xfId="1584"/>
    <cellStyle name="检查单元格 2 2 6 2 3" xfId="1585"/>
    <cellStyle name="输出 2 8 3 2" xfId="1586"/>
    <cellStyle name="汇总 2 6 2 7 3" xfId="1587"/>
    <cellStyle name="输出 2 2 4 5 2 2" xfId="1588"/>
    <cellStyle name="输入 2 2 2 3 3 2" xfId="1589"/>
    <cellStyle name="注释 2 5 3 2 4" xfId="1590"/>
    <cellStyle name="输出 2 7 2 2 2 2" xfId="1591"/>
    <cellStyle name="汇总 2 2 2 6" xfId="1592"/>
    <cellStyle name="输入 2 4 2 3 3" xfId="1593"/>
    <cellStyle name="常规 2 3 2 5 2" xfId="1594"/>
    <cellStyle name="输出 2 4 4 5 2" xfId="1595"/>
    <cellStyle name="计算 2 2 7 3 2 2 2 2" xfId="1596"/>
    <cellStyle name="标题 2 2 5 3 3" xfId="1597"/>
    <cellStyle name="40% - 强调文字颜色 5 2 3 3 2 2 2 2 2" xfId="1598"/>
    <cellStyle name="输出 2 2 3 8 2 2" xfId="1599"/>
    <cellStyle name="输出 2 2 7 2 2 2 2" xfId="1600"/>
    <cellStyle name="强调文字颜色 4 2 2 2 3 2" xfId="1601"/>
    <cellStyle name="常规 10 5 2 4" xfId="1602"/>
    <cellStyle name="汇总 2 5 4 7 2" xfId="1603"/>
    <cellStyle name="汇总 2 5 4 2 4 3" xfId="1604"/>
    <cellStyle name="注释 2 4 5 2 3" xfId="1605"/>
    <cellStyle name="强调文字颜色 4 2 2 2 4 3 2 2" xfId="1606"/>
    <cellStyle name="输出 2 7 2 3 3" xfId="1607"/>
    <cellStyle name="计算 2 2 7 3 2 3 3" xfId="1608"/>
    <cellStyle name="汇总 2 2 4 2 2 8" xfId="1609"/>
    <cellStyle name="40% - 强调文字颜色 3 4" xfId="1610"/>
    <cellStyle name="20% - 强调文字颜色 4 2 5 4 2" xfId="1611"/>
    <cellStyle name="输出 2 2 4 6 3" xfId="1612"/>
    <cellStyle name="汇总 2 2 7 2 3 2 2" xfId="1613"/>
    <cellStyle name="20% - 强调文字颜色 3 2 2 2 2 2 2 2" xfId="1614"/>
    <cellStyle name="强调文字颜色 5 2 4 2" xfId="1615"/>
    <cellStyle name="汇总 2 3 3 8" xfId="1616"/>
    <cellStyle name="注释 3 7 2" xfId="1617"/>
    <cellStyle name="强调文字颜色 3 2 2 5 2 3" xfId="1618"/>
    <cellStyle name="常规 6 2 2 2 3 3" xfId="1619"/>
    <cellStyle name="输入 2 4 8 2 2" xfId="1620"/>
    <cellStyle name="60% - 强调文字颜色 4 2 2 2 3 2 2" xfId="1621"/>
    <cellStyle name="输入 2 2 6 3 7" xfId="1622"/>
    <cellStyle name="计算 2 3 4 2 4 2" xfId="1623"/>
    <cellStyle name="差 2 2 2 6 3" xfId="1624"/>
    <cellStyle name="40% - 强调文字颜色 5 2 2 2 4 3" xfId="1625"/>
    <cellStyle name="标题 2 2 3 5 2 2 2" xfId="1626"/>
    <cellStyle name="常规 4 5 2 3" xfId="1627"/>
    <cellStyle name="常规 4 2 3 2 3" xfId="1628"/>
    <cellStyle name="常规 7 4 3" xfId="1629"/>
    <cellStyle name="汇总 2 7 9 2" xfId="1630"/>
    <cellStyle name="常规 11 4 2 2" xfId="1631"/>
    <cellStyle name="输出 2 2 4 2 4 3" xfId="1632"/>
    <cellStyle name="60% - 强调文字颜色 5 3 5" xfId="1633"/>
    <cellStyle name="链接单元格 3 2 2 2 2" xfId="1634"/>
    <cellStyle name="计算 2 2 7 3 8" xfId="1635"/>
    <cellStyle name="解释性文本 2 3 2" xfId="1636"/>
    <cellStyle name="40% - 强调文字颜色 4 2 2 4 4 2" xfId="1637"/>
    <cellStyle name="输出 2 3 4 3" xfId="1638"/>
    <cellStyle name="常规 2 2 2 3" xfId="1639"/>
    <cellStyle name="40% - 强调文字颜色 3 2 3 2 2 3 3" xfId="1640"/>
    <cellStyle name="输入 2 5 3 3 4" xfId="1641"/>
    <cellStyle name="汇总 2 2 2 3 6" xfId="1642"/>
    <cellStyle name="60% - 强调文字颜色 3 2 2 2 4 3" xfId="1643"/>
    <cellStyle name="计算 2 2 3 7 3" xfId="1644"/>
    <cellStyle name="输入 2 2 3 4 3 3" xfId="1645"/>
    <cellStyle name="适中 2 2 2 8" xfId="1646"/>
    <cellStyle name="输出 2 6 2 4 2" xfId="1647"/>
    <cellStyle name="输入 2 2 4 3 2 2 2 2 2" xfId="1648"/>
    <cellStyle name="解释性文本 2 5 3 2 2" xfId="1649"/>
    <cellStyle name="输入 2 2 7 3 2 5" xfId="1650"/>
    <cellStyle name="汇总 2 2 3 2 3 3 2 2" xfId="1651"/>
    <cellStyle name="适中 3 2" xfId="1652"/>
    <cellStyle name="40% - 强调文字颜色 3 3 5 2 2 2" xfId="1653"/>
    <cellStyle name="注释 2 2 3 4 3 2 2" xfId="1654"/>
    <cellStyle name="40% - 强调文字颜色 3 2 3 3 2 2 2" xfId="1655"/>
    <cellStyle name="输出 3 3 3 2" xfId="1656"/>
    <cellStyle name="汇总 2 2 4 2 3 2 7" xfId="1657"/>
    <cellStyle name="汇总 2 3 2 2 5" xfId="1658"/>
    <cellStyle name="汇总 2 3 6 5" xfId="1659"/>
    <cellStyle name="输出 2 4 2 2 3" xfId="1660"/>
    <cellStyle name="常规 9 2 3 4" xfId="1661"/>
    <cellStyle name="输入 2 2 4 3 7" xfId="1662"/>
    <cellStyle name="常规 8 2 4 2 2" xfId="1663"/>
    <cellStyle name="输出 3 2 8" xfId="1664"/>
    <cellStyle name="汇总 2 6 10 3" xfId="1665"/>
    <cellStyle name="输出 3 2 2 4 2" xfId="1666"/>
    <cellStyle name="计算 2 5 2 3 2 4 2 2" xfId="1667"/>
    <cellStyle name="20% - 强调文字颜色 2 2 3 2 2 4 2" xfId="1668"/>
    <cellStyle name="检查单元格 3 3 3" xfId="1669"/>
    <cellStyle name="输出 2 8 7" xfId="1670"/>
    <cellStyle name="40% - 强调文字颜色 1 2 2 2 2 3 3" xfId="1671"/>
    <cellStyle name="汇总 2 4 3 3" xfId="1672"/>
    <cellStyle name="解释性文本 2 3 2 6 2" xfId="1673"/>
    <cellStyle name="计算 3 2 3 3 3" xfId="1674"/>
    <cellStyle name="汇总 2 2 6 4 2 4" xfId="1675"/>
    <cellStyle name="常规 4 2 3 3 2" xfId="1676"/>
    <cellStyle name="常规 7 5 2" xfId="1677"/>
    <cellStyle name="输出 2 6 2 5 2 2" xfId="1678"/>
    <cellStyle name="60% - 强调文字颜色 5 3 3 4" xfId="1679"/>
    <cellStyle name="60% - 强调文字颜色 6 2 3 2 2 2 2 2 2" xfId="1680"/>
    <cellStyle name="60% - 强调文字颜色 5 2 2 2 2 4 2 2 2" xfId="1681"/>
    <cellStyle name="标题 3 2 3 5 2 2" xfId="1682"/>
    <cellStyle name="汇总 2 7 4 2 7" xfId="1683"/>
    <cellStyle name="60% - 强调文字颜色 4 5 2 2 2" xfId="1684"/>
    <cellStyle name="汇总 3 2 2 4 3" xfId="1685"/>
    <cellStyle name="常规 12 2 2 2 3" xfId="1686"/>
    <cellStyle name="输出 2 2 2 2 2 5 2 2" xfId="1687"/>
    <cellStyle name="40% - 强调文字颜色 3 4 2 2 2 2 2" xfId="1688"/>
    <cellStyle name="注释 2 4 2 3 3 2 2" xfId="1689"/>
    <cellStyle name="强调文字颜色 2 2 5 3 3" xfId="1690"/>
    <cellStyle name="计算 2 2 3 4 3 2" xfId="1691"/>
    <cellStyle name="20% - 强调文字颜色 4 4 3" xfId="1692"/>
    <cellStyle name="40% - 强调文字颜色 6 2 2 2 2 2 4 3 2" xfId="1693"/>
    <cellStyle name="常规 3 3 7 3" xfId="1694"/>
    <cellStyle name="注释 2 2 4 3 7" xfId="1695"/>
    <cellStyle name="强调文字颜色 1 2 4" xfId="1696"/>
    <cellStyle name="汇总 2 2 3 2 4 2 2" xfId="1697"/>
    <cellStyle name="20% - 强调文字颜色 5 2 2 2 5 2 2 2" xfId="1698"/>
    <cellStyle name="输入 2 5 4 2 2 2 2" xfId="1699"/>
    <cellStyle name="解释性文本 2 6 2 2" xfId="1700"/>
    <cellStyle name="常规 13 2" xfId="1701"/>
    <cellStyle name="差 2 3 2 4 3 2" xfId="1702"/>
    <cellStyle name="好 4 3 2" xfId="1703"/>
    <cellStyle name="标题 3 2 3 2 5 2 2" xfId="1704"/>
    <cellStyle name="20% - 强调文字颜色 3 2 3 2 5 2 2 2" xfId="1705"/>
    <cellStyle name="注释 3 4 2 3" xfId="1706"/>
    <cellStyle name="常规 5 2 2 3 4 2" xfId="1707"/>
    <cellStyle name="汇总 3 9 2 2" xfId="1708"/>
    <cellStyle name="强调文字颜色 3 2 2 4 6" xfId="1709"/>
    <cellStyle name="适中 3 2 2" xfId="1710"/>
    <cellStyle name="适中 2 4 2 2 2 3" xfId="1711"/>
    <cellStyle name="汇总 2 3 2 2 5 2" xfId="1712"/>
    <cellStyle name="输入 2 6 3 2 3 2" xfId="1713"/>
    <cellStyle name="超链接 3 2 2 2 3 2" xfId="1714"/>
    <cellStyle name="输出 3 3 3 2 2" xfId="1715"/>
    <cellStyle name="20% - 强调文字颜色 1 2 5 5" xfId="1716"/>
    <cellStyle name="40% - 强调文字颜色 3 2 2 4 3 3 2" xfId="1717"/>
    <cellStyle name="汇总 2 2 11 6" xfId="1718"/>
    <cellStyle name="20% - 强调文字颜色 2 2 2 2 2 2 5 2 2" xfId="1719"/>
    <cellStyle name="常规 11 4 4" xfId="1720"/>
    <cellStyle name="警告文本 2 2 2 2 3" xfId="1721"/>
    <cellStyle name="强调文字颜色 1 2 3 7" xfId="1722"/>
    <cellStyle name="40% - 强调文字颜色 2 3 3 3 2 2" xfId="1723"/>
    <cellStyle name="输出 2 5 2 2 2 2 2" xfId="1724"/>
    <cellStyle name="常规 2 2 2 3 2 2 2" xfId="1725"/>
    <cellStyle name="常规 13 2 2 2 2 3 2 2" xfId="1726"/>
    <cellStyle name="输出 2 2 4 2 2 2 4" xfId="1727"/>
    <cellStyle name="差 2 3 3 2 3" xfId="1728"/>
    <cellStyle name="40% - 强调文字颜色 3 2 3 2 4 2" xfId="1729"/>
    <cellStyle name="注释 2 2 3 3 5 2" xfId="1730"/>
    <cellStyle name="输出 2 5 3" xfId="1731"/>
    <cellStyle name="超链接 2 2 2 2 2 3" xfId="1732"/>
    <cellStyle name="超链接 2 4 3 2 2" xfId="1733"/>
    <cellStyle name="注释 2 2 6 2 2 5" xfId="1734"/>
    <cellStyle name="计算 2 2 6 12" xfId="1735"/>
    <cellStyle name="计算 2 9 6" xfId="1736"/>
    <cellStyle name="输出 4 8" xfId="1737"/>
    <cellStyle name="标题 2 2 2 2 2 3 3 2" xfId="1738"/>
    <cellStyle name="40% - 强调文字颜色 2 2 5 3 3 2" xfId="1739"/>
    <cellStyle name="链接单元格 2 5 2 2 2" xfId="1740"/>
    <cellStyle name="注释 2 2 5 2 3 2 2" xfId="1741"/>
    <cellStyle name="计算 2 2 11 3 3" xfId="1742"/>
    <cellStyle name="警告文本 2 2 2 5 2" xfId="1743"/>
    <cellStyle name="输出 2 2 3 3 2 7" xfId="1744"/>
    <cellStyle name="汇总 3 4 4 3" xfId="1745"/>
    <cellStyle name="差 3 3 2 2 2 2" xfId="1746"/>
    <cellStyle name="输入 2 4 2 4 2 2" xfId="1747"/>
    <cellStyle name="汇总 2 2 3 5 2" xfId="1748"/>
    <cellStyle name="差 2 4" xfId="1749"/>
    <cellStyle name="超链接 3 5 2 4" xfId="1750"/>
    <cellStyle name="60% - 强调文字颜色 3 3 5 2 2 2" xfId="1751"/>
    <cellStyle name="60% - 强调文字颜色 2 2 4 3 2 2 2" xfId="1752"/>
    <cellStyle name="标题 4 2 2 7 2 2" xfId="1753"/>
    <cellStyle name="计算 2 2 2 3 6 3" xfId="1754"/>
    <cellStyle name="汇总 2 2 2 4 2 2 2" xfId="1755"/>
    <cellStyle name="汇总 3 3 3 3 2 2" xfId="1756"/>
    <cellStyle name="输出 2 5 3 3" xfId="1757"/>
    <cellStyle name="汇总 3 2 6 2 2" xfId="1758"/>
    <cellStyle name="超链接 3 7 3" xfId="1759"/>
    <cellStyle name="强调文字颜色 6 3 3 2 2" xfId="1760"/>
    <cellStyle name="输入 2 7 2 2 4" xfId="1761"/>
    <cellStyle name="计算 2 8 2 5" xfId="1762"/>
    <cellStyle name="计算 3 3 3 2 3" xfId="1763"/>
    <cellStyle name="常规 5 3 2 2 3 3 2 2" xfId="1764"/>
    <cellStyle name="汇总 2 2 3 2 2 2 5 2" xfId="1765"/>
    <cellStyle name="汇总 2 2 6 2 2 4 2" xfId="1766"/>
    <cellStyle name="标题 1 3 2 4 2 3" xfId="1767"/>
    <cellStyle name="标题 2 2 2 3" xfId="1768"/>
    <cellStyle name="差 2 2 2 5 3" xfId="1769"/>
    <cellStyle name="计算 2 3 4 2 3 2" xfId="1770"/>
    <cellStyle name="汇总 2 2 5 2 3 4 2 2" xfId="1771"/>
    <cellStyle name="标题 2 2 2 2 4 2 3" xfId="1772"/>
    <cellStyle name="注释 2 2 2 2 8 2" xfId="1773"/>
    <cellStyle name="好 2 2 7 2 2" xfId="1774"/>
    <cellStyle name="强调文字颜色 1 2 2 2 4 4" xfId="1775"/>
    <cellStyle name="常规 3 3 4 2 2 2" xfId="1776"/>
    <cellStyle name="常规 5 2 2 2 2 3" xfId="1777"/>
    <cellStyle name="20% - 强调文字颜色 4 2 3 4 2 2 2" xfId="1778"/>
    <cellStyle name="常规 5 4 2 5" xfId="1779"/>
    <cellStyle name="计算 2 3 9 2" xfId="1780"/>
    <cellStyle name="输入 5 4 2 2" xfId="1781"/>
    <cellStyle name="汇总 2 2 5 3 2 2 3" xfId="1782"/>
    <cellStyle name="输出 2 2 4 2 4 2" xfId="1783"/>
    <cellStyle name="标题 4 5 2 3" xfId="1784"/>
    <cellStyle name="常规 5 2 2 2 2 5 3" xfId="1785"/>
    <cellStyle name="强调文字颜色 6 2 2 3 5 2" xfId="1786"/>
    <cellStyle name="输入 2 2 7 2 2 4" xfId="1787"/>
    <cellStyle name="汇总 2 2 2 2 2 2 2 3" xfId="1788"/>
    <cellStyle name="标题 2 2 2 2 6 2 2 2" xfId="1789"/>
    <cellStyle name="汇总 2 3 4 8" xfId="1790"/>
    <cellStyle name="注释 3 8 2" xfId="1791"/>
    <cellStyle name="输入 2 2 3 2 2 4 2 2" xfId="1792"/>
    <cellStyle name="标题 2 2 2 2 2 2 2 2 2 2" xfId="1793"/>
    <cellStyle name="强调文字颜色 3 2 2 5 3 3" xfId="1794"/>
    <cellStyle name="超链接 2 3 7 3" xfId="1795"/>
    <cellStyle name="差 2 3 3 2 2 2 2 2" xfId="1796"/>
    <cellStyle name="60% - 强调文字颜色 5 2 2 2 8" xfId="1797"/>
    <cellStyle name="40% - 强调文字颜色 2 3 3 3 2" xfId="1798"/>
    <cellStyle name="汇总 2 4 2 2 2 3 3" xfId="1799"/>
    <cellStyle name="输出 2 5 2 2 2 2" xfId="1800"/>
    <cellStyle name="20% - 强调文字颜色 6 2 2 2 2 2 3 2 2" xfId="1801"/>
    <cellStyle name="计算 2 2 4 2 4 3 3" xfId="1802"/>
    <cellStyle name="常规 7 2 2 3 2 2 2" xfId="1803"/>
    <cellStyle name="输出 2 3 3 2 5" xfId="1804"/>
    <cellStyle name="计算 4 8" xfId="1805"/>
    <cellStyle name="汇总 2 5 6 2 3" xfId="1806"/>
    <cellStyle name="汇总 2 6 7 3" xfId="1807"/>
    <cellStyle name="汇总 2 6 3 5 2" xfId="1808"/>
    <cellStyle name="计算 2 2 4 2 3 2 2 3" xfId="1809"/>
    <cellStyle name="输入 2 3 7" xfId="1810"/>
    <cellStyle name="20% - 强调文字颜色 5 2 3 2 3 2 2 2 2" xfId="1811"/>
    <cellStyle name="汇总 2 2 3 4 2 3 2" xfId="1812"/>
    <cellStyle name="输入 2 3 4 5 2" xfId="1813"/>
    <cellStyle name="注释 2 3 2" xfId="1814"/>
    <cellStyle name="常规 5 5 5" xfId="1815"/>
    <cellStyle name="超链接 2 2 7" xfId="1816"/>
    <cellStyle name="注释 2 2 5 2 3 3" xfId="1817"/>
    <cellStyle name="输入 2 8 2" xfId="1818"/>
    <cellStyle name="40% - 强调文字颜色 1 2 2 4 4 2 2" xfId="1819"/>
    <cellStyle name="汇总 2 2 4 2 6 3 3" xfId="1820"/>
    <cellStyle name="强调文字颜色 5 3 5" xfId="1821"/>
    <cellStyle name="20% - 强调文字颜色 3 2 2 2 2 3 3" xfId="1822"/>
    <cellStyle name="输出 7 2" xfId="1823"/>
    <cellStyle name="标题 4 2 4 3 2" xfId="1824"/>
    <cellStyle name="汇总 2 2 8" xfId="1825"/>
    <cellStyle name="标题 4 6 2 3" xfId="1826"/>
    <cellStyle name="汇总 2 2 7 2 4 3" xfId="1827"/>
    <cellStyle name="注释 2 4 2 4" xfId="1828"/>
    <cellStyle name="常规 5 2 4 3 2" xfId="1829"/>
    <cellStyle name="输出 2 2 3 2 2 2 4 2" xfId="1830"/>
    <cellStyle name="计算 2 4 2 2 3 3" xfId="1831"/>
    <cellStyle name="超链接 3 3 3 3" xfId="1832"/>
    <cellStyle name="输入 2 7 4 3" xfId="1833"/>
    <cellStyle name="输出 2 4 3 2 8" xfId="1834"/>
    <cellStyle name="好 2 3 2 2 4" xfId="1835"/>
    <cellStyle name="常规 2 4 2 2 2 2" xfId="1836"/>
    <cellStyle name="输入 3 2 6 3" xfId="1837"/>
    <cellStyle name="输出 2 5 4 2 2 2" xfId="1838"/>
    <cellStyle name="标题 2 2 2 2 4 3" xfId="1839"/>
    <cellStyle name="汇总 2 2 8 5 3" xfId="1840"/>
    <cellStyle name="20% - 强调文字颜色 5 2 3 2 2 2 2 2 2 2" xfId="1841"/>
    <cellStyle name="汇总 2 7 2 5 3" xfId="1842"/>
    <cellStyle name="汇总 2 2 2 4 2 3 2 2" xfId="1843"/>
    <cellStyle name="计算 2 2 2 5 2" xfId="1844"/>
    <cellStyle name="输出 2 6" xfId="1845"/>
    <cellStyle name="强调文字颜色 6 3 3" xfId="1846"/>
    <cellStyle name="汇总 2 2 3 3 3 4 2" xfId="1847"/>
    <cellStyle name="60% - 强调文字颜色 3 2 2 3 3 2 2 2" xfId="1848"/>
    <cellStyle name="强调文字颜色 5 2 2 2 3 3 2" xfId="1849"/>
    <cellStyle name="20% - 强调文字颜色 1 2 2 6 2 2" xfId="1850"/>
    <cellStyle name="输入 2 5 3 2 8" xfId="1851"/>
    <cellStyle name="解释性文本 2 2 4 5" xfId="1852"/>
    <cellStyle name="汇总 2 3 2 2 2 3 2 2" xfId="1853"/>
    <cellStyle name="输出 2 3 3 7" xfId="1854"/>
    <cellStyle name="汇总 2 2 7 3 4 2" xfId="1855"/>
    <cellStyle name="汇总 3 2 7" xfId="1856"/>
    <cellStyle name="警告文本 2 2 3 4 3 2" xfId="1857"/>
    <cellStyle name="40% - 强调文字颜色 1 2 2 4 3" xfId="1858"/>
    <cellStyle name="汇总 4 5" xfId="1859"/>
    <cellStyle name="标题 4 2 2 2 6 2 2" xfId="1860"/>
    <cellStyle name="汇总 2 2 4 4 3 2" xfId="1861"/>
    <cellStyle name="超链接 3 5 3 4" xfId="1862"/>
    <cellStyle name="检查单元格 2 3 5 2 2" xfId="1863"/>
    <cellStyle name="注释 3 3 7" xfId="1864"/>
    <cellStyle name="汇总 2 5 2 2 3 2 2 2" xfId="1865"/>
    <cellStyle name="常规 4 2 2 4 2" xfId="1866"/>
    <cellStyle name="常规 5 2 3 4 2 3 3" xfId="1867"/>
    <cellStyle name="输入 2 17" xfId="1868"/>
    <cellStyle name="好 3 3 3 2 2" xfId="1869"/>
    <cellStyle name="解释性文本 2 2 3 2 3" xfId="1870"/>
    <cellStyle name="输出 2 3 2 4 3" xfId="1871"/>
    <cellStyle name="说明文本 4 2" xfId="1872"/>
    <cellStyle name="常规 3 3 6 3 2 2" xfId="1873"/>
    <cellStyle name="强调文字颜色 6 2 3 2 5" xfId="1874"/>
    <cellStyle name="好 2 2 2 4" xfId="1875"/>
    <cellStyle name="强调文字颜色 2 3 5" xfId="1876"/>
    <cellStyle name="强调文字颜色 1 2 5 2" xfId="1877"/>
    <cellStyle name="汇总 2 8 2 5 2" xfId="1878"/>
    <cellStyle name="常规 6 2 2 2 4 3 2" xfId="1879"/>
    <cellStyle name="常规 5 6 5" xfId="1880"/>
    <cellStyle name="常规 4 3 4 5" xfId="1881"/>
    <cellStyle name="汇总 2 7 2 3" xfId="1882"/>
    <cellStyle name="40% - 强调文字颜色 6 2 2 2 5" xfId="1883"/>
    <cellStyle name="注释 2 2 5 2 4 3" xfId="1884"/>
    <cellStyle name="解释性文本 2 2 3 2 2 2 2 2" xfId="1885"/>
    <cellStyle name="超链接 2 3 7" xfId="1886"/>
    <cellStyle name="警告文本 2 2 3 6" xfId="1887"/>
    <cellStyle name="注释 2 2 3 2 2 5 2" xfId="1888"/>
    <cellStyle name="标题 3 2 5 2 2 3" xfId="1889"/>
    <cellStyle name="好 2 2 2 3 2 2 2" xfId="1890"/>
    <cellStyle name="输出 2 2 5 3 7" xfId="1891"/>
    <cellStyle name="注释 2 2 6 2 2" xfId="1892"/>
    <cellStyle name="差 2 3 5" xfId="1893"/>
    <cellStyle name="计算 2 2 6 3 4 3" xfId="1894"/>
    <cellStyle name="汇总 2 5 2 3 4 2" xfId="1895"/>
    <cellStyle name="常规 14 3" xfId="1896"/>
    <cellStyle name="强调文字颜色 6 2 2 3 2 2 2" xfId="1897"/>
    <cellStyle name="好 4 4 3" xfId="1898"/>
    <cellStyle name="强调文字颜色 1 4 2 2 2" xfId="1899"/>
    <cellStyle name="常规 5 2 2 2 2 2 3 2" xfId="1900"/>
    <cellStyle name="强调文字颜色 5 2 3 3 6" xfId="1901"/>
    <cellStyle name="40% - 强调文字颜色 4 2 3 2 4 2 2 2" xfId="1902"/>
    <cellStyle name="汇总 2 7 2 7" xfId="1903"/>
    <cellStyle name="汇总 2 4 2 4 2 2 2" xfId="1904"/>
    <cellStyle name="标题 2 2 2 2 3 2" xfId="1905"/>
    <cellStyle name="汇总 2 2 2 2 2 2 6" xfId="1906"/>
    <cellStyle name="输入 3 2 5 2" xfId="1907"/>
    <cellStyle name="40% - 强调文字颜色 1 2 2 2 2 2 4 2 2 2" xfId="1908"/>
    <cellStyle name="常规 5 2 2 3 5 3" xfId="1909"/>
    <cellStyle name="汇总 2 2 8 4 2" xfId="1910"/>
    <cellStyle name="强调文字颜色 5 2 3 2 2 5" xfId="1911"/>
    <cellStyle name="强调文字颜色 4 2 2 2 2 7" xfId="1912"/>
    <cellStyle name="60% - 强调文字颜色 5 2 2 4 3 3" xfId="1913"/>
    <cellStyle name="链接单元格 2 2 3 4 2 2 2" xfId="1914"/>
    <cellStyle name="强调文字颜色 6 2 4 2 2 3" xfId="1915"/>
    <cellStyle name="适中 3 3 3" xfId="1916"/>
    <cellStyle name="汇总 2 7 10" xfId="1917"/>
    <cellStyle name="输入 2 2 8 2 2 5" xfId="1918"/>
    <cellStyle name="汇总 2 2 3 2 4 2 2 2" xfId="1919"/>
    <cellStyle name="检查单元格 2 2 6 3 3" xfId="1920"/>
    <cellStyle name="计算 2 8 9 2" xfId="1921"/>
    <cellStyle name="标题 2 5 2 2 3" xfId="1922"/>
    <cellStyle name="输出 2 2 2 4 4 2" xfId="1923"/>
    <cellStyle name="汇总 2 4 2 2 2 4 3" xfId="1924"/>
    <cellStyle name="60% - 强调文字颜色 5 2 2 3 8" xfId="1925"/>
    <cellStyle name="40% - 强调文字颜色 2 3 3 4 2" xfId="1926"/>
    <cellStyle name="输出 2 5 2 2 3 2" xfId="1927"/>
    <cellStyle name="输出 2 5 2 3 2" xfId="1928"/>
    <cellStyle name="计算 2 5 2 5 5" xfId="1929"/>
    <cellStyle name="20% - 强调文字颜色 1 2 2 4 3 3" xfId="1930"/>
    <cellStyle name="汇总 2 5 10 2" xfId="1931"/>
    <cellStyle name="20% - 强调文字颜色 4 2 2 3 4" xfId="1932"/>
    <cellStyle name="计算 4 2 4 2" xfId="1933"/>
    <cellStyle name="计算 2 5 2 5 2 2" xfId="1934"/>
    <cellStyle name="超链接 2 4 3 2 2 2" xfId="1935"/>
    <cellStyle name="输入 2 2 4 2 5 4" xfId="1936"/>
    <cellStyle name="超链接 2 2 2 2 2 3 2" xfId="1937"/>
    <cellStyle name="计算 3 3 2 3" xfId="1938"/>
    <cellStyle name="计算 2 3 2 3 6" xfId="1939"/>
    <cellStyle name="常规 8 2 2 4" xfId="1940"/>
    <cellStyle name="标题 2 2 4 9" xfId="1941"/>
    <cellStyle name="60% - 强调文字颜色 1 2 2 5 3 2" xfId="1942"/>
    <cellStyle name="强调文字颜色 2 2 4 3 2 2" xfId="1943"/>
    <cellStyle name="20% - 强调文字颜色 3 4 2 2" xfId="1944"/>
    <cellStyle name="注释 2 2 3 12" xfId="1945"/>
    <cellStyle name="计算 2 2 2 5 2 3" xfId="1946"/>
    <cellStyle name="40% - 强调文字颜色 3 2 3 2 5 2" xfId="1947"/>
    <cellStyle name="注释 2 2 3 3 6 2" xfId="1948"/>
    <cellStyle name="输出 2 6 3" xfId="1949"/>
    <cellStyle name="差 2 3 3 3 3" xfId="1950"/>
    <cellStyle name="汇总 3 2" xfId="1951"/>
    <cellStyle name="输入 2 8 10" xfId="1952"/>
    <cellStyle name="标题 4 2 3 3 4" xfId="1953"/>
    <cellStyle name="常规 2 2 7 2 2" xfId="1954"/>
    <cellStyle name="强调文字颜色 4 3 7" xfId="1955"/>
    <cellStyle name="输入 3 3 3" xfId="1956"/>
    <cellStyle name="汇总 2 2 9 2" xfId="1957"/>
    <cellStyle name="输入 2 2 2 3 2 2 2 2" xfId="1958"/>
    <cellStyle name="注释 2 4 2 2 2 7" xfId="1959"/>
    <cellStyle name="计算 2 2 2 3 8" xfId="1960"/>
    <cellStyle name="输出 2 2 3 4 3 2" xfId="1961"/>
    <cellStyle name="强调文字颜色 6 2 4 4 4" xfId="1962"/>
    <cellStyle name="计算 3 4 6" xfId="1963"/>
    <cellStyle name="检查单元格 2 2 4 5 3" xfId="1964"/>
    <cellStyle name="常规 4 2 2 2 5" xfId="1965"/>
    <cellStyle name="输出 2 9 3 2 2" xfId="1966"/>
    <cellStyle name="常规 6 4 5" xfId="1967"/>
    <cellStyle name="常规 4 4 2 5" xfId="1968"/>
    <cellStyle name="20% - 强调文字颜色 4 2 3 3 2 2 2" xfId="1969"/>
    <cellStyle name="汇总 2 5 2 10 3" xfId="1970"/>
    <cellStyle name="标题 3 3 3 3 2 2" xfId="1971"/>
    <cellStyle name="计算 2 2 7 5 3 2 2" xfId="1972"/>
    <cellStyle name="注释 2 5 4 2 4" xfId="1973"/>
    <cellStyle name="60% - 强调文字颜色 1 2 2 2 7" xfId="1974"/>
    <cellStyle name="汇总 2 6 2 2 3 4 2" xfId="1975"/>
    <cellStyle name="汇总 2 12 4" xfId="1976"/>
    <cellStyle name="常规 2 2 4 2 3 2" xfId="1977"/>
    <cellStyle name="输出 2 5 4 7" xfId="1978"/>
    <cellStyle name="汇总 2 9 6 2 2" xfId="1979"/>
    <cellStyle name="输入 2 2 2 2 2 3 2" xfId="1980"/>
    <cellStyle name="输出 2 7 3 2 4" xfId="1981"/>
    <cellStyle name="计算 2 2 2 2 4 2 3" xfId="1982"/>
    <cellStyle name="输出 2 2 8" xfId="1983"/>
    <cellStyle name="注释 2 2 3 3 2 7" xfId="1984"/>
    <cellStyle name="注释 2 4 10" xfId="1985"/>
    <cellStyle name="常规 3 3 2 4 3 2" xfId="1986"/>
    <cellStyle name="计算 2 3 2 4 4 2" xfId="1987"/>
    <cellStyle name="常规 8 2 3 2 2" xfId="1988"/>
    <cellStyle name="输入 2 2 3 3 7" xfId="1989"/>
    <cellStyle name="常规 11 2 6 3" xfId="1990"/>
    <cellStyle name="输入 2 4 13" xfId="1991"/>
    <cellStyle name="注释 2 9 3 2" xfId="1992"/>
    <cellStyle name="常规 10 4 5" xfId="1993"/>
    <cellStyle name="40% - 强调文字颜色 1 2 2 8 2" xfId="1994"/>
    <cellStyle name="输入 2 5 3 2 2" xfId="1995"/>
    <cellStyle name="常规 3 7 2 2" xfId="1996"/>
    <cellStyle name="汇总 2 2 5 2 4 2 3" xfId="1997"/>
    <cellStyle name="输出 2 2 3 4 4 2" xfId="1998"/>
    <cellStyle name="常规 3 3 8 2" xfId="1999"/>
    <cellStyle name="注释 2 2 4 4 6" xfId="2000"/>
    <cellStyle name="常规 2 3 5 2 2 2" xfId="2001"/>
    <cellStyle name="强调文字颜色 6 2 2 2 3" xfId="2002"/>
    <cellStyle name="40% - 强调文字颜色 4 2 3 2 3 3" xfId="2003"/>
    <cellStyle name="20% - 强调文字颜色 1 2 2 2 2 2 2 2 2 2" xfId="2004"/>
    <cellStyle name="输入 2 3 2 2 4 3" xfId="2005"/>
    <cellStyle name="强调文字颜色 1 3 3" xfId="2006"/>
    <cellStyle name="汇总 2 2 4 2 4 4 2 2" xfId="2007"/>
    <cellStyle name="计算 2 3 12" xfId="2008"/>
    <cellStyle name="汇总 2 2 2 2 8 2" xfId="2009"/>
    <cellStyle name="标题 3 4 2 2 2" xfId="2010"/>
    <cellStyle name="计算 2 2 8 4 2 2" xfId="2011"/>
    <cellStyle name="计算 2 2 3 2 2 5 2 2" xfId="2012"/>
    <cellStyle name="常规 4 2 2 4" xfId="2013"/>
    <cellStyle name="常规 6 6" xfId="2014"/>
    <cellStyle name="60% - 强调文字颜色 3 2 3 8" xfId="2015"/>
    <cellStyle name="计算 2 7 6 2" xfId="2016"/>
    <cellStyle name="常规 7 2 4 2 2" xfId="2017"/>
    <cellStyle name="输出 2 8 2" xfId="2018"/>
    <cellStyle name="计算 2 2 2 5 4 2" xfId="2019"/>
    <cellStyle name="输入 2 2 3 3 2 5" xfId="2020"/>
    <cellStyle name="标题 2 2 2 2 2 3 2 3" xfId="2021"/>
    <cellStyle name="输出 3 9" xfId="2022"/>
    <cellStyle name="输出 2 2 4 2 2 4 2 2" xfId="2023"/>
    <cellStyle name="标题 2 2 2 3 6 3" xfId="2024"/>
    <cellStyle name="链接单元格 2 2 2 2 2 2 2 2 2" xfId="2025"/>
    <cellStyle name="常规 10 3 5" xfId="2026"/>
    <cellStyle name="40% - 强调文字颜色 1 2 2 7 2" xfId="2027"/>
    <cellStyle name="好 3 5" xfId="2028"/>
    <cellStyle name="40% - 强调文字颜色 6 4" xfId="2029"/>
    <cellStyle name="注释 2 6 9" xfId="2030"/>
    <cellStyle name="计算 2 5" xfId="2031"/>
    <cellStyle name="汇总 2 5 2 3 2 7" xfId="2032"/>
    <cellStyle name="计算 3 8 2 2" xfId="2033"/>
    <cellStyle name="强调文字颜色 6 6 2" xfId="2034"/>
    <cellStyle name="好 3 2 4 2 3" xfId="2035"/>
    <cellStyle name="常规 12 8" xfId="2036"/>
    <cellStyle name="强调文字颜色 4 2 3 2 2 2 2 2" xfId="2037"/>
    <cellStyle name="计算 2 5 2 2 2 2 3 2" xfId="2038"/>
    <cellStyle name="强调文字颜色 3 2 2 2 2 4 2 2" xfId="2039"/>
    <cellStyle name="强调文字颜色 5 2 2 2 2 2 3 2" xfId="2040"/>
    <cellStyle name="汇总 2 2 4 5 2 4" xfId="2041"/>
    <cellStyle name="60% - 强调文字颜色 5 3 2 2" xfId="2042"/>
    <cellStyle name="计算 2 2 7 3 5 2" xfId="2043"/>
    <cellStyle name="汇总 2 7 2 2 2 4" xfId="2044"/>
    <cellStyle name="解释性文本 2 2 2 3 2 2" xfId="2045"/>
    <cellStyle name="输入 2 2 4 2 3 5 2" xfId="2046"/>
    <cellStyle name="计算 2 2 8 2 2 2 2" xfId="2047"/>
    <cellStyle name="输入 2 6 3 9" xfId="2048"/>
    <cellStyle name="链接单元格 2 2 2 4 3 2 2" xfId="2049"/>
    <cellStyle name="注释 3 3 2 4" xfId="2050"/>
    <cellStyle name="20% - 强调文字颜色 2 3 6 2" xfId="2051"/>
    <cellStyle name="计算 2 2 3 2 2 5 2" xfId="2052"/>
    <cellStyle name="计算 2 3 4 2 5 2" xfId="2053"/>
    <cellStyle name="汇总 3 3 2 4 2 2" xfId="2054"/>
    <cellStyle name="计算 2 3 2 2 2 2 3 2" xfId="2055"/>
    <cellStyle name="强调文字颜色 4 2 3 3 2 3" xfId="2056"/>
    <cellStyle name="标题 2 2 4 3" xfId="2057"/>
    <cellStyle name="输入 3 3 3 3" xfId="2058"/>
    <cellStyle name="计算 2 5 4 5 2 2" xfId="2059"/>
    <cellStyle name="20% - 强调文字颜色 3 2 2 4 2 2" xfId="2060"/>
    <cellStyle name="计算 2 3 7" xfId="2061"/>
    <cellStyle name="检查单元格 2 2 3 4 4" xfId="2062"/>
    <cellStyle name="标题 1 2 2 8" xfId="2063"/>
    <cellStyle name="解释性文本 2 3 2 4 2 3" xfId="2064"/>
    <cellStyle name="汇总 2 2 4 9 2 2" xfId="2065"/>
    <cellStyle name="注释 2 4 2 3 2 4" xfId="2066"/>
    <cellStyle name="60% - 强调文字颜色 1 3 2" xfId="2067"/>
    <cellStyle name="计算 2 2 3 3 5" xfId="2068"/>
    <cellStyle name="警告文本 2 2 2 8" xfId="2069"/>
    <cellStyle name="强调文字颜色 1 2 2 4 3 2 2" xfId="2070"/>
    <cellStyle name="输入 2 4 3 2 2 2 2" xfId="2071"/>
    <cellStyle name="注释 2 7 2" xfId="2072"/>
    <cellStyle name="强调文字颜色 3 2 2 4 2 3" xfId="2073"/>
    <cellStyle name="注释 3 4 2 2" xfId="2074"/>
    <cellStyle name="注释 2 4 2 2 7" xfId="2075"/>
    <cellStyle name="标题 4 2 2 2 9" xfId="2076"/>
    <cellStyle name="输入 2 5 5 3 3" xfId="2077"/>
    <cellStyle name="解释性文本 2 2 3 5 2 2" xfId="2078"/>
    <cellStyle name="计算 2 6 2 2 3" xfId="2079"/>
    <cellStyle name="常规 3 6 2 2 2" xfId="2080"/>
    <cellStyle name="输入 2 2 4 4 5 2" xfId="2081"/>
    <cellStyle name="常规 9 2 4 2 2" xfId="2082"/>
    <cellStyle name="输入 2 2 9 2 2 2" xfId="2083"/>
    <cellStyle name="超链接 3 2 2 5 3" xfId="2084"/>
    <cellStyle name="输入 2 6 3 5 3" xfId="2085"/>
    <cellStyle name="汇总 2 3 2 2 8" xfId="2086"/>
    <cellStyle name="输入 2 6 3 2 6" xfId="2087"/>
    <cellStyle name="强调文字颜色 3 3 4" xfId="2088"/>
    <cellStyle name="60% - 强调文字颜色 6 2 7 3" xfId="2089"/>
    <cellStyle name="40% - 强调文字颜色 5 2 2 3" xfId="2090"/>
    <cellStyle name="汇总 2 2 2 2 7 2" xfId="2091"/>
    <cellStyle name="输入 2 5 3 2 5 2" xfId="2092"/>
    <cellStyle name="标题 3 2 3 2 3 2 2 3" xfId="2093"/>
    <cellStyle name="输入 2 2 4 4 2 5" xfId="2094"/>
    <cellStyle name="汇总 2 4 4 2 4 3" xfId="2095"/>
    <cellStyle name="超链接 3 3 4 2 2 3" xfId="2096"/>
    <cellStyle name="汇总 2 6 3 2 6" xfId="2097"/>
    <cellStyle name="输入 2 4 4 3" xfId="2098"/>
    <cellStyle name="标题 5 3 4 3" xfId="2099"/>
    <cellStyle name="汇总 2 2 6 15" xfId="2100"/>
    <cellStyle name="计算 2 5 2 3 6 2 2" xfId="2101"/>
    <cellStyle name="输出 2 2 4 3 3 3" xfId="2102"/>
    <cellStyle name="计算 2 7 5 4" xfId="2103"/>
    <cellStyle name="计算 2 2 3 3 3 2 3" xfId="2104"/>
    <cellStyle name="输出 2 7 4" xfId="2105"/>
    <cellStyle name="常规 2 6 2" xfId="2106"/>
    <cellStyle name="计算 2 2 4 4 4 2" xfId="2107"/>
    <cellStyle name="标题 5 2 2 3 2 2 3" xfId="2108"/>
    <cellStyle name="20% - 强调文字颜色 1 2 2 2 2 2 2" xfId="2109"/>
    <cellStyle name="强调文字颜色 3 2 2 2 3 2 3" xfId="2110"/>
    <cellStyle name="60% - 强调文字颜色 2 2 2 2 2 2 3 2" xfId="2111"/>
    <cellStyle name="计算 2 3 9 2 2" xfId="2112"/>
    <cellStyle name="常规 5 4 2 5 2" xfId="2113"/>
    <cellStyle name="常规 5 2 2 2 2 3 2" xfId="2114"/>
    <cellStyle name="输入 2 2 3 2 10" xfId="2115"/>
    <cellStyle name="链接单元格 2 2 2 2 2 5" xfId="2116"/>
    <cellStyle name="60% - 强调文字颜色 6 3 5 3" xfId="2117"/>
    <cellStyle name="强调文字颜色 5 2 9" xfId="2118"/>
    <cellStyle name="输入 2 2 3 3 5 2" xfId="2119"/>
    <cellStyle name="计算 2 2 2 9 2" xfId="2120"/>
    <cellStyle name="注释 2 2 4 4 5" xfId="2121"/>
    <cellStyle name="强调文字颜色 6 2 2 2 2" xfId="2122"/>
    <cellStyle name="汇总 2 2 5 10 3" xfId="2123"/>
    <cellStyle name="常规 2 2 2 4 3 2" xfId="2124"/>
    <cellStyle name="强调文字颜色 1 3 2" xfId="2125"/>
    <cellStyle name="输入 2 3 2 2 4 2" xfId="2126"/>
    <cellStyle name="汇总 2 2 5 4 7" xfId="2127"/>
    <cellStyle name="输出 3 3 3" xfId="2128"/>
    <cellStyle name="注释 2 5 2 2 2 2 3" xfId="2129"/>
    <cellStyle name="注释 2 7 5 2 2" xfId="2130"/>
    <cellStyle name="计算 3 2 2 3 3 3" xfId="2131"/>
    <cellStyle name="解释性文本 2 2 2 2 4 2 3" xfId="2132"/>
    <cellStyle name="输入 2 5 2 2 5" xfId="2133"/>
    <cellStyle name="强调文字颜色 5 2 2 2 4 3 2 2" xfId="2134"/>
    <cellStyle name="计算 2 3 4 2 3 2 2" xfId="2135"/>
    <cellStyle name="计算 2 2 2 3 9" xfId="2136"/>
    <cellStyle name="计算 2 2 4 2 2 9" xfId="2137"/>
    <cellStyle name="强调文字颜色 6 2 2 2 2 3 4" xfId="2138"/>
    <cellStyle name="注释 2 9 2 3" xfId="2139"/>
    <cellStyle name="汇总 2 6 2 2 2 3" xfId="2140"/>
    <cellStyle name="强调文字颜色 1 2 7" xfId="2141"/>
    <cellStyle name="输出 3 3 2 2 2 2" xfId="2142"/>
    <cellStyle name="计算 2 2 4 2 2 4 3" xfId="2143"/>
    <cellStyle name="计算 2 4 4 2 4 3" xfId="2144"/>
    <cellStyle name="强调文字颜色 2 3 6" xfId="2145"/>
    <cellStyle name="40% - 强调文字颜色 6 2 5 3 3 2" xfId="2146"/>
    <cellStyle name="强调文字颜色 6 2 3 2 6" xfId="2147"/>
    <cellStyle name="输出 3 2 6 2 2" xfId="2148"/>
    <cellStyle name="汇总 2 2 6 8" xfId="2149"/>
    <cellStyle name="强调文字颜色 3 2 3 2 2 2 2 3" xfId="2150"/>
    <cellStyle name="计算 2 6 3 10" xfId="2151"/>
    <cellStyle name="强调文字颜色 2 2 2 2 2 4 2 3" xfId="2152"/>
    <cellStyle name="输出 2 6 14" xfId="2153"/>
    <cellStyle name="强调文字颜色 3 2 2 2 4 2 2" xfId="2154"/>
    <cellStyle name="输出 2 2 9 2 2" xfId="2155"/>
    <cellStyle name="输出 2 4 3 8" xfId="2156"/>
    <cellStyle name="计算 3 5 3 2" xfId="2157"/>
    <cellStyle name="输入 2 6 4 8" xfId="2158"/>
    <cellStyle name="汇总 2 2 8 11" xfId="2159"/>
    <cellStyle name="计算 2 7 3 2 6" xfId="2160"/>
    <cellStyle name="输入 2 5 2 2 2 3 2 2" xfId="2161"/>
    <cellStyle name="输出 2 2 3 3 3 3 2" xfId="2162"/>
    <cellStyle name="计算 2 2 5 2 2 2 5" xfId="2163"/>
    <cellStyle name="超链接 2 6" xfId="2164"/>
    <cellStyle name="适中 2 2 3 6 2 2" xfId="2165"/>
    <cellStyle name="输出 2 2 2 6 3" xfId="2166"/>
    <cellStyle name="输出 2 7 3 3" xfId="2167"/>
    <cellStyle name="汇总 2 2 4 5 4" xfId="2168"/>
    <cellStyle name="输入 2 5 5 5 2" xfId="2169"/>
    <cellStyle name="汇总 2 2 2 11" xfId="2170"/>
    <cellStyle name="汇总 2 9 3 4 2" xfId="2171"/>
    <cellStyle name="计算 2 3 2 2 7" xfId="2172"/>
    <cellStyle name="好 2 2 2 2 3 2 2" xfId="2173"/>
    <cellStyle name="强调文字颜色 6 2 3 2 4 2 3" xfId="2174"/>
    <cellStyle name="好 2 2 2 3 2 3" xfId="2175"/>
    <cellStyle name="输出 2 9 2 5" xfId="2176"/>
    <cellStyle name="解释性文本 2 6 2 3" xfId="2177"/>
    <cellStyle name="强调文字颜色 5 2 2 2 2 3 3" xfId="2178"/>
    <cellStyle name="输入 2 5 2 2 9" xfId="2179"/>
    <cellStyle name="标题 3 3 2 5" xfId="2180"/>
    <cellStyle name="60% - 强调文字颜色 5 4 2" xfId="2181"/>
    <cellStyle name="计算 2 2 7 4 5" xfId="2182"/>
    <cellStyle name="输出 2 2 7 2 2" xfId="2183"/>
    <cellStyle name="汇总 2 3 2 2 2 2 2 3" xfId="2184"/>
    <cellStyle name="输出 2 2 3 8" xfId="2185"/>
    <cellStyle name="40% - 强调文字颜色 2 2 7 2 2 2" xfId="2186"/>
    <cellStyle name="计算 2 2 4 4 4" xfId="2187"/>
    <cellStyle name="常规 4 5 2 3 2" xfId="2188"/>
    <cellStyle name="常规 7 4 3 2" xfId="2189"/>
    <cellStyle name="常规 4 2 3 2 3 2" xfId="2190"/>
    <cellStyle name="检查单元格 2 2 4 2 3" xfId="2191"/>
    <cellStyle name="计算 2 2 2 4 6 2" xfId="2192"/>
    <cellStyle name="输入 2 2 6 10 2" xfId="2193"/>
    <cellStyle name="链接单元格 2 3 2 2 5" xfId="2194"/>
    <cellStyle name="差 2 2 2 3 2 2 2" xfId="2195"/>
    <cellStyle name="常规 4 10" xfId="2196"/>
    <cellStyle name="输出 5 2 3 2" xfId="2197"/>
    <cellStyle name="输出 3 2 2 2 2 2" xfId="2198"/>
    <cellStyle name="计算 2 2 3 2 2 4 3" xfId="2199"/>
    <cellStyle name="强调文字颜色 2 2 3 2 5 3" xfId="2200"/>
    <cellStyle name="解释性文本 2 2 2 6 2" xfId="2201"/>
    <cellStyle name="警告文本 3 4 3" xfId="2202"/>
    <cellStyle name="40% - 强调文字颜色 5 3 3 2 2" xfId="2203"/>
    <cellStyle name="好 2 4 3 2 2" xfId="2204"/>
    <cellStyle name="40% - 强调文字颜色 1 2 2 4 2 2 2 2" xfId="2205"/>
    <cellStyle name="输出 2 2 3 2 2 2 3 3" xfId="2206"/>
    <cellStyle name="常规 5 2 4 2 3" xfId="2207"/>
    <cellStyle name="输出 2 2 6 3 2 4" xfId="2208"/>
    <cellStyle name="计算 2 4 2 2 2 4" xfId="2209"/>
    <cellStyle name="输入 8" xfId="2210"/>
    <cellStyle name="检查单元格 2 2 3 5 3" xfId="2211"/>
    <cellStyle name="标题 1 2 3 7" xfId="2212"/>
    <cellStyle name="计算 2 2 5 12" xfId="2213"/>
    <cellStyle name="适中 4 2 3" xfId="2214"/>
    <cellStyle name="计算 2 4 6" xfId="2215"/>
    <cellStyle name="40% - 强调文字颜色 5 2 2 2 3 3 2 2" xfId="2216"/>
    <cellStyle name="汇总 2 2 8 4 3 3" xfId="2217"/>
    <cellStyle name="标题 2 2 3 3 7" xfId="2218"/>
    <cellStyle name="好 2 2 6 3 2" xfId="2219"/>
    <cellStyle name="超链接 3 2 2 2 2 2 2 2" xfId="2220"/>
    <cellStyle name="汇总 2 6 3 3 3 2" xfId="2221"/>
    <cellStyle name="计算 2 2 6 2 2 2 5" xfId="2222"/>
    <cellStyle name="20% - 强调文字颜色 4 4" xfId="2223"/>
    <cellStyle name="强调文字颜色 5 2 2 4 2 3 2" xfId="2224"/>
    <cellStyle name="强调文字颜色 2 2 5 3" xfId="2225"/>
    <cellStyle name="20% - 强调文字颜色 1 2 4 5 2 2" xfId="2226"/>
    <cellStyle name="输出 3 2 2 6 3" xfId="2227"/>
    <cellStyle name="计算 2 8 2 9" xfId="2228"/>
    <cellStyle name="标题 5 3 2 4" xfId="2229"/>
    <cellStyle name="汇总 2 2 4 2 2 3 2 2" xfId="2230"/>
    <cellStyle name="输入 2 2 4 5 8" xfId="2231"/>
    <cellStyle name="输出 2 10 3" xfId="2232"/>
    <cellStyle name="输入 2 2 6 2 2 3 2" xfId="2233"/>
    <cellStyle name="常规 5 3 3" xfId="2234"/>
    <cellStyle name="差 2 2 2 2 4 2 3" xfId="2235"/>
    <cellStyle name="超链接 3 3 3 2 4" xfId="2236"/>
    <cellStyle name="输入 2 7 4 2 4" xfId="2237"/>
    <cellStyle name="汇总 2 4 3 2 6" xfId="2238"/>
    <cellStyle name="计算 2 9 2 3 3" xfId="2239"/>
    <cellStyle name="超链接 3 3 2 2 2 3" xfId="2240"/>
    <cellStyle name="汇总 2 4 2 2 4 3" xfId="2241"/>
    <cellStyle name="输出 2 2 3 4 3 2 2" xfId="2242"/>
    <cellStyle name="警告文本 2 2 6 3 2" xfId="2243"/>
    <cellStyle name="强调文字颜色 1 2 2 2 4 2 2 2" xfId="2244"/>
    <cellStyle name="强调文字颜色 6 2 9" xfId="2245"/>
    <cellStyle name="输出 3 3 2 2 3" xfId="2246"/>
    <cellStyle name="常规 7 2 2 2 4 3" xfId="2247"/>
    <cellStyle name="20% - 强调文字颜色 3 2 4 3 3" xfId="2248"/>
    <cellStyle name="标题 6 2 2 3" xfId="2249"/>
    <cellStyle name="计算 2 2 5 4 4 3" xfId="2250"/>
    <cellStyle name="60% - 强调文字颜色 5 2 2 2 6 2" xfId="2251"/>
    <cellStyle name="输出 2 6 3 2 3" xfId="2252"/>
    <cellStyle name="输入 2 3 2 2 2 2" xfId="2253"/>
    <cellStyle name="适中 5" xfId="2254"/>
    <cellStyle name="汇总 2 2 4 4 2 8" xfId="2255"/>
    <cellStyle name="汇总 2 2 4 3 9" xfId="2256"/>
    <cellStyle name="输入 2 3 3 2 2 2" xfId="2257"/>
    <cellStyle name="输出 2 2 5" xfId="2258"/>
    <cellStyle name="汇总 2 2 6 2 5 3" xfId="2259"/>
    <cellStyle name="注释 2 2 3 3 2 4" xfId="2260"/>
    <cellStyle name="输出 2 7 3 2 3" xfId="2261"/>
    <cellStyle name="强调文字颜色 4 2 3 2 4 2 2 2" xfId="2262"/>
    <cellStyle name="标题 1 2 2 4 4 2 2" xfId="2263"/>
    <cellStyle name="常规 12 2 4 3" xfId="2264"/>
    <cellStyle name="计算 4 2 2" xfId="2265"/>
    <cellStyle name="标题 3 2 6 2 2 2" xfId="2266"/>
    <cellStyle name="适中 2 6 2 3" xfId="2267"/>
    <cellStyle name="60% - 强调文字颜色 4 3" xfId="2268"/>
    <cellStyle name="强调文字颜色 2 2 2 4 3 2" xfId="2269"/>
    <cellStyle name="输入 2 4 2 2 2 4" xfId="2270"/>
    <cellStyle name="输入 2 2 4 2 3 2 2" xfId="2271"/>
    <cellStyle name="计算 2 3 2 2 2 2 4" xfId="2272"/>
    <cellStyle name="计算 2 4 2 3 2 2 2" xfId="2273"/>
    <cellStyle name="计算 2 3 4 2 6" xfId="2274"/>
    <cellStyle name="汇总 3 3 2 4 3" xfId="2275"/>
    <cellStyle name="标题 3 2 4 5 2 2" xfId="2276"/>
    <cellStyle name="20% - 强调文字颜色 4 2 2 2 2 3 3 2" xfId="2277"/>
    <cellStyle name="60% - 强调文字颜色 4 6 2 2 2" xfId="2278"/>
    <cellStyle name="汇总 2 2 2 3 3 3" xfId="2279"/>
    <cellStyle name="解释性文本 2 4 3 2 2 2" xfId="2280"/>
    <cellStyle name="汇总 2 2 3 2 2 3 2 2 2" xfId="2281"/>
    <cellStyle name="强调文字颜色 4 2 2 6 3 2 2" xfId="2282"/>
    <cellStyle name="强调文字颜色 6 2 2 4 3 4" xfId="2283"/>
    <cellStyle name="汇总 2 3 6 4" xfId="2284"/>
    <cellStyle name="输出 2 4 3 2" xfId="2285"/>
    <cellStyle name="40% - 强调文字颜色 3 2 3 2 3 2 2" xfId="2286"/>
    <cellStyle name="警告文本 2 2 2 2 5" xfId="2287"/>
    <cellStyle name="注释 2 2 3 3 4 2 2" xfId="2288"/>
    <cellStyle name="解释性文本 2 7" xfId="2289"/>
    <cellStyle name="汇总 2 2 6 9 3" xfId="2290"/>
    <cellStyle name="输入 2 2 9 6" xfId="2291"/>
    <cellStyle name="警告文本 2 2 4 3 3 2" xfId="2292"/>
    <cellStyle name="40% - 强调文字颜色 5 2 2 7 2 2" xfId="2293"/>
    <cellStyle name="检查单元格 2 4 5 3" xfId="2294"/>
    <cellStyle name="检查单元格 4 2" xfId="2295"/>
    <cellStyle name="汇总 2 7 2 3 2 3" xfId="2296"/>
    <cellStyle name="40% - 强调文字颜色 4 2 6 2" xfId="2297"/>
    <cellStyle name="标题 1 2 4 4 3" xfId="2298"/>
    <cellStyle name="计算 2 5 3 3" xfId="2299"/>
    <cellStyle name="60% - 强调文字颜色 1 2 2 3 2 2" xfId="2300"/>
    <cellStyle name="汇总 2 2 4 6 2 3" xfId="2301"/>
    <cellStyle name="强调文字颜色 3 2 2 5" xfId="2302"/>
    <cellStyle name="计算 2 8 2 2 3 2 2" xfId="2303"/>
    <cellStyle name="输出 2 2 5 3 2" xfId="2304"/>
    <cellStyle name="标题 1 2 3 2 2 2" xfId="2305"/>
    <cellStyle name="汇总 2 2 8 10" xfId="2306"/>
    <cellStyle name="强调文字颜色 3 2 3 4 2 2 2" xfId="2307"/>
    <cellStyle name="60% - 强调文字颜色 3 5 2" xfId="2308"/>
    <cellStyle name="常规 2 3 2 2 3 3 2 2" xfId="2309"/>
    <cellStyle name="输入 2 6 2 2 2 2 3" xfId="2310"/>
    <cellStyle name="超链接 2 5 3 3 2" xfId="2311"/>
    <cellStyle name="输出 2 6 3 3 3" xfId="2312"/>
    <cellStyle name="标题 3 2 4 2 2 3" xfId="2313"/>
    <cellStyle name="标题 1 2 2 2 2 7" xfId="2314"/>
    <cellStyle name="强调文字颜色 6 2 3 2 3 2 2 2" xfId="2315"/>
    <cellStyle name="20% - 强调文字颜色 1 2 2 6 3 2 2" xfId="2316"/>
    <cellStyle name="计算 2 2 8 5 4 2" xfId="2317"/>
    <cellStyle name="注释 2 4 2 3 5 2" xfId="2318"/>
    <cellStyle name="计算 2 2 3 6 3" xfId="2319"/>
    <cellStyle name="输入 2 2 3 4 2 3" xfId="2320"/>
    <cellStyle name="60% - 强调文字颜色 3 2 2 2 3 3" xfId="2321"/>
    <cellStyle name="汇总 2 6 2 2 3 3 2 2" xfId="2322"/>
    <cellStyle name="汇总 2 11 4 2" xfId="2323"/>
    <cellStyle name="常规 2 2 4 2 2 2 2" xfId="2324"/>
    <cellStyle name="计算 2 3 8 3" xfId="2325"/>
    <cellStyle name="常规 9 3 2 2 2 2" xfId="2326"/>
    <cellStyle name="超链接 3 2 4 2 4" xfId="2327"/>
    <cellStyle name="计算 2 8 3 3 3" xfId="2328"/>
    <cellStyle name="汇总 2 3 4 2 6" xfId="2329"/>
    <cellStyle name="20% - 强调文字颜色 2 2 3 3 4" xfId="2330"/>
    <cellStyle name="常规 5 2 4 3 5" xfId="2331"/>
    <cellStyle name="注释 2 2 3 2 3 6" xfId="2332"/>
    <cellStyle name="注释 2 5 2 7 2" xfId="2333"/>
    <cellStyle name="计算 2 2 2 2 3 3 2" xfId="2334"/>
    <cellStyle name="常规 3 2 4 3 2 2" xfId="2335"/>
    <cellStyle name="强调文字颜色 2 2 2 4 5 3" xfId="2336"/>
    <cellStyle name="输入 2 5 13" xfId="2337"/>
    <cellStyle name="强调文字颜色 3 2 2 2 2 2 2 3" xfId="2338"/>
    <cellStyle name="输出 2 2 8 2" xfId="2339"/>
    <cellStyle name="汇总 2 9 2 3 2 2" xfId="2340"/>
    <cellStyle name="标题 1 2 2 2 6 2" xfId="2341"/>
    <cellStyle name="标题 7 4 2 2" xfId="2342"/>
    <cellStyle name="输出 2 5 3 6" xfId="2343"/>
    <cellStyle name="解释性文本 2 4 4 4" xfId="2344"/>
    <cellStyle name="常规 5 2 2 2" xfId="2345"/>
    <cellStyle name="强调文字颜色 6 2 2 3 2 3" xfId="2346"/>
    <cellStyle name="汇总 2 4 2 2 3 2 2" xfId="2347"/>
    <cellStyle name="汇总 2 5 2 3 5" xfId="2348"/>
    <cellStyle name="常规 10 7 2 2" xfId="2349"/>
    <cellStyle name="输出 2 2 3 5 4 3" xfId="2350"/>
    <cellStyle name="输出 2 2 3 2 2 6 2" xfId="2351"/>
    <cellStyle name="输入 2 5 2 8 2" xfId="2352"/>
    <cellStyle name="强调文字颜色 3 2 2 2 2 2 3 2" xfId="2353"/>
    <cellStyle name="好 4 3 2 2 2" xfId="2354"/>
    <cellStyle name="常规 6 3 2 3" xfId="2355"/>
    <cellStyle name="60% - 强调文字颜色 6 2 2 6 3 2" xfId="2356"/>
    <cellStyle name="注释 2 2 7 2 2 4" xfId="2357"/>
    <cellStyle name="注释 2 2 4 2 2 5 2" xfId="2358"/>
    <cellStyle name="输出 2 2 3 3 2 2 2 2 2" xfId="2359"/>
    <cellStyle name="汇总 2 6 2 10" xfId="2360"/>
    <cellStyle name="标题 2 2 3 6 3" xfId="2361"/>
    <cellStyle name="计算 2 3 2 2 3 3" xfId="2362"/>
    <cellStyle name="常规 4 6 3 2" xfId="2363"/>
    <cellStyle name="注释 2 2 10" xfId="2364"/>
    <cellStyle name="常规 8 5 2" xfId="2365"/>
    <cellStyle name="常规 4 2 4 3 2" xfId="2366"/>
    <cellStyle name="输出 2 4 2 8 2" xfId="2367"/>
    <cellStyle name="常规 3 3 2 2 2 3" xfId="2368"/>
    <cellStyle name="注释 2 5 2 4 2 2" xfId="2369"/>
    <cellStyle name="计算 3 2 4 3 3" xfId="2370"/>
    <cellStyle name="计算 2 10 2" xfId="2371"/>
    <cellStyle name="60% - 强调文字颜色 2 2 2 2" xfId="2372"/>
    <cellStyle name="计算 2 2 4 2 5 2" xfId="2373"/>
    <cellStyle name="好 2 2 2 2 5 3" xfId="2374"/>
    <cellStyle name="汇总 3 2 2 4 2 2" xfId="2375"/>
    <cellStyle name="强调文字颜色 2 3 4" xfId="2376"/>
    <cellStyle name="计算 2 3 2 10 2" xfId="2377"/>
    <cellStyle name="输入 2 6 2 2 6" xfId="2378"/>
    <cellStyle name="汇总 2 2 5 3 7" xfId="2379"/>
    <cellStyle name="注释 2 2 3 4 2 2" xfId="2380"/>
    <cellStyle name="汇总 2 2 3 2 3 5 2" xfId="2381"/>
    <cellStyle name="20% - 强调文字颜色 1 2 7 2 2 2" xfId="2382"/>
    <cellStyle name="输出 3 2 3" xfId="2383"/>
    <cellStyle name="强调文字颜色 3 2 2 6 3 2 2" xfId="2384"/>
    <cellStyle name="输入 2 9 2" xfId="2385"/>
    <cellStyle name="输出 2 2 3 3 2 3 2" xfId="2386"/>
    <cellStyle name="60% - 强调文字颜色 3 2 8" xfId="2387"/>
    <cellStyle name="60% - 强调文字颜色 2 2 3 6" xfId="2388"/>
    <cellStyle name="计算 2 11 6" xfId="2389"/>
    <cellStyle name="好 2 2 2 7" xfId="2390"/>
    <cellStyle name="强调文字颜色 2 3 8" xfId="2391"/>
    <cellStyle name="汇总 2 2 5 4 2 3 2" xfId="2392"/>
    <cellStyle name="标题 4 3 2 6" xfId="2393"/>
    <cellStyle name="链接单元格 3 2 4 2" xfId="2394"/>
    <cellStyle name="解释性文本 4 3" xfId="2395"/>
    <cellStyle name="无色 4 2 2" xfId="2396"/>
    <cellStyle name="注释 2 5 7 2" xfId="2397"/>
    <cellStyle name="计算 2 2 11 2 2" xfId="2398"/>
    <cellStyle name="解释性文本 2 2 3 6 2" xfId="2399"/>
    <cellStyle name="输出 2 4 2 2 2 5" xfId="2400"/>
    <cellStyle name="输出 2 3 2 8 2" xfId="2401"/>
    <cellStyle name="汇总 2 2 3 2 12" xfId="2402"/>
    <cellStyle name="计算 2 5 2 3 2 3 2 2" xfId="2403"/>
    <cellStyle name="注释 5 2" xfId="2404"/>
    <cellStyle name="强调文字颜色 3 2 2 2 6" xfId="2405"/>
    <cellStyle name="常规 5 2 2 3 2 2" xfId="2406"/>
    <cellStyle name="常规 5 5 2 4" xfId="2407"/>
    <cellStyle name="常规 16 3 2" xfId="2408"/>
    <cellStyle name="强调文字颜色 2 2 2 4 3 2 2" xfId="2409"/>
    <cellStyle name="常规 15" xfId="2410"/>
    <cellStyle name="常规 20" xfId="2411"/>
    <cellStyle name="好 4 5" xfId="2412"/>
    <cellStyle name="输入 2 5 3" xfId="2413"/>
    <cellStyle name="适中 2 4 2 2 2 2" xfId="2414"/>
    <cellStyle name="超链接 2 3 3 3 2" xfId="2415"/>
    <cellStyle name="常规 4 3 3 4 3" xfId="2416"/>
    <cellStyle name="标题 1 3 3 4" xfId="2417"/>
    <cellStyle name="计算 3 4 3" xfId="2418"/>
    <cellStyle name="警告文本 2 7 2 2 2" xfId="2419"/>
    <cellStyle name="注释 2 3 2 4 2 2" xfId="2420"/>
    <cellStyle name="输出 2 2 3 2 2 5" xfId="2421"/>
    <cellStyle name="强调文字颜色 6 2 2 3 7" xfId="2422"/>
    <cellStyle name="常规 5 5 2 3 3 3" xfId="2423"/>
    <cellStyle name="20% - 强调文字颜色 3 2 2 2 2 4 3 2 2" xfId="2424"/>
    <cellStyle name="警告文本 3 5" xfId="2425"/>
    <cellStyle name="输入 4 2 3 2" xfId="2426"/>
    <cellStyle name="计算 2 5 2 4 2 4 2" xfId="2427"/>
    <cellStyle name="常规 2 2 2 2 5" xfId="2428"/>
    <cellStyle name="标题 2 2 3 2 2 3 2" xfId="2429"/>
    <cellStyle name="标题 1 2 2 2 2 5 2" xfId="2430"/>
    <cellStyle name="汇总 6 3 2 2" xfId="2431"/>
    <cellStyle name="适中 2 3 2 3 2" xfId="2432"/>
    <cellStyle name="汇总 2 2 5 4 2 2 2 2" xfId="2433"/>
    <cellStyle name="40% - 强调文字颜色 1 6 2 2 2" xfId="2434"/>
    <cellStyle name="常规 9 5 2 2 2" xfId="2435"/>
    <cellStyle name="输出 2 3 2 3 2 3" xfId="2436"/>
    <cellStyle name="输入 2 2 4 4 8" xfId="2437"/>
    <cellStyle name="强调文字颜色 5 2 2 6 2 2" xfId="2438"/>
    <cellStyle name="汇总 2 8 4 4" xfId="2439"/>
    <cellStyle name="标题 4 2 2 2 4 3 2 2" xfId="2440"/>
    <cellStyle name="20% - 强调文字颜色 5 4 2 4" xfId="2441"/>
    <cellStyle name="40% - 强调文字颜色 6 2 2 2 3 5" xfId="2442"/>
    <cellStyle name="输入 3 3 3 2" xfId="2443"/>
    <cellStyle name="常规 5 6 3 5" xfId="2444"/>
    <cellStyle name="汇总 2 2 9 2 2" xfId="2445"/>
    <cellStyle name="注释 4 2 4 3" xfId="2446"/>
    <cellStyle name="强调文字颜色 3 2 3 3 7" xfId="2447"/>
    <cellStyle name="注释 2 2 3 2 2 2 2 2 2 2" xfId="2448"/>
    <cellStyle name="40% - 强调文字颜色 2 2 2 2 2 2" xfId="2449"/>
    <cellStyle name="计算 2 5 10 3" xfId="2450"/>
    <cellStyle name="强调文字颜色 4 3 2 4 2" xfId="2451"/>
    <cellStyle name="常规 5 2 3 2 3" xfId="2452"/>
    <cellStyle name="Normal 2 5 3" xfId="2453"/>
    <cellStyle name="检查单元格 2 2 6 2 2" xfId="2454"/>
    <cellStyle name="注释 4 5 2 2" xfId="2455"/>
    <cellStyle name="计算 2 6 2 3 4 2" xfId="2456"/>
    <cellStyle name="解释性文本 2 2 6 2" xfId="2457"/>
    <cellStyle name="常规 2 2 3 4" xfId="2458"/>
    <cellStyle name="60% - 强调文字颜色 5 2 9 2" xfId="2459"/>
    <cellStyle name="强调文字颜色 3 2 3 5 2 3" xfId="2460"/>
    <cellStyle name="汇总 2 2 2 4 7" xfId="2461"/>
    <cellStyle name="计算 2 2 3 13" xfId="2462"/>
    <cellStyle name="60% - 强调文字颜色 2 2 2 5 2 2" xfId="2463"/>
    <cellStyle name="计算 2 10 5 2 2" xfId="2464"/>
    <cellStyle name="强调文字颜色 6 2 2 3 2" xfId="2465"/>
    <cellStyle name="常规 5 2 5 2 2" xfId="2466"/>
    <cellStyle name="输出 2 2 3 2 2 3 3 2" xfId="2467"/>
    <cellStyle name="输入 2 2 4 2 3 3" xfId="2468"/>
    <cellStyle name="输出 2 3 11" xfId="2469"/>
    <cellStyle name="计算 2 4 2 3 2 3" xfId="2470"/>
    <cellStyle name="注释 2 2 9 3 2" xfId="2471"/>
    <cellStyle name="输出 2 7 11" xfId="2472"/>
    <cellStyle name="警告文本 2 5 2" xfId="2473"/>
    <cellStyle name="输入 4 2 2 2 2" xfId="2474"/>
    <cellStyle name="输入 2 2 9 7" xfId="2475"/>
    <cellStyle name="汇总 2 2 3 3 2 7" xfId="2476"/>
    <cellStyle name="注释 2 2 4 3 4" xfId="2477"/>
    <cellStyle name="注释 2 7 2 5" xfId="2478"/>
    <cellStyle name="强调文字颜色 1 2 3 2 3 2" xfId="2479"/>
    <cellStyle name="输出 2 4 9 2" xfId="2480"/>
    <cellStyle name="常规 2 3 7 2" xfId="2481"/>
    <cellStyle name="汇总 3 7 3" xfId="2482"/>
    <cellStyle name="常规 14 6" xfId="2483"/>
    <cellStyle name="40% - 强调文字颜色 5 3 4 2 2" xfId="2484"/>
    <cellStyle name="强调文字颜色 2 2 2 4 4" xfId="2485"/>
    <cellStyle name="好 2 4 4 2 2" xfId="2486"/>
    <cellStyle name="常规 3 3 3 4 2" xfId="2487"/>
    <cellStyle name="输入 2 5 2 6" xfId="2488"/>
    <cellStyle name="强调文字颜色 1 2 9" xfId="2489"/>
    <cellStyle name="输入 5 2 2 2 2" xfId="2490"/>
    <cellStyle name="强调文字颜色 5 4 2 3" xfId="2491"/>
    <cellStyle name="解释性文本 2 3 4 3 2 2" xfId="2492"/>
    <cellStyle name="汇总 2 3 5 3" xfId="2493"/>
    <cellStyle name="输出 2 4 3 5 2 2" xfId="2494"/>
    <cellStyle name="40% - 强调文字颜色 4 3 2 3 2 2" xfId="2495"/>
    <cellStyle name="差 2 3 2 6 3" xfId="2496"/>
    <cellStyle name="好 6 3" xfId="2497"/>
    <cellStyle name="标题 2 2 3 6 2 2 2" xfId="2498"/>
    <cellStyle name="常规 8 3 3 2 2 2" xfId="2499"/>
    <cellStyle name="计算 4 4 2 2" xfId="2500"/>
    <cellStyle name="输出 4 2 6 3" xfId="2501"/>
    <cellStyle name="标题 4 2 2 2 2 4 3 2" xfId="2502"/>
    <cellStyle name="计算 2 8 5 5" xfId="2503"/>
    <cellStyle name="适中 2 3 2 2 2 2 2 2" xfId="2504"/>
    <cellStyle name="40% - 强调文字颜色 2 2 3 4 2" xfId="2505"/>
    <cellStyle name="计算 4 3 5 2" xfId="2506"/>
    <cellStyle name="汇总 2 2 4 5 2 3 2" xfId="2507"/>
    <cellStyle name="20% - 强调文字颜色 1 2 2 2 2 2 2 3 2" xfId="2508"/>
    <cellStyle name="汇总 2 2 4 2 4 5 2" xfId="2509"/>
    <cellStyle name="好 2 2 2" xfId="2510"/>
    <cellStyle name="差 2 3 2 2 2 2" xfId="2511"/>
    <cellStyle name="计算 2 2 4 5 3 3" xfId="2512"/>
    <cellStyle name="60% - 强调文字颜色 4 2 2 8 2" xfId="2513"/>
    <cellStyle name="输出 3 2 2 5 2" xfId="2514"/>
    <cellStyle name="标题 5 4 3" xfId="2515"/>
    <cellStyle name="输入 2 2 2 2 3" xfId="2516"/>
    <cellStyle name="输出 2 5 3 3 2" xfId="2517"/>
    <cellStyle name="20% - 强调文字颜色 6 2 2 3 4 3" xfId="2518"/>
    <cellStyle name="常规 11 3 3 3 2" xfId="2519"/>
    <cellStyle name="计算 2 6 3 2 4" xfId="2520"/>
    <cellStyle name="检查单元格 2 3 5 2" xfId="2521"/>
    <cellStyle name="标题 5 2 2 2 3 4" xfId="2522"/>
    <cellStyle name="常规 4 6 2 5" xfId="2523"/>
    <cellStyle name="计算 2 3 2 2 2 6" xfId="2524"/>
    <cellStyle name="注释 3 2 3 3" xfId="2525"/>
    <cellStyle name="常规 13 2 2 2 3" xfId="2526"/>
    <cellStyle name="输入 2 3 2 2" xfId="2527"/>
    <cellStyle name="常规 4 2 4 2 5" xfId="2528"/>
    <cellStyle name="解释性文本 3 3 4" xfId="2529"/>
    <cellStyle name="60% - 强调文字颜色 6 3 7" xfId="2530"/>
    <cellStyle name="好 2 4 2" xfId="2531"/>
    <cellStyle name="强调文字颜色 5 2 3 5 2" xfId="2532"/>
    <cellStyle name="汇总 2 7 4 3" xfId="2533"/>
    <cellStyle name="40% - 强调文字颜色 6 2 2 4 5" xfId="2534"/>
    <cellStyle name="输出 2 2 3 2 3 2 2 2" xfId="2535"/>
    <cellStyle name="解释性文本 2 2 2 4 2 2 2" xfId="2536"/>
    <cellStyle name="计算 2 6 2 5" xfId="2537"/>
    <cellStyle name="60% - 强调文字颜色 3 2 2 2 4 2 2 2" xfId="2538"/>
    <cellStyle name="好 2 2 6 4" xfId="2539"/>
    <cellStyle name="输出 2 2 3 3 5 3" xfId="2540"/>
    <cellStyle name="常规 2 2 2 8 2 2 2" xfId="2541"/>
    <cellStyle name="强调文字颜色 5 2 2 2" xfId="2542"/>
    <cellStyle name="计算 2 6 2 2 3 2 3" xfId="2543"/>
    <cellStyle name="计算 2 8 3 2 3 2" xfId="2544"/>
    <cellStyle name="检查单元格 2 2 2 2 7" xfId="2545"/>
    <cellStyle name="计算 2 2 2 2 2 2 2 2 2 2" xfId="2546"/>
    <cellStyle name="60% - 强调文字颜色 6 5 2 2 2 2" xfId="2547"/>
    <cellStyle name="计算 2 2 4 9 3" xfId="2548"/>
    <cellStyle name="输入 2 2 5 2 2 4 3" xfId="2549"/>
    <cellStyle name="超链接 3 2 2 2 3 4" xfId="2550"/>
    <cellStyle name="输入 3 2 4 3" xfId="2551"/>
    <cellStyle name="汇总 2 2 8 3 3" xfId="2552"/>
    <cellStyle name="警告文本 2 2 3 8" xfId="2553"/>
    <cellStyle name="强调文字颜色 1 2 2 4 3 3 2" xfId="2554"/>
    <cellStyle name="注释 3 4 3 2" xfId="2555"/>
    <cellStyle name="标题 4 4 2 3 2 2 2" xfId="2556"/>
    <cellStyle name="计算 2 2 3 4 4 3" xfId="2557"/>
    <cellStyle name="标题 5 3 2 3 2 2 2" xfId="2558"/>
    <cellStyle name="输出 3 6 2" xfId="2559"/>
    <cellStyle name="输入 2 2 3 3 2 2 2" xfId="2560"/>
    <cellStyle name="链接单元格 2 2 2 4 3" xfId="2561"/>
    <cellStyle name="计算 2 2 2 6 2 2" xfId="2562"/>
    <cellStyle name="标题 6 5 2 2 2" xfId="2563"/>
    <cellStyle name="20% - 强调文字颜色 3 2 7 3 2 2" xfId="2564"/>
    <cellStyle name="解释性文本 2 2 2 3" xfId="2565"/>
    <cellStyle name="60% - 强调文字颜色 5 2 5 3" xfId="2566"/>
    <cellStyle name="差 2 3 4 3 2" xfId="2567"/>
    <cellStyle name="40% - 强调文字颜色 2 2 2 2 2 2 5" xfId="2568"/>
    <cellStyle name="差 4 2 2 2 2 2" xfId="2569"/>
    <cellStyle name="强调文字颜色 6 2 4 2 2 2" xfId="2570"/>
    <cellStyle name="20% - 强调文字颜色 3 2 2 2 3 2 2 2 2 2" xfId="2571"/>
    <cellStyle name="60% - 强调文字颜色 5 2 2 4 3 2" xfId="2572"/>
    <cellStyle name="适中 2 2 4 2 2 2 2" xfId="2573"/>
    <cellStyle name="强调文字颜色 4 2 2 2 2 6" xfId="2574"/>
    <cellStyle name="适中 3 3 2" xfId="2575"/>
    <cellStyle name="好 4 2 3 2 3" xfId="2576"/>
    <cellStyle name="20% - 强调文字颜色 6 2 7 3" xfId="2577"/>
    <cellStyle name="常规 10 5 5" xfId="2578"/>
    <cellStyle name="注释 6 2 2" xfId="2579"/>
    <cellStyle name="标题 2 2 4 3 2 2 2" xfId="2580"/>
    <cellStyle name="计算 2 4 2 2 4 2" xfId="2581"/>
    <cellStyle name="20% - 强调文字颜色 6 2 2 4 2 3" xfId="2582"/>
    <cellStyle name="检查单元格 2 4 3 2" xfId="2583"/>
    <cellStyle name="好 2 2 2 3 6" xfId="2584"/>
    <cellStyle name="40% - 强调文字颜色 6 2 2 2 2 2 3 3 2 2" xfId="2585"/>
    <cellStyle name="标题 5 2 3 4 4" xfId="2586"/>
    <cellStyle name="20% - 强调文字颜色 3 2 2 4 4 2" xfId="2587"/>
    <cellStyle name="计算 2 5 7" xfId="2588"/>
    <cellStyle name="标题 1 2 4 8" xfId="2589"/>
    <cellStyle name="输入 3 3 5 3" xfId="2590"/>
    <cellStyle name="标题 2 2 2 3 3 3" xfId="2591"/>
    <cellStyle name="计算 2 2 2 3 5" xfId="2592"/>
    <cellStyle name="注释 2 8 2 2 2" xfId="2593"/>
    <cellStyle name="注释 2 3 2 9" xfId="2594"/>
    <cellStyle name="强调文字颜色 3 4 2 4" xfId="2595"/>
    <cellStyle name="汇总 2 2 4 8 2 2" xfId="2596"/>
    <cellStyle name="计算 2 2 2 2 7" xfId="2597"/>
    <cellStyle name="汇总 2 2 9 3 5" xfId="2598"/>
    <cellStyle name="汇总 2 7 2 2 8" xfId="2599"/>
    <cellStyle name="标题 3 2 3 3 2 3" xfId="2600"/>
    <cellStyle name="输入 2 2 5 2 2 2" xfId="2601"/>
    <cellStyle name="输出 2 2 5 7 2" xfId="2602"/>
    <cellStyle name="60% - 强调文字颜色 3 2 2 3 4" xfId="2603"/>
    <cellStyle name="计算 2 2 4 7" xfId="2604"/>
    <cellStyle name="输入 2 2 3 5 3" xfId="2605"/>
    <cellStyle name="汇总 2 9 3 3 2 2" xfId="2606"/>
    <cellStyle name="标题 1 2 3 2 6 2" xfId="2607"/>
    <cellStyle name="计算 2 2 3 2 3 6" xfId="2608"/>
    <cellStyle name="强调文字颜色 2 2 3 3 7" xfId="2609"/>
    <cellStyle name="输入 2 5 3 3 2 3" xfId="2610"/>
    <cellStyle name="汇总 2 2 2 3 4 3" xfId="2611"/>
    <cellStyle name="输入 2 2 4 2 3 3 2" xfId="2612"/>
    <cellStyle name="输入 2 3 2 3 2 2 2" xfId="2613"/>
    <cellStyle name="输入 2 2 2 2 2 2 4" xfId="2614"/>
    <cellStyle name="输出 2 5 3 9" xfId="2615"/>
    <cellStyle name="常规 9 4 2 2 3" xfId="2616"/>
    <cellStyle name="适中 2 3 2 2" xfId="2617"/>
    <cellStyle name="输出 3 2 2 8" xfId="2618"/>
    <cellStyle name="汇总 2 6 2 3 2 3" xfId="2619"/>
    <cellStyle name="强调文字颜色 2 2 7" xfId="2620"/>
    <cellStyle name="汇总 2 2 2 6 4 2" xfId="2621"/>
    <cellStyle name="强调文字颜色 5 2 2 3 2 2 3" xfId="2622"/>
    <cellStyle name="强调文字颜色 1 2 4 4" xfId="2623"/>
    <cellStyle name="常规 3 4" xfId="2624"/>
    <cellStyle name="输出 2 7 5 2 2" xfId="2625"/>
    <cellStyle name="常规 2 6 3 2 2" xfId="2626"/>
    <cellStyle name="标题 1 4 2 3 2 2 2" xfId="2627"/>
    <cellStyle name="输出 2 7 4 5" xfId="2628"/>
    <cellStyle name="计算 2 2 7 8 2 2" xfId="2629"/>
    <cellStyle name="60% - 强调文字颜色 6 2 2 10" xfId="2630"/>
    <cellStyle name="20% - 强调文字颜色 3 3 5 2 2" xfId="2631"/>
    <cellStyle name="计算 2 2 3 3 2 4 2 2" xfId="2632"/>
    <cellStyle name="输出 2 2 2 2 2 3 2" xfId="2633"/>
    <cellStyle name="输入 2 2 3 5" xfId="2634"/>
    <cellStyle name="汇总 3 4 7" xfId="2635"/>
    <cellStyle name="注释 2 2 4 4 3 3" xfId="2636"/>
    <cellStyle name="输出 5 2 2 2" xfId="2637"/>
    <cellStyle name="汇总 2 2 2 2 2 4" xfId="2638"/>
    <cellStyle name="20% - 强调文字颜色 4 2 2 2 2 2 2 3" xfId="2639"/>
    <cellStyle name="汇总 3 2 3 2 2 2" xfId="2640"/>
    <cellStyle name="计算 2 2 11 6" xfId="2641"/>
    <cellStyle name="汇总 2 4 8 2 2" xfId="2642"/>
    <cellStyle name="常规 5 2 4 3 3 3" xfId="2643"/>
    <cellStyle name="输出 2 2 5 2 4" xfId="2644"/>
    <cellStyle name="计算 2 5 2 3 2 2 2 2" xfId="2645"/>
    <cellStyle name="输入 5 2 3 2" xfId="2646"/>
    <cellStyle name="检查单元格 2 7 2 2 2" xfId="2647"/>
    <cellStyle name="计算 2 5 5 2 6" xfId="2648"/>
    <cellStyle name="汇总 2 2 4 4 3 3" xfId="2649"/>
    <cellStyle name="20% - 强调文字颜色 1 2 2 4 2 2 2" xfId="2650"/>
    <cellStyle name="注释 2 2 3 5" xfId="2651"/>
    <cellStyle name="强调文字颜色 3 2 2 6 4" xfId="2652"/>
    <cellStyle name="常规 10 4 3 3 3" xfId="2653"/>
    <cellStyle name="计算 2 6 2 3 4" xfId="2654"/>
    <cellStyle name="常规 11 3 2 4 2" xfId="2655"/>
    <cellStyle name="注释 2 2 2 2 2 2 3 2 2" xfId="2656"/>
    <cellStyle name="常规 25 2" xfId="2657"/>
    <cellStyle name="60% - 强调文字颜色 5 2 9" xfId="2658"/>
    <cellStyle name="解释性文本 2 2 6" xfId="2659"/>
    <cellStyle name="输入 2 2 4 4 4 3" xfId="2660"/>
    <cellStyle name="检查单元格 2 2 4 6" xfId="2661"/>
    <cellStyle name="60% - 强调文字颜色 5 2 2 6 3" xfId="2662"/>
    <cellStyle name="强调文字颜色 6 2 4 4 2" xfId="2663"/>
    <cellStyle name="适中 5 3" xfId="2664"/>
    <cellStyle name="注释 2 2 5 6 2 2" xfId="2665"/>
    <cellStyle name="输出 2 2 4 3 9" xfId="2666"/>
    <cellStyle name="差 2 2 4 3 2 2" xfId="2667"/>
    <cellStyle name="60% - 强调文字颜色 4 2 5 3 2" xfId="2668"/>
    <cellStyle name="注释 2 2 2 2 3 5" xfId="2669"/>
    <cellStyle name="汇总 2 8 5 3 2" xfId="2670"/>
    <cellStyle name="警告文本 2 2 6 3" xfId="2671"/>
    <cellStyle name="汇总 2 2 9 2 7" xfId="2672"/>
    <cellStyle name="强调文字颜色 5 3 4 3" xfId="2673"/>
    <cellStyle name="计算 2 2 4 2 11" xfId="2674"/>
    <cellStyle name="20% - 强调文字颜色 5 2 4 4 2 2" xfId="2675"/>
    <cellStyle name="汇总 2 2 7 3" xfId="2676"/>
    <cellStyle name="40% - 强调文字颜色 1 2 4 2" xfId="2677"/>
    <cellStyle name="输出 2 4 5 2 2 2 2" xfId="2678"/>
    <cellStyle name="常规 2 3 3 2 2 2 2" xfId="2679"/>
    <cellStyle name="计算 2 17 2" xfId="2680"/>
    <cellStyle name="60% - 强调文字颜色 2 2 9 2" xfId="2681"/>
    <cellStyle name="强调文字颜色 1 2 2 2 4 2 2" xfId="2682"/>
    <cellStyle name="计算 2 2 3 9" xfId="2683"/>
    <cellStyle name="60% - 强调文字颜色 3 2 2 2 6" xfId="2684"/>
    <cellStyle name="输入 2 2 3 4 5" xfId="2685"/>
    <cellStyle name="输入 2 5 3 3 2 2 2" xfId="2686"/>
    <cellStyle name="适中 2 2 2 2 7" xfId="2687"/>
    <cellStyle name="检查单元格 2 2 3 2 2 2" xfId="2688"/>
    <cellStyle name="汇总 2 6 3 2 3" xfId="2689"/>
    <cellStyle name="计算 3 16" xfId="2690"/>
    <cellStyle name="超链接 2 3 3 2 2 2" xfId="2691"/>
    <cellStyle name="强调文字颜色 5 2 3 7" xfId="2692"/>
    <cellStyle name="输出 2 4 2 14" xfId="2693"/>
    <cellStyle name="强调文字颜色 2 2 2 2 2 3 2 2" xfId="2694"/>
    <cellStyle name="20% - 强调文字颜色 1 3 2 3 2 2" xfId="2695"/>
    <cellStyle name="计算 2 2 8 5 3 2" xfId="2696"/>
    <cellStyle name="警告文本 3 8" xfId="2697"/>
    <cellStyle name="汇总 2 2 4 3 10" xfId="2698"/>
    <cellStyle name="常规 10 2 3 4" xfId="2699"/>
    <cellStyle name="输出 2 2 2 4 2 3 2" xfId="2700"/>
    <cellStyle name="适中 2 3 2 3 3 2" xfId="2701"/>
    <cellStyle name="强调文字颜色 3 2 2 2 3 3 2" xfId="2702"/>
    <cellStyle name="常规 11 3 3 2" xfId="2703"/>
    <cellStyle name="20% - 强调文字颜色 5 2 8 2" xfId="2704"/>
    <cellStyle name="输出 2 2 6 2 5" xfId="2705"/>
    <cellStyle name="注释 5 3" xfId="2706"/>
    <cellStyle name="标题 6 2 3 2 2" xfId="2707"/>
    <cellStyle name="无色" xfId="2708"/>
    <cellStyle name="检查单元格 2 3 4" xfId="2709"/>
    <cellStyle name="常规 7 2 2 2 5 2 2" xfId="2710"/>
    <cellStyle name="20% - 强调文字颜色 3 2 4 4 2 2" xfId="2711"/>
    <cellStyle name="警告文本 2 3 2 4" xfId="2712"/>
    <cellStyle name="强调文字颜色 6 3 3 3" xfId="2713"/>
    <cellStyle name="输入 2 5 10" xfId="2714"/>
    <cellStyle name="常规 10 3 2 6" xfId="2715"/>
    <cellStyle name="注释 2 2 3 2 2 2 3 2" xfId="2716"/>
    <cellStyle name="超链接 3 3 2 2 3 2" xfId="2717"/>
    <cellStyle name="常规 5 4 2" xfId="2718"/>
    <cellStyle name="差 2 2 2 2 4 3 2" xfId="2719"/>
    <cellStyle name="输出 2 2 2 2 2 5 3" xfId="2720"/>
    <cellStyle name="输出 2 4 3 3 2 2" xfId="2721"/>
    <cellStyle name="常规 9 3 4 3 2" xfId="2722"/>
    <cellStyle name="警告文本 2 2 2 2 6 2 2" xfId="2723"/>
    <cellStyle name="计算 2 8 3 2 3 3" xfId="2724"/>
    <cellStyle name="解释性文本 2 8 2 2" xfId="2725"/>
    <cellStyle name="汇总 2 5 2 9" xfId="2726"/>
    <cellStyle name="强调文字颜色 6 5 2 2" xfId="2727"/>
    <cellStyle name="差 3 3" xfId="2728"/>
    <cellStyle name="汇总 3 4 5 2" xfId="2729"/>
    <cellStyle name="常规 8 2 2 2 2" xfId="2730"/>
    <cellStyle name="60% - 强调文字颜色 1 2 3 2 3 3" xfId="2731"/>
    <cellStyle name="计算 3 2 4 2 2 2" xfId="2732"/>
    <cellStyle name="20% - 强调文字颜色 4 2 7 2 2" xfId="2733"/>
    <cellStyle name="常规 5 2 3 4 2 4 2" xfId="2734"/>
    <cellStyle name="常规 10 3 2 2 2" xfId="2735"/>
    <cellStyle name="输入 4 3 2" xfId="2736"/>
    <cellStyle name="注释 2 4 2 3 2 6" xfId="2737"/>
    <cellStyle name="汇总 2 2 2 12 2" xfId="2738"/>
    <cellStyle name="输入 2 5 2 2 2 4" xfId="2739"/>
    <cellStyle name="汇总 3 2 2 2 4 2" xfId="2740"/>
    <cellStyle name="标题 3 2 3 4 3 3" xfId="2741"/>
    <cellStyle name="60% - 强调文字颜色 6 3 2 5" xfId="2742"/>
    <cellStyle name="强调文字颜色 3 2 2 7 2" xfId="2743"/>
    <cellStyle name="常规 5 4 2 2 4" xfId="2744"/>
    <cellStyle name="强调文字颜色 4 2 2 2 4 2" xfId="2745"/>
    <cellStyle name="常规 5 3 3 2 2 2" xfId="2746"/>
    <cellStyle name="输出 2 4 2 2 2 8" xfId="2747"/>
    <cellStyle name="计算 2 5 5 4 3" xfId="2748"/>
    <cellStyle name="20% - 强调文字颜色 1 2 2 3 4" xfId="2749"/>
    <cellStyle name="输入 2 2 3 2" xfId="2750"/>
    <cellStyle name="强调文字颜色 1 4 3 2" xfId="2751"/>
    <cellStyle name="汇总 2 2 4 4 2 2 2 2" xfId="2752"/>
    <cellStyle name="输出 2 5 2 2 3 3" xfId="2753"/>
    <cellStyle name="汇总 2 5 2 3 2 4 2" xfId="2754"/>
    <cellStyle name="链接单元格 3 3 3 2" xfId="2755"/>
    <cellStyle name="适中 2 9" xfId="2756"/>
    <cellStyle name="汇总 3 5 2 2" xfId="2757"/>
    <cellStyle name="强调文字颜色 5 2 3 4 2 2" xfId="2758"/>
    <cellStyle name="计算 3 5 3" xfId="2759"/>
    <cellStyle name="20% - 强调文字颜色 2 2 2 3 4 3 2" xfId="2760"/>
    <cellStyle name="输出 4 3" xfId="2761"/>
    <cellStyle name="强调文字颜色 4 2 4 9" xfId="2762"/>
    <cellStyle name="超链接 3 3 3 2 3 2" xfId="2763"/>
    <cellStyle name="汇总 2 4 3 2 5 2" xfId="2764"/>
    <cellStyle name="注释 2 3 6 3" xfId="2765"/>
    <cellStyle name="计算 2 9 2 3 2 2" xfId="2766"/>
    <cellStyle name="汇总 2 5 3 3 5" xfId="2767"/>
    <cellStyle name="超链接 3 3 2 2 2 2 2" xfId="2768"/>
    <cellStyle name="检查单元格 2 2 5 2" xfId="2769"/>
    <cellStyle name="20% - 强调文字颜色 5 2 7 3 2" xfId="2770"/>
    <cellStyle name="计算 2 6 2 2 4" xfId="2771"/>
    <cellStyle name="常规 19 2" xfId="2772"/>
    <cellStyle name="常规 11 3 2 3 2" xfId="2773"/>
    <cellStyle name="20% - 强调文字颜色 6 2 2 2 4 3" xfId="2774"/>
    <cellStyle name="标题 2 2 6 3 2 2" xfId="2775"/>
    <cellStyle name="注释 4 4 2" xfId="2776"/>
    <cellStyle name="强调文字颜色 1 2 3 3 6" xfId="2777"/>
    <cellStyle name="计算 3 2 5 2 2" xfId="2778"/>
    <cellStyle name="标题 5 3 7" xfId="2779"/>
    <cellStyle name="检查单元格 2 2 4 3 2 2 2" xfId="2780"/>
    <cellStyle name="输入 2 2 5 2 2 2 4" xfId="2781"/>
    <cellStyle name="输入 2 2 2 3 2" xfId="2782"/>
    <cellStyle name="汇总 2 3 2 2 3 5" xfId="2783"/>
    <cellStyle name="常规 6 2 2 3 2 2 2" xfId="2784"/>
    <cellStyle name="强调文字颜色 4 2 3 6" xfId="2785"/>
    <cellStyle name="40% - 强调文字颜色 4 2 2 7 2" xfId="2786"/>
    <cellStyle name="注释 2 2 4 3 4 2" xfId="2787"/>
    <cellStyle name="汇总 2 5 6" xfId="2788"/>
    <cellStyle name="差 2 2 2 3 2" xfId="2789"/>
    <cellStyle name="输入 2 2 5 3 9" xfId="2790"/>
    <cellStyle name="常规 7 2 2 4 2 2 2" xfId="2791"/>
    <cellStyle name="注释 2 2 3 6 2" xfId="2792"/>
    <cellStyle name="输出 2 4 3 2 5" xfId="2793"/>
    <cellStyle name="强调文字颜色 1 2 2 3 4 2 3" xfId="2794"/>
    <cellStyle name="标题 4 2 2 2 2 5 2" xfId="2795"/>
    <cellStyle name="好 2 3 2 2 3 2" xfId="2796"/>
    <cellStyle name="输入 3 2 6 2 2" xfId="2797"/>
    <cellStyle name="标题 5 2 2 4" xfId="2798"/>
    <cellStyle name="输入 2 2 8 3 5" xfId="2799"/>
    <cellStyle name="计算 2 7 2 9" xfId="2800"/>
    <cellStyle name="20% - 强调文字颜色 1 2 4 4 2 2" xfId="2801"/>
    <cellStyle name="强调文字颜色 1 2 3 2 3" xfId="2802"/>
    <cellStyle name="常规 2 3 7" xfId="2803"/>
    <cellStyle name="输出 2 4 9" xfId="2804"/>
    <cellStyle name="汇总 2 6 3 2 3 2" xfId="2805"/>
    <cellStyle name="汇总 2 2 3 10 3" xfId="2806"/>
    <cellStyle name="计算 2 2 4 5 5 3" xfId="2807"/>
    <cellStyle name="输出 2 4 2 4 2 3" xfId="2808"/>
    <cellStyle name="标题 6 2 3 3" xfId="2809"/>
    <cellStyle name="常规 11 3 4" xfId="2810"/>
    <cellStyle name="强调文字颜色 1 3 3 3 2" xfId="2811"/>
    <cellStyle name="20% - 强调文字颜色 4 2 5 3" xfId="2812"/>
    <cellStyle name="强调文字颜色 3 2 2 2 4 3 2" xfId="2813"/>
    <cellStyle name="常规 5 5 2 2 3 2" xfId="2814"/>
    <cellStyle name="40% - 强调文字颜色 3 2 2 3 4 2 2 2" xfId="2815"/>
    <cellStyle name="适中 2 3 2 4 3 2" xfId="2816"/>
    <cellStyle name="标题 2 2 4 2 2 3" xfId="2817"/>
    <cellStyle name="计算 2 14 3" xfId="2818"/>
    <cellStyle name="好 2 2 3 3 2 3" xfId="2819"/>
    <cellStyle name="汇总 2 5 5 5" xfId="2820"/>
    <cellStyle name="标题 4 2 3 4 3 2 2" xfId="2821"/>
    <cellStyle name="计算 2 2 4 2 3 6" xfId="2822"/>
    <cellStyle name="常规 12 4 2 3 3" xfId="2823"/>
    <cellStyle name="汇总 2 2 3 3 4 3" xfId="2824"/>
    <cellStyle name="输入 2 2 4 3 3 3 2" xfId="2825"/>
    <cellStyle name="常规 9 4 2 4" xfId="2826"/>
    <cellStyle name="好 2 2 2 3 2" xfId="2827"/>
    <cellStyle name="强调文字颜色 2 3 4 2" xfId="2828"/>
    <cellStyle name="计算 2 3 5 2 2" xfId="2829"/>
    <cellStyle name="汇总 2 2 7 2 2 4" xfId="2830"/>
    <cellStyle name="标题 1 3 2 2 3 3" xfId="2831"/>
    <cellStyle name="标题 1 2 9 2" xfId="2832"/>
    <cellStyle name="常规 5 2 2 2 2 3 3 2 2" xfId="2833"/>
    <cellStyle name="警告文本 2 2 6 2 2" xfId="2834"/>
    <cellStyle name="常规 5 4 3 5" xfId="2835"/>
    <cellStyle name="计算 2 2 4 2 10 2" xfId="2836"/>
    <cellStyle name="汇总 2 2 7 2 2" xfId="2837"/>
    <cellStyle name="适中 2 2 3 7" xfId="2838"/>
    <cellStyle name="汇总 2 2 2 2 8" xfId="2839"/>
    <cellStyle name="输入 2 5 3 2 6" xfId="2840"/>
    <cellStyle name="输出 2 3 3 5" xfId="2841"/>
    <cellStyle name="40% - 强调文字颜色 4 2 2 3" xfId="2842"/>
    <cellStyle name="输出 3 8 2" xfId="2843"/>
    <cellStyle name="标题 2 2 2 2 2 3 2 2 2" xfId="2844"/>
    <cellStyle name="输入 2 5 2 2 5 2" xfId="2845"/>
    <cellStyle name="60% - 强调文字颜色 3 2 3 7 2" xfId="2846"/>
    <cellStyle name="标题 4 4 3" xfId="2847"/>
    <cellStyle name="计算 2 6 2 2 2 2 2" xfId="2848"/>
    <cellStyle name="输出 2 2 4 3 4" xfId="2849"/>
    <cellStyle name="输入 5 5 2" xfId="2850"/>
    <cellStyle name="计算 2 2 4 5 7" xfId="2851"/>
    <cellStyle name="汇总 2 2 3 12" xfId="2852"/>
    <cellStyle name="注释 2 6 2 2 7" xfId="2853"/>
    <cellStyle name="输出 2 2 5 4 2 5" xfId="2854"/>
    <cellStyle name="汇总 2 2 8 8 3" xfId="2855"/>
    <cellStyle name="计算 2 2 7 2 2 2" xfId="2856"/>
    <cellStyle name="输入 2 12" xfId="2857"/>
    <cellStyle name="输入 2 2 3 2 3 5" xfId="2858"/>
    <cellStyle name="标题 2 2 2 2 2 2 3 3" xfId="2859"/>
    <cellStyle name="汇总 2 2 6 10" xfId="2860"/>
    <cellStyle name="计算 2 8 4 3" xfId="2861"/>
    <cellStyle name="20% - 强调文字颜色 3 5 2 2" xfId="2862"/>
    <cellStyle name="强调文字颜色 2 2 4 4 2 2" xfId="2863"/>
    <cellStyle name="60% - 强调文字颜色 1 2 2 6 3 2" xfId="2864"/>
    <cellStyle name="输入 2 7 2 4 2" xfId="2865"/>
    <cellStyle name="标题 5 2 4 3 4" xfId="2866"/>
    <cellStyle name="输出 3 6 3" xfId="2867"/>
    <cellStyle name="输入 2 2 3 3 2 2 3" xfId="2868"/>
    <cellStyle name="链接单元格 2 2 2 4 4" xfId="2869"/>
    <cellStyle name="超链接 2 3 2 3 3" xfId="2870"/>
    <cellStyle name="输出 3 2 2 2 2 2 2" xfId="2871"/>
    <cellStyle name="输入 2 2 5 12" xfId="2872"/>
    <cellStyle name="标题 4 2 7" xfId="2873"/>
    <cellStyle name="计算 2 2 3 4 9" xfId="2874"/>
    <cellStyle name="输出 2 2 3 3 2 4" xfId="2875"/>
    <cellStyle name="强调文字颜色 2 4 2 2 2" xfId="2876"/>
    <cellStyle name="强调文字颜色 6 2 3 3 6" xfId="2877"/>
    <cellStyle name="适中 3 4 3" xfId="2878"/>
    <cellStyle name="输入 3 2 6 2" xfId="2879"/>
    <cellStyle name="标题 2 2 2 2 4 2" xfId="2880"/>
    <cellStyle name="汇总 2 2 8 5 2" xfId="2881"/>
    <cellStyle name="输入 2 2 12 2 2" xfId="2882"/>
    <cellStyle name="常规 2 2 2 2 5 2" xfId="2883"/>
    <cellStyle name="60% - 强调文字颜色 2 2 2 3 3 2" xfId="2884"/>
    <cellStyle name="计算 2 2 3 2 2 6 2" xfId="2885"/>
    <cellStyle name="汇总 2 4 4 2 2 3" xfId="2886"/>
    <cellStyle name="常规 6 2 2 5 2 2" xfId="2887"/>
    <cellStyle name="计算 2 3 5 4 2" xfId="2888"/>
    <cellStyle name="40% - 强调文字颜色 1 2 7 3 2 2" xfId="2889"/>
    <cellStyle name="解释性文本 2 3 2 4 2 2 2" xfId="2890"/>
    <cellStyle name="常规 7 5 3 2 2" xfId="2891"/>
    <cellStyle name="常规 4 5 3 3 2 2" xfId="2892"/>
    <cellStyle name="汇总 2 2 8 2 2 3 2" xfId="2893"/>
    <cellStyle name="差 2 2 3 5 2 2" xfId="2894"/>
    <cellStyle name="计算 2 3 2 2 9" xfId="2895"/>
    <cellStyle name="好 2 3 2 3 3 2 2" xfId="2896"/>
    <cellStyle name="适中 2 2 5 3 3" xfId="2897"/>
    <cellStyle name="40% - 强调文字颜色 5 2 2 3 3 2 2" xfId="2898"/>
    <cellStyle name="强调文字颜色 1 2 5" xfId="2899"/>
    <cellStyle name="百分比 2 2 6" xfId="2900"/>
    <cellStyle name="输入 2 2 5 6 3" xfId="2901"/>
    <cellStyle name="计算 2 4 3 5 2 2" xfId="2902"/>
    <cellStyle name="输出 2 2 7 6 2 2" xfId="2903"/>
    <cellStyle name="60% - 强调文字颜色 3 2 4 2 2 2 2" xfId="2904"/>
    <cellStyle name="60% - 强调文字颜色 2 2 3 2 2 2 2 2" xfId="2905"/>
    <cellStyle name="强调文字颜色 4 2 6 2 3" xfId="2906"/>
    <cellStyle name="输出 2 2 7 8 2" xfId="2907"/>
    <cellStyle name="标题 4 2 3 2 3 2 3" xfId="2908"/>
    <cellStyle name="计算 2 4 3 7 2" xfId="2909"/>
    <cellStyle name="输入 2 2 5 4 3 2" xfId="2910"/>
    <cellStyle name="60% - 强调文字颜色 1 2 2 2 2 4 2 2" xfId="2911"/>
    <cellStyle name="常规 12 2 2 3 4" xfId="2912"/>
    <cellStyle name="40% - 强调文字颜色 6 2 2 4 3" xfId="2913"/>
    <cellStyle name="常规 3 2 2 2 3 2 2" xfId="2914"/>
    <cellStyle name="常规 5 8 3" xfId="2915"/>
    <cellStyle name="标题 4 3 2 3 2 3" xfId="2916"/>
    <cellStyle name="汇总 2 2 2 2 11" xfId="2917"/>
    <cellStyle name="计算 2 3 3 5 2" xfId="2918"/>
    <cellStyle name="60% - 强调文字颜色 3 2 3 2 2 2" xfId="2919"/>
    <cellStyle name="好 2 3 6 3" xfId="2920"/>
    <cellStyle name="40% - 强调文字颜色 5 2 6 3" xfId="2921"/>
    <cellStyle name="强调文字颜色 4 2 2 2 2 3 2 2 2" xfId="2922"/>
    <cellStyle name="超链接 2 2 6" xfId="2923"/>
    <cellStyle name="注释 2 2 5 2 3 2" xfId="2924"/>
    <cellStyle name="链接单元格 2 5 2 2" xfId="2925"/>
    <cellStyle name="解释性文本 2 4 2 2 2 3" xfId="2926"/>
    <cellStyle name="40% - 强调文字颜色 2 2 5 3 3" xfId="2927"/>
    <cellStyle name="检查单元格 2 3 7" xfId="2928"/>
    <cellStyle name="40% - 强调文字颜色 3 4 3" xfId="2929"/>
    <cellStyle name="汇总 4 2 7 2" xfId="2930"/>
    <cellStyle name="适中 2 2 2 2 4 2" xfId="2931"/>
    <cellStyle name="强调文字颜色 4 2 2 2 2 2 2" xfId="2932"/>
    <cellStyle name="警告文本 2 3 2 7" xfId="2933"/>
    <cellStyle name="输出 3 2 8 2" xfId="2934"/>
    <cellStyle name="输出 3 2 2 2 2" xfId="2935"/>
    <cellStyle name="汇总 2 2 5 3 6 2 2" xfId="2936"/>
    <cellStyle name="输出 2 6 2 9" xfId="2937"/>
    <cellStyle name="汇总 2 5 2 12 2" xfId="2938"/>
    <cellStyle name="常规 4 2 4" xfId="2939"/>
    <cellStyle name="好 3 4 2 3" xfId="2940"/>
    <cellStyle name="常规 5 3 5" xfId="2941"/>
    <cellStyle name="40% - 强调文字颜色 6 3 2 3" xfId="2942"/>
    <cellStyle name="输出 2 10 5" xfId="2943"/>
    <cellStyle name="强调文字颜色 5 2 2 3 5 3" xfId="2944"/>
    <cellStyle name="输入 2 2 2 3 2 2" xfId="2945"/>
    <cellStyle name="强调文字颜色 3 6 2" xfId="2946"/>
    <cellStyle name="输入 2 5 3 2 2 2 2 2" xfId="2947"/>
    <cellStyle name="汇总 2 2 2 2 4 2 2 2" xfId="2948"/>
    <cellStyle name="40% - 强调文字颜色 3 2 2 4" xfId="2949"/>
    <cellStyle name="40% - 强调文字颜色 5 2 2 4 3 3" xfId="2950"/>
    <cellStyle name="差 2 2 6 4" xfId="2951"/>
    <cellStyle name="常规 2 2 6 2 2 2" xfId="2952"/>
    <cellStyle name="强调文字颜色 5 3 2 2 3" xfId="2953"/>
    <cellStyle name="好 2 3 2 6 2" xfId="2954"/>
    <cellStyle name="输入 2 3 10 2" xfId="2955"/>
    <cellStyle name="警告文本 2 2 4 2 3" xfId="2956"/>
    <cellStyle name="强调文字颜色 3 2 2 3 6" xfId="2957"/>
    <cellStyle name="汇总 2 2 4 7 2 2" xfId="2958"/>
    <cellStyle name="强调文字颜色 3 3 2 4" xfId="2959"/>
    <cellStyle name="注释 2 2 2 9" xfId="2960"/>
    <cellStyle name="输入 2 2 5 2 2 5 3" xfId="2961"/>
    <cellStyle name="强调文字颜色 3 2 2 4 3 2 2 2" xfId="2962"/>
    <cellStyle name="链接单元格 2 2 4 2 3 2" xfId="2963"/>
    <cellStyle name="输出 5 4 2 2" xfId="2964"/>
    <cellStyle name="差 2 2 3 3 3 3" xfId="2965"/>
    <cellStyle name="适中 2 2 3 4 4" xfId="2966"/>
    <cellStyle name="输出 2 3" xfId="2967"/>
    <cellStyle name="20% - 强调文字颜色 6 4 3 2 2" xfId="2968"/>
    <cellStyle name="60% - 强调文字颜色 6 2 2 9 2" xfId="2969"/>
    <cellStyle name="输入 2 2 13 2" xfId="2970"/>
    <cellStyle name="常规 6 4 2 3 2 2" xfId="2971"/>
    <cellStyle name="输入 2 5 5 3 2 2" xfId="2972"/>
    <cellStyle name="好 2 2 2 3 2 2 2 3" xfId="2973"/>
    <cellStyle name="60% - 强调文字颜色 6 2 3 3 4" xfId="2974"/>
    <cellStyle name="汇总 2 2 4 3 4 2" xfId="2975"/>
    <cellStyle name="计算 2 5 4 3 5" xfId="2976"/>
    <cellStyle name="20% - 强调文字颜色 3 2 2 2 5" xfId="2977"/>
    <cellStyle name="链接单元格 2 2 4" xfId="2978"/>
    <cellStyle name="输入 2 2 8 7" xfId="2979"/>
    <cellStyle name="输入 2 2 4 4 5 3" xfId="2980"/>
    <cellStyle name="输出 3 2 5 2 2" xfId="2981"/>
    <cellStyle name="强调文字颜色 5 2 3 8" xfId="2982"/>
    <cellStyle name="强调文字颜色 2 2 2 2 2 3 2 3" xfId="2983"/>
    <cellStyle name="常规 7 2 2 4" xfId="2984"/>
    <cellStyle name="计算 2 5 8" xfId="2985"/>
    <cellStyle name="注释 2 8 2 2 3" xfId="2986"/>
    <cellStyle name="输出 2 2 7 2 7" xfId="2987"/>
    <cellStyle name="汇总 2 2 3 2 2 4" xfId="2988"/>
    <cellStyle name="汇总 3 2 4 2 2 2" xfId="2989"/>
    <cellStyle name="警告文本 2 2 2 2 2 4" xfId="2990"/>
    <cellStyle name="40% - 强调文字颜色 4 4 2" xfId="2991"/>
    <cellStyle name="20% - 强调文字颜色 4 2 5 5 2 2" xfId="2992"/>
    <cellStyle name="注释 8" xfId="2993"/>
    <cellStyle name="常规 4 2 7 2" xfId="2994"/>
    <cellStyle name="40% - 强调文字颜色 3 5" xfId="2995"/>
    <cellStyle name="常规 4 9 2" xfId="2996"/>
    <cellStyle name="标题 4 3 2 2 3 2" xfId="2997"/>
    <cellStyle name="汇总 2 2 4 2 2 9" xfId="2998"/>
    <cellStyle name="60% - 强调文字颜色 2 6 2 2" xfId="2999"/>
    <cellStyle name="20% - 强调文字颜色 1 2 2 9 2" xfId="3000"/>
    <cellStyle name="注释 2 5 2 2 4" xfId="3001"/>
    <cellStyle name="汇总 2 3 2 2 2 6 2" xfId="3002"/>
    <cellStyle name="输出 2 2 4 4 2 2" xfId="3003"/>
    <cellStyle name="60% - 强调文字颜色 6 3 3 3 2 3" xfId="3004"/>
    <cellStyle name="输入 2 2 2 2 3 2" xfId="3005"/>
    <cellStyle name="适中 3 7 3" xfId="3006"/>
    <cellStyle name="好 2 3 2 5 3" xfId="3007"/>
    <cellStyle name="链接单元格 5 2 2" xfId="3008"/>
    <cellStyle name="20% - 强调文字颜色 2 2 2 2 4 3" xfId="3009"/>
    <cellStyle name="Normal 3 2 2 2 2" xfId="3010"/>
    <cellStyle name="输出 2 4 2 4 3 2" xfId="3011"/>
    <cellStyle name="注释 2 2 2 2 7 2" xfId="3012"/>
    <cellStyle name="计算 2 2 3 2 2 2 2" xfId="3013"/>
    <cellStyle name="强调文字颜色 2 2 3 2 3 2" xfId="3014"/>
    <cellStyle name="20% - 强调文字颜色 2 3 3 2" xfId="3015"/>
    <cellStyle name="强调文字颜色 1 2 2 2 3 4" xfId="3016"/>
    <cellStyle name="汇总 2 7 3 2 3 2 2" xfId="3017"/>
    <cellStyle name="输入 2 2 4" xfId="3018"/>
    <cellStyle name="40% - 强调文字颜色 4 2 4 5" xfId="3019"/>
    <cellStyle name="40% - 强调文字颜色 5 2 2 2 2 2 4 2 2" xfId="3020"/>
    <cellStyle name="强调文字颜色 6 2 3 2 3 3 2" xfId="3021"/>
    <cellStyle name="输入 2 2 4 2 2 3 2 2" xfId="3022"/>
    <cellStyle name="强调文字颜色 4 2 2 4 3 3" xfId="3023"/>
    <cellStyle name="标题 1 3 5 3" xfId="3024"/>
    <cellStyle name="计算 3 6 2" xfId="3025"/>
    <cellStyle name="强调文字颜色 4 6" xfId="3026"/>
    <cellStyle name="40% - 强调文字颜色 5 3 2 2 3 2 2 2" xfId="3027"/>
    <cellStyle name="计算 2 5 2 2 2 2 5" xfId="3028"/>
    <cellStyle name="强调文字颜色 3 2 2 2 2 3 2" xfId="3029"/>
    <cellStyle name="汇总 2 2 4 2 2 3 4 2 2" xfId="3030"/>
    <cellStyle name="计算 2 2 15 3" xfId="3031"/>
    <cellStyle name="计算 5 4" xfId="3032"/>
    <cellStyle name="常规 8 3 4 2" xfId="3033"/>
    <cellStyle name="40% - 强调文字颜色 6 6 2 2 2" xfId="3034"/>
    <cellStyle name="计算 2 10 2 6" xfId="3035"/>
    <cellStyle name="输出 2 4 4 2 2 2 2" xfId="3036"/>
    <cellStyle name="常规 2 3 2 2 2 2 2" xfId="3037"/>
    <cellStyle name="超链接 2 4 2 3" xfId="3038"/>
    <cellStyle name="输入 2 2 11 5" xfId="3039"/>
    <cellStyle name="汇总 2 2 4 2 8 3" xfId="3040"/>
    <cellStyle name="检查单元格 2 2 4 5" xfId="3041"/>
    <cellStyle name="60% - 强调文字颜色 5 2 2 6 2" xfId="3042"/>
    <cellStyle name="适中 5 2" xfId="3043"/>
    <cellStyle name="超链接 3 6 3 2" xfId="3044"/>
    <cellStyle name="常规 13 3 3 4" xfId="3045"/>
    <cellStyle name="强调文字颜色 6 3 2 2 2" xfId="3046"/>
    <cellStyle name="汇总 3 2 5 2 2" xfId="3047"/>
    <cellStyle name="汇总 2 5 13" xfId="3048"/>
    <cellStyle name="输入 2 2 4 2 2 3 3" xfId="3049"/>
    <cellStyle name="计算 3 7" xfId="3050"/>
    <cellStyle name="60% - 强调文字颜色 1 2 6 3" xfId="3051"/>
    <cellStyle name="60% - 强调文字颜色 6 2 4 4 2 2" xfId="3052"/>
    <cellStyle name="20% - 强调文字颜色 6 2 2 2 2 2 2 2 2 2" xfId="3053"/>
    <cellStyle name="计算 2 2 4 2 3 3 3 2" xfId="3054"/>
    <cellStyle name="输出 2 3 2 2 5 2" xfId="3055"/>
    <cellStyle name="汇总 2 8 4 5" xfId="3056"/>
    <cellStyle name="检查单元格 2 5 2 2 2" xfId="3057"/>
    <cellStyle name="20% - 强调文字颜色 4 2 2 5" xfId="3058"/>
    <cellStyle name="标题 3 2 2 3 4 3 2" xfId="3059"/>
    <cellStyle name="标题 4 2 2 8 3" xfId="3060"/>
    <cellStyle name="汇总 2 2 3 5 4" xfId="3061"/>
    <cellStyle name="输入 2 5 4 5 2" xfId="3062"/>
    <cellStyle name="强调文字颜色 5 2 2 2 3 2 2 2" xfId="3063"/>
    <cellStyle name="20% - 强调文字颜色 6 2 2 2 4" xfId="3064"/>
    <cellStyle name="计算 2 2 8 3 4 2" xfId="3065"/>
    <cellStyle name="解释性文本 2 2 3 5 2" xfId="3066"/>
    <cellStyle name="汇总 2 2 6 2 3 3 3" xfId="3067"/>
    <cellStyle name="20% - 强调文字颜色 6 4 2 2 2 2" xfId="3068"/>
    <cellStyle name="常规 6 3 2 2 2 2 2 2 2" xfId="3069"/>
    <cellStyle name="适中 2 4 2 2 2" xfId="3070"/>
    <cellStyle name="注释 2 6 5 4" xfId="3071"/>
    <cellStyle name="输出 2 7 2 7" xfId="3072"/>
    <cellStyle name="计算 3 2 3 4 3" xfId="3073"/>
    <cellStyle name="强调文字颜色 3 2 2 3 4 2 3" xfId="3074"/>
    <cellStyle name="注释 5 2 2 2 2" xfId="3075"/>
    <cellStyle name="超链接 2 3 6" xfId="3076"/>
    <cellStyle name="注释 2 2 5 2 4 2" xfId="3077"/>
    <cellStyle name="链接单元格 2 5 3 2" xfId="3078"/>
    <cellStyle name="好 2 4 7" xfId="3079"/>
    <cellStyle name="常规 7 6" xfId="3080"/>
    <cellStyle name="20% - 强调文字颜色 3 3 2 2 4 2" xfId="3081"/>
    <cellStyle name="汇总 2 5 4 2 3" xfId="3082"/>
    <cellStyle name="20% - 强调文字颜色 2 2 5 3 2" xfId="3083"/>
    <cellStyle name="计算 2 6 2 2 6" xfId="3084"/>
    <cellStyle name="计算 2 2 6 3 2 7" xfId="3085"/>
    <cellStyle name="汇总 2 5 2 3 2 6" xfId="3086"/>
    <cellStyle name="好 3 2 4 2 2" xfId="3087"/>
    <cellStyle name="60% - 强调文字颜色 3 2 5" xfId="3088"/>
    <cellStyle name="60% - 强调文字颜色 2 2 3 3" xfId="3089"/>
    <cellStyle name="计算 2 2 4 2 6 3" xfId="3090"/>
    <cellStyle name="计算 2 2 5 2 8" xfId="3091"/>
    <cellStyle name="标题 3 2 3 5 2 2 3" xfId="3092"/>
    <cellStyle name="汇总 2 5 8 2" xfId="3093"/>
    <cellStyle name="计算 2 5 2 3 3 2 2" xfId="3094"/>
    <cellStyle name="输入 2 2 2 2 2 4 2" xfId="3095"/>
    <cellStyle name="40% - 强调文字颜色 6 2 2 5 2" xfId="3096"/>
    <cellStyle name="常规 4 3 7 2" xfId="3097"/>
    <cellStyle name="好 2 2 2 4 3 2" xfId="3098"/>
    <cellStyle name="超链接 2 6 4" xfId="3099"/>
    <cellStyle name="20% - 强调文字颜色 3 2 3 7" xfId="3100"/>
    <cellStyle name="计算 2 5 5 8" xfId="3101"/>
    <cellStyle name="标题 3 2 2 2 3 2 2 2 3" xfId="3102"/>
    <cellStyle name="输入 2 2 5 4 2 2 3" xfId="3103"/>
    <cellStyle name="60% - 强调文字颜色 2 2 4 3" xfId="3104"/>
    <cellStyle name="计算 2 2 4 2 7 3" xfId="3105"/>
    <cellStyle name="60% - 强调文字颜色 3 3 5" xfId="3106"/>
    <cellStyle name="计算 2 2 5 3 8" xfId="3107"/>
    <cellStyle name="计算 2 12 3" xfId="3108"/>
    <cellStyle name="输入 2 5 2 4 2 5" xfId="3109"/>
    <cellStyle name="汇总 2 4 2 12" xfId="3110"/>
    <cellStyle name="40% - 强调文字颜色 5 2 2 2 5 2" xfId="3111"/>
    <cellStyle name="汇总 4 2 3 3 3" xfId="3112"/>
    <cellStyle name="输入 2 2 6 2 2 3 3" xfId="3113"/>
    <cellStyle name="输出 2 10 4" xfId="3114"/>
    <cellStyle name="好 3 4 2 2" xfId="3115"/>
    <cellStyle name="40% - 强调文字颜色 6 3 2 2" xfId="3116"/>
    <cellStyle name="常规 5 3 4" xfId="3117"/>
    <cellStyle name="强调文字颜色 5 2 2 3 5 2" xfId="3118"/>
    <cellStyle name="警告文本 2 2 3 3 3 2" xfId="3119"/>
    <cellStyle name="解释性文本 2 2 2 2 4 2 2" xfId="3120"/>
    <cellStyle name="60% - 强调文字颜色 1 5" xfId="3121"/>
    <cellStyle name="输出 2 5 4 4 3" xfId="3122"/>
    <cellStyle name="输入 2 5 2 2 4" xfId="3123"/>
    <cellStyle name="20% - 强调文字颜色 2 2 3 3 3" xfId="3124"/>
    <cellStyle name="输入 2 2 6 8" xfId="3125"/>
    <cellStyle name="百分比 2 2 2 2 3 3" xfId="3126"/>
    <cellStyle name="警告文本 2 2 3" xfId="3127"/>
    <cellStyle name="标题 4 2 3 2 4 4" xfId="3128"/>
    <cellStyle name="汇总 2 2 4" xfId="3129"/>
    <cellStyle name="输入 2 7 2 3 2 2" xfId="3130"/>
    <cellStyle name="计算 2 8 3 3 2" xfId="3131"/>
    <cellStyle name="汇总 2 3 4 2 5" xfId="3132"/>
    <cellStyle name="60% - 强调文字颜色 4 2 6 2 2 2" xfId="3133"/>
    <cellStyle name="注释 2 7 2 2" xfId="3134"/>
    <cellStyle name="强调文字颜色 3 2 2 4 2 3 2" xfId="3135"/>
    <cellStyle name="汇总 2 2 2 3 2 6" xfId="3136"/>
    <cellStyle name="强调文字颜色 5 2 3 2 3 2 2 2" xfId="3137"/>
    <cellStyle name="强调文字颜色 6 2 2 4 2 2 3" xfId="3138"/>
    <cellStyle name="汇总 2 2 2 2 2 3 3 2 2" xfId="3139"/>
    <cellStyle name="超链接 3 7" xfId="3140"/>
    <cellStyle name="常规 3 3" xfId="3141"/>
    <cellStyle name="差 2 2 2 2 2 2" xfId="3142"/>
    <cellStyle name="汇总 2 2 6 3 7" xfId="3143"/>
    <cellStyle name="20% - 强调文字颜色 4 3 2 2 2 2 2" xfId="3144"/>
    <cellStyle name="适中 2 3 2 5 2 2" xfId="3145"/>
    <cellStyle name="强调文字颜色 1 3 6" xfId="3146"/>
    <cellStyle name="汇总 2 6 2 2 3 2" xfId="3147"/>
    <cellStyle name="常规 5 5 2 3 2 2" xfId="3148"/>
    <cellStyle name="强调文字颜色 6 2 2 2 6" xfId="3149"/>
    <cellStyle name="强调文字颜色 3 2 2 2 5 2 2" xfId="3150"/>
    <cellStyle name="40% - 强调文字颜色 5 2 3 2 4 3 2 2" xfId="3151"/>
    <cellStyle name="计算 2 2 5 14" xfId="3152"/>
    <cellStyle name="链接单元格 2 2 2 4 2 3" xfId="3153"/>
    <cellStyle name="输入 2 2 8 9" xfId="3154"/>
    <cellStyle name="强调文字颜色 4 2 2 4 4 2 2" xfId="3155"/>
    <cellStyle name="警告文本 2 4 4" xfId="3156"/>
    <cellStyle name="强调文字颜色 5 5 2" xfId="3157"/>
    <cellStyle name="标题 4 4 2 2 2 2 2" xfId="3158"/>
    <cellStyle name="注释 2 4 3 2" xfId="3159"/>
    <cellStyle name="20% - 强调文字颜色 5 2 5 3 3 2" xfId="3160"/>
    <cellStyle name="标题 2 2 3 3 5" xfId="3161"/>
    <cellStyle name="注释 7" xfId="3162"/>
    <cellStyle name="计算 2 9 6 2 2" xfId="3163"/>
    <cellStyle name="常规 9 2 2" xfId="3164"/>
    <cellStyle name="40% - 强调文字颜色 1 3 2" xfId="3165"/>
    <cellStyle name="60% - 强调文字颜色 2 3 7" xfId="3166"/>
    <cellStyle name="超链接 2 5 2 2 3" xfId="3167"/>
    <cellStyle name="输入 3 2 3 2" xfId="3168"/>
    <cellStyle name="强调文字颜色 3 2 2 3 7" xfId="3169"/>
    <cellStyle name="汇总 2 2 8 2 2" xfId="3170"/>
    <cellStyle name="常规 5 2 2 3 3 3" xfId="3171"/>
    <cellStyle name="汇总 2 3 2 2 4 3" xfId="3172"/>
    <cellStyle name="超链接 3 2 2 2 2 3" xfId="3173"/>
    <cellStyle name="输入 2 6 3 2 2 3" xfId="3174"/>
    <cellStyle name="注释 2 9 2" xfId="3175"/>
    <cellStyle name="强调文字颜色 3 2 2 4 4 3" xfId="3176"/>
    <cellStyle name="汇总 2 2 5 8" xfId="3177"/>
    <cellStyle name="常规 10 5 2 5" xfId="3178"/>
    <cellStyle name="汇总 2 5 2 4 5" xfId="3179"/>
    <cellStyle name="输入 2 2 6 2 2 2 2 2" xfId="3180"/>
    <cellStyle name="强调文字颜色 6 2 2 3 3 3" xfId="3181"/>
    <cellStyle name="20% - 强调文字颜色 4 2 3 5" xfId="3182"/>
    <cellStyle name="汇总 2 9 2 4 2 2" xfId="3183"/>
    <cellStyle name="标题 7 2 2 2 3" xfId="3184"/>
    <cellStyle name="警告文本 2 3 4 3 3" xfId="3185"/>
    <cellStyle name="40% - 强调文字颜色 4 4 4" xfId="3186"/>
    <cellStyle name="汇总 2 3 2 8 2" xfId="3187"/>
    <cellStyle name="注释 3 6 2 2" xfId="3188"/>
    <cellStyle name="强调文字颜色 4 2 2 2 3 2 3" xfId="3189"/>
    <cellStyle name="汇总 2 4 3 8" xfId="3190"/>
    <cellStyle name="强调文字颜色 3 2 2 6 2 3" xfId="3191"/>
    <cellStyle name="注释 2 3 3 5" xfId="3192"/>
    <cellStyle name="差 2 3 2 2" xfId="3193"/>
    <cellStyle name="常规 5 2 2 2 2 3 5" xfId="3194"/>
    <cellStyle name="注释 2 6 2 3 2" xfId="3195"/>
    <cellStyle name="汇总 2 6 6 3" xfId="3196"/>
    <cellStyle name="20% - 强调文字颜色 5 2 4 3" xfId="3197"/>
    <cellStyle name="常规 9 2 2 2 3 2 2" xfId="3198"/>
    <cellStyle name="常规 9 3 3 2 2 3" xfId="3199"/>
    <cellStyle name="好 2 2 5 4" xfId="3200"/>
    <cellStyle name="标题 4 3 5 3" xfId="3201"/>
    <cellStyle name="汇总 2 6 2 2 2 4 2" xfId="3202"/>
    <cellStyle name="链接单元格 2 4 3 2 2 2" xfId="3203"/>
    <cellStyle name="强调文字颜色 1 2 6" xfId="3204"/>
    <cellStyle name="常规 8 6 2 2" xfId="3205"/>
    <cellStyle name="40% - 强调文字颜色 6 2 5 2 2 2" xfId="3206"/>
    <cellStyle name="常规 4 6 4 2 2" xfId="3207"/>
    <cellStyle name="输出 2 2 4 2 2 2 3 2" xfId="3208"/>
    <cellStyle name="计算 2 2 8 3 3 2" xfId="3209"/>
    <cellStyle name="超链接 2 2 2 2 3 2 3" xfId="3210"/>
    <cellStyle name="解释性文本 2 2 3 4 2" xfId="3211"/>
    <cellStyle name="输出 2 3 2 6 2" xfId="3212"/>
    <cellStyle name="计算 2 8 5 3 2" xfId="3213"/>
    <cellStyle name="汇总 2 2 6 7 3" xfId="3214"/>
    <cellStyle name="输出 2 6 2 6" xfId="3215"/>
    <cellStyle name="计算 2 7 4 2 6" xfId="3216"/>
    <cellStyle name="计算 3 2 2 4 2" xfId="3217"/>
    <cellStyle name="汇总 2 2 6 3 3 3" xfId="3218"/>
    <cellStyle name="输入 2 5 2 2 2 4 2 2" xfId="3219"/>
    <cellStyle name="适中 2 2 2 5 3" xfId="3220"/>
    <cellStyle name="输出 2 2 4 2 2 6 2" xfId="3221"/>
    <cellStyle name="汇总 3 2 2 8" xfId="3222"/>
    <cellStyle name="输入 2 5 2 3 5" xfId="3223"/>
    <cellStyle name="汇总 2 4 4 2 4" xfId="3224"/>
    <cellStyle name="超链接 3 3 4 2 2" xfId="3225"/>
    <cellStyle name="输入 2 7 5 2 2" xfId="3226"/>
    <cellStyle name="常规 11 4 5" xfId="3227"/>
    <cellStyle name="20% - 强调文字颜色 3 2 3 2 4 3" xfId="3228"/>
    <cellStyle name="标题 1 2 2 2 3 3 2" xfId="3229"/>
    <cellStyle name="强调文字颜色 4 3 2 2 2" xfId="3230"/>
    <cellStyle name="输出 2 4 2 3 2 4" xfId="3231"/>
    <cellStyle name="注释 3 2 2 7 2" xfId="3232"/>
    <cellStyle name="输入 3 3 7" xfId="3233"/>
    <cellStyle name="标题 2 2 2 3 5" xfId="3234"/>
    <cellStyle name="汇总 2 2 9 6" xfId="3235"/>
    <cellStyle name="常规 4 2 3 2 2 2" xfId="3236"/>
    <cellStyle name="汇总 2 2 9 2 3 2 2" xfId="3237"/>
    <cellStyle name="差 2 4 9" xfId="3238"/>
    <cellStyle name="强调文字颜色 1 2 4 4 3 2" xfId="3239"/>
    <cellStyle name="适中 2 4" xfId="3240"/>
    <cellStyle name="60% - 强调文字颜色 1 2 10" xfId="3241"/>
    <cellStyle name="注释 2 2 6 3 6" xfId="3242"/>
    <cellStyle name="60% - 强调文字颜色 5 2 2 3 4" xfId="3243"/>
    <cellStyle name="输入 2 4 2 2 5" xfId="3244"/>
    <cellStyle name="注释 2 5 2" xfId="3245"/>
    <cellStyle name="计算 2 2 8 3 2 3 3" xfId="3246"/>
    <cellStyle name="计算 2 6 2 10" xfId="3247"/>
    <cellStyle name="汇总 2 2 3 3 8" xfId="3248"/>
    <cellStyle name="注释 2 2 3 2 2 3" xfId="3249"/>
    <cellStyle name="计算 2 7 5 2 2 2" xfId="3250"/>
    <cellStyle name="计算 2 2 9 5 2" xfId="3251"/>
    <cellStyle name="40% - 强调文字颜色 2 3" xfId="3252"/>
    <cellStyle name="40% - 强调文字颜色 5 2 2 2 4 2 2 2" xfId="3253"/>
    <cellStyle name="注释 2 2 4 3 4 3" xfId="3254"/>
    <cellStyle name="汇总 2 5 7" xfId="3255"/>
    <cellStyle name="输入 2 3 3 5 2" xfId="3256"/>
    <cellStyle name="常规 2 3 2 2 3 3 2" xfId="3257"/>
    <cellStyle name="超链接 2 5 3 3" xfId="3258"/>
    <cellStyle name="输出 2 4 4 2 3 2" xfId="3259"/>
    <cellStyle name="常规 2 3 2 2 3 2" xfId="3260"/>
    <cellStyle name="汇总 2 2 4 8 3" xfId="3261"/>
    <cellStyle name="汇总 2 2 3 3 3 3 2 2" xfId="3262"/>
    <cellStyle name="常规 10 2 2 5" xfId="3263"/>
    <cellStyle name="输出 2 2 2 4 2 2 3" xfId="3264"/>
    <cellStyle name="警告文本 2 9" xfId="3265"/>
    <cellStyle name="强调文字颜色 6 2 3 2" xfId="3266"/>
    <cellStyle name="计算 2 2 4 2 2 2 2 3 2" xfId="3267"/>
    <cellStyle name="汇总 2 2 3 3 2 3 2 2" xfId="3268"/>
    <cellStyle name="注释 2 4 2 2 2 3 3" xfId="3269"/>
    <cellStyle name="40% - 强调文字颜色 5 2 6 2 2" xfId="3270"/>
    <cellStyle name="注释 2 6 3 7" xfId="3271"/>
    <cellStyle name="好 2 3 6 2 2" xfId="3272"/>
    <cellStyle name="计算 2 2 2 3 4 3" xfId="3273"/>
    <cellStyle name="标题 2 2 2 3 3 2 3" xfId="3274"/>
    <cellStyle name="20% - 强调文字颜色 3 2 4 2" xfId="3275"/>
    <cellStyle name="60% - 强调文字颜色 1 2 2 3 5 2" xfId="3276"/>
    <cellStyle name="常规 7 2 2 2 3" xfId="3277"/>
    <cellStyle name="计算 2 5 6 3" xfId="3278"/>
    <cellStyle name="计算 2 2 2 2 13" xfId="3279"/>
    <cellStyle name="计算 2 2 5 4 3" xfId="3280"/>
    <cellStyle name="输入 2 5 3 2 2 3" xfId="3281"/>
    <cellStyle name="20% - 强调文字颜色 4 2 2 2 2 2 4 2" xfId="3282"/>
    <cellStyle name="标题 3 2 4 4 3 2" xfId="3283"/>
    <cellStyle name="汇总 2 2 2 2 4 3" xfId="3284"/>
    <cellStyle name="汇总 2 5 2 13" xfId="3285"/>
    <cellStyle name="强调文字颜色 4 2 3 3 7" xfId="3286"/>
    <cellStyle name="标题 2 2 9" xfId="3287"/>
    <cellStyle name="强调文字颜色 1 2 6 2" xfId="3288"/>
    <cellStyle name="好 2 2 3 4" xfId="3289"/>
    <cellStyle name="强调文字颜色 2 4 5" xfId="3290"/>
    <cellStyle name="输入 2 3 7 2" xfId="3291"/>
    <cellStyle name="输出 2 2 3 3 2 2 3" xfId="3292"/>
    <cellStyle name="输出 5 4 2" xfId="3293"/>
    <cellStyle name="链接单元格 2 2 4 2 3" xfId="3294"/>
    <cellStyle name="注释 2 6 3 3 2 2" xfId="3295"/>
    <cellStyle name="汇总 3 5 3 2 2" xfId="3296"/>
    <cellStyle name="汇总 2 5" xfId="3297"/>
    <cellStyle name="常规 8 2 2 4 3" xfId="3298"/>
    <cellStyle name="计算 2 5 5 2 3" xfId="3299"/>
    <cellStyle name="注释 2 4 2 2 2 2 2 3" xfId="3300"/>
    <cellStyle name="注释 2 2 4 2 2 7" xfId="3301"/>
    <cellStyle name="计算 2 2 2 3 3 2 3" xfId="3302"/>
    <cellStyle name="40% - 强调文字颜色 1 2 2 2 2 2 5" xfId="3303"/>
    <cellStyle name="汇总 2 4 2 5" xfId="3304"/>
    <cellStyle name="输入 2 4 4 3 2" xfId="3305"/>
    <cellStyle name="计算 2 2 4 4 3 4" xfId="3306"/>
    <cellStyle name="强调文字颜色 5 2 3 6 2" xfId="3307"/>
    <cellStyle name="40% - 强调文字颜色 6 3 2 4 2" xfId="3308"/>
    <cellStyle name="强调文字颜色 1 2 6 2 2 2" xfId="3309"/>
    <cellStyle name="常规 5 3 6 2" xfId="3310"/>
    <cellStyle name="输出 2 2 3 2 3 4 3" xfId="3311"/>
    <cellStyle name="好 2 2 3 4 2 2" xfId="3312"/>
    <cellStyle name="检查单元格 2 9" xfId="3313"/>
    <cellStyle name="60% - 强调文字颜色 1 3 2 2 3 2 2" xfId="3314"/>
    <cellStyle name="20% - 强调文字颜色 6 2 2 9 2" xfId="3315"/>
    <cellStyle name="输出 4 2 3 2 2" xfId="3316"/>
    <cellStyle name="注释 2 2 3 5 2 2 2 2" xfId="3317"/>
    <cellStyle name="差 2 2 2 2 2 2 2 2" xfId="3318"/>
    <cellStyle name="链接单元格 2 2 2 2 5 2" xfId="3319"/>
    <cellStyle name="常规 3 3 2 2" xfId="3320"/>
    <cellStyle name="计算 3 4 2 3" xfId="3321"/>
    <cellStyle name="检查单元格 2 4 4 2 2 2" xfId="3322"/>
    <cellStyle name="汇总 2 2 4 2 4 4 2" xfId="3323"/>
    <cellStyle name="20% - 强调文字颜色 1 2 2 2 2 2 2 2 2" xfId="3324"/>
    <cellStyle name="20% - 强调文字颜色 1 2 3 2 2 4" xfId="3325"/>
    <cellStyle name="注释 3 14" xfId="3326"/>
    <cellStyle name="输入 2 3 2 3 2 3" xfId="3327"/>
    <cellStyle name="输入 2 4 7 2" xfId="3328"/>
    <cellStyle name="60% - 强调文字颜色 4 2 2 2 2 2" xfId="3329"/>
    <cellStyle name="常规 3 4 2" xfId="3330"/>
    <cellStyle name="差 2 2 2 2 2 3 2" xfId="3331"/>
    <cellStyle name="链接单元格 2 2 2 3 5" xfId="3332"/>
    <cellStyle name="40% - 强调文字颜色 2 2 2 4 2 2 2 2" xfId="3333"/>
    <cellStyle name="汇总 3 2 2 5 2 2" xfId="3334"/>
    <cellStyle name="输入 2 5 2 3 2 2 2" xfId="3335"/>
    <cellStyle name="好 2 7" xfId="3336"/>
    <cellStyle name="输入 2 2 3 12" xfId="3337"/>
    <cellStyle name="40% - 强调文字颜色 5 6" xfId="3338"/>
    <cellStyle name="常规 4 2 3 2 2 3 2" xfId="3339"/>
    <cellStyle name="注释 2 2" xfId="3340"/>
    <cellStyle name="解释性文本 2 2 2 2 8" xfId="3341"/>
    <cellStyle name="计算 2 2 10 2 4" xfId="3342"/>
    <cellStyle name="输出 2 5 2 5 2 2" xfId="3343"/>
    <cellStyle name="解释性文本 2 4 3 3 2 2" xfId="3344"/>
    <cellStyle name="汇总 2 2 3 2 2 3 3 2 2" xfId="3345"/>
    <cellStyle name="汇总 2 2 6 2 3 2 2 2" xfId="3346"/>
    <cellStyle name="汇总 2 4 2 3 4 2 2" xfId="3347"/>
    <cellStyle name="超链接 3 3 2 3 2 2 2" xfId="3348"/>
    <cellStyle name="汇总 2 6 3 3 5" xfId="3349"/>
    <cellStyle name="输入 2 4 5 2" xfId="3350"/>
    <cellStyle name="超链接 3 3 4 2 3 2" xfId="3351"/>
    <cellStyle name="汇总 2 4 4 2 5 2" xfId="3352"/>
    <cellStyle name="注释 3 3 6 3" xfId="3353"/>
    <cellStyle name="计算 2 9 3 3 2 2" xfId="3354"/>
    <cellStyle name="强调文字颜色 5 2 4 9" xfId="3355"/>
    <cellStyle name="常规 5 2 2 2 2 2 3 2 2" xfId="3356"/>
    <cellStyle name="注释 2 6 3 2 3" xfId="3357"/>
    <cellStyle name="标题 2 3 3 2 2 3" xfId="3358"/>
    <cellStyle name="汇总 2 4 2 2 8" xfId="3359"/>
    <cellStyle name="计算 2 2 5 2 3 3 2" xfId="3360"/>
    <cellStyle name="60% - 强调文字颜色 6 2 2 3 3 4" xfId="3361"/>
    <cellStyle name="20% - 强调文字颜色 4 2 2 2 4 2" xfId="3362"/>
    <cellStyle name="汇总 2 8 3 6" xfId="3363"/>
    <cellStyle name="标题 7 2 3 2" xfId="3364"/>
    <cellStyle name="计算 2 2 7 3 4 3" xfId="3365"/>
    <cellStyle name="汇总 2 5 3 3 4 2" xfId="3366"/>
    <cellStyle name="注释 2 3 6 2 2" xfId="3367"/>
    <cellStyle name="强调文字颜色 5 2 2 2 2 2 2 3" xfId="3368"/>
    <cellStyle name="输出 2 7 4 3" xfId="3369"/>
    <cellStyle name="60% - 强调文字颜色 6 2 3 2 2 5" xfId="3370"/>
    <cellStyle name="标题 1 3 2 2 2 2 2" xfId="3371"/>
    <cellStyle name="40% - 强调文字颜色 4 2 3 2 5 2 2 2" xfId="3372"/>
    <cellStyle name="汇总 2 2 6 3 6" xfId="3373"/>
    <cellStyle name="常规 3 2" xfId="3374"/>
    <cellStyle name="汇总 2 7 2 2 2 5" xfId="3375"/>
    <cellStyle name="20% - 强调文字颜色 3 2 2 6 2 2" xfId="3376"/>
    <cellStyle name="输出 2 2 2 3 5 3" xfId="3377"/>
    <cellStyle name="计算 2 3 2 2 2 2" xfId="3378"/>
    <cellStyle name="40% - 强调文字颜色 6 2 3 2 4 3 2" xfId="3379"/>
    <cellStyle name="标题 1 2 2 3 2 2 2" xfId="3380"/>
    <cellStyle name="汇总 2 8 2 2 3 2" xfId="3381"/>
    <cellStyle name="40% - 强调文字颜色 4 2 2 2 6 2 2 2" xfId="3382"/>
    <cellStyle name="计算 3 2 4 2 2" xfId="3383"/>
    <cellStyle name="标题 4 3 7" xfId="3384"/>
    <cellStyle name="解释性文本 2 4 3 2" xfId="3385"/>
    <cellStyle name="输出 2 2 4 4 4 2" xfId="3386"/>
    <cellStyle name="输出 2 2 3 5 2 2 3" xfId="3387"/>
    <cellStyle name="常规 4 6 3" xfId="3388"/>
    <cellStyle name="汇总 3 2 9 2" xfId="3389"/>
    <cellStyle name="好 2 2 2 2 3 3 3" xfId="3390"/>
    <cellStyle name="链接单元格 2 4 10" xfId="3391"/>
    <cellStyle name="计算 2 2 4 2 3 2 3" xfId="3392"/>
    <cellStyle name="计算 2 3 2 3 8" xfId="3393"/>
    <cellStyle name="检查单元格 2 2 4 2" xfId="3394"/>
    <cellStyle name="强调文字颜色 1 2 3 2 2 3 2" xfId="3395"/>
    <cellStyle name="计算 2 6 4 2 2" xfId="3396"/>
    <cellStyle name="常规 4 2 2 8" xfId="3397"/>
    <cellStyle name="标题 4 2 3 6 3" xfId="3398"/>
    <cellStyle name="标题 3 2 2 2 2 7" xfId="3399"/>
    <cellStyle name="输入 2 2 4 9" xfId="3400"/>
    <cellStyle name="标题 5 2 4 2 2 3" xfId="3401"/>
    <cellStyle name="40% - 强调文字颜色 5 3 2 2 2 2 2" xfId="3402"/>
    <cellStyle name="标题 4 2 3 2 2 5" xfId="3403"/>
    <cellStyle name="好 2 4 2 2 2 2 2" xfId="3404"/>
    <cellStyle name="链接单元格 2 2 2 3 2 3" xfId="3405"/>
    <cellStyle name="计算 2 2 2 3 7" xfId="3406"/>
    <cellStyle name="注释 2 4 2 2 2 6" xfId="3407"/>
    <cellStyle name="常规 7 2 2 5" xfId="3408"/>
    <cellStyle name="输入 3 3 2" xfId="3409"/>
    <cellStyle name="好 2 2 5 3 3" xfId="3410"/>
    <cellStyle name="汇总 2 2 5 2 2 2 3 2 2" xfId="3411"/>
    <cellStyle name="输出 2 2 3 2 4 2 2 2" xfId="3412"/>
    <cellStyle name="常规 4 3 2 2 4" xfId="3413"/>
    <cellStyle name="常规 5 4 2 2 2" xfId="3414"/>
    <cellStyle name="注释 2 2 7 2 2 2 2" xfId="3415"/>
    <cellStyle name="60% - 强调文字颜色 6 3 2 2 2" xfId="3416"/>
    <cellStyle name="输入 2 2 11 3" xfId="3417"/>
    <cellStyle name="60% - 强调文字颜色 2 2 2 2 2 2 2 2 2 2" xfId="3418"/>
    <cellStyle name="汇总 2 2 4 2 14" xfId="3419"/>
    <cellStyle name="60% - 强调文字颜色 6 2 2 7 3" xfId="3420"/>
    <cellStyle name="汇总 2 2 4 2 10 2 2" xfId="3421"/>
    <cellStyle name="常规 11 4 2 3 2 2" xfId="3422"/>
    <cellStyle name="20% - 强调文字颜色 6 2 3 2 4 3 2" xfId="3423"/>
    <cellStyle name="输入 2 2 4 5 6" xfId="3424"/>
    <cellStyle name="解释性文本 2 3 3 2 2" xfId="3425"/>
    <cellStyle name="输出 2 4 2 4 2" xfId="3426"/>
    <cellStyle name="常规 9 2 5 3" xfId="3427"/>
    <cellStyle name="适中 2 2 3 8" xfId="3428"/>
    <cellStyle name="40% - 强调文字颜色 3 2 3 2 2 4 2" xfId="3429"/>
    <cellStyle name="汇总 2 2 2 4 5" xfId="3430"/>
    <cellStyle name="计算 2 2 3 11" xfId="3431"/>
    <cellStyle name="输入 2 5 3 4 3" xfId="3432"/>
    <cellStyle name="差 2 2 3 4 4" xfId="3433"/>
    <cellStyle name="输出 2 8 2 2" xfId="3434"/>
    <cellStyle name="常规 4 5 5" xfId="3435"/>
    <cellStyle name="40% - 强调文字颜色 6 2 4 3" xfId="3436"/>
    <cellStyle name="计算 2 8 3 2 3 2 2" xfId="3437"/>
    <cellStyle name="常规 7 7" xfId="3438"/>
    <cellStyle name="注释 2 5 2 3 4" xfId="3439"/>
    <cellStyle name="计算 2 2 9 2 7" xfId="3440"/>
    <cellStyle name="计算 2 2 4 2 2 2 2 2 2 2" xfId="3441"/>
    <cellStyle name="20% - 强调文字颜色 2 2 3 2 4 2 2" xfId="3442"/>
    <cellStyle name="注释 2 9 3 3" xfId="3443"/>
    <cellStyle name="汇总 2 2 5 9 3" xfId="3444"/>
    <cellStyle name="强调文字颜色 3 2 2 2 2 2 4" xfId="3445"/>
    <cellStyle name="输入 2 5 2 9" xfId="3446"/>
    <cellStyle name="常规 2 2 2 2 2 4 2 2 2" xfId="3447"/>
    <cellStyle name="计算 2 2 4 2 2 2 4 2" xfId="3448"/>
    <cellStyle name="检查单元格 2 5" xfId="3449"/>
    <cellStyle name="强调文字颜色 6 2 6 3 2" xfId="3450"/>
    <cellStyle name="计算 2 8 3 4 3" xfId="3451"/>
    <cellStyle name="输入 2 2 7 9" xfId="3452"/>
    <cellStyle name="警告文本 2 3 4" xfId="3453"/>
    <cellStyle name="40% - 强调文字颜色 3 2 2 2 6 2 2 2" xfId="3454"/>
    <cellStyle name="强调文字颜色 5 4 2" xfId="3455"/>
    <cellStyle name="计算 2 15 2 2" xfId="3456"/>
    <cellStyle name="强调文字颜色 4 2 9" xfId="3457"/>
    <cellStyle name="输入 2 2 3 2 5 2" xfId="3458"/>
    <cellStyle name="标题 4 2 3 2 6" xfId="3459"/>
    <cellStyle name="汇总 2 2 6 3 2 6" xfId="3460"/>
    <cellStyle name="注释 2 5 4 3 3" xfId="3461"/>
    <cellStyle name="汇总 2 5 2 11 2" xfId="3462"/>
    <cellStyle name="好 3 8" xfId="3463"/>
    <cellStyle name="20% - 强调文字颜色 5 2 6 2" xfId="3464"/>
    <cellStyle name="汇总 2 6 8 2" xfId="3465"/>
    <cellStyle name="汇总 2 2 2 6 2 2 2" xfId="3466"/>
    <cellStyle name="强调文字颜色 1 2 2 4 2" xfId="3467"/>
    <cellStyle name="汇总 2 4 2 2 2 2 2 2" xfId="3468"/>
    <cellStyle name="40% - 强调文字颜色 1 2 2 2 2 2 2 2 2 2 2" xfId="3469"/>
    <cellStyle name="60% - 强调文字颜色 3 3 2 3" xfId="3470"/>
    <cellStyle name="计算 2 2 5 3 5 3" xfId="3471"/>
    <cellStyle name="适中 3 4" xfId="3472"/>
    <cellStyle name="常规 10 2 3 5 3" xfId="3473"/>
    <cellStyle name="计算 2 6 4 4 2" xfId="3474"/>
    <cellStyle name="计算 2 3 6 2 2" xfId="3475"/>
    <cellStyle name="输出 3 2 10" xfId="3476"/>
    <cellStyle name="计算 2 2 7 3 2 3 2 2" xfId="3477"/>
    <cellStyle name="60% - 强调文字颜色 4 3 7" xfId="3478"/>
    <cellStyle name="汇总 2 2 4 2 2 7 2" xfId="3479"/>
    <cellStyle name="检查单元格 2 2 6" xfId="3480"/>
    <cellStyle name="40% - 强调文字颜色 3 3 2" xfId="3481"/>
    <cellStyle name="强调文字颜色 1 2 2 5 4" xfId="3482"/>
    <cellStyle name="输出 2 7 2 3 2 2" xfId="3483"/>
    <cellStyle name="注释 2 2 3 2 3 3 2" xfId="3484"/>
    <cellStyle name="强调文字颜色 1 2 3 2 4 2 2 2" xfId="3485"/>
    <cellStyle name="解释性文本 2 3 2 5 2" xfId="3486"/>
    <cellStyle name="计算 3 2 3 2 3" xfId="3487"/>
    <cellStyle name="标题 3 3 8" xfId="3488"/>
    <cellStyle name="计算 2 2 9 2 4 2" xfId="3489"/>
    <cellStyle name="常规 5 3 2 2 2 3 2 2" xfId="3490"/>
    <cellStyle name="计算 2 5 2 5 4" xfId="3491"/>
    <cellStyle name="20% - 强调文字颜色 3 2 2 6 3 2" xfId="3492"/>
    <cellStyle name="汇总 3 5" xfId="3493"/>
    <cellStyle name="警告文本 2 2 3 4 2 2" xfId="3494"/>
    <cellStyle name="40% - 强调文字颜色 1 2 2 3 3" xfId="3495"/>
    <cellStyle name="强调文字颜色 6 3 2 5" xfId="3496"/>
    <cellStyle name="注释 2 2 3 2 2 2 2 4" xfId="3497"/>
    <cellStyle name="计算 4 3 2" xfId="3498"/>
    <cellStyle name="强调文字颜色 3 2 5 3 3" xfId="3499"/>
    <cellStyle name="标题 4 2 2 2 2 3 3" xfId="3500"/>
    <cellStyle name="汇总 2 2 5 2 2 6 2 2" xfId="3501"/>
    <cellStyle name="60% - 强调文字颜色 6 2 2 2 3 2 2 2 3" xfId="3502"/>
    <cellStyle name="汇总 2 15 3" xfId="3503"/>
    <cellStyle name="常规 5 2 4 2 4" xfId="3504"/>
    <cellStyle name="常规 14 2 2 2 2" xfId="3505"/>
    <cellStyle name="计算 2 4 2 2 2 5" xfId="3506"/>
    <cellStyle name="输出 2 2 6 3 2 5" xfId="3507"/>
    <cellStyle name="常规 16 3" xfId="3508"/>
    <cellStyle name="常规 4 3 2 2 3" xfId="3509"/>
    <cellStyle name="强调文字颜色 3 2 4 2" xfId="3510"/>
    <cellStyle name="汇总 2 5 3 2 2 4 3" xfId="3511"/>
    <cellStyle name="输入 2 15 3" xfId="3512"/>
    <cellStyle name="注释 2 2 3 5 5" xfId="3513"/>
    <cellStyle name="差 2 2 2 2 5" xfId="3514"/>
    <cellStyle name="注释 2 4 2 2 6" xfId="3515"/>
    <cellStyle name="40% - 强调文字颜色 1 2 3 2 2 5 2 2" xfId="3516"/>
    <cellStyle name="超链接 3 2 5 2 2" xfId="3517"/>
    <cellStyle name="输入 2 6 6 2 2" xfId="3518"/>
    <cellStyle name="汇总 3 2 3" xfId="3519"/>
    <cellStyle name="强调文字颜色 6 2 2 8" xfId="3520"/>
    <cellStyle name="汇总 2 3 2 4 4 2" xfId="3521"/>
    <cellStyle name="标题 1 2 2 4 3" xfId="3522"/>
    <cellStyle name="输入 2 6 3 4 2 2" xfId="3523"/>
    <cellStyle name="超链接 3 2 2 4 2 2" xfId="3524"/>
    <cellStyle name="计算 2 3 3 3" xfId="3525"/>
    <cellStyle name="检查单元格 2 2 4 4 2" xfId="3526"/>
    <cellStyle name="强调文字颜色 2 2 2 2 4 3 3" xfId="3527"/>
    <cellStyle name="标题 1 3 2 6" xfId="3528"/>
    <cellStyle name="计算 3 3 5" xfId="3529"/>
    <cellStyle name="常规 5 3 2 4 2" xfId="3530"/>
    <cellStyle name="好 2 2 4 5" xfId="3531"/>
    <cellStyle name="汇总 2 6 2 2 2 3 3" xfId="3532"/>
    <cellStyle name="强调文字颜色 1 2 7 3" xfId="3533"/>
    <cellStyle name="常规 6 2 4 2 2" xfId="3534"/>
    <cellStyle name="输出 2 2 3 3 2 2 3 2" xfId="3535"/>
    <cellStyle name="注释 2 2 4 2 3 5" xfId="3536"/>
    <cellStyle name="汇总 2 2 7 4" xfId="3537"/>
    <cellStyle name="计算 2 2 4 2 12" xfId="3538"/>
    <cellStyle name="好 3 4 2 2 2" xfId="3539"/>
    <cellStyle name="输出 2 2 3 2 3 2 3" xfId="3540"/>
    <cellStyle name="强调文字颜色 6 2 2 4 4 3" xfId="3541"/>
    <cellStyle name="无色 2 3 3" xfId="3542"/>
    <cellStyle name="注释 2 3 8 3" xfId="3543"/>
    <cellStyle name="计算 2 2 4 2 2 2 2 6" xfId="3544"/>
    <cellStyle name="强调文字颜色 3 2 3 5 2 2" xfId="3545"/>
    <cellStyle name="差 2 3 3 6" xfId="3546"/>
    <cellStyle name="强调文字颜色 2 3 3 2" xfId="3547"/>
    <cellStyle name="标题 9 3" xfId="3548"/>
    <cellStyle name="差 2 3 2 2 2 2 2 2" xfId="3549"/>
    <cellStyle name="好 2 2 2 2 2" xfId="3550"/>
    <cellStyle name="汇总 2 2 5 15" xfId="3551"/>
    <cellStyle name="强调文字颜色 1 2 2 2 7" xfId="3552"/>
    <cellStyle name="注释 3 3 3" xfId="3553"/>
    <cellStyle name="常规 13 2 3 2" xfId="3554"/>
    <cellStyle name="60% - 强调文字颜色 4 2 4 4 2 2 2" xfId="3555"/>
    <cellStyle name="输出 2 7 2 2 3" xfId="3556"/>
    <cellStyle name="40% - 强调文字颜色 4 3 3 4" xfId="3557"/>
    <cellStyle name="20% - 强调文字颜色 1 2 3 3 3 2 2" xfId="3558"/>
    <cellStyle name="强调文字颜色 5 2 2 2 7" xfId="3559"/>
    <cellStyle name="40% - 强调文字颜色 3 5 2 2" xfId="3560"/>
    <cellStyle name="检查单元格 2 4 6 2" xfId="3561"/>
    <cellStyle name="计算 3 2 4" xfId="3562"/>
    <cellStyle name="常规 3 3 3 2 2 2 2" xfId="3563"/>
    <cellStyle name="超链接 2 4 4 3" xfId="3564"/>
    <cellStyle name="好 2 3 4 3 3" xfId="3565"/>
    <cellStyle name="标题 1 3 2 4 2 2" xfId="3566"/>
    <cellStyle name="计算 3 3 3 2 2" xfId="3567"/>
    <cellStyle name="强调文字颜色 6 2 2 6 2 2" xfId="3568"/>
    <cellStyle name="输入 2 6 10" xfId="3569"/>
    <cellStyle name="强调文字颜色 3 2 2 2 3" xfId="3570"/>
    <cellStyle name="常规 10 3 2 3 2" xfId="3571"/>
    <cellStyle name="强调文字颜色 5 2 2 2 2 2 2 2 3" xfId="3572"/>
    <cellStyle name="解释性文本 3 10" xfId="3573"/>
    <cellStyle name="20% - 强调文字颜色 4 2 7 3 2" xfId="3574"/>
    <cellStyle name="汇总 2 9 2 8" xfId="3575"/>
    <cellStyle name="强调文字颜色 3 3 2 2 2 2" xfId="3576"/>
    <cellStyle name="注释 2 2 2 7 2 2" xfId="3577"/>
    <cellStyle name="标题 4 2 3 2 2 3" xfId="3578"/>
    <cellStyle name="标题 1 2 6 3 2 2" xfId="3579"/>
    <cellStyle name="常规 11 3 6" xfId="3580"/>
    <cellStyle name="汇总 2 6 4 2 4 3" xfId="3581"/>
    <cellStyle name="汇总 2 2 4 5 6 2" xfId="3582"/>
    <cellStyle name="强调文字颜色 1 2 2 9" xfId="3583"/>
    <cellStyle name="解释性文本 2 4 3 4 2" xfId="3584"/>
    <cellStyle name="输出 2 5 2 6 2" xfId="3585"/>
    <cellStyle name="超链接 2 3 2 3 2 2 2" xfId="3586"/>
    <cellStyle name="常规 5 2 5 3 5" xfId="3587"/>
    <cellStyle name="常规 13 3" xfId="3588"/>
    <cellStyle name="输出 2 4 2 3" xfId="3589"/>
    <cellStyle name="标题 2 2 5 3 2 2" xfId="3590"/>
    <cellStyle name="计算 2 2 6 3 3 2 2" xfId="3591"/>
    <cellStyle name="差 2 2 4 2" xfId="3592"/>
    <cellStyle name="汇总 2 5 2 2 7" xfId="3593"/>
    <cellStyle name="输入 2 8 3 2 5" xfId="3594"/>
    <cellStyle name="输出 2 2 6 2 2 5" xfId="3595"/>
    <cellStyle name="标题 4 2 2 2 7" xfId="3596"/>
    <cellStyle name="计算 2 3 4 2 3 3" xfId="3597"/>
    <cellStyle name="常规 6 6 3 2" xfId="3598"/>
    <cellStyle name="汇总 2 2 4 2 5 5" xfId="3599"/>
    <cellStyle name="常规 7 2 2 5 2 2 2" xfId="3600"/>
    <cellStyle name="常规 5 2 2 4 2 3 2 2" xfId="3601"/>
    <cellStyle name="20% - 强调文字颜色 1 2 2 2 2 2 3 3" xfId="3602"/>
    <cellStyle name="计算 2 2 6 2 2" xfId="3603"/>
    <cellStyle name="汇总 2 7 6 2 3" xfId="3604"/>
    <cellStyle name="输出 2 5 3 2 5" xfId="3605"/>
    <cellStyle name="汇总 2 2 5 2 3 2 3" xfId="3606"/>
    <cellStyle name="强调文字颜色 3 2 2 3 2 2 2 2 2" xfId="3607"/>
    <cellStyle name="输入 4 5 2 2" xfId="3608"/>
    <cellStyle name="计算 2 6 2 4 2 2 2" xfId="3609"/>
    <cellStyle name="计算 2 20" xfId="3610"/>
    <cellStyle name="计算 2 15" xfId="3611"/>
    <cellStyle name="60% - 强调文字颜色 2 2 7" xfId="3612"/>
    <cellStyle name="链接单元格 2 2 3 6 2 2" xfId="3613"/>
    <cellStyle name="常规 6 5 3" xfId="3614"/>
    <cellStyle name="40% - 强调文字颜色 1 2 3 2 2 5" xfId="3615"/>
    <cellStyle name="输入 2 5 4 2 3 2" xfId="3616"/>
    <cellStyle name="解释性文本 2 7 2" xfId="3617"/>
    <cellStyle name="注释 3 6 3" xfId="3618"/>
    <cellStyle name="20% - 强调文字颜色 5 2 2 4 3 3 2" xfId="3619"/>
    <cellStyle name="标题 2 4 3 2" xfId="3620"/>
    <cellStyle name="汇总 2 3 2 9" xfId="3621"/>
    <cellStyle name="输出 2 2 7 10" xfId="3622"/>
    <cellStyle name="计算 2 2 9 8" xfId="3623"/>
    <cellStyle name="解释性文本 2 6 3 3" xfId="3624"/>
    <cellStyle name="计算 2 5 4 2 4 2 2" xfId="3625"/>
    <cellStyle name="输出 2 7 2 5" xfId="3626"/>
    <cellStyle name="常规 3 2 2 2 2 5" xfId="3627"/>
    <cellStyle name="常规 4 2 3 2 2 3" xfId="3628"/>
    <cellStyle name="注释 2 2 3 2 2 7" xfId="3629"/>
    <cellStyle name="汇总 5 2 3 2" xfId="3630"/>
    <cellStyle name="强调文字颜色 5 2 4 2 2 2 2 2" xfId="3631"/>
    <cellStyle name="60% - 强调文字颜色 4 2 2 4 3 2 2 2" xfId="3632"/>
    <cellStyle name="汇总 2 2 4 3 2 4 3" xfId="3633"/>
    <cellStyle name="检查单元格 2 2 4 3 2 3" xfId="3634"/>
    <cellStyle name="注释 2 3 5 2 2" xfId="3635"/>
    <cellStyle name="汇总 2 5 3 2 4 2" xfId="3636"/>
    <cellStyle name="计算 2 2 7 2 4 3" xfId="3637"/>
    <cellStyle name="常规 2 2 2 2 2 3 3 2 2" xfId="3638"/>
    <cellStyle name="超链接 3 4 3 2 2 2" xfId="3639"/>
    <cellStyle name="汇总 2 2 5 3 6" xfId="3640"/>
    <cellStyle name="计算 2 7 4 4 3" xfId="3641"/>
    <cellStyle name="输出 3 2 2" xfId="3642"/>
    <cellStyle name="输入 2 2 5 2 3 2 3" xfId="3643"/>
    <cellStyle name="计算 2 2 2 5" xfId="3644"/>
    <cellStyle name="输入 4 2 2 2" xfId="3645"/>
    <cellStyle name="汇总 3 2 2 2 3 2 2" xfId="3646"/>
    <cellStyle name="标题 3 2 2 6 3 3" xfId="3647"/>
    <cellStyle name="检查单元格 2 3 2 3 3" xfId="3648"/>
    <cellStyle name="汇总 2 2 2 11 2 2" xfId="3649"/>
    <cellStyle name="计算 2 2 3 2 7 2" xfId="3650"/>
    <cellStyle name="60% - 强调文字颜色 1 2 4 2" xfId="3651"/>
    <cellStyle name="汇总 2 4 2 10" xfId="3652"/>
    <cellStyle name="40% - 强调文字颜色 1 2 4 3 2 2 2" xfId="3653"/>
    <cellStyle name="标题 5 2 9" xfId="3654"/>
    <cellStyle name="强调文字颜色 1 2 4 2 2 2 3" xfId="3655"/>
    <cellStyle name="计算 2 2 3 4 2 4" xfId="3656"/>
    <cellStyle name="20% - 强调文字颜色 4 3 5" xfId="3657"/>
    <cellStyle name="20% - 强调文字颜色 4 3 2 3" xfId="3658"/>
    <cellStyle name="常规 3 3 2 2 3 2 2" xfId="3659"/>
    <cellStyle name="解释性文本 2 2 4" xfId="3660"/>
    <cellStyle name="输出 2 6 2 2 2 2 2" xfId="3661"/>
    <cellStyle name="40% - 强调文字颜色 3 3 3 3 2 2" xfId="3662"/>
    <cellStyle name="汇总 2 2 4 2 3 6 2" xfId="3663"/>
    <cellStyle name="60% - 强调文字颜色 5 2 7" xfId="3664"/>
    <cellStyle name="40% - 强调文字颜色 4 2 2" xfId="3665"/>
    <cellStyle name="链接单元格 2 2 2 6" xfId="3666"/>
    <cellStyle name="好 2 3 3 2 2 3" xfId="3667"/>
    <cellStyle name="40% - 强调文字颜色 4 2 2 2 2 5" xfId="3668"/>
    <cellStyle name="标题 1 2 2 6 2 2 2" xfId="3669"/>
    <cellStyle name="百分比 2 3 3 2 2" xfId="3670"/>
    <cellStyle name="40% - 强调文字颜色 5 2 3 2 2 3" xfId="3671"/>
    <cellStyle name="好 4 3" xfId="3672"/>
    <cellStyle name="计算 2 3 5 2 2 2" xfId="3673"/>
    <cellStyle name="常规 13" xfId="3674"/>
    <cellStyle name="差 2 3 2 4 3" xfId="3675"/>
    <cellStyle name="注释 2 4 2 6 2 2" xfId="3676"/>
    <cellStyle name="计算 2 2 6 3 3" xfId="3677"/>
    <cellStyle name="标题 2 2 3 2 2 4" xfId="3678"/>
    <cellStyle name="标题 3 2 4 2 2 2" xfId="3679"/>
    <cellStyle name="计算 2 2 6 6 2 2 2" xfId="3680"/>
    <cellStyle name="汇总 6 3 3" xfId="3681"/>
    <cellStyle name="标题 1 2 2 2 2 6" xfId="3682"/>
    <cellStyle name="链接单元格 2 7" xfId="3683"/>
    <cellStyle name="警告文本 2 2 2 2 3 2 2 2" xfId="3684"/>
    <cellStyle name="强调文字颜色 4 2 2 2 2 3 4" xfId="3685"/>
    <cellStyle name="标题 2 4 5 2" xfId="3686"/>
    <cellStyle name="注释 3 8 3" xfId="3687"/>
    <cellStyle name="标题 2 2 2 2 2 2 2 2 2 3" xfId="3688"/>
    <cellStyle name="输入 2 2 7 2 2 5" xfId="3689"/>
    <cellStyle name="汇总 2 2 2 2 2 2 2 4" xfId="3690"/>
    <cellStyle name="汇总 2 2 3 2 3 2 2 2" xfId="3691"/>
    <cellStyle name="计算 2 5 2 9 2 2" xfId="3692"/>
    <cellStyle name="常规 9 4 3 2 2 2" xfId="3693"/>
    <cellStyle name="超链接 2 3 2 3" xfId="3694"/>
    <cellStyle name="汇总 2 6 2 4 5" xfId="3695"/>
    <cellStyle name="输入 2 3 6 2" xfId="3696"/>
    <cellStyle name="注释 3 2 7 3" xfId="3697"/>
    <cellStyle name="强调文字颜色 6 2 2 3 3" xfId="3698"/>
    <cellStyle name="20% - 强调文字颜色 6 2 2 3 3 2 2" xfId="3699"/>
    <cellStyle name="检查单元格 2 2 7" xfId="3700"/>
    <cellStyle name="适中 2 2 2 2 3 2" xfId="3701"/>
    <cellStyle name="40% - 强调文字颜色 3 3 3" xfId="3702"/>
    <cellStyle name="汇总 4 2 6 2" xfId="3703"/>
    <cellStyle name="标题 2 2 3 7 2" xfId="3704"/>
    <cellStyle name="输出 2 6 2 4 2 2" xfId="3705"/>
    <cellStyle name="计算 2 2 4 7 2" xfId="3706"/>
    <cellStyle name="60% - 强调文字颜色 3 2 2 3 4 2" xfId="3707"/>
    <cellStyle name="20% - 强调文字颜色 1 2 3 6" xfId="3708"/>
    <cellStyle name="输出 2 2 5 7 2 2" xfId="3709"/>
    <cellStyle name="输入 2 2 5 2 2 2 2" xfId="3710"/>
    <cellStyle name="适中 2 3 2 7" xfId="3711"/>
    <cellStyle name="标题 1 2 3 2 6 2 2" xfId="3712"/>
    <cellStyle name="检查单元格 2 2 2 3 3" xfId="3713"/>
    <cellStyle name="强调文字颜色 2 2 2 2 2 2 4" xfId="3714"/>
    <cellStyle name="20% - 强调文字颜色 1 3 2 2 4" xfId="3715"/>
    <cellStyle name="计算 2 2 2 2 7 2" xfId="3716"/>
    <cellStyle name="强调文字颜色 3 2 2 2 7" xfId="3717"/>
    <cellStyle name="计算 2 4 9 2" xfId="3718"/>
    <cellStyle name="常规 5 2 2 3 2 3" xfId="3719"/>
    <cellStyle name="20% - 强调文字颜色 4 2 3 4 3 2 2" xfId="3720"/>
    <cellStyle name="常规 5 5 2 5" xfId="3721"/>
    <cellStyle name="常规 4 3 3 2 5" xfId="3722"/>
    <cellStyle name="输入 3 2 2 2" xfId="3723"/>
    <cellStyle name="60% - 强调文字颜色 6 3 3 4 2" xfId="3724"/>
    <cellStyle name="计算 2 6 4 4 3" xfId="3725"/>
    <cellStyle name="汇总 2 9 3 5" xfId="3726"/>
    <cellStyle name="60% - 强调文字颜色 5 2 3 2 4 2 2" xfId="3727"/>
    <cellStyle name="计算 2 2 6 4 2 3 2" xfId="3728"/>
    <cellStyle name="标题 3 2 2 2 3 2" xfId="3729"/>
    <cellStyle name="输入 2 2 5 4" xfId="3730"/>
    <cellStyle name="汇总 2 5 2 4 2 2 2" xfId="3731"/>
    <cellStyle name="计算 2 2 8 7 3" xfId="3732"/>
    <cellStyle name="汇总 3 2 3 2 2" xfId="3733"/>
    <cellStyle name="输出 2 2 2 4 4 3" xfId="3734"/>
    <cellStyle name="汇总 2 2 7 10" xfId="3735"/>
    <cellStyle name="输出 2 8 9" xfId="3736"/>
    <cellStyle name="链接单元格 2 2 4 5" xfId="3737"/>
    <cellStyle name="注释 2 4 6 2" xfId="3738"/>
    <cellStyle name="汇总 2 5 4 3 4" xfId="3739"/>
    <cellStyle name="解释性文本 2 2 4 6" xfId="3740"/>
    <cellStyle name="输出 2 2 8 2 2" xfId="3741"/>
    <cellStyle name="计算 2 2 5 4 2" xfId="3742"/>
    <cellStyle name="输出 2 3 3 2 4" xfId="3743"/>
    <cellStyle name="计算 4 7" xfId="3744"/>
    <cellStyle name="汇总 2 5 6 2 2" xfId="3745"/>
    <cellStyle name="标题 4 4 3 3" xfId="3746"/>
    <cellStyle name="好 2 3 3 4" xfId="3747"/>
    <cellStyle name="强调文字颜色 3 4 5" xfId="3748"/>
    <cellStyle name="标题 4 2 2 4 2" xfId="3749"/>
    <cellStyle name="常规 3 2 2 6" xfId="3750"/>
    <cellStyle name="60% - 强调文字颜色 6 2 2 2 2 3" xfId="3751"/>
    <cellStyle name="输入 2 2 8 2 4" xfId="3752"/>
    <cellStyle name="百分比 2 5 3 2 2" xfId="3753"/>
    <cellStyle name="计算 2 2 2 2 4 3 3" xfId="3754"/>
    <cellStyle name="常规 2 2 6" xfId="3755"/>
    <cellStyle name="输出 2 3 8" xfId="3756"/>
    <cellStyle name="标题 4 5" xfId="3757"/>
    <cellStyle name="强调文字颜色 4 2 7" xfId="3758"/>
    <cellStyle name="强调文字颜色 3 2 2 2 2 3 3 2 2" xfId="3759"/>
    <cellStyle name="注释 2 2 8 4" xfId="3760"/>
    <cellStyle name="输出 2 2 3 2 2 2 4" xfId="3761"/>
    <cellStyle name="汇总 2 8 2 2 6" xfId="3762"/>
    <cellStyle name="标题 2 2 3 3 2 3" xfId="3763"/>
    <cellStyle name="解释性文本 2 2 3 2 2 3" xfId="3764"/>
    <cellStyle name="输入 2 2 5 4 8" xfId="3765"/>
    <cellStyle name="强调文字颜色 5 2 2 7 2 2" xfId="3766"/>
    <cellStyle name="输入 3 2 2 3" xfId="3767"/>
    <cellStyle name="注释 2 2 4 2 2 2" xfId="3768"/>
    <cellStyle name="常规 2 2 2 2 2 2 2 2 2 2" xfId="3769"/>
    <cellStyle name="计算 3 3 2 3 3" xfId="3770"/>
    <cellStyle name="标题 2 3 2 2 2 2 2" xfId="3771"/>
    <cellStyle name="注释 2 5 3 2 2 2" xfId="3772"/>
    <cellStyle name="汇总 2 2 7 3 2 4" xfId="3773"/>
    <cellStyle name="计算 2 3 3 2 8" xfId="3774"/>
    <cellStyle name="好 2 2 2 2 4 2 3" xfId="3775"/>
    <cellStyle name="汇总 2 2 2 2 3 5" xfId="3776"/>
    <cellStyle name="适中 2 2 6 3 2" xfId="3777"/>
    <cellStyle name="输入 2 2 4 2 2 2 4" xfId="3778"/>
    <cellStyle name="汇总 2 2 4 2 2 2" xfId="3779"/>
    <cellStyle name="汇总 2 3 3 3 3 2" xfId="3780"/>
    <cellStyle name="计算 3 2 2 3" xfId="3781"/>
    <cellStyle name="好 2 2 2 4 2 2 2" xfId="3782"/>
    <cellStyle name="输出 2 2 6 2" xfId="3783"/>
    <cellStyle name="计算 3 8 3" xfId="3784"/>
    <cellStyle name="计算 4 2 2 2 2 2" xfId="3785"/>
    <cellStyle name="输入 3 2 4 2" xfId="3786"/>
    <cellStyle name="汇总 2 2 8 3 2" xfId="3787"/>
    <cellStyle name="差 5" xfId="3788"/>
    <cellStyle name="警告文本 3 2 2 3 2" xfId="3789"/>
    <cellStyle name="20% - 强调文字颜色 3 2 2 7 2 2" xfId="3790"/>
    <cellStyle name="计算 2 11 3 2 2" xfId="3791"/>
    <cellStyle name="输出 2 4 2 5 5" xfId="3792"/>
    <cellStyle name="40% - 强调文字颜色 1 2 5 3 3 2" xfId="3793"/>
    <cellStyle name="汇总 2 5 2 2 3 4 2 2" xfId="3794"/>
    <cellStyle name="链接单元格 2 4 3 2 2" xfId="3795"/>
    <cellStyle name="计算 2 9 6 3" xfId="3796"/>
    <cellStyle name="汇总 2 17 2 2" xfId="3797"/>
    <cellStyle name="差 2 2 11" xfId="3798"/>
    <cellStyle name="输入 2 5 2 2 2 2 3 2" xfId="3799"/>
    <cellStyle name="警告文本 2 6 4" xfId="3800"/>
    <cellStyle name="注释 2 2 4 3 4 2 2" xfId="3801"/>
    <cellStyle name="汇总 2 5 6 2" xfId="3802"/>
    <cellStyle name="计算 2 2 4 2 4 3" xfId="3803"/>
    <cellStyle name="输出 2 2 4 2 2 2 2 3" xfId="3804"/>
    <cellStyle name="常规 10 2 2 6" xfId="3805"/>
    <cellStyle name="解释性文本 2 2 3 3 2 2 2" xfId="3806"/>
    <cellStyle name="计算 2 2 8 3 2 2 2 2" xfId="3807"/>
    <cellStyle name="60% - 强调文字颜色 1 2 4 7" xfId="3808"/>
    <cellStyle name="常规 2 3 2 3 3 2" xfId="3809"/>
    <cellStyle name="计算 2 9 6 2" xfId="3810"/>
    <cellStyle name="计算 2 2 6 12 2" xfId="3811"/>
    <cellStyle name="差 2 2 10" xfId="3812"/>
    <cellStyle name="计算 2 6 2 4 2 3" xfId="3813"/>
    <cellStyle name="计算 2 2 10" xfId="3814"/>
    <cellStyle name="强调文字颜色 5 3 2 2 2 2" xfId="3815"/>
    <cellStyle name="差 2 2 6 3 2" xfId="3816"/>
    <cellStyle name="标题 5 3 2 8" xfId="3817"/>
    <cellStyle name="标题 3 2 2 8 3" xfId="3818"/>
    <cellStyle name="汇总 2 2 5 2 2 2" xfId="3819"/>
    <cellStyle name="注释 5 3 3" xfId="3820"/>
    <cellStyle name="计算 2 5 2 16" xfId="3821"/>
    <cellStyle name="输入 2 8" xfId="3822"/>
    <cellStyle name="计算 2 2 3 3 3" xfId="3823"/>
    <cellStyle name="强调文字颜色 3 2 2 8" xfId="3824"/>
    <cellStyle name="超链接 3 3 4 4 2" xfId="3825"/>
    <cellStyle name="超链接 3 2 3" xfId="3826"/>
    <cellStyle name="输入 2 6 4" xfId="3827"/>
    <cellStyle name="标题 2 2 2 3 7" xfId="3828"/>
    <cellStyle name="汇总 2 2 8 3 3 3" xfId="3829"/>
    <cellStyle name="好 2 2 5 3 2" xfId="3830"/>
    <cellStyle name="常规 9 3 3 2 2 2 2" xfId="3831"/>
    <cellStyle name="汇总 2 2 9 8" xfId="3832"/>
    <cellStyle name="60% - 强调文字颜色 6 2 3 4 2 2 3" xfId="3833"/>
    <cellStyle name="强调文字颜色 1 2 3 2 4 2" xfId="3834"/>
    <cellStyle name="常规 2 3 4 2 2 2" xfId="3835"/>
    <cellStyle name="解释性文本 2 2 2 2 3 2 2" xfId="3836"/>
    <cellStyle name="输出 2 5 3 4 3" xfId="3837"/>
    <cellStyle name="汇总 2 2 4 2 7 3" xfId="3838"/>
    <cellStyle name="40% - 强调文字颜色 4 2 2 2 3 2" xfId="3839"/>
    <cellStyle name="标题 1 2 2 3 7" xfId="3840"/>
    <cellStyle name="汇总 2 9 2 4 3" xfId="3841"/>
    <cellStyle name="输出 2 7 5 3" xfId="3842"/>
    <cellStyle name="标题 1 4 2 3 2 3" xfId="3843"/>
    <cellStyle name="强调文字颜色 2 2 2 6 2 3" xfId="3844"/>
    <cellStyle name="汇总 2 2 3 4 5" xfId="3845"/>
    <cellStyle name="计算 2 7 2 5 2" xfId="3846"/>
    <cellStyle name="标题 3 2 2 5 2 2 3" xfId="3847"/>
    <cellStyle name="计算 2 2 8 11" xfId="3848"/>
    <cellStyle name="输入 2 5 4 4 3" xfId="3849"/>
    <cellStyle name="汇总 2 2 8 6 2 2" xfId="3850"/>
    <cellStyle name="输入 3 2 7 2 2" xfId="3851"/>
    <cellStyle name="标题 2 2 2 2 5 2 2" xfId="3852"/>
    <cellStyle name="计算 2 2 2 2 5 2 2" xfId="3853"/>
    <cellStyle name="输出 3 2 7" xfId="3854"/>
    <cellStyle name="汇总 2 2 9 3 3 2 2" xfId="3855"/>
    <cellStyle name="注释 2 2 3 4 2 6" xfId="3856"/>
    <cellStyle name="汇总 2 6 10 2" xfId="3857"/>
    <cellStyle name="超链接 2 2 2 5 2" xfId="3858"/>
    <cellStyle name="注释 4 2 7 2" xfId="3859"/>
    <cellStyle name="注释 2 4 2 2 3 2" xfId="3860"/>
    <cellStyle name="20% - 强调文字颜色 6 6 2 2" xfId="3861"/>
    <cellStyle name="常规 6 3 2 2 4 2 2" xfId="3862"/>
    <cellStyle name="汇总 2 5 5 4 2" xfId="3863"/>
    <cellStyle name="好 4 2 2" xfId="3864"/>
    <cellStyle name="常规 12 2" xfId="3865"/>
    <cellStyle name="差 2 3 2 4 2 2" xfId="3866"/>
    <cellStyle name="20% - 强调文字颜色 4 3 2 4 2" xfId="3867"/>
    <cellStyle name="标题 4 2 2 2 3 2 2 2 2" xfId="3868"/>
    <cellStyle name="注释 2 3 9" xfId="3869"/>
    <cellStyle name="无色 2 4" xfId="3870"/>
    <cellStyle name="链接单元格 2 4 6 2 2" xfId="3871"/>
    <cellStyle name="输入 2 2 4 3 8" xfId="3872"/>
    <cellStyle name="输入 2 2 7 2 4 2" xfId="3873"/>
    <cellStyle name="汇总 2 2 4 3 5 2" xfId="3874"/>
    <cellStyle name="计算 2 7 3 4 2 2" xfId="3875"/>
    <cellStyle name="60% - 强调文字颜色 6 2 3 4 4" xfId="3876"/>
    <cellStyle name="注释 2 11 2 2" xfId="3877"/>
    <cellStyle name="输入 2 2 2 2 2 5" xfId="3878"/>
    <cellStyle name="常规 5 6 2 3 2" xfId="3879"/>
    <cellStyle name="计算 2 2 4 2" xfId="3880"/>
    <cellStyle name="计算 2 2 2 3 10" xfId="3881"/>
    <cellStyle name="20% - 强调文字颜色 1 3 3 2 2 2" xfId="3882"/>
    <cellStyle name="强调文字颜色 2 2 2 2 3 2 2 2" xfId="3883"/>
    <cellStyle name="计算 2 2 5 10" xfId="3884"/>
    <cellStyle name="超链接 2 3 6 3" xfId="3885"/>
    <cellStyle name="计算 2 4 4" xfId="3886"/>
    <cellStyle name="汇总 2 2 2 11 2" xfId="3887"/>
    <cellStyle name="汇总 3 2 2 2 3 2" xfId="3888"/>
    <cellStyle name="标题 3 2 3 4 2 3" xfId="3889"/>
    <cellStyle name="差 4 4 2 2 2" xfId="3890"/>
    <cellStyle name="60% - 强调文字颜色 6 2 2 4 3 2 2 2" xfId="3891"/>
    <cellStyle name="40% - 强调文字颜色 5 2 2 2 2 2 3 3 2 2" xfId="3892"/>
    <cellStyle name="标题 5 4 6" xfId="3893"/>
    <cellStyle name="强调文字颜色 4 2 2 2 4 2 3" xfId="3894"/>
    <cellStyle name="注释 2 2 2 3 3 2" xfId="3895"/>
    <cellStyle name="40% - 强调文字颜色 3 2 2 2 2 2" xfId="3896"/>
    <cellStyle name="注释 3 7 2 2" xfId="3897"/>
    <cellStyle name="好 2 5 4" xfId="3898"/>
    <cellStyle name="强调文字颜色 4 2 2 2 2 2 3 2" xfId="3899"/>
    <cellStyle name="汇总 2 2 3 3 2 6" xfId="3900"/>
    <cellStyle name="注释 2 2 4 3 3" xfId="3901"/>
    <cellStyle name="40% - 强调文字颜色 3 2 4 2 2" xfId="3902"/>
    <cellStyle name="输出 2 5 3 5 2" xfId="3903"/>
    <cellStyle name="解释性文本 2 4 4 3 2" xfId="3904"/>
    <cellStyle name="60% - 强调文字颜色 5 2 2 2 4 2 2" xfId="3905"/>
    <cellStyle name="常规 9 3 3 2 3" xfId="3906"/>
    <cellStyle name="计算 2 2 5 4 2 3 2" xfId="3907"/>
    <cellStyle name="注释 2 8 2 2 2 2" xfId="3908"/>
    <cellStyle name="汇总 2 2 4 2 3 3 3 3" xfId="3909"/>
    <cellStyle name="常规 7 3 5 2" xfId="3910"/>
    <cellStyle name="60% - 强调文字颜色 5 2 3 6 2 2 2" xfId="3911"/>
    <cellStyle name="40% - 强调文字颜色 4 2 2 2 6" xfId="3912"/>
    <cellStyle name="注释 2 6 7 2" xfId="3913"/>
    <cellStyle name="计算 2 2 12 2 2" xfId="3914"/>
    <cellStyle name="汇总 2 2 5 2 2 4 2 2" xfId="3915"/>
    <cellStyle name="强调文字颜色 3 2 3 3 3" xfId="3916"/>
    <cellStyle name="计算 2 3 3 2 3 2" xfId="3917"/>
    <cellStyle name="计算 2 3 4 5 3" xfId="3918"/>
    <cellStyle name="计算 2 2 3 3 3 5" xfId="3919"/>
    <cellStyle name="标题 4 2 2 9 2" xfId="3920"/>
    <cellStyle name="20% - 强调文字颜色 4 2 3 4" xfId="3921"/>
    <cellStyle name="60% - 强调文字颜色 2 2 2 2 2 3 2 2" xfId="3922"/>
    <cellStyle name="标题 2 2 3 2 3 4" xfId="3923"/>
    <cellStyle name="汇总 2 5 2 6 2 2 2" xfId="3924"/>
    <cellStyle name="标题 1 2 2 2 3 6" xfId="3925"/>
    <cellStyle name="标题 1 2 2 2 4 3 2" xfId="3926"/>
    <cellStyle name="常规 5 2 3 2 2 4 2" xfId="3927"/>
    <cellStyle name="计算 2 2 5 2 3 6" xfId="3928"/>
    <cellStyle name="计算 2 5 2 2 2 3 2 2" xfId="3929"/>
    <cellStyle name="汇总 2 2 4 6 4" xfId="3930"/>
    <cellStyle name="计算 2 5 2 11 3" xfId="3931"/>
    <cellStyle name="标题 4 4 2 5" xfId="3932"/>
    <cellStyle name="注释 2 2 5 2 2 7" xfId="3933"/>
    <cellStyle name="强调文字颜色 1 2 3 2 3 3 3" xfId="3934"/>
    <cellStyle name="警告文本 3 3 4" xfId="3935"/>
    <cellStyle name="强调文字颜色 6 4 2" xfId="3936"/>
    <cellStyle name="检查单元格 2 4 5 2" xfId="3937"/>
    <cellStyle name="解释性文本 2 3 2 5" xfId="3938"/>
    <cellStyle name="常规 5 3 2 2 5 2" xfId="3939"/>
    <cellStyle name="汇总 2 5 2 6 5" xfId="3940"/>
    <cellStyle name="输出 2 2 3 2 2 3 3" xfId="3941"/>
    <cellStyle name="常规 5 2 5 2" xfId="3942"/>
    <cellStyle name="强调文字颜色 6 2 2 3 5 3" xfId="3943"/>
    <cellStyle name="链接单元格 5 3" xfId="3944"/>
    <cellStyle name="输出 2 3 2 6 3" xfId="3945"/>
    <cellStyle name="计算 2 2 8 3 3 3" xfId="3946"/>
    <cellStyle name="汇总 2 5 4 3 3 2" xfId="3947"/>
    <cellStyle name="汇总 2 7 14" xfId="3948"/>
    <cellStyle name="输入 2 3 3" xfId="3949"/>
    <cellStyle name="标题 3 2 3 2 3 4" xfId="3950"/>
    <cellStyle name="强调文字颜色 5 2 6 2" xfId="3951"/>
    <cellStyle name="20% - 强调文字颜色 3 2 2 2 2 2 4 2" xfId="3952"/>
    <cellStyle name="汇总 2 2 8 4 6" xfId="3953"/>
    <cellStyle name="强调文字颜色 3 2 2 4 2 2 2 2" xfId="3954"/>
    <cellStyle name="差 4 4 2" xfId="3955"/>
    <cellStyle name="汇总 2 2 3 7 2 2" xfId="3956"/>
    <cellStyle name="计算 2 3 2 2 2 3 2 2" xfId="3957"/>
    <cellStyle name="标题 2 3 3 3" xfId="3958"/>
    <cellStyle name="注释 2 6 4" xfId="3959"/>
    <cellStyle name="常规 8 4 2 2 2" xfId="3960"/>
    <cellStyle name="强调文字颜色 4 2 2 2 2 2 5" xfId="3961"/>
    <cellStyle name="汇总 2 2 2 3 5 2 2" xfId="3962"/>
    <cellStyle name="计算 2 2 3 4 4 2" xfId="3963"/>
    <cellStyle name="标题 5 2 2 2 2 2 3" xfId="3964"/>
    <cellStyle name="标题 2 2 2 4 4 2 2" xfId="3965"/>
    <cellStyle name="输入 2 8 2 5" xfId="3966"/>
    <cellStyle name="标题 5 3 2 5 3" xfId="3967"/>
    <cellStyle name="强调文字颜色 6 2 2 2 4" xfId="3968"/>
    <cellStyle name="注释 2 2 4 4 7" xfId="3969"/>
    <cellStyle name="常规 7 3 3 2 2" xfId="3970"/>
    <cellStyle name="输入 3 3 8" xfId="3971"/>
    <cellStyle name="标题 2 2 2 3 6" xfId="3972"/>
    <cellStyle name="汇总 2 2 8 3 3 2" xfId="3973"/>
    <cellStyle name="60% - 强调文字颜色 6 2 3 4 2 2 2" xfId="3974"/>
    <cellStyle name="常规 7 2 5" xfId="3975"/>
    <cellStyle name="20% - 强调文字颜色 3 2 2 3 3 2 2" xfId="3976"/>
    <cellStyle name="适中 3 2 4 2" xfId="3977"/>
    <cellStyle name="输入 2 9 2 2 2 2" xfId="3978"/>
    <cellStyle name="60% - 强调文字颜色 4 2 3 5 2 2 2" xfId="3979"/>
    <cellStyle name="常规 2 2 6 3 2 2" xfId="3980"/>
    <cellStyle name="计算 2 5 4 2 2 2" xfId="3981"/>
    <cellStyle name="20% - 强调文字颜色 3 2 2 3 2" xfId="3982"/>
    <cellStyle name="60% - 强调文字颜色 1 2 2 3 3 3 2" xfId="3983"/>
    <cellStyle name="标题 4 2 2 6 4" xfId="3984"/>
    <cellStyle name="计算 2 5 4 4 2" xfId="3985"/>
    <cellStyle name="汇总 2 2 5 2 2 3 2 2 2" xfId="3986"/>
    <cellStyle name="强调文字颜色 3 2 2 3 3 2" xfId="3987"/>
    <cellStyle name="标题 2 2 2 3 9" xfId="3988"/>
    <cellStyle name="常规 2 3 2 2 2 2 2 2" xfId="3989"/>
    <cellStyle name="超链接 2 4 2 3 2" xfId="3990"/>
    <cellStyle name="标题 4 2 2 2 3 2 2" xfId="3991"/>
    <cellStyle name="60% - 强调文字颜色 2 2 4 4 3" xfId="3992"/>
    <cellStyle name="标题 4 2 3 8" xfId="3993"/>
    <cellStyle name="强调文字颜色 3 2 6 2 2" xfId="3994"/>
    <cellStyle name="常规 12 3 4 2" xfId="3995"/>
    <cellStyle name="常规 11 2 2 3 3" xfId="3996"/>
    <cellStyle name="标题 2 2 5 2 3" xfId="3997"/>
    <cellStyle name="汇总 2 4 2 7 2 2" xfId="3998"/>
    <cellStyle name="20% - 强调文字颜色 6 2 2 2 6 2 2 2" xfId="3999"/>
    <cellStyle name="计算 2 6 2 4 3 2 2" xfId="4000"/>
    <cellStyle name="汇总 3 2 2 3 3 2" xfId="4001"/>
    <cellStyle name="注释 3 3 6 2 2" xfId="4002"/>
    <cellStyle name="强调文字颜色 5 2 2 3 2 2 2 3" xfId="4003"/>
    <cellStyle name="强调文字颜色 1 2 4 3 3" xfId="4004"/>
    <cellStyle name="汇总 2 6 3 3 4 2" xfId="4005"/>
    <cellStyle name="输入 2 3 14" xfId="4006"/>
    <cellStyle name="20% - 强调文字颜色 6 3 3 2" xfId="4007"/>
    <cellStyle name="60% - 强调文字颜色 3 2 2 2 3 2 2 2" xfId="4008"/>
    <cellStyle name="输入 2 2 3 4 2 2 2 2" xfId="4009"/>
    <cellStyle name="链接单元格 2 3 2 4 3 2" xfId="4010"/>
    <cellStyle name="60% - 强调文字颜色 5 2 2 2 5 2" xfId="4011"/>
    <cellStyle name="计算 2 2 5 4 3 3" xfId="4012"/>
    <cellStyle name="常规 10 2 3 3 4 2" xfId="4013"/>
    <cellStyle name="注释 3 2 2 5" xfId="4014"/>
    <cellStyle name="常规 5 2 3 4 2 3 2 2" xfId="4015"/>
    <cellStyle name="输入 2 16 2" xfId="4016"/>
    <cellStyle name="汇总 2 5 3 2 2 5 2" xfId="4017"/>
    <cellStyle name="输入 2 3 11" xfId="4018"/>
    <cellStyle name="好 2 3 2 7" xfId="4019"/>
    <cellStyle name="强调文字颜色 3 3 8" xfId="4020"/>
    <cellStyle name="标题 4 2 2 3 5" xfId="4021"/>
    <cellStyle name="输出 2 5 2 2 4 3" xfId="4022"/>
    <cellStyle name="汇总 2 5 2 3 2 5 2" xfId="4023"/>
    <cellStyle name="适中 3 9" xfId="4024"/>
    <cellStyle name="汇总 3 5 3 2" xfId="4025"/>
    <cellStyle name="40% - 强调文字颜色 1 2 2 3 3 3 2" xfId="4026"/>
    <cellStyle name="60% - 强调文字颜色 1 2 5 2 2 2" xfId="4027"/>
    <cellStyle name="常规 12 6 2" xfId="4028"/>
    <cellStyle name="适中 2 3 2" xfId="4029"/>
    <cellStyle name="差 3 2 2 2" xfId="4030"/>
    <cellStyle name="输入 2 3 2 4" xfId="4031"/>
    <cellStyle name="常规 13 2 2 2 5" xfId="4032"/>
    <cellStyle name="20% - 强调文字颜色 2 2 7 3" xfId="4033"/>
    <cellStyle name="计算 2 3 2 2 2 8" xfId="4034"/>
    <cellStyle name="汇总 2 7 3 9" xfId="4035"/>
    <cellStyle name="20% - 强调文字颜色 2 2 2 2 2 2 4 2" xfId="4036"/>
    <cellStyle name="汇总 2 2 5 4 6 2" xfId="4037"/>
    <cellStyle name="40% - 强调文字颜色 3 2 2 4 2 3" xfId="4038"/>
    <cellStyle name="40% - 强调文字颜色 3 2 2 4 4 2" xfId="4039"/>
    <cellStyle name="常规 7 2 2 2 3 3 2" xfId="4040"/>
    <cellStyle name="注释 2 2 9 2 3" xfId="4041"/>
    <cellStyle name="汇总 2 4 2 3 2 2" xfId="4042"/>
    <cellStyle name="40% - 强调文字颜色 1 2 2 2 2 2 3 2 2" xfId="4043"/>
    <cellStyle name="输入 2 2 5" xfId="4044"/>
    <cellStyle name="链接单元格 2 2 3 3 2 2" xfId="4045"/>
    <cellStyle name="汇总 2 2 8 3 8" xfId="4046"/>
    <cellStyle name="40% - 强调文字颜色 2 2 2 4 4 2 2" xfId="4047"/>
    <cellStyle name="差 2 2 2 4 2 3" xfId="4048"/>
    <cellStyle name="强调文字颜色 5 2 5 4" xfId="4049"/>
    <cellStyle name="标题 5 2 5 2 2 2" xfId="4050"/>
    <cellStyle name="好 2 3 2 2 2 2 3" xfId="4051"/>
    <cellStyle name="标题 2 2 2 2 2 8" xfId="4052"/>
    <cellStyle name="40% - 强调文字颜色 5 2 2 2 2 2 3" xfId="4053"/>
    <cellStyle name="常规 9 3 2 4 2" xfId="4054"/>
    <cellStyle name="40% - 强调文字颜色 1 4 2 4 2" xfId="4055"/>
    <cellStyle name="警告文本 2 2 2 2 4 3 2" xfId="4056"/>
    <cellStyle name="注释 2 2 6 3 2 5" xfId="4057"/>
    <cellStyle name="60% - 强调文字颜色 5 3 2 3 2 2 2" xfId="4058"/>
    <cellStyle name="60% - 强调文字颜色 3 2 2 3 2 2 2 2" xfId="4059"/>
    <cellStyle name="计算 2 2 4 5 2 2 2" xfId="4060"/>
    <cellStyle name="标题 5 4 5 3" xfId="4061"/>
    <cellStyle name="汇总 2 2 5 4 2 3 2 2" xfId="4062"/>
    <cellStyle name="计算 2 5 4 2 4 2" xfId="4063"/>
    <cellStyle name="汇总 2 2 6 4 3" xfId="4064"/>
    <cellStyle name="输入 3 2 4" xfId="4065"/>
    <cellStyle name="标题 2 2 2 2 2" xfId="4066"/>
    <cellStyle name="输入 2 5 2 2 2 2 3" xfId="4067"/>
    <cellStyle name="输入 2 7 3 6" xfId="4068"/>
    <cellStyle name="汇总 2 17 2" xfId="4069"/>
    <cellStyle name="输入 2 5 3 2 3 2" xfId="4070"/>
    <cellStyle name="汇总 2 2 2 2 5 2" xfId="4071"/>
    <cellStyle name="适中 2 3 2 2 2 3" xfId="4072"/>
    <cellStyle name="40% - 强调文字颜色 4 4 4 2 2 2" xfId="4073"/>
    <cellStyle name="输出 2 2 3 2 8 3" xfId="4074"/>
    <cellStyle name="40% - 强调文字颜色 4 2 2 4 2 3 2" xfId="4075"/>
    <cellStyle name="解释性文本 2 2 3 2 2" xfId="4076"/>
    <cellStyle name="60% - 强调文字颜色 5 2 6 2 2" xfId="4077"/>
    <cellStyle name="输出 2 3 2 4 2" xfId="4078"/>
    <cellStyle name="注释 2 2 3 2 2 4 2" xfId="4079"/>
    <cellStyle name="40% - 强调文字颜色 1 2 3 4 2 2" xfId="4080"/>
    <cellStyle name="标题 4 4 6" xfId="4081"/>
    <cellStyle name="强调文字颜色 1 6 2" xfId="4082"/>
    <cellStyle name="计算 3 3 2 2" xfId="4083"/>
    <cellStyle name="标题 1 3 2 3 2" xfId="4084"/>
    <cellStyle name="标题 2 2 2 4 3 2 2 2" xfId="4085"/>
    <cellStyle name="输入 2 7 2 5 2" xfId="4086"/>
    <cellStyle name="计算 2 8 5 3" xfId="4087"/>
    <cellStyle name="计算 2 2 3 3 4 2 2" xfId="4088"/>
    <cellStyle name="强调文字颜色 2 2 4 4 3 2" xfId="4089"/>
    <cellStyle name="常规 5 2 4 3 3" xfId="4090"/>
    <cellStyle name="注释 2 5 2 2 2 2 2 2" xfId="4091"/>
    <cellStyle name="计算 3 2 2 3 3 2 2" xfId="4092"/>
    <cellStyle name="输出 2 2 3 2 2 2 4 3" xfId="4093"/>
    <cellStyle name="计算 2 4 2 2 3 4" xfId="4094"/>
    <cellStyle name="注释 2 2 3 2 5 3" xfId="4095"/>
    <cellStyle name="汇总 2 2 6 4 3 2 2" xfId="4096"/>
    <cellStyle name="标题 5 2 2 2 5" xfId="4097"/>
    <cellStyle name="汇总 2 2 4 2 4 7" xfId="4098"/>
    <cellStyle name="60% - 强调文字颜色 6 2 2 3 9" xfId="4099"/>
    <cellStyle name="输出 2 6 2 2 3 3" xfId="4100"/>
    <cellStyle name="汇总 2 2 4 5 2 2 2 2" xfId="4101"/>
    <cellStyle name="注释 2 2 2 2 2 4 3" xfId="4102"/>
    <cellStyle name="百分比 2 4 2 2" xfId="4103"/>
    <cellStyle name="输入 2 8 11" xfId="4104"/>
    <cellStyle name="汇总 3 3" xfId="4105"/>
    <cellStyle name="常规 5 5 3" xfId="4106"/>
    <cellStyle name="强调文字颜色 4 2 2 5 3 2 2" xfId="4107"/>
    <cellStyle name="输出 2 12 3" xfId="4108"/>
    <cellStyle name="汇总 2 2 3 2 2 2 2 2 2" xfId="4109"/>
    <cellStyle name="40% - 强调文字颜色 2 3 2 2 3" xfId="4110"/>
    <cellStyle name="计算 2 5 2 3 4 3" xfId="4111"/>
    <cellStyle name="强调文字颜色 1 2 2 4 4 3" xfId="4112"/>
    <cellStyle name="汇总 2 5 3 10" xfId="4113"/>
    <cellStyle name="注释 2 5 8 2" xfId="4114"/>
    <cellStyle name="汇总 2 2 5 2 2 3 3 2" xfId="4115"/>
    <cellStyle name="计算 2 2 8 3 2 6" xfId="4116"/>
    <cellStyle name="输出 2 2 3 2 5 2 2" xfId="4117"/>
    <cellStyle name="强调文字颜色 3 2 2 4 3" xfId="4118"/>
    <cellStyle name="标题 2 4 2 3 2" xfId="4119"/>
    <cellStyle name="检查单元格 2 2 3 5" xfId="4120"/>
    <cellStyle name="常规 4 4 2" xfId="4121"/>
    <cellStyle name="差 2 2 2 2 5 3" xfId="4122"/>
    <cellStyle name="常规 4 2 2 2" xfId="4123"/>
    <cellStyle name="常规 6 4" xfId="4124"/>
    <cellStyle name="汇总 2 3 2 3 6" xfId="4125"/>
    <cellStyle name="强调文字颜色 1 2 2 5 2 3" xfId="4126"/>
    <cellStyle name="检查单元格 2 2 4 3 3" xfId="4127"/>
    <cellStyle name="常规 5 2 5 3 3 3" xfId="4128"/>
    <cellStyle name="汇总 2 5 8 2 2" xfId="4129"/>
    <cellStyle name="计算 2 5 2 3 3 2 2 2" xfId="4130"/>
    <cellStyle name="超链接 2 3 4" xfId="4131"/>
    <cellStyle name="汇总 2 4 2 2 7 2" xfId="4132"/>
    <cellStyle name="常规 5 6 2" xfId="4133"/>
    <cellStyle name="20% - 强调文字颜色 2 2 2 3 3 3 2" xfId="4134"/>
    <cellStyle name="60% - 强调文字颜色 1 2 6 2 2" xfId="4135"/>
    <cellStyle name="40% - 强调文字颜色 1 2 2 4 3 3" xfId="4136"/>
    <cellStyle name="汇总 4 5 3" xfId="4137"/>
    <cellStyle name="检查单元格 3 2 2 3 2" xfId="4138"/>
    <cellStyle name="20% - 强调文字颜色 2 3 2 2 3" xfId="4139"/>
    <cellStyle name="强调文字颜色 2 2 3 2 2 2 3" xfId="4140"/>
    <cellStyle name="强调文字颜色 1 2 2 2 2 4 3" xfId="4141"/>
    <cellStyle name="20% - 强调文字颜色 1 2 2 2 3 3 2 2" xfId="4142"/>
    <cellStyle name="汇总 2 2 3 10 2 2" xfId="4143"/>
    <cellStyle name="汇总 2 6 2 2 2 4" xfId="4144"/>
    <cellStyle name="强调文字颜色 1 2 8" xfId="4145"/>
    <cellStyle name="汇总 2 2 8 4 3 2 2" xfId="4146"/>
    <cellStyle name="20% - 强调文字颜色 3 2 2 8 2" xfId="4147"/>
    <cellStyle name="40% - 强调文字颜色 4 2 3 2 2 3 3 2 2" xfId="4148"/>
    <cellStyle name="强调文字颜色 1 2 3 3 4" xfId="4149"/>
    <cellStyle name="常规 2 4 8" xfId="4150"/>
    <cellStyle name="标题 1 2 5 3 2 2" xfId="4151"/>
    <cellStyle name="输入 2 2 4 2 2 2 2 2 2 2" xfId="4152"/>
    <cellStyle name="标题 1 2 3 2 2 2 2 2 2" xfId="4153"/>
    <cellStyle name="汇总 4 2 3 3 2" xfId="4154"/>
    <cellStyle name="汇总 2 4 2 11" xfId="4155"/>
    <cellStyle name="强调文字颜色 3 2 2 3 2 3" xfId="4156"/>
    <cellStyle name="注释 2 2 3 4 3" xfId="4157"/>
    <cellStyle name="40% - 强调文字颜色 3 2 3 3 2" xfId="4158"/>
    <cellStyle name="汇总 2 2 3 2 3 6" xfId="4159"/>
    <cellStyle name="40% - 强调文字颜色 5 2 2 4 4 2 2" xfId="4160"/>
    <cellStyle name="标题 2 4 3 2 2" xfId="4161"/>
    <cellStyle name="汇总 2 3 2 9 2" xfId="4162"/>
    <cellStyle name="汇总 2 9 2 4" xfId="4163"/>
    <cellStyle name="20% - 强调文字颜色 4 2 4 4 2 2 2" xfId="4164"/>
    <cellStyle name="常规 5 3 2 2 2 3" xfId="4165"/>
    <cellStyle name="常规 5 3 2 2 5" xfId="4166"/>
    <cellStyle name="注释 2 4 3 2 2 2 2 2" xfId="4167"/>
    <cellStyle name="计算 2 3 2 3 3 2 2" xfId="4168"/>
    <cellStyle name="注释 2 2 3 2 2 8" xfId="4169"/>
    <cellStyle name="汇总 2 2 7 5 3 3" xfId="4170"/>
    <cellStyle name="标题 2 2 3 4 2 2 2" xfId="4171"/>
    <cellStyle name="标题 1 2 2 7 2" xfId="4172"/>
    <cellStyle name="百分比 2 4 3" xfId="4173"/>
    <cellStyle name="检查单元格 2 2 3 4 3 2" xfId="4174"/>
    <cellStyle name="汇总 2 4 4 2 4 2 2" xfId="4175"/>
    <cellStyle name="输出 2 6 9" xfId="4176"/>
    <cellStyle name="超链接 3 3 4 2 2 2 2" xfId="4177"/>
    <cellStyle name="强调文字颜色 1 2 3 4 3" xfId="4178"/>
    <cellStyle name="强调文字颜色 4 2 2 3 2 3" xfId="4179"/>
    <cellStyle name="标题 1 2 4 3" xfId="4180"/>
    <cellStyle name="注释 2 6 9 2" xfId="4181"/>
    <cellStyle name="强调文字颜色 4 2 3" xfId="4182"/>
    <cellStyle name="链接单元格 2 2 2 2 3 4" xfId="4183"/>
    <cellStyle name="解释性文本 3 3 3 2" xfId="4184"/>
    <cellStyle name="60% - 强调文字颜色 6 3 6 2" xfId="4185"/>
    <cellStyle name="标题 4 2 2 3 4 3 2" xfId="4186"/>
    <cellStyle name="常规 2 2 4 2 2 2" xfId="4187"/>
    <cellStyle name="警告文本 2 2 9" xfId="4188"/>
    <cellStyle name="检查单元格 4 4" xfId="4189"/>
    <cellStyle name="计算 2 6 4 2 3 2 2" xfId="4190"/>
    <cellStyle name="输出 2 6 4 2 2" xfId="4191"/>
    <cellStyle name="常规 2 5 2 2 2" xfId="4192"/>
    <cellStyle name="汇总 2 6 2 9" xfId="4193"/>
    <cellStyle name="注释 2 2 2 4 2 3" xfId="4194"/>
    <cellStyle name="计算 2 7 4 4 2 2" xfId="4195"/>
    <cellStyle name="汇总 2 2 5 3 5 2" xfId="4196"/>
    <cellStyle name="输出 2 4 2 3 2 2 2 2" xfId="4197"/>
    <cellStyle name="60% - 强调文字颜色 6 2 8" xfId="4198"/>
    <cellStyle name="解释性文本 3 2 5" xfId="4199"/>
    <cellStyle name="检查单元格 2 2 5" xfId="4200"/>
    <cellStyle name="20% - 强调文字颜色 6 2 3 2 2 5" xfId="4201"/>
    <cellStyle name="强调文字颜色 2 2 2 2 3 5" xfId="4202"/>
    <cellStyle name="强调文字颜色 3 2 3 2 3 3" xfId="4203"/>
    <cellStyle name="差 2 2 2 2 3" xfId="4204"/>
    <cellStyle name="常规 4 2 7" xfId="4205"/>
    <cellStyle name="检查单元格 2 2 2 2 4 4" xfId="4206"/>
    <cellStyle name="解释性文本 2 8 3" xfId="4207"/>
    <cellStyle name="输入 2 2 4 3 2 5 2" xfId="4208"/>
    <cellStyle name="汇总 2 2 3 2 6 3" xfId="4209"/>
    <cellStyle name="60% - 强调文字颜色 5 2 6 2 2 2" xfId="4210"/>
    <cellStyle name="输出 2 3 2 4 2 2" xfId="4211"/>
    <cellStyle name="汇总 2 2 4 3 3 6" xfId="4212"/>
    <cellStyle name="输出 2 6 2 3 2 2" xfId="4213"/>
    <cellStyle name="输出 2 2 6 2 3 3" xfId="4214"/>
    <cellStyle name="常规 5 2 3 3 2" xfId="4215"/>
    <cellStyle name="计算 2 3 2 2 5 2 2" xfId="4216"/>
    <cellStyle name="常规 8 2 2 3 2" xfId="4217"/>
    <cellStyle name="常规 8 2 3" xfId="4218"/>
    <cellStyle name="输入 2 5 2 2 2 8" xfId="4219"/>
    <cellStyle name="输入 2 2 4 2 2 7" xfId="4220"/>
    <cellStyle name="计算 2 2 4 2 2 5 2" xfId="4221"/>
    <cellStyle name="标题 3 2 3 2 4 3" xfId="4222"/>
    <cellStyle name="40% - 强调文字颜色 2 2 2 6 3 2" xfId="4223"/>
    <cellStyle name="链接单元格 2 2 5 2 2" xfId="4224"/>
    <cellStyle name="汇总 2 2 8 5 5" xfId="4225"/>
    <cellStyle name="警告文本 2 4 3 2 2" xfId="4226"/>
    <cellStyle name="输入 2 9" xfId="4227"/>
    <cellStyle name="常规 10 4 3 3 2 2" xfId="4228"/>
    <cellStyle name="强调文字颜色 3 2 2 6 3 2" xfId="4229"/>
    <cellStyle name="汇总 2 4 4 7" xfId="4230"/>
    <cellStyle name="汇总 2 2 2 2 2 3 2 2" xfId="4231"/>
    <cellStyle name="20% - 强调文字颜色 4 2 2 2 2 2 2 2 2 2" xfId="4232"/>
    <cellStyle name="输入 2 2 7 3 2 3" xfId="4233"/>
    <cellStyle name="计算 2 6 2 6 3" xfId="4234"/>
    <cellStyle name="计算 2 6 4 3 3" xfId="4235"/>
    <cellStyle name="汇总 2 2 5 3 8" xfId="4236"/>
    <cellStyle name="注释 2 2 3 4 2 3" xfId="4237"/>
    <cellStyle name="汇总 2 2 6 3 5 2" xfId="4238"/>
    <cellStyle name="输出 3 2 4" xfId="4239"/>
    <cellStyle name="计算 2 5 2 2 2 2 2 2" xfId="4240"/>
    <cellStyle name="标题 4 2 3 5 2 2 2" xfId="4241"/>
    <cellStyle name="输入 2 5 4 6 2" xfId="4242"/>
    <cellStyle name="差 3 6" xfId="4243"/>
    <cellStyle name="汇总 2 3 10 3" xfId="4244"/>
    <cellStyle name="60% - 强调文字颜色 6 2 2 8 3" xfId="4245"/>
    <cellStyle name="注释 2 2 4 2 2 2 3" xfId="4246"/>
    <cellStyle name="输入 2 7 2 3" xfId="4247"/>
    <cellStyle name="汇总 2 5 3 2 2 3 3" xfId="4248"/>
    <cellStyle name="汇总 2 2 3 2 3 8" xfId="4249"/>
    <cellStyle name="注释 2 2 3 4 5" xfId="4250"/>
    <cellStyle name="40% - 强调文字颜色 3 2 3 3 4" xfId="4251"/>
    <cellStyle name="输入 2 14 3" xfId="4252"/>
    <cellStyle name="输出 2 2 5 2 2" xfId="4253"/>
    <cellStyle name="常规 6 7 2" xfId="4254"/>
    <cellStyle name="40% - 强调文字颜色 6 2 3 3 2" xfId="4255"/>
    <cellStyle name="常规 10 3 2 2 3" xfId="4256"/>
    <cellStyle name="检查单元格 2 2 2 2 6 2 2" xfId="4257"/>
    <cellStyle name="汇总 3 2 9" xfId="4258"/>
    <cellStyle name="常规 7 2 3 2" xfId="4259"/>
    <cellStyle name="计算 2 6 6" xfId="4260"/>
    <cellStyle name="注释 2 3 4 2 3" xfId="4261"/>
    <cellStyle name="强调文字颜色 4 2 2 2 3 2 2 2" xfId="4262"/>
    <cellStyle name="汇总 2 4 3 7 2" xfId="4263"/>
    <cellStyle name="60% - 强调文字颜色 5 4 2 2 2 2 2" xfId="4264"/>
    <cellStyle name="强调文字颜色 3 2 2 2 4 2 3" xfId="4265"/>
    <cellStyle name="输入 2 2 6 6 2 2" xfId="4266"/>
    <cellStyle name="计算 2 5 5 6 2" xfId="4267"/>
    <cellStyle name="强调文字颜色 4 2 7 2 2 2" xfId="4268"/>
    <cellStyle name="计算 2 4 2 2 3 3 2 2" xfId="4269"/>
    <cellStyle name="汇总 2 2 4 2 2 11" xfId="4270"/>
    <cellStyle name="常规 3 3 2 4 2 2" xfId="4271"/>
    <cellStyle name="输入 2 4 2 6 2" xfId="4272"/>
    <cellStyle name="汇总 2 2 5 5" xfId="4273"/>
    <cellStyle name="警告文本 2 2 4 5" xfId="4274"/>
    <cellStyle name="注释 2 2 4 2 2 2 2 2" xfId="4275"/>
    <cellStyle name="常规 5 2 10" xfId="4276"/>
    <cellStyle name="20% - 强调文字颜色 3 2 7 3 2" xfId="4277"/>
    <cellStyle name="差 2 2 2 5 2 3" xfId="4278"/>
    <cellStyle name="40% - 强调文字颜色 2 2 2 4 5 2 2" xfId="4279"/>
    <cellStyle name="标题 1 2 2 4 4 2" xfId="4280"/>
    <cellStyle name="汇总 2 8 3 4 3" xfId="4281"/>
    <cellStyle name="60% - 强调文字颜色 6 2 2 3 3 2 3" xfId="4282"/>
    <cellStyle name="计算 4 2" xfId="4283"/>
    <cellStyle name="汇总 2 4 2 3 2" xfId="4284"/>
    <cellStyle name="差 2 3 3 4" xfId="4285"/>
    <cellStyle name="强调文字颜色 3 4 4 2" xfId="4286"/>
    <cellStyle name="常规 3 2 2 5 2" xfId="4287"/>
    <cellStyle name="好 2 3 3 3 2" xfId="4288"/>
    <cellStyle name="标题 4 4 3 2 2" xfId="4289"/>
    <cellStyle name="计算 2 2 7 3" xfId="4290"/>
    <cellStyle name="汇总 2 2 8 5 3 2 2" xfId="4291"/>
    <cellStyle name="输入 2 2 4 3 3 2" xfId="4292"/>
    <cellStyle name="计算 2 3 2 7 2" xfId="4293"/>
    <cellStyle name="40% - 强调文字颜色 3 4 2 2 2 2" xfId="4294"/>
    <cellStyle name="注释 2 4 2 3 3 2" xfId="4295"/>
    <cellStyle name="计算 2 2 3 4 3" xfId="4296"/>
    <cellStyle name="计算 3 3 8" xfId="4297"/>
    <cellStyle name="汇总 2 7 10 2" xfId="4298"/>
    <cellStyle name="适中 3 3 3 2" xfId="4299"/>
    <cellStyle name="输入 3 2 5 2 2" xfId="4300"/>
    <cellStyle name="计算 2 2 2 4 9" xfId="4301"/>
    <cellStyle name="常规 6 6 3 2 2" xfId="4302"/>
    <cellStyle name="无色 4 3" xfId="4303"/>
    <cellStyle name="常规 7 2 2 2 2 2 2 2" xfId="4304"/>
    <cellStyle name="计算 2 2 11 3" xfId="4305"/>
    <cellStyle name="解释性文本 2 3 2 3" xfId="4306"/>
    <cellStyle name="常规 6 8 2" xfId="4307"/>
    <cellStyle name="常规 4 2 2 6 2" xfId="4308"/>
    <cellStyle name="标题 4 3 2 4 2 2" xfId="4309"/>
    <cellStyle name="输出 2 2 3 2 2 2 2 4" xfId="4310"/>
    <cellStyle name="输出 2 2 4 2 3 2 2 2" xfId="4311"/>
    <cellStyle name="60% - 强调文字颜色 5 2 4 2 2" xfId="4312"/>
    <cellStyle name="60% - 强调文字颜色 2 4 3 2 2 2" xfId="4313"/>
    <cellStyle name="计算 2 2 2 3 2 5 2" xfId="4314"/>
    <cellStyle name="常规 6 2 3 4 3" xfId="4315"/>
    <cellStyle name="20% - 强调文字颜色 3 2 8" xfId="4316"/>
    <cellStyle name="常规 10 2 3 2 4 2" xfId="4317"/>
    <cellStyle name="计算 2 2 19" xfId="4318"/>
    <cellStyle name="计算 2 2 5 3 3 3" xfId="4319"/>
    <cellStyle name="输入 2 5 14" xfId="4320"/>
    <cellStyle name="标题 1 2 3 5 2" xfId="4321"/>
    <cellStyle name="强调文字颜色 3 2 3 2 3 2 2 2" xfId="4322"/>
    <cellStyle name="计算 2 4 4 2" xfId="4323"/>
    <cellStyle name="输出 2 2 8 3" xfId="4324"/>
    <cellStyle name="计算 2 2 5 10 2" xfId="4325"/>
    <cellStyle name="警告文本 2 3 2 2 2 2 2" xfId="4326"/>
    <cellStyle name="无色 4" xfId="4327"/>
    <cellStyle name="检查单元格 2 3 4 4" xfId="4328"/>
    <cellStyle name="注释 2 2 7 6 3" xfId="4329"/>
    <cellStyle name="警告文本 2 2 4 2 2 3" xfId="4330"/>
    <cellStyle name="常规 13 4 3 3" xfId="4331"/>
    <cellStyle name="汇总 2 3 3 2 2 2 2" xfId="4332"/>
    <cellStyle name="汇总 2 2 5 2 2 3" xfId="4333"/>
    <cellStyle name="20% - 强调文字颜色 4 2 2 2 5 2 2 2" xfId="4334"/>
    <cellStyle name="输入 2 4 3 3" xfId="4335"/>
    <cellStyle name="计算 2 2 3 2 2 7 2" xfId="4336"/>
    <cellStyle name="常规 8 2 2 3 3 2" xfId="4337"/>
    <cellStyle name="输出 3 2 2 5 3" xfId="4338"/>
    <cellStyle name="常规 10 2 2 2 2 3 2 2" xfId="4339"/>
    <cellStyle name="20% - 强调文字颜色 3 4" xfId="4340"/>
    <cellStyle name="强调文字颜色 2 2 4 3" xfId="4341"/>
    <cellStyle name="强调文字颜色 5 2 2 4 2 2 2" xfId="4342"/>
    <cellStyle name="60% - 强调文字颜色 5 2 3 2 4 2" xfId="4343"/>
    <cellStyle name="标题 5 2 2 2 5 2 2" xfId="4344"/>
    <cellStyle name="汇总 2 5 2 6 2" xfId="4345"/>
    <cellStyle name="检查单元格 2 3 2 7" xfId="4346"/>
    <cellStyle name="计算 2 6 3 4 2 2" xfId="4347"/>
    <cellStyle name="适中 2 2 4 3 2 3" xfId="4348"/>
    <cellStyle name="强调文字颜色 6 2 5 2 3" xfId="4349"/>
    <cellStyle name="注释 5 2 3" xfId="4350"/>
    <cellStyle name="输入 2 3 2 2 2" xfId="4351"/>
    <cellStyle name="常规 13 2 2 2 3 2" xfId="4352"/>
    <cellStyle name="计算 2 3 2 2 2 6 2" xfId="4353"/>
    <cellStyle name="注释 3 2 3 3 2" xfId="4354"/>
    <cellStyle name="计算 2 2 4 2 4 4" xfId="4355"/>
    <cellStyle name="超链接 2 5 2 2 2 2" xfId="4356"/>
    <cellStyle name="检查单元格 2 2 4 3 4" xfId="4357"/>
    <cellStyle name="汇总 2 7 2 2 2 3" xfId="4358"/>
    <cellStyle name="计算 2 2 8 2 2 3 3" xfId="4359"/>
    <cellStyle name="强调文字颜色 1 4" xfId="4360"/>
    <cellStyle name="输入 2 3 2 2 5" xfId="4361"/>
    <cellStyle name="60% - 强调文字颜色 6 2 2 2 3 2 2 3" xfId="4362"/>
    <cellStyle name="60% - 强调文字颜色 1 2 3 4 2 2" xfId="4363"/>
    <cellStyle name="汇总 2 21" xfId="4364"/>
    <cellStyle name="汇总 2 16" xfId="4365"/>
    <cellStyle name="好 2 4 6 2" xfId="4366"/>
    <cellStyle name="计算 2 2 5 2 3 2" xfId="4367"/>
    <cellStyle name="输出 2 5 2 2 6 2" xfId="4368"/>
    <cellStyle name="注释 2 4 2 3 7" xfId="4369"/>
    <cellStyle name="输出 2 4 3 3" xfId="4370"/>
    <cellStyle name="警告文本 2 2 2 2 6" xfId="4371"/>
    <cellStyle name="计算 2 8 3 4 2" xfId="4372"/>
    <cellStyle name="常规 3 4 2 2" xfId="4373"/>
    <cellStyle name="汇总 2 2 7 3 2 3" xfId="4374"/>
    <cellStyle name="计算 3 3 2 3 2" xfId="4375"/>
    <cellStyle name="20% - 强调文字颜色 1 2 2 5 2 2" xfId="4376"/>
    <cellStyle name="强调文字颜色 5 2 2 2 2 3 2" xfId="4377"/>
    <cellStyle name="输入 2 5 2 2 8" xfId="4378"/>
    <cellStyle name="计算 2 2 4 14" xfId="4379"/>
    <cellStyle name="好 2 3 6 2 3" xfId="4380"/>
    <cellStyle name="超链接 2 2 3 2 2 2" xfId="4381"/>
    <cellStyle name="注释 2 2 4 2 2 4 2 2" xfId="4382"/>
    <cellStyle name="输出 2 2 4 4 2 3" xfId="4383"/>
    <cellStyle name="输入 2 2 2 2 3 3" xfId="4384"/>
    <cellStyle name="汇总 2 9 7 2" xfId="4385"/>
    <cellStyle name="40% - 强调文字颜色 3 2 2 4 5" xfId="4386"/>
    <cellStyle name="强调文字颜色 1 2 2 7 3" xfId="4387"/>
    <cellStyle name="常规 7 2 5 2 2 2" xfId="4388"/>
    <cellStyle name="计算 2 8 6 2 2" xfId="4389"/>
    <cellStyle name="计算 2 6 2 3 6" xfId="4390"/>
    <cellStyle name="检查单元格 2 2 6 4" xfId="4391"/>
    <cellStyle name="计算 2 2 6 3 2" xfId="4392"/>
    <cellStyle name="计算 2 2 2 8 2" xfId="4393"/>
    <cellStyle name="输入 2 2 3 3 4 2" xfId="4394"/>
    <cellStyle name="输出 5 6" xfId="4395"/>
    <cellStyle name="标题 1 2 3 2 4 3 2" xfId="4396"/>
    <cellStyle name="60% - 强调文字颜色 2 2 2 2 4" xfId="4397"/>
    <cellStyle name="计算 2 4 3 2 7" xfId="4398"/>
    <cellStyle name="适中 2 2 3 3 3 2" xfId="4399"/>
    <cellStyle name="常规 3 7 2 4 2" xfId="4400"/>
    <cellStyle name="常规 2 3 2 2 5 2 2" xfId="4401"/>
    <cellStyle name="Normal 3 4 2" xfId="4402"/>
    <cellStyle name="常规 12 4 2 5" xfId="4403"/>
    <cellStyle name="计算 2 2 11 4 2" xfId="4404"/>
    <cellStyle name="20% - 强调文字颜色 3 2 3 5 2 2 2" xfId="4405"/>
    <cellStyle name="汇总 2 3 2 7" xfId="4406"/>
    <cellStyle name="计算 2 6 6 2 2" xfId="4407"/>
    <cellStyle name="强调文字颜色 1 2 3 2 4 3 2" xfId="4408"/>
    <cellStyle name="常规 7 2 3 2 2 2" xfId="4409"/>
    <cellStyle name="注释 2 2 7 3 2 2" xfId="4410"/>
    <cellStyle name="计算 2 5 10" xfId="4411"/>
    <cellStyle name="强调文字颜色 2 2 2 7 2" xfId="4412"/>
    <cellStyle name="适中 2 3 2 2 5" xfId="4413"/>
    <cellStyle name="常规 13 4 2 4" xfId="4414"/>
    <cellStyle name="超链接 3 7 2 2" xfId="4415"/>
    <cellStyle name="强调文字颜色 1 2 3 2 3 2 2 2" xfId="4416"/>
    <cellStyle name="常规 5 5 2 2 2" xfId="4417"/>
    <cellStyle name="强调文字颜色 3 2 2 2 4 2" xfId="4418"/>
    <cellStyle name="常规 4 3 3 2 2 2" xfId="4419"/>
    <cellStyle name="输出 2 4 2 8 3" xfId="4420"/>
    <cellStyle name="常规 12 2 2 2" xfId="4421"/>
    <cellStyle name="好 4 2 2 2 2" xfId="4422"/>
    <cellStyle name="好 2 4 2 2" xfId="4423"/>
    <cellStyle name="40% - 强调文字颜色 5 3 2 2" xfId="4424"/>
    <cellStyle name="汇总 2 8 8" xfId="4425"/>
    <cellStyle name="计算 2 5 2 3 6 2" xfId="4426"/>
    <cellStyle name="计算 5 3 2 2" xfId="4427"/>
    <cellStyle name="汇总 2 3 3 3 4" xfId="4428"/>
    <cellStyle name="40% - 强调文字颜色 1 2 3 2 2 3 3 2" xfId="4429"/>
    <cellStyle name="输入 2 6 4 3 2" xfId="4430"/>
    <cellStyle name="超链接 3 2 3 3 2" xfId="4431"/>
    <cellStyle name="警告文本 2 3 2 3 4" xfId="4432"/>
    <cellStyle name="20% - 强调文字颜色 3 2 2 2 6" xfId="4433"/>
    <cellStyle name="差 2 2 5 2 2" xfId="4434"/>
    <cellStyle name="汇总 2 5 2 3 3 2 2 2" xfId="4435"/>
    <cellStyle name="汇总 2 5 2 3 7 2" xfId="4436"/>
    <cellStyle name="好 2 2 2 4 3 3" xfId="4437"/>
    <cellStyle name="常规 5 4 2 2" xfId="4438"/>
    <cellStyle name="计算 2 5 7 2 2" xfId="4439"/>
    <cellStyle name="常规 7 2 2 3 2 2" xfId="4440"/>
    <cellStyle name="20% - 强调文字颜色 6 2 2 2 2 2 3 2" xfId="4441"/>
    <cellStyle name="计算 2 2 2 3 5 2 2" xfId="4442"/>
    <cellStyle name="无色 6" xfId="4443"/>
    <cellStyle name="链接单元格 2 2 4 3 2 2 2" xfId="4444"/>
    <cellStyle name="计算 2 2 13" xfId="4445"/>
    <cellStyle name="标题 3 3 7" xfId="4446"/>
    <cellStyle name="计算 2 2 7 9" xfId="4447"/>
    <cellStyle name="计算 3 2 3 2 2" xfId="4448"/>
    <cellStyle name="标题 2 2 2 2 6 2" xfId="4449"/>
    <cellStyle name="汇总 2 2 8 3 2 2 2" xfId="4450"/>
    <cellStyle name="输入 3 2 8 2" xfId="4451"/>
    <cellStyle name="检查单元格 2 2 2" xfId="4452"/>
    <cellStyle name="汇总 2 2 3 4 3 2 2" xfId="4453"/>
    <cellStyle name="20% - 强调文字颜色 5 2 2 2 2 2 3 3 2" xfId="4454"/>
    <cellStyle name="标题 2 2 2 2 5" xfId="4455"/>
    <cellStyle name="输入 3 2 7" xfId="4456"/>
    <cellStyle name="输出 2 2 3 2 3 4 2 2" xfId="4457"/>
    <cellStyle name="强调文字颜色 6 2 2 3" xfId="4458"/>
    <cellStyle name="汇总 2 2 3 3 6 2 2" xfId="4459"/>
    <cellStyle name="常规 2 3 2 3 2 2" xfId="4460"/>
    <cellStyle name="输出 2 4 4 3 2 2" xfId="4461"/>
    <cellStyle name="解释性文本 2 2 3 3 3" xfId="4462"/>
    <cellStyle name="输出 2 3 2 5 3" xfId="4463"/>
    <cellStyle name="汇总 2 4 2 2 3 4" xfId="4464"/>
    <cellStyle name="汇总 2 2 18" xfId="4465"/>
    <cellStyle name="输入 2 2 6 2 2 2 3" xfId="4466"/>
    <cellStyle name="链接单元格 2 2 3 2 3" xfId="4467"/>
    <cellStyle name="输出 4 4 2" xfId="4468"/>
    <cellStyle name="40% - 强调文字颜色 2 2 2 4 3 3" xfId="4469"/>
    <cellStyle name="适中 2 4 3" xfId="4470"/>
    <cellStyle name="20% - 强调文字颜色 3 4 4" xfId="4471"/>
    <cellStyle name="计算 2 2 3 3 3 3" xfId="4472"/>
    <cellStyle name="强调文字颜色 2 2 4 3 4" xfId="4473"/>
    <cellStyle name="注释 2 4 2 3 2 2 3" xfId="4474"/>
    <cellStyle name="60% - 强调文字颜色 6 2 2 2 3 2 2 2 2" xfId="4475"/>
    <cellStyle name="常规 3 3 5 3 2" xfId="4476"/>
    <cellStyle name="输出 3 3 2" xfId="4477"/>
    <cellStyle name="强调文字颜色 4 3 2 2 3 2" xfId="4478"/>
    <cellStyle name="输出 2 5 2 3" xfId="4479"/>
    <cellStyle name="60% - 强调文字颜色 6 4 2 2 2" xfId="4480"/>
    <cellStyle name="警告文本 3 2 4" xfId="4481"/>
    <cellStyle name="常规 5 4 4 3 2 2" xfId="4482"/>
    <cellStyle name="20% - 强调文字颜色 4 2 3 2 5 2" xfId="4483"/>
    <cellStyle name="40% - 强调文字颜色 1 2 2 2 2 3 2 2" xfId="4484"/>
    <cellStyle name="汇总 2 4 3 2 2" xfId="4485"/>
    <cellStyle name="适中 2 4 6" xfId="4486"/>
    <cellStyle name="适中 2 4 3 3 2 2" xfId="4487"/>
    <cellStyle name="常规 3 3 3 2 2 2 2 2" xfId="4488"/>
    <cellStyle name="计算 3 2 4 2" xfId="4489"/>
    <cellStyle name="汇总 2 3 2 2 2 8" xfId="4490"/>
    <cellStyle name="输入 2 2 2 2 5" xfId="4491"/>
    <cellStyle name="输出 2 2 4 4 4" xfId="4492"/>
    <cellStyle name="标题 2 2 2 2 2 4" xfId="4493"/>
    <cellStyle name="标题 1 2 3 3 2 2 3" xfId="4494"/>
    <cellStyle name="输出 2 2 3 2 2 2 3 2" xfId="4495"/>
    <cellStyle name="常规 5 2 4 2 2" xfId="4496"/>
    <cellStyle name="汇总 2 2 3 2 2 6 2 2" xfId="4497"/>
    <cellStyle name="注释 2 2 3 3 3 2 2" xfId="4498"/>
    <cellStyle name="40% - 强调文字颜色 3 2 3 2 2 2 2" xfId="4499"/>
    <cellStyle name="输出 2 3 3 2" xfId="4500"/>
    <cellStyle name="40% - 强调文字颜色 2 2 2 2 2 4 2" xfId="4501"/>
    <cellStyle name="汇总 2 2 4 4 7 2" xfId="4502"/>
    <cellStyle name="汇总 2 2 2 2 5" xfId="4503"/>
    <cellStyle name="常规 10 4 6" xfId="4504"/>
    <cellStyle name="强调文字颜色 6 2 3 2 4 3" xfId="4505"/>
    <cellStyle name="汇总 2 2 3 4 2 2 2 2" xfId="4506"/>
    <cellStyle name="汇总 2 9 5 3" xfId="4507"/>
    <cellStyle name="20% - 强调文字颜色 6 2 6 2 2" xfId="4508"/>
    <cellStyle name="强调文字颜色 6 3 10" xfId="4509"/>
    <cellStyle name="强调文字颜色 6 2 2 2 2 4 2 2" xfId="4510"/>
    <cellStyle name="常规 4 6 3 2 2" xfId="4511"/>
    <cellStyle name="常规 4 2 4 3 2 2" xfId="4512"/>
    <cellStyle name="常规 8 5 2 2" xfId="4513"/>
    <cellStyle name="注释 2 2 10 2" xfId="4514"/>
    <cellStyle name="汇总 2 2 2 5 2 3" xfId="4515"/>
    <cellStyle name="20% - 强调文字颜色 4 2 2 2 2 5 2 2" xfId="4516"/>
    <cellStyle name="20% - 强调文字颜色 5 2 3 2 2 3 2 2" xfId="4517"/>
    <cellStyle name="标题 1 2 2 4 6" xfId="4518"/>
    <cellStyle name="汇总 2 9 2 5 2" xfId="4519"/>
    <cellStyle name="40% - 强调文字颜色 5 2 3 2 3 2 2 2 2" xfId="4520"/>
    <cellStyle name="标题 3 2 6 4" xfId="4521"/>
    <cellStyle name="强调文字颜色 5 2 2 2 2 2 2" xfId="4522"/>
    <cellStyle name="计算 2 2 7 3 4" xfId="4523"/>
    <cellStyle name="标题 5 4 4 2 2 2" xfId="4524"/>
    <cellStyle name="汇总 2 7 3 4 3" xfId="4525"/>
    <cellStyle name="计算 2 2 3 4 2" xfId="4526"/>
    <cellStyle name="标题 2 2 2 4 5 2 2" xfId="4527"/>
    <cellStyle name="输入 2 9 2 5" xfId="4528"/>
    <cellStyle name="汇总 2 5 4 3" xfId="4529"/>
    <cellStyle name="计算 2 5 2 7" xfId="4530"/>
    <cellStyle name="输入 2 2 6 3 3" xfId="4531"/>
    <cellStyle name="60% - 强调文字颜色 1 2 2 2 3 3 2" xfId="4532"/>
    <cellStyle name="计算 2 4 4 4 2" xfId="4533"/>
    <cellStyle name="20% - 强调文字颜色 3 2 3 2 2 2 3 2" xfId="4534"/>
    <cellStyle name="20% - 强调文字颜色 6 2 3 6 2" xfId="4535"/>
    <cellStyle name="标题 4 2 3 2 2 4" xfId="4536"/>
    <cellStyle name="标题 5 2 4 2 2 2" xfId="4537"/>
    <cellStyle name="输入 2 2 4 8" xfId="4538"/>
    <cellStyle name="标题 3 2 2 2 2 6" xfId="4539"/>
    <cellStyle name="强调文字颜色 4 2 5 4" xfId="4540"/>
    <cellStyle name="20% - 强调文字颜色 2 2 2 2 2 4 3 2" xfId="4541"/>
    <cellStyle name="输出 2 2 9" xfId="4542"/>
    <cellStyle name="计算 2 3 2 3 4 2 2" xfId="4543"/>
    <cellStyle name="常规 5 2 3 5 2 2" xfId="4544"/>
    <cellStyle name="汇总 2 2 5 2 2 2 2" xfId="4545"/>
    <cellStyle name="强调文字颜色 6 2 2 5 3" xfId="4546"/>
    <cellStyle name="40% - 强调文字颜色 1 2 2 2 5 2" xfId="4547"/>
    <cellStyle name="汇总 2 7 2" xfId="4548"/>
    <cellStyle name="链接单元格 2 5 3" xfId="4549"/>
    <cellStyle name="汇总 5 4 2 2" xfId="4550"/>
    <cellStyle name="40% - 强调文字颜色 1 2 2 5 2 2 2" xfId="4551"/>
    <cellStyle name="计算 2 2 2 10 2 2" xfId="4552"/>
    <cellStyle name="20% - 强调文字颜色 3 2 3 2 4 2 2" xfId="4553"/>
    <cellStyle name="输入 2 2 16" xfId="4554"/>
    <cellStyle name="百分比 2" xfId="4555"/>
    <cellStyle name="输出 2 6 4 2 3" xfId="4556"/>
    <cellStyle name="20% - 强调文字颜色 1 2 3 2 5 2 2" xfId="4557"/>
    <cellStyle name="强调文字颜色 5 2 2 3 9" xfId="4558"/>
    <cellStyle name="40% - 强调文字颜色 3 2 2 2 2 2 2 2 2" xfId="4559"/>
    <cellStyle name="注释 2 3 3 2 2 2" xfId="4560"/>
    <cellStyle name="60% - 强调文字颜色 2 2 2 5" xfId="4561"/>
    <cellStyle name="计算 2 2 4 2 5 5" xfId="4562"/>
    <cellStyle name="计算 2 10 5" xfId="4563"/>
    <cellStyle name="强调文字颜色 3 3 2" xfId="4564"/>
    <cellStyle name="输出 3 3 3 3" xfId="4565"/>
    <cellStyle name="差 4 2 2" xfId="4566"/>
    <cellStyle name="标题 6 5" xfId="4567"/>
    <cellStyle name="注释 2 8 2 4" xfId="4568"/>
    <cellStyle name="计算 2 7 4 6" xfId="4569"/>
    <cellStyle name="输入 2 2 8 5 2" xfId="4570"/>
    <cellStyle name="链接单元格 2 2 2 2" xfId="4571"/>
    <cellStyle name="警告文本 2 2 2 3 2 2" xfId="4572"/>
    <cellStyle name="解释性文本 3 4 2" xfId="4573"/>
    <cellStyle name="注释 2 10" xfId="4574"/>
    <cellStyle name="强调文字颜色 6 2 3 5 2 2" xfId="4575"/>
    <cellStyle name="输出 2 3 2 2 2 5" xfId="4576"/>
    <cellStyle name="输入 2 5 2 2 7" xfId="4577"/>
    <cellStyle name="计算 2 2 7 4 3" xfId="4578"/>
    <cellStyle name="标题 3 3 2 3" xfId="4579"/>
    <cellStyle name="计算 2 3 2 3 4 3" xfId="4580"/>
    <cellStyle name="输入 2 3 2 11" xfId="4581"/>
    <cellStyle name="40% - 强调文字颜色 6 2 6 2 2" xfId="4582"/>
    <cellStyle name="计算 3 15" xfId="4583"/>
    <cellStyle name="汇总 2 6 3 2 2" xfId="4584"/>
    <cellStyle name="计算 2 3 2 4 2" xfId="4585"/>
    <cellStyle name="链接单元格 2 2 2 5 2 2 2" xfId="4586"/>
    <cellStyle name="标题 1 2 2 4 3 2 3" xfId="4587"/>
    <cellStyle name="常规 4 3 5 2 2" xfId="4588"/>
    <cellStyle name="40% - 强调文字颜色 6 2 2 3 2 2" xfId="4589"/>
    <cellStyle name="40% - 强调文字颜色 5 2 3 2 3" xfId="4590"/>
    <cellStyle name="输出 2 3 2 2 4 2 2" xfId="4591"/>
    <cellStyle name="注释 2 3 3 8" xfId="4592"/>
    <cellStyle name="好 2 3 3 2 3" xfId="4593"/>
    <cellStyle name="汇总 2 5 5 2 2 2 2" xfId="4594"/>
    <cellStyle name="差 2 3 2 5" xfId="4595"/>
    <cellStyle name="汇总 2 2 7 4 5" xfId="4596"/>
    <cellStyle name="解释性文本 2 2 4 5 2" xfId="4597"/>
    <cellStyle name="标题 1 2 2 3 9" xfId="4598"/>
    <cellStyle name="注释 8 2" xfId="4599"/>
    <cellStyle name="链接单元格 2 2 2 2 6 2" xfId="4600"/>
    <cellStyle name="常规 3 3 3 2" xfId="4601"/>
    <cellStyle name="汇总 2 2 8 6 3" xfId="4602"/>
    <cellStyle name="注释 2 2 3 2 5" xfId="4603"/>
    <cellStyle name="输入 2 12 3" xfId="4604"/>
    <cellStyle name="计算 2 2 7 2 2 2 3" xfId="4605"/>
    <cellStyle name="适中 2 2 7 3" xfId="4606"/>
    <cellStyle name="计算 2 2 5 2 2" xfId="4607"/>
    <cellStyle name="汇总 2 7 5 2 3" xfId="4608"/>
    <cellStyle name="输出 2 5 2 2 5" xfId="4609"/>
    <cellStyle name="检查单元格 2 2 3 3 2 2 2" xfId="4610"/>
    <cellStyle name="注释 2 3 2 6 2" xfId="4611"/>
    <cellStyle name="汇总 2 2 7 2 7" xfId="4612"/>
    <cellStyle name="计算 2 8 8 2 2" xfId="4613"/>
    <cellStyle name="常规 10 3 2 4" xfId="4614"/>
    <cellStyle name="输出 2 2 2 4 3 2 2" xfId="4615"/>
    <cellStyle name="差 5 2 2 3" xfId="4616"/>
    <cellStyle name="强调文字颜色 5 4 2 2" xfId="4617"/>
    <cellStyle name="适中 2 4 5 2" xfId="4618"/>
    <cellStyle name="注释 2 3 2 3" xfId="4619"/>
    <cellStyle name="强调文字颜色 3 2 3 2 4 2 3" xfId="4620"/>
    <cellStyle name="60% - 强调文字颜色 5 2 2 6 2 2" xfId="4621"/>
    <cellStyle name="检查单元格 2 2 4 5 2" xfId="4622"/>
    <cellStyle name="计算 3 4 5" xfId="4623"/>
    <cellStyle name="40% - 强调文字颜色 6 2 2 2 2 2 2 3" xfId="4624"/>
    <cellStyle name="适中 5 2 2" xfId="4625"/>
    <cellStyle name="汇总 2 2 6 2 2 4 2 2" xfId="4626"/>
    <cellStyle name="强调文字颜色 3 3 10" xfId="4627"/>
    <cellStyle name="常规 4 6 3 3" xfId="4628"/>
    <cellStyle name="计算 2 2 2 3 7 2" xfId="4629"/>
    <cellStyle name="超链接 2 3 4 5" xfId="4630"/>
    <cellStyle name="差 2 2 5 2 2 3" xfId="4631"/>
    <cellStyle name="计算 2 2 6" xfId="4632"/>
    <cellStyle name="40% - 强调文字颜色 1 2 2 2 2 3 3 2" xfId="4633"/>
    <cellStyle name="汇总 2 4 3 3 2" xfId="4634"/>
    <cellStyle name="Normal 3 2 3 2" xfId="4635"/>
    <cellStyle name="差 2 2 2 6 2 3" xfId="4636"/>
    <cellStyle name="链接单元格 6 2" xfId="4637"/>
    <cellStyle name="注释 2 5" xfId="4638"/>
    <cellStyle name="20% - 强调文字颜色 5 2 5 4" xfId="4639"/>
    <cellStyle name="注释 2 6 2 4 3" xfId="4640"/>
    <cellStyle name="汇总 2 3" xfId="4641"/>
    <cellStyle name="60% - 强调文字颜色 6 3 4 3" xfId="4642"/>
    <cellStyle name="60% - 强调文字颜色 4 3 2 3 2 2" xfId="4643"/>
    <cellStyle name="差 2 4 5 2 2" xfId="4644"/>
    <cellStyle name="强调文字颜色 3 2 2 2 3 2" xfId="4645"/>
    <cellStyle name="标题 4 2 6 3" xfId="4646"/>
    <cellStyle name="20% - 强调文字颜色 1 2 6" xfId="4647"/>
    <cellStyle name="输出 2 2 2 4 6" xfId="4648"/>
    <cellStyle name="20% - 强调文字颜色 2 2 2 4 2 2 2" xfId="4649"/>
    <cellStyle name="注释 2 9 2 2 2" xfId="4650"/>
    <cellStyle name="60% - 强调文字颜色 3 3 2 4 2" xfId="4651"/>
    <cellStyle name="输出 2 4 2 2 2 7" xfId="4652"/>
    <cellStyle name="输出 2 6 2 3" xfId="4653"/>
    <cellStyle name="标题 5 2 3 3 3 3" xfId="4654"/>
    <cellStyle name="40% - 强调文字颜色 4 2 2 7 2 2" xfId="4655"/>
    <cellStyle name="强调文字颜色 5 2 3 4 4" xfId="4656"/>
    <cellStyle name="计算 2 5 3 2 4 3" xfId="4657"/>
    <cellStyle name="40% - 强调文字颜色 6 2 2 3 7" xfId="4658"/>
    <cellStyle name="标题 3 2 2 4 5 2 2" xfId="4659"/>
    <cellStyle name="汇总 2 7 3 5" xfId="4660"/>
    <cellStyle name="60% - 强调文字颜色 4 2 2 2 2 4 2" xfId="4661"/>
    <cellStyle name="适中 2 3 8" xfId="4662"/>
    <cellStyle name="汇总 2 2 15" xfId="4663"/>
    <cellStyle name="汇总 2 2 20" xfId="4664"/>
    <cellStyle name="输入 2 2 2 10 2" xfId="4665"/>
    <cellStyle name="汇总 2 8 2 2 2 3" xfId="4666"/>
    <cellStyle name="常规 8 3 2" xfId="4667"/>
    <cellStyle name="汇总 2 7 8 3" xfId="4668"/>
    <cellStyle name="输出 2 2 4 2 3 4" xfId="4669"/>
    <cellStyle name="计算 2 2 3 3 2 5" xfId="4670"/>
    <cellStyle name="20% - 强调文字颜色 3 3 6" xfId="4671"/>
    <cellStyle name="汇总 2 5 2 9 2" xfId="4672"/>
    <cellStyle name="注释 2 2 2 3 2 3 2" xfId="4673"/>
    <cellStyle name="汇总 2 2 5 2 5 2 2" xfId="4674"/>
    <cellStyle name="常规 5 2 3 8 2 2" xfId="4675"/>
    <cellStyle name="20% - 强调文字颜色 3 4 2 2 2 2 2" xfId="4676"/>
    <cellStyle name="汇总 2 2 5 2 3 6" xfId="4677"/>
    <cellStyle name="注释 2 4 3 4 3" xfId="4678"/>
    <cellStyle name="计算 2 3 4" xfId="4679"/>
    <cellStyle name="超链接 2 3 5 3" xfId="4680"/>
    <cellStyle name="常规 5 6 3 3" xfId="4681"/>
    <cellStyle name="强调文字颜色 3 2 3 3 5" xfId="4682"/>
    <cellStyle name="注释 3 2 7 2 2" xfId="4683"/>
    <cellStyle name="好 2 3 3 5" xfId="4684"/>
    <cellStyle name="20% - 强调文字颜色 5 6 2 2 2" xfId="4685"/>
    <cellStyle name="好 2 4 5" xfId="4686"/>
    <cellStyle name="40% - 强调文字颜色 5 3 5" xfId="4687"/>
    <cellStyle name="60% - 强调文字颜色 5 2 4 2 2 2 2" xfId="4688"/>
    <cellStyle name="注释 3 3 8" xfId="4689"/>
    <cellStyle name="检查单元格 2 3 5 2 3" xfId="4690"/>
    <cellStyle name="链接单元格 2 2 2 5 2 2" xfId="4691"/>
    <cellStyle name="20% - 强调文字颜色 3 2 3 2 2 4 3 2" xfId="4692"/>
    <cellStyle name="Normal 2 2 3 2" xfId="4693"/>
    <cellStyle name="强调文字颜色 1 2 3 4 3 2 2" xfId="4694"/>
    <cellStyle name="差 2 2 3 4 3" xfId="4695"/>
    <cellStyle name="计算 2 3 4 3 2 2" xfId="4696"/>
    <cellStyle name="适中 2 2 2 3" xfId="4697"/>
    <cellStyle name="60% - 强调文字颜色 1 2 3 2 3 2" xfId="4698"/>
    <cellStyle name="计算 2 2 6 2 2 2 2 2 2" xfId="4699"/>
    <cellStyle name="计算 3 4 4 3" xfId="4700"/>
    <cellStyle name="汇总 3 2 5 2" xfId="4701"/>
    <cellStyle name="标题 1 4 3" xfId="4702"/>
    <cellStyle name="常规 2 4 5 2 2" xfId="4703"/>
    <cellStyle name="输出 2 5 7 2 2" xfId="4704"/>
    <cellStyle name="20% - 强调文字颜色 5 2 2 3 3 3" xfId="4705"/>
    <cellStyle name="常规 12 4 2 2" xfId="4706"/>
    <cellStyle name="输出 2 2 5 2 4 3" xfId="4707"/>
    <cellStyle name="强调文字颜色 6 2 2 4 5 3" xfId="4708"/>
    <cellStyle name="输出 2 2 3 2 3 3 3" xfId="4709"/>
    <cellStyle name="汇总 4 2 3 2 2 2" xfId="4710"/>
    <cellStyle name="标题 7 4 2" xfId="4711"/>
    <cellStyle name="输出 2 2 2 2 3 4" xfId="4712"/>
    <cellStyle name="好 2 3 3 3" xfId="4713"/>
    <cellStyle name="常规 3 2 2 5" xfId="4714"/>
    <cellStyle name="60% - 强调文字颜色 6 2 8 3" xfId="4715"/>
    <cellStyle name="解释性文本 3 2 5 3" xfId="4716"/>
    <cellStyle name="强调文字颜色 3 4 4" xfId="4717"/>
    <cellStyle name="汇总 2 3 2 3 8" xfId="4718"/>
    <cellStyle name="计算 2 6 2 2 2 2 2 2" xfId="4719"/>
    <cellStyle name="输出 2 2 3 2 10" xfId="4720"/>
    <cellStyle name="汇总 2 2 2 5 2 2 2" xfId="4721"/>
    <cellStyle name="标题 4 2 3 2 2 2 2 3" xfId="4722"/>
    <cellStyle name="汇总 2 2 4 5 2 5" xfId="4723"/>
    <cellStyle name="常规 5 3 2 2 2" xfId="4724"/>
    <cellStyle name="强调文字颜色 6 2 3 2 2 4" xfId="4725"/>
    <cellStyle name="60% - 强调文字颜色 6 2 2 4 3 2" xfId="4726"/>
    <cellStyle name="强调文字颜色 5 2 2 2 2 6" xfId="4727"/>
    <cellStyle name="汇总 2 9 3 4" xfId="4728"/>
    <cellStyle name="标题 1 2 2 2 2 8" xfId="4729"/>
    <cellStyle name="适中 2 2 4 3 2" xfId="4730"/>
    <cellStyle name="强调文字颜色 6 2 5 2" xfId="4731"/>
    <cellStyle name="好 2 2 2 2 2 2 3" xfId="4732"/>
    <cellStyle name="标题 4 2 5 2 2 2" xfId="4733"/>
    <cellStyle name="汇总 2 8 3 8" xfId="4734"/>
    <cellStyle name="计算 2 2 7 2 2 3 3" xfId="4735"/>
    <cellStyle name="汇总 2 5 3 2 2 2 3" xfId="4736"/>
    <cellStyle name="汇总 2 2 3 2 2 8" xfId="4737"/>
    <cellStyle name="注释 2 2 3 3 5" xfId="4738"/>
    <cellStyle name="40% - 强调文字颜色 3 2 3 2 4" xfId="4739"/>
    <cellStyle name="输入 2 13 3" xfId="4740"/>
    <cellStyle name="强调文字颜色 1 2 2 6 3 2" xfId="4741"/>
    <cellStyle name="汇总 2 2 4 2 2 3 4" xfId="4742"/>
    <cellStyle name="常规 12 2 2 3 3 2 2" xfId="4743"/>
    <cellStyle name="计算 2 5 3 5 3" xfId="4744"/>
    <cellStyle name="标题 2 2 3 2" xfId="4745"/>
    <cellStyle name="汇总 4 2 3 2 3" xfId="4746"/>
    <cellStyle name="汇总 2 2 5 2 2 6 3" xfId="4747"/>
    <cellStyle name="适中 2 3 2 2 2 2" xfId="4748"/>
    <cellStyle name="计算 4 4" xfId="4749"/>
    <cellStyle name="常规 8 3 3 2" xfId="4750"/>
    <cellStyle name="计算 2 2 14 3" xfId="4751"/>
    <cellStyle name="20% - 强调文字颜色 4 2 2 2 2 5 2" xfId="4752"/>
    <cellStyle name="汇总 2 2 4 3 2 2 3 2 2" xfId="4753"/>
    <cellStyle name="20% - 强调文字颜色 5 2 3 2 2 3 2" xfId="4754"/>
    <cellStyle name="输出 2 2 3 3 10" xfId="4755"/>
    <cellStyle name="标题 4 3 11" xfId="4756"/>
    <cellStyle name="汇总 2 8 2 4 2" xfId="4757"/>
    <cellStyle name="汇总 2 2 2 3 3 3 3" xfId="4758"/>
    <cellStyle name="常规 6 2 2 2 4 2 2" xfId="4759"/>
    <cellStyle name="汇总 2 2 4 2 3 8" xfId="4760"/>
    <cellStyle name="20% - 强调文字颜色 4 2 5 5 2" xfId="4761"/>
    <cellStyle name="40% - 强调文字颜色 4 4" xfId="4762"/>
    <cellStyle name="汇总 2 4 3 3 2 2" xfId="4763"/>
    <cellStyle name="注释 2 4 3 3" xfId="4764"/>
    <cellStyle name="计算 2 2 6 2" xfId="4765"/>
    <cellStyle name="汇总 2 3 2 3 5 2" xfId="4766"/>
    <cellStyle name="强调文字颜色 3 2 3 2 5 3" xfId="4767"/>
    <cellStyle name="强调文字颜色 1 2 2 5 2 2 2" xfId="4768"/>
    <cellStyle name="输入 2 11 4" xfId="4769"/>
    <cellStyle name="40% - 强调文字颜色 5 2 5 3 2 2 2" xfId="4770"/>
    <cellStyle name="常规 3 2 5 2" xfId="4771"/>
    <cellStyle name="输出 3 3 7 2" xfId="4772"/>
    <cellStyle name="20% - 强调文字颜色 3 2 2" xfId="4773"/>
    <cellStyle name="60% - 强调文字颜色 1 2 2 3 3" xfId="4774"/>
    <cellStyle name="解释性文本 2 2 9" xfId="4775"/>
    <cellStyle name="汇总 2 6 2 2 2 4 3" xfId="4776"/>
    <cellStyle name="60% - 强调文字颜色 6 2 2 5 3 2 2" xfId="4777"/>
    <cellStyle name="40% - 强调文字颜色 2 2 7 3 2 2" xfId="4778"/>
    <cellStyle name="计算 2 2 5 4 4" xfId="4779"/>
    <cellStyle name="警告文本 2 3 2 5" xfId="4780"/>
    <cellStyle name="汇总 2 3 4 3 2" xfId="4781"/>
    <cellStyle name="计算 2 3 3 2 6" xfId="4782"/>
    <cellStyle name="输出 2 2 3 3 2 5 2" xfId="4783"/>
    <cellStyle name="汇总 2 2 6 2 2 8" xfId="4784"/>
    <cellStyle name="20% - 强调文字颜色 4 2 3 2 2 3" xfId="4785"/>
    <cellStyle name="汇总 2 2 7 2 2 2 2" xfId="4786"/>
    <cellStyle name="20% - 强调文字颜色 3 2 2 2 2 5" xfId="4787"/>
    <cellStyle name="汇总 2 2 7 2 6" xfId="4788"/>
    <cellStyle name="计算 2 7 6 3 3" xfId="4789"/>
    <cellStyle name="输入 2 2 5 2 3 5" xfId="4790"/>
    <cellStyle name="输出 2 2 2 4 5" xfId="4791"/>
    <cellStyle name="计算 2 2 4 3 10" xfId="4792"/>
    <cellStyle name="输入 3 6 3" xfId="4793"/>
    <cellStyle name="40% - 强调文字颜色 2 2 2 2 3 2 2 2 2 2" xfId="4794"/>
    <cellStyle name="常规 6 2 2 2 2 3" xfId="4795"/>
    <cellStyle name="好 2 2 4 5 3" xfId="4796"/>
    <cellStyle name="注释 2 2 5 3 2 5" xfId="4797"/>
    <cellStyle name="输出 2 2 10 3" xfId="4798"/>
    <cellStyle name="常规 3 6 2 2" xfId="4799"/>
    <cellStyle name="输出 2 6 3 3" xfId="4800"/>
    <cellStyle name="警告文本 2 5 3" xfId="4801"/>
    <cellStyle name="输入 4 2 2 2 3" xfId="4802"/>
    <cellStyle name="汇总 2 2 5 2 3 7" xfId="4803"/>
    <cellStyle name="汇总 2 5 2 9 3" xfId="4804"/>
    <cellStyle name="40% - 强调文字颜色 3 3 2 4 2" xfId="4805"/>
    <cellStyle name="差 3" xfId="4806"/>
    <cellStyle name="注释 2 3 2 5 3" xfId="4807"/>
    <cellStyle name="标题 4 2 2 2 2 3 3 2 2" xfId="4808"/>
    <cellStyle name="汇总 2 2 6 4 5" xfId="4809"/>
    <cellStyle name="计算 4 3 2 2 2" xfId="4810"/>
    <cellStyle name="输出 2 4 4 2 2 3" xfId="4811"/>
    <cellStyle name="常规 2 3 2 2 2 3" xfId="4812"/>
    <cellStyle name="汇总 2 3 3 9" xfId="4813"/>
    <cellStyle name="强调文字颜色 4 2 3 5 2 2" xfId="4814"/>
    <cellStyle name="输入 2 2 2 9 2 2" xfId="4815"/>
    <cellStyle name="注释 3 7 3" xfId="4816"/>
    <cellStyle name="标题 2 4 4 2" xfId="4817"/>
    <cellStyle name="20% - 强调文字颜色 6 2 3 4 3 2 2" xfId="4818"/>
    <cellStyle name="输出 2 2 6 2 2 2" xfId="4819"/>
    <cellStyle name="常规 7 2 2 3 2" xfId="4820"/>
    <cellStyle name="输入 2 5 5 7" xfId="4821"/>
    <cellStyle name="百分比 2 2 2 5 2 2" xfId="4822"/>
    <cellStyle name="汇总 2 2 2 3 2 2 2 2" xfId="4823"/>
    <cellStyle name="常规 8 7" xfId="4824"/>
    <cellStyle name="常规 9 3 4 3 2 2" xfId="4825"/>
    <cellStyle name="输出 2 4 3 3 2 2 2" xfId="4826"/>
    <cellStyle name="输入 2 2 2 14" xfId="4827"/>
    <cellStyle name="汇总 2 6 2 3" xfId="4828"/>
    <cellStyle name="常规 4 2 4 5" xfId="4829"/>
    <cellStyle name="40% - 强调文字颜色 6 2 5 3" xfId="4830"/>
    <cellStyle name="解释性文本 2 8 2 2 2" xfId="4831"/>
    <cellStyle name="常规 10 7 3" xfId="4832"/>
    <cellStyle name="输入 2 4 2 3 2 2" xfId="4833"/>
    <cellStyle name="汇总 2 2 2 5 2" xfId="4834"/>
    <cellStyle name="汇总 3 3 4 3" xfId="4835"/>
    <cellStyle name="注释 2 7 2 3" xfId="4836"/>
    <cellStyle name="汇总 2 3 12 2" xfId="4837"/>
    <cellStyle name="适中 2 2 3 4 2 2 2" xfId="4838"/>
    <cellStyle name="计算 2 3 2 2 2 4 3" xfId="4839"/>
    <cellStyle name="40% - 强调文字颜色 3 2 3 2 2 3 2 2" xfId="4840"/>
    <cellStyle name="常规 4 2 4 2 3 3" xfId="4841"/>
    <cellStyle name="汇总 2 2 2 3 5 2" xfId="4842"/>
    <cellStyle name="适中 2 3 2 3 2 3" xfId="4843"/>
    <cellStyle name="输入 2 5 3 3 3 2" xfId="4844"/>
    <cellStyle name="20% - 强调文字颜色 1 2 3 2 2 3" xfId="4845"/>
    <cellStyle name="计算 2 8 3 3 2 2" xfId="4846"/>
    <cellStyle name="汇总 2 3 4 2 5 2" xfId="4847"/>
    <cellStyle name="超链接 3 2 4 2 3 2" xfId="4848"/>
    <cellStyle name="汇总 2 2 4 2" xfId="4849"/>
    <cellStyle name="输出 2 3 2 2 2 3 2 2" xfId="4850"/>
    <cellStyle name="强调文字颜色 3 2 4 3 2" xfId="4851"/>
    <cellStyle name="60% - 强调文字颜色 2 2 2 5 3" xfId="4852"/>
    <cellStyle name="计算 2 10 5 3" xfId="4853"/>
    <cellStyle name="常规 2 6" xfId="4854"/>
    <cellStyle name="汇总 2 2 3 5 2 2 2" xfId="4855"/>
    <cellStyle name="注释 2 4 3 5" xfId="4856"/>
    <cellStyle name="标题 3 2 3 4 2 2" xfId="4857"/>
    <cellStyle name="汇总 2 7 3 2 7" xfId="4858"/>
    <cellStyle name="标题 2 2 2 4 2 4" xfId="4859"/>
    <cellStyle name="注释 3 2 2 8" xfId="4860"/>
    <cellStyle name="计算 2 7 2 2 4 2 2" xfId="4861"/>
    <cellStyle name="强调文字颜色 4 3 2 3" xfId="4862"/>
    <cellStyle name="20% - 强调文字颜色 6 2 3 2 4 3 2 2" xfId="4863"/>
    <cellStyle name="强调文字颜色 6 4 3" xfId="4864"/>
    <cellStyle name="输入 2 2 2 2 3 2 2" xfId="4865"/>
    <cellStyle name="输出 2 2 4 4 2 2 2" xfId="4866"/>
    <cellStyle name="常规 5 2 3 10" xfId="4867"/>
    <cellStyle name="计算 3 2 2 5 3" xfId="4868"/>
    <cellStyle name="汇总 2 8 3 5 2" xfId="4869"/>
    <cellStyle name="60% - 强调文字颜色 2 2 2 2 2 3" xfId="4870"/>
    <cellStyle name="60% - 强调文字颜色 5 2 3 2 3 2 2 2" xfId="4871"/>
    <cellStyle name="计算 2 10 2 2 3" xfId="4872"/>
    <cellStyle name="汇总 2 5 3 9" xfId="4873"/>
    <cellStyle name="注释 2 2 2 3 3 3" xfId="4874"/>
    <cellStyle name="40% - 强调文字颜色 3 2 2 2 2 3" xfId="4875"/>
    <cellStyle name="汇总 2 2 5 2 6 2" xfId="4876"/>
    <cellStyle name="注释 3 3 2" xfId="4877"/>
    <cellStyle name="强调文字颜色 1 2 2 2 6" xfId="4878"/>
    <cellStyle name="20% - 强调文字颜色 5 2 6 2 2" xfId="4879"/>
    <cellStyle name="输出 2 4 5 2 4" xfId="4880"/>
    <cellStyle name="汇总 2 6 8 2 2" xfId="4881"/>
    <cellStyle name="输出 2 2 4 2 2 4" xfId="4882"/>
    <cellStyle name="计算 2 2 5 2 11" xfId="4883"/>
    <cellStyle name="汇总 2 7 7 3" xfId="4884"/>
    <cellStyle name="注释 2 2 2 2" xfId="4885"/>
    <cellStyle name="60% - 强调文字颜色 1 2 2 2 4 3" xfId="4886"/>
    <cellStyle name="解释性文本 2 3 2 5 2 2" xfId="4887"/>
    <cellStyle name="输出 2 2 9 5" xfId="4888"/>
    <cellStyle name="计算 2 2 2 2 3 4" xfId="4889"/>
    <cellStyle name="注释 2 5 2 8" xfId="4890"/>
    <cellStyle name="标题 4 2 2 2 6 2" xfId="4891"/>
    <cellStyle name="汇总 2 2 4 4 3" xfId="4892"/>
    <cellStyle name="60% - 强调文字颜色 2 2 6 2 2 2" xfId="4893"/>
    <cellStyle name="计算 2 2 3 2 4 3 2" xfId="4894"/>
    <cellStyle name="汇总 2 2 4 2 2 2 2 6" xfId="4895"/>
    <cellStyle name="常规 4 2 2 2 3 3" xfId="4896"/>
    <cellStyle name="常规 6 4 3 3" xfId="4897"/>
    <cellStyle name="汇总 2 2 4 2 8 2 2" xfId="4898"/>
    <cellStyle name="输入 3 2 2 4 3" xfId="4899"/>
    <cellStyle name="标题 5 5 2 3" xfId="4900"/>
    <cellStyle name="好 2 2 3 4 2" xfId="4901"/>
    <cellStyle name="40% - 强调文字颜色 6 3 2 4" xfId="4902"/>
    <cellStyle name="强调文字颜色 1 2 6 2 2" xfId="4903"/>
    <cellStyle name="常规 5 3 6" xfId="4904"/>
    <cellStyle name="汇总 2 6 2 2 2 2 2 2" xfId="4905"/>
    <cellStyle name="输出 2 10 6" xfId="4906"/>
    <cellStyle name="标题 4 3 3 3 2" xfId="4907"/>
    <cellStyle name="好 2 2 2 3 2 2 2 2 2" xfId="4908"/>
    <cellStyle name="计算 2 5 4 3 4 2" xfId="4909"/>
    <cellStyle name="20% - 强调文字颜色 3 2 2 2 4 2" xfId="4910"/>
    <cellStyle name="汇总 2 2 11" xfId="4911"/>
    <cellStyle name="适中 2 3 4" xfId="4912"/>
    <cellStyle name="汇总 2 2 7 4 3" xfId="4913"/>
    <cellStyle name="输出 2 2 3 6 3" xfId="4914"/>
    <cellStyle name="输入 2 3 2 2 2 7" xfId="4915"/>
    <cellStyle name="强调文字颜色 6 2 2 2 2 3 3" xfId="4916"/>
    <cellStyle name="注释 2 9 2 2" xfId="4917"/>
    <cellStyle name="汇总 2 4 2 2 3 3 3" xfId="4918"/>
    <cellStyle name="输出 2 5 2 3 2 2" xfId="4919"/>
    <cellStyle name="汇总 2 5 2 4 6" xfId="4920"/>
    <cellStyle name="强调文字颜色 5 2 2 2 2 4 2" xfId="4921"/>
    <cellStyle name="20% - 强调文字颜色 1 2 2 5 3 2" xfId="4922"/>
    <cellStyle name="汇总 2 6 3 2 4" xfId="4923"/>
    <cellStyle name="注释 3 3 5 2" xfId="4924"/>
    <cellStyle name="超链接 2 3 3 2 2 3" xfId="4925"/>
    <cellStyle name="强调文字颜色 6 2 2 2 5 3" xfId="4926"/>
    <cellStyle name="输出 2 2 3 2 2 5 3" xfId="4927"/>
    <cellStyle name="强调文字颜色 6 4 2 2 2" xfId="4928"/>
    <cellStyle name="常规 6 2 2 3" xfId="4929"/>
    <cellStyle name="60% - 强调文字颜色 6 2 2 5 3 2" xfId="4930"/>
    <cellStyle name="40% - 强调文字颜色 2 4 4 2 2" xfId="4931"/>
    <cellStyle name="输入 2 3 5 3" xfId="4932"/>
    <cellStyle name="汇总 2 6 2 3 6" xfId="4933"/>
    <cellStyle name="40% - 强调文字颜色 1 4 3 2 2" xfId="4934"/>
    <cellStyle name="注释 2 2 3 4 2 3 2" xfId="4935"/>
    <cellStyle name="汇总 2 2 6 3 5 2 2" xfId="4936"/>
    <cellStyle name="输出 3 2 4 2" xfId="4937"/>
    <cellStyle name="汇总 2 5 3 3 3 2 2" xfId="4938"/>
    <cellStyle name="汇总 2 2 4 3 2 7" xfId="4939"/>
    <cellStyle name="链接单元格 2 2 2 2 2 2 2 3" xfId="4940"/>
    <cellStyle name="输出 2 2 3 2 2 4 3" xfId="4941"/>
    <cellStyle name="输出 2 8 5 2 2" xfId="4942"/>
    <cellStyle name="注释 2 4 4 2 2 3" xfId="4943"/>
    <cellStyle name="输入 2 2 4 2 5" xfId="4944"/>
    <cellStyle name="标题 1 2 2 2 9" xfId="4945"/>
    <cellStyle name="标题 2 2 4 3 3 2" xfId="4946"/>
    <cellStyle name="注释 7 2" xfId="4947"/>
    <cellStyle name="汇总 2 2 7 8 2 2" xfId="4948"/>
    <cellStyle name="强调文字颜色 6 4 2 4" xfId="4949"/>
    <cellStyle name="注释 2 2 3 2 2 3 2 3" xfId="4950"/>
    <cellStyle name="输出 2 2 3 2 3 8" xfId="4951"/>
    <cellStyle name="60% - 强调文字颜色 6 2 3 2 4 2 2 2" xfId="4952"/>
    <cellStyle name="汇总 2 22" xfId="4953"/>
    <cellStyle name="汇总 2 17" xfId="4954"/>
    <cellStyle name="好 2 4 6 3" xfId="4955"/>
    <cellStyle name="汇总 2 8 3 5" xfId="4956"/>
    <cellStyle name="计算 2 2 4 2 2 2 3 2 2" xfId="4957"/>
    <cellStyle name="输入 3 2 3 3 2" xfId="4958"/>
    <cellStyle name="汇总 2 2 3 4 2 3 3" xfId="4959"/>
    <cellStyle name="汇总 2 2 8 2 3 2" xfId="4960"/>
    <cellStyle name="常规 6 2 5" xfId="4961"/>
    <cellStyle name="强调文字颜色 4 2 3 2 5 2 2" xfId="4962"/>
    <cellStyle name="常规 5 5 2 3 4 2" xfId="4963"/>
    <cellStyle name="强调文字颜色 6 2 2 4 6" xfId="4964"/>
    <cellStyle name="输出 2 2 3 2 3 4" xfId="4965"/>
    <cellStyle name="常规 5 3 4 2 3 2 2" xfId="4966"/>
    <cellStyle name="20% - 强调文字颜色 2 3 3 2 2 2 2" xfId="4967"/>
    <cellStyle name="无色 2 5" xfId="4968"/>
    <cellStyle name="汇总 2 3 2 3 4 3" xfId="4969"/>
    <cellStyle name="注释 2 2 3 6 2 2" xfId="4970"/>
    <cellStyle name="输入 2 2 6 10" xfId="4971"/>
    <cellStyle name="差 2 2 2 3 2 2" xfId="4972"/>
    <cellStyle name="汇总 2 2 7 3 7" xfId="4973"/>
    <cellStyle name="标题 1 3 2 2 3 2 3" xfId="4974"/>
    <cellStyle name="适中 2 2 8" xfId="4975"/>
    <cellStyle name="输出 2 4 3 2 5 2" xfId="4976"/>
    <cellStyle name="汇总 2 2 7 2 2 3 3" xfId="4977"/>
    <cellStyle name="60% - 强调文字颜色 6 3 3 5" xfId="4978"/>
    <cellStyle name="汇总 4 2 2 3 3" xfId="4979"/>
    <cellStyle name="强调文字颜色 4 2 3 2 2 2" xfId="4980"/>
    <cellStyle name="输入 2 2 2 6 2 2" xfId="4981"/>
    <cellStyle name="强调文字颜色 3 2 2 2 2 4" xfId="4982"/>
    <cellStyle name="适中 2 4 4 3 2" xfId="4983"/>
    <cellStyle name="超链接 2 5 4 3" xfId="4984"/>
    <cellStyle name="计算 4 2 4" xfId="4985"/>
    <cellStyle name="标题 5 2 2 6 3" xfId="4986"/>
    <cellStyle name="标题 2 2 2 3 4 3 2" xfId="4987"/>
    <cellStyle name="强调文字颜色 5 2 2 2 5 2" xfId="4988"/>
    <cellStyle name="汇总 2 3 2 11" xfId="4989"/>
    <cellStyle name="常规 10 5 2 2" xfId="4990"/>
    <cellStyle name="输出 2 2 3 3 4 3" xfId="4991"/>
    <cellStyle name="汇总 3 3 2 2 2" xfId="4992"/>
    <cellStyle name="40% - 强调文字颜色 4 2 2 2 2 2 5 2 2" xfId="4993"/>
    <cellStyle name="好 2 6 4" xfId="4994"/>
    <cellStyle name="强调文字颜色 4 2 3 5 2 2 2" xfId="4995"/>
    <cellStyle name="标题 2 4 4 2 2" xfId="4996"/>
    <cellStyle name="计算 2 2 2 2 2 2 9" xfId="4997"/>
    <cellStyle name="强调文字颜色 5 4 3 2" xfId="4998"/>
    <cellStyle name="注释 2 2 4 3 2 2 2" xfId="4999"/>
    <cellStyle name="汇总 2 3 6 2" xfId="5000"/>
    <cellStyle name="计算 4 2 6 3" xfId="5001"/>
    <cellStyle name="超链接 2 5 4" xfId="5002"/>
    <cellStyle name="标题 5 3 2 2 3" xfId="5003"/>
    <cellStyle name="汇总 2 7 3 4 2 2" xfId="5004"/>
    <cellStyle name="40% - 强调文字颜色 5 2 8" xfId="5005"/>
    <cellStyle name="好 2 3 8" xfId="5006"/>
    <cellStyle name="好 3 2 2 3 3" xfId="5007"/>
    <cellStyle name="汇总 2 15" xfId="5008"/>
    <cellStyle name="汇总 2 20" xfId="5009"/>
    <cellStyle name="解释性文本 2 2 3 3 2 2" xfId="5010"/>
    <cellStyle name="计算 4 2 3 3 2 2" xfId="5011"/>
    <cellStyle name="汇总 2 3 3 2 2 2" xfId="5012"/>
    <cellStyle name="汇总 2 2 4 2 4 2 4 2" xfId="5013"/>
    <cellStyle name="标题 4 2 3 3 2 2" xfId="5014"/>
    <cellStyle name="强调文字颜色 6 2 2 2 2 4 2" xfId="5015"/>
    <cellStyle name="20% - 强调文字颜色 6 2 6 2" xfId="5016"/>
    <cellStyle name="输出 2 6 5 2 2" xfId="5017"/>
    <cellStyle name="常规 2 5 3 2 2" xfId="5018"/>
    <cellStyle name="标题 1 4 2 2 2 2 2" xfId="5019"/>
    <cellStyle name="汇总 2 7 2 9" xfId="5020"/>
    <cellStyle name="输入 2 2 4 2 9 3" xfId="5021"/>
    <cellStyle name="20% - 强调文字颜色 2 2 2 2 2 2 3 2" xfId="5022"/>
    <cellStyle name="汇总 2 2 5 4 5 2" xfId="5023"/>
    <cellStyle name="计算 2 5 5 4 2 2" xfId="5024"/>
    <cellStyle name="检查单元格 2 3 2 4 4" xfId="5025"/>
    <cellStyle name="汇总 6 2 2" xfId="5026"/>
    <cellStyle name="输入 4 2 3 3" xfId="5027"/>
    <cellStyle name="40% - 强调文字颜色 4 2 2 2 2 2 2 3 2" xfId="5028"/>
    <cellStyle name="警告文本 3 6" xfId="5029"/>
    <cellStyle name="强调文字颜色 3 2 2 4 3 2 3" xfId="5030"/>
    <cellStyle name="标题 1 2 4 3 2" xfId="5031"/>
    <cellStyle name="输入 2 2 4 2 12" xfId="5032"/>
    <cellStyle name="强调文字颜色 6 2 2 6" xfId="5033"/>
    <cellStyle name="输入 2 2 2 2 2 2 3 2" xfId="5034"/>
    <cellStyle name="输入 2 2 4 2 7 2 2" xfId="5035"/>
    <cellStyle name="常规 4 2 4 3 4" xfId="5036"/>
    <cellStyle name="注释 2 2 12" xfId="5037"/>
    <cellStyle name="常规 2 2 2 2 3 2 2 2" xfId="5038"/>
    <cellStyle name="常规 13 2 2 3 2" xfId="5039"/>
    <cellStyle name="注释 3 2 4 2" xfId="5040"/>
    <cellStyle name="常规 4 6 3 4" xfId="5041"/>
    <cellStyle name="输出 2 2 3 4 9" xfId="5042"/>
    <cellStyle name="40% - 强调文字颜色 3 2 5 4 2 2" xfId="5043"/>
    <cellStyle name="20% - 强调文字颜色 1 2 3 3 3" xfId="5044"/>
    <cellStyle name="20% - 强调文字颜色 1 2 3 2 2 4 2 2 2" xfId="5045"/>
    <cellStyle name="汇总 2 5 4 2 2 2 2" xfId="5046"/>
    <cellStyle name="计算 2 2 8 2 2 3 2" xfId="5047"/>
    <cellStyle name="输入 2 2 4 2 3 6 2" xfId="5048"/>
    <cellStyle name="40% - 强调文字颜色 4 2 3 2 3" xfId="5049"/>
    <cellStyle name="计算 2 2 4 2 2 3 2 2 2" xfId="5050"/>
    <cellStyle name="解释性文本 2 2 2 3 3 2" xfId="5051"/>
    <cellStyle name="汇总 2 2 7 2 5 2 2" xfId="5052"/>
    <cellStyle name="注释 2 2 4 3 2 3 2" xfId="5053"/>
    <cellStyle name="汇总 2 3 7 2" xfId="5054"/>
    <cellStyle name="解释性文本 2 2 4 3 2 2" xfId="5055"/>
    <cellStyle name="输出 2 3 3 5 2 2" xfId="5056"/>
    <cellStyle name="输出 2 2 2 3" xfId="5057"/>
    <cellStyle name="汇总 2 7 2 4 3" xfId="5058"/>
    <cellStyle name="强调文字颜色 6 2 4 3 2 3" xfId="5059"/>
    <cellStyle name="标题 1 2 4 7" xfId="5060"/>
    <cellStyle name="检查单元格 2 2 3 6 3" xfId="5061"/>
    <cellStyle name="输出 2 2 6 2 3 2 2" xfId="5062"/>
    <cellStyle name="解释性文本 3 2 2 3 2" xfId="5063"/>
    <cellStyle name="60% - 强调文字颜色 4 3 2 2 3 2 2" xfId="5064"/>
    <cellStyle name="60% - 强调文字颜色 6 2 5 3 2" xfId="5065"/>
    <cellStyle name="40% - 强调文字颜色 6 2 2 3 3 3" xfId="5066"/>
    <cellStyle name="解释性文本 2 3 3 7" xfId="5067"/>
    <cellStyle name="输出 2 4 2 9" xfId="5068"/>
    <cellStyle name="汇总 2 2 5 3 4 2 2" xfId="5069"/>
    <cellStyle name="汇总 2 3 2 5 3" xfId="5070"/>
    <cellStyle name="计算 2 2 4 2 3 3 5" xfId="5071"/>
    <cellStyle name="好 2 3 2 4 4" xfId="5072"/>
    <cellStyle name="输出 2 2 4 12" xfId="5073"/>
    <cellStyle name="60% - 强调文字颜色 5 2 3" xfId="5074"/>
    <cellStyle name="计算 2 2 7 2 6" xfId="5075"/>
    <cellStyle name="检查单元格 2 4 4 2 2" xfId="5076"/>
    <cellStyle name="汇总 2 7 5 4" xfId="5077"/>
    <cellStyle name="标题 3 2 2 2 2 2 2 2 2 2" xfId="5078"/>
    <cellStyle name="60% - 强调文字颜色 3 2 3 2 3 2 2 2" xfId="5079"/>
    <cellStyle name="输入 2 2 4 4 2 2 2 2" xfId="5080"/>
    <cellStyle name="40% - 强调文字颜色 3 6" xfId="5081"/>
    <cellStyle name="强调文字颜色 6 2 2 2 5 2 2 2" xfId="5082"/>
    <cellStyle name="注释 2 8" xfId="5083"/>
    <cellStyle name="输入 2 2 3 2 2 3 2" xfId="5084"/>
    <cellStyle name="计算 2 5 2 3 7" xfId="5085"/>
    <cellStyle name="计算 2 2 4 4 3 2 2" xfId="5086"/>
    <cellStyle name="计算 5 3 3" xfId="5087"/>
    <cellStyle name="Normal 3" xfId="5088"/>
    <cellStyle name="输出 4 2 7 2" xfId="5089"/>
    <cellStyle name="检查单元格 2 2 2 2 3 2 2" xfId="5090"/>
    <cellStyle name="60% - 强调文字颜色 4 2 2 6 2 2" xfId="5091"/>
    <cellStyle name="注释 2 6 5" xfId="5092"/>
    <cellStyle name="标题 2 3 3 4" xfId="5093"/>
    <cellStyle name="汇总 2 8 3 2 2" xfId="5094"/>
    <cellStyle name="注释 2 2 3 2 3 2 2" xfId="5095"/>
    <cellStyle name="输入 2 4 3 2 3" xfId="5096"/>
    <cellStyle name="输出 2 4 5 4 2" xfId="5097"/>
    <cellStyle name="强调文字颜色 1 2 2 4 4" xfId="5098"/>
    <cellStyle name="60% - 强调文字颜色 2 2 6 3 2 2" xfId="5099"/>
    <cellStyle name="常规 5 2 5 6" xfId="5100"/>
    <cellStyle name="汇总 2 2 5 4 3" xfId="5101"/>
    <cellStyle name="20% - 强调文字颜色 3 2 2 3 6" xfId="5102"/>
    <cellStyle name="汇总 2 2 4 3 5 3" xfId="5103"/>
    <cellStyle name="20% - 强调文字颜色 2 2 6 2 2 2" xfId="5104"/>
    <cellStyle name="注释 3 2 2 4 2 2" xfId="5105"/>
    <cellStyle name="汇总 2 5 2 2 4 2" xfId="5106"/>
    <cellStyle name="计算 2 2 6 2 4 3" xfId="5107"/>
    <cellStyle name="40% - 强调文字颜色 6 3 3" xfId="5108"/>
    <cellStyle name="解释性文本 2 4 6 2" xfId="5109"/>
    <cellStyle name="标题 3 3 2 2 2 2 2 2" xfId="5110"/>
    <cellStyle name="标题 3 2 4 9" xfId="5111"/>
    <cellStyle name="40% - 强调文字颜色 1 3 2 4" xfId="5112"/>
    <cellStyle name="常规 9 2 2 4" xfId="5113"/>
    <cellStyle name="输出 2 9 3 2" xfId="5114"/>
    <cellStyle name="标题 3 2 3 4 3 2" xfId="5115"/>
    <cellStyle name="注释 2 4 2 3 2 5" xfId="5116"/>
    <cellStyle name="60% - 强调文字颜色 1 4 2 2 2 2 2" xfId="5117"/>
    <cellStyle name="注释 2 2 8 2 2 2" xfId="5118"/>
    <cellStyle name="好 2 6 3 3" xfId="5119"/>
    <cellStyle name="输出 2 8 4 2 2" xfId="5120"/>
    <cellStyle name="常规 2 7 2 2 2" xfId="5121"/>
    <cellStyle name="适中 2 2 6 2" xfId="5122"/>
    <cellStyle name="强调文字颜色 6 4 4" xfId="5123"/>
    <cellStyle name="汇总 2 2 4 2 4 4 3" xfId="5124"/>
    <cellStyle name="常规 2 2 2 2 2 4 3 2" xfId="5125"/>
    <cellStyle name="超链接 3 4 4 2 2" xfId="5126"/>
    <cellStyle name="输入 2 8 5 2 2" xfId="5127"/>
    <cellStyle name="汇总 2 5 4 2 4" xfId="5128"/>
    <cellStyle name="注释 2 4 5 2" xfId="5129"/>
    <cellStyle name="超链接 2 3 2 3 2 3" xfId="5130"/>
    <cellStyle name="强调文字颜色 6 2 2 4" xfId="5131"/>
    <cellStyle name="输入 2 2 4 2 10" xfId="5132"/>
    <cellStyle name="输入 2 2 14 2" xfId="5133"/>
    <cellStyle name="汇总 2 2 2 2 3 4 2" xfId="5134"/>
    <cellStyle name="20% - 强调文字颜色 4 2 2 2 2 2 3 3 2" xfId="5135"/>
    <cellStyle name="好 2 2 2 2 4 2 2 2" xfId="5136"/>
    <cellStyle name="输出 2 4" xfId="5137"/>
    <cellStyle name="标题 2 2 2 3 2 2 2 2" xfId="5138"/>
    <cellStyle name="汇总 2 7 2 2 5 2 2" xfId="5139"/>
    <cellStyle name="汇总 2 3 2 2 7 2" xfId="5140"/>
    <cellStyle name="好 2 3 2 2 2" xfId="5141"/>
    <cellStyle name="强调文字颜色 3 3 3 2" xfId="5142"/>
    <cellStyle name="差 2 2 2 4" xfId="5143"/>
    <cellStyle name="60% - 强调文字颜色 6 2 7 2 2" xfId="5144"/>
    <cellStyle name="60% - 强调文字颜色 4 3 5 2 2" xfId="5145"/>
    <cellStyle name="标题 5 2 2 7 2" xfId="5146"/>
    <cellStyle name="超链接 2 4 3 4" xfId="5147"/>
    <cellStyle name="40% - 强调文字颜色 2 3 2 2 3 2 2 2" xfId="5148"/>
    <cellStyle name="适中 2 4 3 2 3" xfId="5149"/>
    <cellStyle name="检查单元格 2 2 4 2 2" xfId="5150"/>
    <cellStyle name="计算 2 2 7 3 2 6" xfId="5151"/>
    <cellStyle name="汇总 2 2 4 5 2 2 3" xfId="5152"/>
    <cellStyle name="强调文字颜色 4 4 4" xfId="5153"/>
    <cellStyle name="输入 2 4 3 2 6" xfId="5154"/>
    <cellStyle name="汇总 2 4 9 3" xfId="5155"/>
    <cellStyle name="汇总 2 2 7 4 4" xfId="5156"/>
    <cellStyle name="计算 2 3 3 10" xfId="5157"/>
    <cellStyle name="20% - 强调文字颜色 2 2 2 2 4 2 2" xfId="5158"/>
    <cellStyle name="计算 2 6 8" xfId="5159"/>
    <cellStyle name="输入 2 2 2 2 5 2 2" xfId="5160"/>
    <cellStyle name="常规 3 3 2 2 4 3" xfId="5161"/>
    <cellStyle name="输出 2 2 4 4 4 2 2" xfId="5162"/>
    <cellStyle name="输入 2 2 8 2 2 2 2" xfId="5163"/>
    <cellStyle name="标题 4 2 2 5" xfId="5164"/>
    <cellStyle name="注释 2 2 5 2 2 3 2 2" xfId="5165"/>
    <cellStyle name="常规 2 2 3 4 3 2" xfId="5166"/>
    <cellStyle name="40% - 强调文字颜色 4 2 4 7" xfId="5167"/>
    <cellStyle name="输入 2 2 6 2 4" xfId="5168"/>
    <cellStyle name="注释 2 4 4 4 2 2" xfId="5169"/>
    <cellStyle name="计算 2 4 4 3 3" xfId="5170"/>
    <cellStyle name="常规 6 3 2 5" xfId="5171"/>
    <cellStyle name="注释 2 2 7 2 2 3" xfId="5172"/>
    <cellStyle name="差 4 2 3 3" xfId="5173"/>
    <cellStyle name="计算 2 3 9" xfId="5174"/>
    <cellStyle name="汇总 5" xfId="5175"/>
    <cellStyle name="计算 3 5 3 2 2" xfId="5176"/>
    <cellStyle name="输出 2 2 4 3 2 4" xfId="5177"/>
    <cellStyle name="汇总 2 8 7 3" xfId="5178"/>
    <cellStyle name="超链接 2 3 2 3 2" xfId="5179"/>
    <cellStyle name="标题 6 2 5 2" xfId="5180"/>
    <cellStyle name="常规 9 3 6 2 2" xfId="5181"/>
    <cellStyle name="汇总 2 3 4 3" xfId="5182"/>
    <cellStyle name="汇总 2 8 2 3 2 2" xfId="5183"/>
    <cellStyle name="20% - 强调文字颜色 2 2 3 2 2 5" xfId="5184"/>
    <cellStyle name="40% - 强调文字颜色 6 2 3 2 5 2 2" xfId="5185"/>
    <cellStyle name="计算 2 2 4 4 9" xfId="5186"/>
    <cellStyle name="常规 7 6 2" xfId="5187"/>
    <cellStyle name="常规 4 2 3 4 2" xfId="5188"/>
    <cellStyle name="计算 3 2 8 2" xfId="5189"/>
    <cellStyle name="输入 2 2 10 2 4" xfId="5190"/>
    <cellStyle name="强调文字颜色 4 2 2 2 4 4" xfId="5191"/>
    <cellStyle name="强调文字颜色 5 2 3 2 4 2" xfId="5192"/>
    <cellStyle name="计算 2 5 3 2 2 3 2" xfId="5193"/>
    <cellStyle name="40% - 强调文字颜色 1 2 4 4 3 2" xfId="5194"/>
    <cellStyle name="40% - 强调文字颜色 4 2 2 3 5" xfId="5195"/>
    <cellStyle name="计算 2 10 4 2 2" xfId="5196"/>
    <cellStyle name="60% - 强调文字颜色 6 2 3 2 2 2 2 3" xfId="5197"/>
    <cellStyle name="常规 4 2 6 3 3" xfId="5198"/>
    <cellStyle name="40% - 强调文字颜色 1 2 2 6" xfId="5199"/>
    <cellStyle name="常规 29" xfId="5200"/>
    <cellStyle name="注释 4 9" xfId="5201"/>
    <cellStyle name="注释 2 2 2 2 5" xfId="5202"/>
    <cellStyle name="输入 2 2 3 2 2 5 3" xfId="5203"/>
    <cellStyle name="强调文字颜色 3 2 2 2 3 2 2 2" xfId="5204"/>
    <cellStyle name="计算 2 2 3 2 4 4 2" xfId="5205"/>
    <cellStyle name="强调文字颜色 5 2 2 6 3 3" xfId="5206"/>
    <cellStyle name="20% - 强调文字颜色 3 2 3 2 2 5" xfId="5207"/>
    <cellStyle name="Normal 2 3" xfId="5208"/>
    <cellStyle name="汇总 2 2 7 3 2 2 2" xfId="5209"/>
    <cellStyle name="标题 2 2 3 2 4" xfId="5210"/>
    <cellStyle name="汇总 3 2 4 4" xfId="5211"/>
    <cellStyle name="输入 2 4 2 2 2 3" xfId="5212"/>
    <cellStyle name="警告文本 2 3 2 4 4" xfId="5213"/>
    <cellStyle name="60% - 强调文字颜色 2 2 2 3 4 3 2" xfId="5214"/>
    <cellStyle name="计算 2 7 11" xfId="5215"/>
    <cellStyle name="检查单元格 2 4 4 4" xfId="5216"/>
    <cellStyle name="警告文本 2 2 4 3 2 3" xfId="5217"/>
    <cellStyle name="输入 2 2 5 2 3" xfId="5218"/>
    <cellStyle name="输出 2 2 5 8" xfId="5219"/>
    <cellStyle name="60% - 强调文字颜色 1 2 2 2 2 2 2" xfId="5220"/>
    <cellStyle name="计算 2 4 3 3 2" xfId="5221"/>
    <cellStyle name="输出 2 2 7 4 2" xfId="5222"/>
    <cellStyle name="输出 2 2 4 2 3 6" xfId="5223"/>
    <cellStyle name="常规 3 2 4 3 5" xfId="5224"/>
    <cellStyle name="常规 12 2 2 3 3" xfId="5225"/>
    <cellStyle name="60% - 强调文字颜色 2 2 3 2 4 3" xfId="5226"/>
    <cellStyle name="强调文字颜色 4 2 6 2 2" xfId="5227"/>
    <cellStyle name="输出 2 2 9 7" xfId="5228"/>
    <cellStyle name="60% - 强调文字颜色 3 2 4 4 3" xfId="5229"/>
    <cellStyle name="输入 2 2 5 6 2" xfId="5230"/>
    <cellStyle name="计算 3 2 2 3 4" xfId="5231"/>
    <cellStyle name="超链接 2 2 2 2 2" xfId="5232"/>
    <cellStyle name="注释 2 5 2 2 2 3" xfId="5233"/>
    <cellStyle name="注释 2 5 4 3 2" xfId="5234"/>
    <cellStyle name="汇总 2 2 6 3 2 5" xfId="5235"/>
    <cellStyle name="警告文本 2" xfId="5236"/>
    <cellStyle name="常规 4 4 3 2" xfId="5237"/>
    <cellStyle name="40% - 强调文字颜色 6 2 3 2 2 4 3" xfId="5238"/>
    <cellStyle name="常规 6 5 2" xfId="5239"/>
    <cellStyle name="常规 4 2 2 3 2" xfId="5240"/>
    <cellStyle name="40% - 强调文字颜色 2 2 4 2 2 2" xfId="5241"/>
    <cellStyle name="输入 2 6 5" xfId="5242"/>
    <cellStyle name="超链接 3 2 4" xfId="5243"/>
    <cellStyle name="好 3 4" xfId="5244"/>
    <cellStyle name="输出 2 5 2 5 3" xfId="5245"/>
    <cellStyle name="输入 3 2 10" xfId="5246"/>
    <cellStyle name="解释性文本 2 4 3 3 3" xfId="5247"/>
    <cellStyle name="解释性文本 2 2 2 2 2 3 2" xfId="5248"/>
    <cellStyle name="强调文字颜色 5 2 2 2 6 2" xfId="5249"/>
    <cellStyle name="注释 2 5 2 2 3" xfId="5250"/>
    <cellStyle name="20% - 强调文字颜色 6 2 2 3 3 2 2 2" xfId="5251"/>
    <cellStyle name="强调文字颜色 6 2 2 3 3 2" xfId="5252"/>
    <cellStyle name="60% - 强调文字颜色 5 2 3 2 6" xfId="5253"/>
    <cellStyle name="标题 5 3 2 6 2 2" xfId="5254"/>
    <cellStyle name="汇总 2 5 2 4 4" xfId="5255"/>
    <cellStyle name="常规 6 2 2 2 4" xfId="5256"/>
    <cellStyle name="汇总 2 2 5 4 2 5 2" xfId="5257"/>
    <cellStyle name="注释 2 4 5 3 2 2" xfId="5258"/>
    <cellStyle name="计算 2 5 3 3 3" xfId="5259"/>
    <cellStyle name="强调文字颜色 5 2 2 2 4 4" xfId="5260"/>
    <cellStyle name="强调文字颜色 6 2 3 2 4 2" xfId="5261"/>
    <cellStyle name="超链接 3 2 3 2 3" xfId="5262"/>
    <cellStyle name="输入 2 6 4 2 3" xfId="5263"/>
    <cellStyle name="计算 2 8 2 3 2" xfId="5264"/>
    <cellStyle name="汇总 2 3 3 2 5" xfId="5265"/>
    <cellStyle name="汇总 2 2 7 3 2 4 2" xfId="5266"/>
    <cellStyle name="标题 2 3 2 2 2 2 2 2" xfId="5267"/>
    <cellStyle name="注释 2 5 3 2 2 2 2" xfId="5268"/>
    <cellStyle name="适中 2 2 3 4 2" xfId="5269"/>
    <cellStyle name="强调文字颜色 2 3 3" xfId="5270"/>
    <cellStyle name="注释 2 5 3 2 5" xfId="5271"/>
    <cellStyle name="标题 3 3 3 2 2 3" xfId="5272"/>
    <cellStyle name="汇总 2 2 4 16" xfId="5273"/>
    <cellStyle name="计算 2 2 5 2 4 2 2 2" xfId="5274"/>
    <cellStyle name="汇总 2 6 3 5 3" xfId="5275"/>
    <cellStyle name="汇总 2 18" xfId="5276"/>
    <cellStyle name="常规 3 2 5 2 2" xfId="5277"/>
    <cellStyle name="汇总 2 7 2 3 3 3" xfId="5278"/>
    <cellStyle name="20% - 强调文字颜色 3 2 2 2" xfId="5279"/>
    <cellStyle name="60% - 强调文字颜色 1 2 2 3 3 2" xfId="5280"/>
    <cellStyle name="计算 2 5 4 3" xfId="5281"/>
    <cellStyle name="计算 2 5 2 3 3 2 3" xfId="5282"/>
    <cellStyle name="标题 2 2 5 2 2" xfId="5283"/>
    <cellStyle name="汇总 2 5 8 3" xfId="5284"/>
    <cellStyle name="60% - 强调文字颜色 6 2 3 3 2 2 3" xfId="5285"/>
    <cellStyle name="适中 2 2 4 3" xfId="5286"/>
    <cellStyle name="强调文字颜色 6 2 5" xfId="5287"/>
    <cellStyle name="汇总 2 2 5 4 2 2 3" xfId="5288"/>
    <cellStyle name="常规 8 6" xfId="5289"/>
    <cellStyle name="40% - 强调文字颜色 1 2 2 2 4 2 2" xfId="5290"/>
    <cellStyle name="输入 2 2 2 13" xfId="5291"/>
    <cellStyle name="常规 4 2 4 4" xfId="5292"/>
    <cellStyle name="汇总 2 6 2 2" xfId="5293"/>
    <cellStyle name="汇总 2 5 2 3 2 2 2" xfId="5294"/>
    <cellStyle name="计算 2 2 6 3 2 3 2" xfId="5295"/>
    <cellStyle name="常规 10 2 4 2 3 2 2" xfId="5296"/>
    <cellStyle name="汇总 2 3 2 2 5 3" xfId="5297"/>
    <cellStyle name="强调文字颜色 1 2 2 2 4 3 2 2" xfId="5298"/>
    <cellStyle name="超链接 3 2 2 2 3 3" xfId="5299"/>
    <cellStyle name="计算 2 5 2 3 3 3" xfId="5300"/>
    <cellStyle name="60% - 强调文字颜色 6 2 2 2 3 2 2 2 2 2" xfId="5301"/>
    <cellStyle name="常规 3 3 5 3 2 2" xfId="5302"/>
    <cellStyle name="汇总 2 5 3 8 2" xfId="5303"/>
    <cellStyle name="检查单元格 3 6" xfId="5304"/>
    <cellStyle name="注释 2 2 2 3 3 2 2" xfId="5305"/>
    <cellStyle name="40% - 强调文字颜色 3 2 2 2 2 2 2" xfId="5306"/>
    <cellStyle name="计算 2 2 4 2 2 2 5 3" xfId="5307"/>
    <cellStyle name="计算 2 7 14" xfId="5308"/>
    <cellStyle name="汇总 2 2 3 2 2 2 2" xfId="5309"/>
    <cellStyle name="常规 12 2 8" xfId="5310"/>
    <cellStyle name="强调文字颜色 4 2 2 5 3" xfId="5311"/>
    <cellStyle name="标题 1 4 5" xfId="5312"/>
    <cellStyle name="检查单元格 2 2 2 4" xfId="5313"/>
    <cellStyle name="40% - 强调文字颜色 3 2 6 3 2" xfId="5314"/>
    <cellStyle name="注释 2 2 6 4 3" xfId="5315"/>
    <cellStyle name="常规 4 2 4 2 3 2 2" xfId="5316"/>
    <cellStyle name="计算 2 3 2 2 2 4 2 2" xfId="5317"/>
    <cellStyle name="60% - 强调文字颜色 6 2 4 3 2 2 2" xfId="5318"/>
    <cellStyle name="20% - 强调文字颜色 3 2 3 2 3 2 2" xfId="5319"/>
    <cellStyle name="汇总 2 2 6 6 4" xfId="5320"/>
    <cellStyle name="输入 2 7 3 3 2 2" xfId="5321"/>
    <cellStyle name="超链接 3 3 2 3 2 2" xfId="5322"/>
    <cellStyle name="输入 2 4 5" xfId="5323"/>
    <cellStyle name="汇总 2 4 2 3 4 2" xfId="5324"/>
    <cellStyle name="汇总 2 4 4 2 5" xfId="5325"/>
    <cellStyle name="计算 2 9 3 3 2" xfId="5326"/>
    <cellStyle name="计算 3 3 2 2 2 2" xfId="5327"/>
    <cellStyle name="输出 2 2 10 4" xfId="5328"/>
    <cellStyle name="计算 2 3 2 4" xfId="5329"/>
    <cellStyle name="40% - 强调文字颜色 6 2 2 3 3 3 2" xfId="5330"/>
    <cellStyle name="40% - 强调文字颜色 2 3 8" xfId="5331"/>
    <cellStyle name="计算 2 4 11" xfId="5332"/>
    <cellStyle name="20% - 强调文字颜色 1 3 3" xfId="5333"/>
    <cellStyle name="强调文字颜色 2 2 2 2 3" xfId="5334"/>
    <cellStyle name="强调文字颜色 5 2 3 2 3 2 2" xfId="5335"/>
    <cellStyle name="计算 2 5 3 2 2 2 2 2" xfId="5336"/>
    <cellStyle name="计算 2 6 2 7 3" xfId="5337"/>
    <cellStyle name="汇总 2 2 2 2 2 3 3 2" xfId="5338"/>
    <cellStyle name="60% - 强调文字颜色 6 2 6 2" xfId="5339"/>
    <cellStyle name="输出 3 3 2 4" xfId="5340"/>
    <cellStyle name="强调文字颜色 3 2 3" xfId="5341"/>
    <cellStyle name="解释性文本 3 2 3 2" xfId="5342"/>
    <cellStyle name="计算 2 2 3 2 4 2 2" xfId="5343"/>
    <cellStyle name="强调文字颜色 2 2 3 4 3 2" xfId="5344"/>
    <cellStyle name="强调文字颜色 1 2 2 4 3 4" xfId="5345"/>
    <cellStyle name="标题 2 2 2 4 2 2 2 2" xfId="5346"/>
    <cellStyle name="超链接 3 2 2 3 3" xfId="5347"/>
    <cellStyle name="输入 2 6 3 3 3" xfId="5348"/>
    <cellStyle name="汇总 2 3 2 3 5" xfId="5349"/>
    <cellStyle name="常规 3 2 2 2" xfId="5350"/>
    <cellStyle name="输出 3 3 4 2" xfId="5351"/>
    <cellStyle name="输出 4 2 2 2 2" xfId="5352"/>
    <cellStyle name="汇总 2 2 6 9 2" xfId="5353"/>
    <cellStyle name="检查单元格 2 2 2 2 3 2 3" xfId="5354"/>
    <cellStyle name="强调文字颜色 6 2 2 7 2" xfId="5355"/>
    <cellStyle name="标题 1 2 2 4 2 2" xfId="5356"/>
    <cellStyle name="汇总 2 8 3 2 3" xfId="5357"/>
    <cellStyle name="注释 2 6 6" xfId="5358"/>
    <cellStyle name="标题 2 3 3 5" xfId="5359"/>
    <cellStyle name="注释 2 11" xfId="5360"/>
    <cellStyle name="常规 4 4 2 2 2" xfId="5361"/>
    <cellStyle name="强调文字颜色 6 2 3 5 2 3" xfId="5362"/>
    <cellStyle name="输出 2 3 2 2 2 6" xfId="5363"/>
    <cellStyle name="常规 4 2 2 2 2 2" xfId="5364"/>
    <cellStyle name="汇总 3 9" xfId="5365"/>
    <cellStyle name="40% - 强调文字颜色 1 2 2 3 7" xfId="5366"/>
    <cellStyle name="计算 2 2 4 2 2 2 5 2 2" xfId="5367"/>
    <cellStyle name="汇总 2 7 2 2 2 3 3" xfId="5368"/>
    <cellStyle name="检查单元格 3 5 2" xfId="5369"/>
    <cellStyle name="常规 4 3 2 3 3 2" xfId="5370"/>
    <cellStyle name="常规 5 4 3 3 2" xfId="5371"/>
    <cellStyle name="输出 2 2 4 4 4 3" xfId="5372"/>
    <cellStyle name="汇总 3 4 3 2 2" xfId="5373"/>
    <cellStyle name="标题 5 2 3 3 3" xfId="5374"/>
    <cellStyle name="注释 2 2 3 11" xfId="5375"/>
    <cellStyle name="输出 2 5 2 2 5 2 2" xfId="5376"/>
    <cellStyle name="计算 2 2 5 2 2 2 2" xfId="5377"/>
    <cellStyle name="超链接 2 3" xfId="5378"/>
    <cellStyle name="警告文本 2 3 2 6 3" xfId="5379"/>
    <cellStyle name="汇总 2 12" xfId="5380"/>
    <cellStyle name="常规 6 2 3 3" xfId="5381"/>
    <cellStyle name="计算 2 5 2 14" xfId="5382"/>
    <cellStyle name="汇总 2 2 4 2 6 2 2" xfId="5383"/>
    <cellStyle name="计算 2 6 6 2" xfId="5384"/>
    <cellStyle name="强调文字颜色 1 2 3 2 4 3" xfId="5385"/>
    <cellStyle name="常规 7 2 3 2 2" xfId="5386"/>
    <cellStyle name="强调文字颜色 4 2 2 2 2 5 2" xfId="5387"/>
    <cellStyle name="强调文字颜色 2 2 2 2 2 5 2 2" xfId="5388"/>
    <cellStyle name="强调文字颜色 5 2 3 2 2 3 2" xfId="5389"/>
    <cellStyle name="链接单元格 4 5" xfId="5390"/>
    <cellStyle name="汇总 2 3 3 3 2 2" xfId="5391"/>
    <cellStyle name="标题 2 2 7 2" xfId="5392"/>
    <cellStyle name="强调文字颜色 5 2 4 5 2" xfId="5393"/>
    <cellStyle name="常规 2 4 7" xfId="5394"/>
    <cellStyle name="强调文字颜色 1 2 3 3 3" xfId="5395"/>
    <cellStyle name="输出 2 5 9" xfId="5396"/>
    <cellStyle name="注释 3 3 5 2 2" xfId="5397"/>
    <cellStyle name="输出 2 2 7 3 3" xfId="5398"/>
    <cellStyle name="计算 2 4 3 2 3" xfId="5399"/>
    <cellStyle name="输出 2 2 4 9" xfId="5400"/>
    <cellStyle name="汇总 2 2 5 3 2 4 2" xfId="5401"/>
    <cellStyle name="标题 1 2 3 4 2 3" xfId="5402"/>
    <cellStyle name="汇总 2 2 2 2 2 2 4 3" xfId="5403"/>
    <cellStyle name="输出 3 2 7 2 2" xfId="5404"/>
    <cellStyle name="输出 2 4 3 5 2" xfId="5405"/>
    <cellStyle name="常规 9 3 6 3" xfId="5406"/>
    <cellStyle name="解释性文本 2 3 4 3 2" xfId="5407"/>
    <cellStyle name="40% - 强调文字颜色 4 3 2 3 2" xfId="5408"/>
    <cellStyle name="汇总 2 2 3 2 8 2" xfId="5409"/>
    <cellStyle name="常规 7 3 3 3" xfId="5410"/>
    <cellStyle name="20% - 强调文字颜色 4 2 2 9 2" xfId="5411"/>
    <cellStyle name="输出 2 2 3 2 2" xfId="5412"/>
    <cellStyle name="检查单元格 2 5 2 2" xfId="5413"/>
    <cellStyle name="输出 4 4" xfId="5414"/>
    <cellStyle name="好 2 3 4 3 2 2" xfId="5415"/>
    <cellStyle name="常规 13 7 2 2" xfId="5416"/>
    <cellStyle name="常规 5 2 6 4 2" xfId="5417"/>
    <cellStyle name="链接单元格 2 3 2 3 2 2 2" xfId="5418"/>
    <cellStyle name="20% - 强调文字颜色 6 2 2 2 2" xfId="5419"/>
    <cellStyle name="计算 2 2 4 3 3 3" xfId="5420"/>
    <cellStyle name="注释 2 2 2 2 2 2 7" xfId="5421"/>
    <cellStyle name="强调文字颜色 2 2 3" xfId="5422"/>
    <cellStyle name="强调文字颜色 5 2 5 3 2 2" xfId="5423"/>
    <cellStyle name="20% - 强调文字颜色 3 2 2 2 2 2 3 3 2 2" xfId="5424"/>
    <cellStyle name="计算 2 2 6 6 4" xfId="5425"/>
    <cellStyle name="标题 3 2 4 4" xfId="5426"/>
    <cellStyle name="40% - 强调文字颜色 5 2 2 2 2 2 2 2 2" xfId="5427"/>
    <cellStyle name="汇总 2 3 2 2 3 4" xfId="5428"/>
    <cellStyle name="20% - 强调文字颜色 6 4 2 2 2" xfId="5429"/>
    <cellStyle name="常规 5 2 2 2 6 2 2" xfId="5430"/>
    <cellStyle name="60% - 强调文字颜色 5 2 3 3 3 2" xfId="5431"/>
    <cellStyle name="好 2 2 2 2 2 2 2 2 2" xfId="5432"/>
    <cellStyle name="计算 2 2 2 2 2 2 5 2" xfId="5433"/>
    <cellStyle name="标题 7 2 3 3" xfId="5434"/>
    <cellStyle name="汇总 2 8 3 7" xfId="5435"/>
    <cellStyle name="计算 2 5 4 2 8" xfId="5436"/>
    <cellStyle name="计算 2 5 2 6 2 2 2" xfId="5437"/>
    <cellStyle name="常规 4 3 2 5" xfId="5438"/>
    <cellStyle name="计算 3 3 3 3 2 2" xfId="5439"/>
    <cellStyle name="20% - 强调文字颜色 4 2 4 3 2 2 2" xfId="5440"/>
    <cellStyle name="汇总 2 2 2 3 6 2" xfId="5441"/>
    <cellStyle name="适中 2 3 2 3 3 3" xfId="5442"/>
    <cellStyle name="输出 2 2 3 2 2 4 2" xfId="5443"/>
    <cellStyle name="适中 6" xfId="5444"/>
    <cellStyle name="输入 2 5 3 2 5" xfId="5445"/>
    <cellStyle name="汇总 2 2 2 2 7" xfId="5446"/>
    <cellStyle name="40% - 强调文字颜色 6 2 3 3" xfId="5447"/>
    <cellStyle name="好 3 3 3 3" xfId="5448"/>
    <cellStyle name="检查单元格 2 2 2 2 6 2" xfId="5449"/>
    <cellStyle name="常规 6 7" xfId="5450"/>
    <cellStyle name="常规 4 2 2 5" xfId="5451"/>
    <cellStyle name="常规 2 2 2 2 4 2" xfId="5452"/>
    <cellStyle name="输出 3 2 4 3" xfId="5453"/>
    <cellStyle name="强调文字颜色 2 4 2" xfId="5454"/>
    <cellStyle name="60% - 强调文字颜色 2 2 2 6 2 2" xfId="5455"/>
    <cellStyle name="60% - 强调文字颜色 3 2 3 3 2 2 2 2" xfId="5456"/>
    <cellStyle name="计算 4 3 5" xfId="5457"/>
    <cellStyle name="40% - 强调文字颜色 1 2 7 2 2 2" xfId="5458"/>
    <cellStyle name="计算 2 3 4 4 2" xfId="5459"/>
    <cellStyle name="40% - 强调文字颜色 5 3 5 2" xfId="5460"/>
    <cellStyle name="好 2 4 5 2" xfId="5461"/>
    <cellStyle name="计算 2 2 4 3 2 4 2 2" xfId="5462"/>
    <cellStyle name="输出 2 3 2 2 2 3 2" xfId="5463"/>
    <cellStyle name="计算 2 5 3 4 3" xfId="5464"/>
    <cellStyle name="40% - 强调文字颜色 6 2 2 2 3 3 2 2" xfId="5465"/>
    <cellStyle name="计算 2 2 4 5 2 3 3" xfId="5466"/>
    <cellStyle name="常规 5 6 3 3 2 2" xfId="5467"/>
    <cellStyle name="差 2 5 2 2" xfId="5468"/>
    <cellStyle name="输入 2 5 2 9 3" xfId="5469"/>
    <cellStyle name="汇总 2 2 3 5 3 2 2" xfId="5470"/>
    <cellStyle name="注释 2 5 3 5" xfId="5471"/>
    <cellStyle name="标题 2 3 2 2 5" xfId="5472"/>
    <cellStyle name="检查单元格 2 2 4 2 2 3" xfId="5473"/>
    <cellStyle name="输出 2 2 2" xfId="5474"/>
    <cellStyle name="汇总 2 2 4 3 6" xfId="5475"/>
    <cellStyle name="计算 2 7 3 4 3" xfId="5476"/>
    <cellStyle name="常规 9 3 3 3 2 2" xfId="5477"/>
    <cellStyle name="输出 2 4 3 2 2 2 2" xfId="5478"/>
    <cellStyle name="解释性文本 2 7 2 2 2" xfId="5479"/>
    <cellStyle name="40% - 强调文字颜色 5 2 5 3" xfId="5480"/>
    <cellStyle name="输入 2 10 7" xfId="5481"/>
    <cellStyle name="好 2 3 5 3" xfId="5482"/>
    <cellStyle name="60% - 强调文字颜色 4 4 3 2" xfId="5483"/>
    <cellStyle name="标题 3 2 2 6 2" xfId="5484"/>
    <cellStyle name="输出 2 4 2 2 2 2 3" xfId="5485"/>
    <cellStyle name="常规 9 2 3 3 2 3" xfId="5486"/>
    <cellStyle name="汇总 2 2 4 2 6 3" xfId="5487"/>
    <cellStyle name="计算 3 4" xfId="5488"/>
    <cellStyle name="常规 8 3 2 2" xfId="5489"/>
    <cellStyle name="计算 2 2 13 3" xfId="5490"/>
    <cellStyle name="输入 2 3 4 3 2 2" xfId="5491"/>
    <cellStyle name="汇总 2 6 2 2 6 2 2" xfId="5492"/>
    <cellStyle name="注释 2 2 4 4 2 4" xfId="5493"/>
    <cellStyle name="输入 3 3 5" xfId="5494"/>
    <cellStyle name="40% - 强调文字颜色 1 2 2 2 2 2 4 3 2" xfId="5495"/>
    <cellStyle name="汇总 2 2 9 4" xfId="5496"/>
    <cellStyle name="计算 2 9 4 2 2" xfId="5497"/>
    <cellStyle name="计算 2 2 6 10 2 2" xfId="5498"/>
    <cellStyle name="超链接 3 2 2 2 2 4" xfId="5499"/>
    <cellStyle name="汇总 2 6 5 4" xfId="5500"/>
    <cellStyle name="汇总 2 2 4 2 2 3 2" xfId="5501"/>
    <cellStyle name="20% - 强调文字颜色 6 4 4" xfId="5502"/>
    <cellStyle name="常规 5 2 2 2 8" xfId="5503"/>
    <cellStyle name="强调文字颜色 6 2 2 2 4 2" xfId="5504"/>
    <cellStyle name="注释 2 4 2 4 2 2" xfId="5505"/>
    <cellStyle name="输出 2 2 2 12" xfId="5506"/>
    <cellStyle name="计算 2 2 4 3 3" xfId="5507"/>
    <cellStyle name="汇总 2 2 2 3 6 2 2" xfId="5508"/>
    <cellStyle name="输出 2 6 2 3 3" xfId="5509"/>
    <cellStyle name="20% - 强调文字颜色 1 2 3 2 3 3 2" xfId="5510"/>
    <cellStyle name="汇总 2 3 8 3" xfId="5511"/>
    <cellStyle name="标题 2 2 3 2 2" xfId="5512"/>
    <cellStyle name="输入 2 4 6" xfId="5513"/>
    <cellStyle name="超链接 3 3 2 3 2 3" xfId="5514"/>
    <cellStyle name="汇总 2 4 2 3 4 3" xfId="5515"/>
    <cellStyle name="解释性文本 2 12" xfId="5516"/>
    <cellStyle name="常规 6 3 3" xfId="5517"/>
    <cellStyle name="输出 2 5 3 4 2 2" xfId="5518"/>
    <cellStyle name="输入 2 4 6 3" xfId="5519"/>
    <cellStyle name="40% - 强调文字颜色 4 4 2 2 2 2" xfId="5520"/>
    <cellStyle name="超链接 3 5 4 2 2" xfId="5521"/>
    <cellStyle name="输入 2 9 5 2 2" xfId="5522"/>
    <cellStyle name="20% - 强调文字颜色 5 2 2 2 4" xfId="5523"/>
    <cellStyle name="计算 2 5 5 4" xfId="5524"/>
    <cellStyle name="解释性文本 2 3 2 6 2 2" xfId="5525"/>
    <cellStyle name="20% - 强调文字颜色 3 2 3 3" xfId="5526"/>
    <cellStyle name="60% - 强调文字颜色 1 2 2 3 4 3" xfId="5527"/>
    <cellStyle name="汇总 2 2 6 4 2 4 2" xfId="5528"/>
    <cellStyle name="汇总 6" xfId="5529"/>
    <cellStyle name="好 3 2 2 2 3" xfId="5530"/>
    <cellStyle name="强调文字颜色 4 6 2" xfId="5531"/>
    <cellStyle name="计算 3 6 2 2" xfId="5532"/>
    <cellStyle name="常规 3 3 4 3" xfId="5533"/>
    <cellStyle name="强调文字颜色 4 2 2 4 3 3 2" xfId="5534"/>
    <cellStyle name="汇总 2 2 6 3 2 3" xfId="5535"/>
    <cellStyle name="汇总 2 3 3 3 3 2 2" xfId="5536"/>
    <cellStyle name="计算 3 2 2 3 2" xfId="5537"/>
    <cellStyle name="注释 2 9 2 4" xfId="5538"/>
    <cellStyle name="20% - 强调文字颜色 4 2 4 2 2 2 2" xfId="5539"/>
    <cellStyle name="汇总 2 2 4 3 2 5 3" xfId="5540"/>
    <cellStyle name="汇总 2 2 2 2 5 2 2" xfId="5541"/>
    <cellStyle name="40% - 强调文字颜色 2 2 4 4" xfId="5542"/>
    <cellStyle name="输入 2 5 3 2 3 2 2" xfId="5543"/>
    <cellStyle name="计算 3 2 2 4" xfId="5544"/>
    <cellStyle name="汇总 2 3 3 3 3 3" xfId="5545"/>
    <cellStyle name="警告文本 2 3 2 3 3 3" xfId="5546"/>
    <cellStyle name="标题 2 3 2 5" xfId="5547"/>
    <cellStyle name="注释 2 5 6" xfId="5548"/>
    <cellStyle name="输入 2 2 2 2 2 2 3 2 2" xfId="5549"/>
    <cellStyle name="强调文字颜色 2 2 2 3 4 3 2" xfId="5550"/>
    <cellStyle name="超链接 2 3 5" xfId="5551"/>
    <cellStyle name="汇总 2 2 5 3 2 2 2 2" xfId="5552"/>
    <cellStyle name="输出 2 2 2 9 2" xfId="5553"/>
    <cellStyle name="60% - 强调文字颜色 5 3 3 2" xfId="5554"/>
    <cellStyle name="常规 9 2 4 2 2 3" xfId="5555"/>
    <cellStyle name="计算 2 7 8" xfId="5556"/>
    <cellStyle name="输出 2 2 2 3 3" xfId="5557"/>
    <cellStyle name="汇总 2 5 4 3 2 3" xfId="5558"/>
    <cellStyle name="计算 2 2 8 3 2 4" xfId="5559"/>
    <cellStyle name="计算 2 2 4 2 3 6 2" xfId="5560"/>
    <cellStyle name="好 2 2 4 4" xfId="5561"/>
    <cellStyle name="常规 13 4 5" xfId="5562"/>
    <cellStyle name="汇总 2 2 2 3 7 2" xfId="5563"/>
    <cellStyle name="计算 2 3 3 2 2 3" xfId="5564"/>
    <cellStyle name="强调文字颜色 3 2 3 2 4" xfId="5565"/>
    <cellStyle name="常规 5 6 2 2" xfId="5566"/>
    <cellStyle name="汇总 2 8 9 2" xfId="5567"/>
    <cellStyle name="输出 2 2 4 3 4 3" xfId="5568"/>
    <cellStyle name="解释性文本 2 2 3 9" xfId="5569"/>
    <cellStyle name="40% - 强调文字颜色 1 2 2 3 2 2 2 2" xfId="5570"/>
    <cellStyle name="汇总 3 4 2 2 2" xfId="5571"/>
    <cellStyle name="输入 2 2 8 3 2 2 2" xfId="5572"/>
    <cellStyle name="差 2 7 2" xfId="5573"/>
    <cellStyle name="标题 5 2 2 5" xfId="5574"/>
    <cellStyle name="输入 2 2 8 3 6" xfId="5575"/>
    <cellStyle name="强调文字颜色 5 2 2 3 4 4" xfId="5576"/>
    <cellStyle name="强调文字颜色 6 4 2 3" xfId="5577"/>
    <cellStyle name="注释 2 2 3 2 2 3 2 2" xfId="5578"/>
    <cellStyle name="输出 2 2 3 2 3 7" xfId="5579"/>
    <cellStyle name="适中 2 2 2 2 5 3" xfId="5580"/>
    <cellStyle name="计算 2 2 5 4 2 2" xfId="5581"/>
    <cellStyle name="输出 2 2 4 2 5 3" xfId="5582"/>
    <cellStyle name="输出 2 2 7 2 5" xfId="5583"/>
    <cellStyle name="汇总 2 2 3 2 2 2" xfId="5584"/>
    <cellStyle name="常规 8 2 2 2 3 2" xfId="5585"/>
    <cellStyle name="标题 8 2 2" xfId="5586"/>
    <cellStyle name="计算 2 7 6 4" xfId="5587"/>
    <cellStyle name="常规 16 2 2 2 2" xfId="5588"/>
    <cellStyle name="计算 2 2 3 3 3 3 3" xfId="5589"/>
    <cellStyle name="40% - 强调文字颜色 4 3 2 2 2 2 2" xfId="5590"/>
    <cellStyle name="计算 2 2 4 5 5" xfId="5591"/>
    <cellStyle name="60% - 强调文字颜色 2 5 2" xfId="5592"/>
    <cellStyle name="汇总 2 2 3 10" xfId="5593"/>
    <cellStyle name="输出 3 2 6 2" xfId="5594"/>
    <cellStyle name="输入 3 2 2 3 3" xfId="5595"/>
    <cellStyle name="强调文字颜色 2 4 4 2" xfId="5596"/>
    <cellStyle name="计算 3 2 8 2 2" xfId="5597"/>
    <cellStyle name="适中 3 2 3 2" xfId="5598"/>
    <cellStyle name="40% - 强调文字颜色 5 2 2 2 3 2 2 2 2" xfId="5599"/>
    <cellStyle name="汇总 2 8 2 6 2" xfId="5600"/>
    <cellStyle name="标题 5 3 5 2 2" xfId="5601"/>
    <cellStyle name="链接单元格 2 3 3 3 2" xfId="5602"/>
    <cellStyle name="60% - 强调文字颜色 6 2 2 3 2 2 2 2 2" xfId="5603"/>
    <cellStyle name="汇总 2 2 5 4 2 4 3" xfId="5604"/>
    <cellStyle name="输出 2 2 5 2 6 2" xfId="5605"/>
    <cellStyle name="计算 2 5 3 2 4" xfId="5606"/>
    <cellStyle name="好 2 2 3 8" xfId="5607"/>
    <cellStyle name="60% - 强调文字颜色 6 2 2 2 3" xfId="5608"/>
    <cellStyle name="输出 2 6 12" xfId="5609"/>
    <cellStyle name="常规 7 3 2 2 2" xfId="5610"/>
    <cellStyle name="注释 2 2 3 4 7" xfId="5611"/>
    <cellStyle name="汇总 2 2 4 2 5 2 2" xfId="5612"/>
    <cellStyle name="强调文字颜色 5 2 2 2 3 6" xfId="5613"/>
    <cellStyle name="60% - 强调文字颜色 6 2 2 4 4 2" xfId="5614"/>
    <cellStyle name="解释性文本 2 2 4 4 2" xfId="5615"/>
    <cellStyle name="输出 2 2 2 3 7" xfId="5616"/>
    <cellStyle name="标题 2 2 2 5 3" xfId="5617"/>
    <cellStyle name="常规 4 2 3 2 2" xfId="5618"/>
    <cellStyle name="常规 7 4 2" xfId="5619"/>
    <cellStyle name="常规 4 5 2 2" xfId="5620"/>
    <cellStyle name="汇总 4 2 3 3" xfId="5621"/>
    <cellStyle name="强调文字颜色 1 2 2 4 2 2" xfId="5622"/>
    <cellStyle name="40% - 强调文字颜色 3 2 2 8" xfId="5623"/>
    <cellStyle name="百分比 2 2 2 4" xfId="5624"/>
    <cellStyle name="汇总 2 2 5 2 3 3 3" xfId="5625"/>
    <cellStyle name="输出 2 2 3 3 5 2" xfId="5626"/>
    <cellStyle name="计算 2 6 7 2 2" xfId="5627"/>
    <cellStyle name="输入 2 8 8 2" xfId="5628"/>
    <cellStyle name="强调文字颜色 5 2 4 4 2 2" xfId="5629"/>
    <cellStyle name="60% - 强调文字颜色 4 2 2 6 3 2" xfId="5630"/>
    <cellStyle name="注释 2 7 5" xfId="5631"/>
    <cellStyle name="常规 10 2 2 2 3 3 2" xfId="5632"/>
    <cellStyle name="强调文字颜色 5 2 2 5 2 2" xfId="5633"/>
    <cellStyle name="汇总 2 3 2 4" xfId="5634"/>
    <cellStyle name="计算 4 2 2 5" xfId="5635"/>
    <cellStyle name="检查单元格 2 4 7" xfId="5636"/>
    <cellStyle name="计算 2 5 2 2 2" xfId="5637"/>
    <cellStyle name="常规 2 2 4 3 2" xfId="5638"/>
    <cellStyle name="汇总 2 6 2 2 4 3" xfId="5639"/>
    <cellStyle name="计算 2 2 8 9 2" xfId="5640"/>
    <cellStyle name="计算 2 2 2 3 2 4" xfId="5641"/>
    <cellStyle name="计算 3 2 3 3 2 2" xfId="5642"/>
    <cellStyle name="常规 10 2 7" xfId="5643"/>
    <cellStyle name="差 3 4 2" xfId="5644"/>
    <cellStyle name="强调文字颜色 3 2 4 4 2 2" xfId="5645"/>
    <cellStyle name="60% - 强调文字颜色 2 2 2 6 3 2" xfId="5646"/>
    <cellStyle name="强调文字颜色 2 5 2" xfId="5647"/>
    <cellStyle name="输出 3 2 5 3" xfId="5648"/>
    <cellStyle name="标题 5 2 2 5 2 3" xfId="5649"/>
    <cellStyle name="60% - 强调文字颜色 4 2 2 2 7" xfId="5650"/>
    <cellStyle name="输出 2 10 2 3" xfId="5651"/>
    <cellStyle name="强调文字颜色 6 2 2 4 2 4" xfId="5652"/>
    <cellStyle name="40% - 强调文字颜色 2 3 5 2 2" xfId="5653"/>
    <cellStyle name="强调文字颜色 1 2 2 2 4 2 3" xfId="5654"/>
    <cellStyle name="汇总 2 6 2 4 2 2" xfId="5655"/>
    <cellStyle name="标题 4 2 2 2 3" xfId="5656"/>
    <cellStyle name="强调文字颜色 3 2 6" xfId="5657"/>
    <cellStyle name="40% - 强调文字颜色 6 2 5 4 2 2" xfId="5658"/>
    <cellStyle name="汇总 3 2 3 3 2 2" xfId="5659"/>
    <cellStyle name="汇总 2 2 2 3 2 4" xfId="5660"/>
    <cellStyle name="百分比 2 2 2 7" xfId="5661"/>
    <cellStyle name="差 5 2" xfId="5662"/>
    <cellStyle name="输出 2 2 5 6 2 2" xfId="5663"/>
    <cellStyle name="适中 2 2 2 7" xfId="5664"/>
    <cellStyle name="输入 2 2 3 4 3 2" xfId="5665"/>
    <cellStyle name="60% - 强调文字颜色 3 2 2 2 4 2" xfId="5666"/>
    <cellStyle name="计算 2 2 3 7 2" xfId="5667"/>
    <cellStyle name="超链接 2 2 4" xfId="5668"/>
    <cellStyle name="计算 2 9 2 5 2" xfId="5669"/>
    <cellStyle name="60% - 强调文字颜色 3 4 4 2 2" xfId="5670"/>
    <cellStyle name="汇总 2 5 3 4" xfId="5671"/>
    <cellStyle name="Normal 7" xfId="5672"/>
    <cellStyle name="60% - 强调文字颜色 2 2 5 2 2 2" xfId="5673"/>
    <cellStyle name="链接单元格 2 3 3 2 3" xfId="5674"/>
    <cellStyle name="适中 2 2 2 5 2" xfId="5675"/>
    <cellStyle name="计算 2 5 2 4 3" xfId="5676"/>
    <cellStyle name="注释 2 4 5 2 3 2" xfId="5677"/>
    <cellStyle name="60% - 强调文字颜色 1 2 3 2 4 2 2 2" xfId="5678"/>
    <cellStyle name="汇总 2 2 2 10" xfId="5679"/>
    <cellStyle name="计算 2 7 9 3" xfId="5680"/>
    <cellStyle name="输出 2 2 2 3 4 3" xfId="5681"/>
    <cellStyle name="汇总 3 2 2 2 2" xfId="5682"/>
    <cellStyle name="计算 4 2 7" xfId="5683"/>
    <cellStyle name="输出 2 2 2 3 5" xfId="5684"/>
    <cellStyle name="汇总 2 4 5 3 3" xfId="5685"/>
    <cellStyle name="解释性文本 2 3 3 3 2" xfId="5686"/>
    <cellStyle name="标题 4 2 2 4 3 2 2 2" xfId="5687"/>
    <cellStyle name="输出 2 4 2 5 2" xfId="5688"/>
    <cellStyle name="40% - 强调文字颜色 5 2 3 5 2 2 2" xfId="5689"/>
    <cellStyle name="注释 2 2 7 3 3 2" xfId="5690"/>
    <cellStyle name="40% - 强调文字颜色 3 2 7 2 2 2" xfId="5691"/>
    <cellStyle name="输入 2 2 5 2 2 2 2 2 2" xfId="5692"/>
    <cellStyle name="20% - 强调文字颜色 1 2 3 6 2 2" xfId="5693"/>
    <cellStyle name="计算 2 5 2 11 2" xfId="5694"/>
    <cellStyle name="强调文字颜色 5 2 2 3 3 3 2" xfId="5695"/>
    <cellStyle name="60% - 强调文字颜色 3 2 2 3 4 2 2 2" xfId="5696"/>
    <cellStyle name="好 2 3 2 5" xfId="5697"/>
    <cellStyle name="强调文字颜色 3 3 6" xfId="5698"/>
    <cellStyle name="汇总 2 6 2 4 3 2" xfId="5699"/>
    <cellStyle name="汇总 2 3 2 2 3 3 2 2" xfId="5700"/>
    <cellStyle name="标题 4 2 2 3 3" xfId="5701"/>
    <cellStyle name="20% - 强调文字颜色 6 2 2 2 2 2 3 3 2" xfId="5702"/>
    <cellStyle name="解释性文本 2 2 2 2 2 4" xfId="5703"/>
    <cellStyle name="60% - 强调文字颜色 6 2 6 2 2 2" xfId="5704"/>
    <cellStyle name="计算 2 2 4 2 4 4 3" xfId="5705"/>
    <cellStyle name="强调文字颜色 3 2 3 2 2" xfId="5706"/>
    <cellStyle name="警告文本 2 2 5 4" xfId="5707"/>
    <cellStyle name="常规 12 6 3" xfId="5708"/>
    <cellStyle name="标题 4 2 2 2 4 3 3" xfId="5709"/>
    <cellStyle name="40% - 强调文字颜色 2 4 2 4" xfId="5710"/>
    <cellStyle name="输入 2 2 2 3 5 2" xfId="5711"/>
    <cellStyle name="输入 2 2 4 2 5 5" xfId="5712"/>
    <cellStyle name="计算 2 2 8 2 4 2" xfId="5713"/>
    <cellStyle name="60% - 强调文字颜色 5 3 2 4 2 2 2" xfId="5714"/>
    <cellStyle name="输入 2 6 2 2 2 3 2" xfId="5715"/>
    <cellStyle name="强调文字颜色 4 5 3" xfId="5716"/>
    <cellStyle name="强调文字颜色 4 2 2 2 2 2 2 2 2" xfId="5717"/>
    <cellStyle name="注释 2 2 4 2 3 2" xfId="5718"/>
    <cellStyle name="常规 4 2 3 4 3 3" xfId="5719"/>
    <cellStyle name="常规 7 6 3 3" xfId="5720"/>
    <cellStyle name="输出 2 2 6 2 2" xfId="5721"/>
    <cellStyle name="百分比 2 2 2 4 3 2" xfId="5722"/>
    <cellStyle name="警告文本 4 2 2" xfId="5723"/>
    <cellStyle name="计算 2 5 5 2 2 3" xfId="5724"/>
    <cellStyle name="40% - 强调文字颜色 6 4 4 2 2 2" xfId="5725"/>
    <cellStyle name="60% - 强调文字颜色 4 2 2 4 2 2 2" xfId="5726"/>
    <cellStyle name="汇总 4 2 3" xfId="5727"/>
    <cellStyle name="汇总 2 3 2 2 2 2 2" xfId="5728"/>
    <cellStyle name="汇总 2 10 3 3 2" xfId="5729"/>
    <cellStyle name="输出 2 2 4 2 2 5 3" xfId="5730"/>
    <cellStyle name="输入 2 5 2 2 6" xfId="5731"/>
    <cellStyle name="汇总 2 2 4 6 5" xfId="5732"/>
    <cellStyle name="输入 2 5 2 2 6 2" xfId="5733"/>
    <cellStyle name="注释 2 2 2 2 2 5 2" xfId="5734"/>
    <cellStyle name="计算 2 2 6 2 3" xfId="5735"/>
    <cellStyle name="输出 2 2 3 2 4 6" xfId="5736"/>
    <cellStyle name="好 2 6 3 2 2" xfId="5737"/>
    <cellStyle name="汇总 2 2 5 2 2 2 7" xfId="5738"/>
    <cellStyle name="常规 10 4 2 5" xfId="5739"/>
    <cellStyle name="强调文字颜色 6 4 3 2" xfId="5740"/>
    <cellStyle name="注释 2 4 3 2 4" xfId="5741"/>
    <cellStyle name="汇总 2 5 2 7 3" xfId="5742"/>
    <cellStyle name="输出 2 2 3 3 2 3 2 2" xfId="5743"/>
    <cellStyle name="注释 2 2 4 3 2 5" xfId="5744"/>
    <cellStyle name="汇总 2 3 9" xfId="5745"/>
    <cellStyle name="汇总 2 6 3 3" xfId="5746"/>
    <cellStyle name="常规 9 7" xfId="5747"/>
    <cellStyle name="计算 2 2 5 2 3 3 3" xfId="5748"/>
    <cellStyle name="标题 4 2 2 2 2 2 2 2 2 2" xfId="5749"/>
    <cellStyle name="汇总 2 6 3 6 2" xfId="5750"/>
    <cellStyle name="20% - 强调文字颜色 3 3 2 4 2 2" xfId="5751"/>
    <cellStyle name="计算 2 6 4 5 2 2" xfId="5752"/>
    <cellStyle name="计算 2 3 2 3 7" xfId="5753"/>
    <cellStyle name="计算 2 2 4 2 3 2 2" xfId="5754"/>
    <cellStyle name="好 2 2 2 2 3 3 2" xfId="5755"/>
    <cellStyle name="标题 3 2 4 3 3 3" xfId="5756"/>
    <cellStyle name="常规 5 2 2 2 2 5 2 2" xfId="5757"/>
    <cellStyle name="输入 2 3 3 6" xfId="5758"/>
    <cellStyle name="强调文字颜色 4 3 4 2" xfId="5759"/>
    <cellStyle name="注释 2 2 17" xfId="5760"/>
    <cellStyle name="适中 2 2 5 2 3" xfId="5761"/>
    <cellStyle name="强调文字颜色 6 3 4 3" xfId="5762"/>
    <cellStyle name="计算 2 8 3 2 3" xfId="5763"/>
    <cellStyle name="40% - 强调文字颜色 1 2 3 3 3" xfId="5764"/>
    <cellStyle name="警告文本 2 2 3 5 2 2" xfId="5765"/>
    <cellStyle name="计算 2 2 5 2 2 4 2" xfId="5766"/>
    <cellStyle name="解释性文本 2 2 2 3 2 2 2" xfId="5767"/>
    <cellStyle name="60% - 强调文字颜色 6 2 3 2 2 2 2 2" xfId="5768"/>
    <cellStyle name="输出 2 6 2 5 2" xfId="5769"/>
    <cellStyle name="注释 2 2 2 2 3 6" xfId="5770"/>
    <cellStyle name="注释 2 4 2 7 2" xfId="5771"/>
    <cellStyle name="汇总 2 8 6 2" xfId="5772"/>
    <cellStyle name="输入 2 4 2 2 2 2 2" xfId="5773"/>
    <cellStyle name="汇总 3 2 4 3 2" xfId="5774"/>
    <cellStyle name="汇总 2 7 3 5 2" xfId="5775"/>
    <cellStyle name="40% - 强调文字颜色 6 2 2 4 3 3 2" xfId="5776"/>
    <cellStyle name="40% - 强调文字颜色 2 2 2 6 2" xfId="5777"/>
    <cellStyle name="输入 2 2 11" xfId="5778"/>
    <cellStyle name="40% - 强调文字颜色 4 2 4 4 2" xfId="5779"/>
    <cellStyle name="输入 2 3 3 4 3" xfId="5780"/>
    <cellStyle name="60% - 强调文字颜色 3 3 2 2 4" xfId="5781"/>
    <cellStyle name="差 3 2 3 2 3" xfId="5782"/>
    <cellStyle name="注释 2 2 10 2 2" xfId="5783"/>
    <cellStyle name="常规 8 5 2 2 2" xfId="5784"/>
    <cellStyle name="输入 2 5 2 3 7" xfId="5785"/>
    <cellStyle name="计算 2 5 2 3 3 4" xfId="5786"/>
    <cellStyle name="强调文字颜色 1 2 2 6 3 3" xfId="5787"/>
    <cellStyle name="好 2 2 5" xfId="5788"/>
    <cellStyle name="汇总 2 3 3 5 3" xfId="5789"/>
    <cellStyle name="适中 2 4 6 2 2" xfId="5790"/>
    <cellStyle name="汇总 2 4 3 2 2 2 2" xfId="5791"/>
    <cellStyle name="汇总 2 2 4 2 2 5" xfId="5792"/>
    <cellStyle name="注释 2 3 3 3 2" xfId="5793"/>
    <cellStyle name="汇总 4 3 3 3" xfId="5794"/>
    <cellStyle name="汇总 2 3 2 4 2" xfId="5795"/>
    <cellStyle name="计算 4 2 2 5 2" xfId="5796"/>
    <cellStyle name="计算 2 2 4 2 3 2 4" xfId="5797"/>
    <cellStyle name="常规 5 4 6 2 2" xfId="5798"/>
    <cellStyle name="40% - 强调文字颜色 2 3 2 2 2" xfId="5799"/>
    <cellStyle name="标题 5 11" xfId="5800"/>
    <cellStyle name="计算 2 5 2 3 4 2" xfId="5801"/>
    <cellStyle name="计算 2 14 2" xfId="5802"/>
    <cellStyle name="标题 2 2 4 2 2 2" xfId="5803"/>
    <cellStyle name="标题 1 2 3 2 2 4" xfId="5804"/>
    <cellStyle name="强调文字颜色 3 2 2 5 3 2 2" xfId="5805"/>
    <cellStyle name="常规 5 5 2 3 3 2" xfId="5806"/>
    <cellStyle name="强调文字颜色 6 2 2 3 6" xfId="5807"/>
    <cellStyle name="40% - 强调文字颜色 4 2 2 3 2 2 2" xfId="5808"/>
    <cellStyle name="40% - 强调文字颜色 3 2 3 2 4 2 2" xfId="5809"/>
    <cellStyle name="输出 2 5 3 2" xfId="5810"/>
    <cellStyle name="注释 2 11 3" xfId="5811"/>
    <cellStyle name="40% - 强调文字颜色 3 2 2 2 2 2 3" xfId="5812"/>
    <cellStyle name="检查单元格 3 7" xfId="5813"/>
    <cellStyle name="计算 2 7 15" xfId="5814"/>
    <cellStyle name="输入 2 2 8 3 3" xfId="5815"/>
    <cellStyle name="计算 2 7 2 7" xfId="5816"/>
    <cellStyle name="强调文字颜色 3 2 7 2 2" xfId="5817"/>
    <cellStyle name="输出 2 3 3 4 3" xfId="5818"/>
    <cellStyle name="解释性文本 2 2 4 2 3" xfId="5819"/>
    <cellStyle name="警告文本 2 4 3 2 3" xfId="5820"/>
    <cellStyle name="链接单元格 2 2 5 2 3" xfId="5821"/>
    <cellStyle name="20% - 强调文字颜色 3 2 2 2 2 2 5 2" xfId="5822"/>
    <cellStyle name="强调文字颜色 5 2 7 2" xfId="5823"/>
    <cellStyle name="标题 3 2 3 2 4 4" xfId="5824"/>
    <cellStyle name="输入 2 4 3" xfId="5825"/>
    <cellStyle name="计算 2 2 8 3 2" xfId="5826"/>
    <cellStyle name="输入 2 2 2 4 3" xfId="5827"/>
    <cellStyle name="汇总 2 2 7 4 3 2" xfId="5828"/>
    <cellStyle name="标题 4 2 3 4 2" xfId="5829"/>
    <cellStyle name="常规 3 3 2 6" xfId="5830"/>
    <cellStyle name="强调文字颜色 4 4 5" xfId="5831"/>
    <cellStyle name="输出 2 8 8" xfId="5832"/>
    <cellStyle name="强调文字颜色 1 2 3 6 2" xfId="5833"/>
    <cellStyle name="计算 2 2 2 5 4" xfId="5834"/>
    <cellStyle name="输出 2 8" xfId="5835"/>
    <cellStyle name="汇总 2 2 9 6 2" xfId="5836"/>
    <cellStyle name="注释 2 4 2 2 4 3" xfId="5837"/>
    <cellStyle name="汇总 6 4" xfId="5838"/>
    <cellStyle name="40% - 强调文字颜色 1 2 2 6 2" xfId="5839"/>
    <cellStyle name="60% - 强调文字颜色 5 2 2 3 5 2" xfId="5840"/>
    <cellStyle name="20% - 强调文字颜色 2 2 2 2 2 2 2 2 2 2 2" xfId="5841"/>
    <cellStyle name="输入 2 2 7 6 2" xfId="5842"/>
    <cellStyle name="标题 4 2 3 2 5 2 2" xfId="5843"/>
    <cellStyle name="标题 4 2 2 2 2 2 3 3" xfId="5844"/>
    <cellStyle name="标题 3 3 5" xfId="5845"/>
    <cellStyle name="计算 2 2 7 7" xfId="5846"/>
    <cellStyle name="计算 2 4 3 3 4 2" xfId="5847"/>
    <cellStyle name="强调文字颜色 4 2 4 4 3" xfId="5848"/>
    <cellStyle name="输入 2 2 3 8 3" xfId="5849"/>
    <cellStyle name="输入 2 2 5 2 5 2" xfId="5850"/>
    <cellStyle name="强调文字颜色 5 4 3" xfId="5851"/>
    <cellStyle name="40% - 强调文字颜色 5 4 3 2" xfId="5852"/>
    <cellStyle name="20% - 强调文字颜色 5 2 3 7" xfId="5853"/>
    <cellStyle name="汇总 2 2 6 2 2 6 2" xfId="5854"/>
    <cellStyle name="警告文本 2 2 2 2 2 5" xfId="5855"/>
    <cellStyle name="40% - 强调文字颜色 4 4 3" xfId="5856"/>
    <cellStyle name="标题 4 2 4 3 2 2" xfId="5857"/>
    <cellStyle name="计算 2 2 6 4 4" xfId="5858"/>
    <cellStyle name="标题 3 2 2 4" xfId="5859"/>
    <cellStyle name="40% - 强调文字颜色 6 2 3 2 3 3 2" xfId="5860"/>
    <cellStyle name="计算 2 4 2 4 2 2 2" xfId="5861"/>
    <cellStyle name="计算 2 2 2 2 2 2 6" xfId="5862"/>
    <cellStyle name="输入 2 2 4 3 3 2 2" xfId="5863"/>
    <cellStyle name="计算 2 3 2 7 2 2" xfId="5864"/>
    <cellStyle name="40% - 强调文字颜色 1 2 4 4 3" xfId="5865"/>
    <cellStyle name="强调文字颜色 3 2 3 4" xfId="5866"/>
    <cellStyle name="汇总 2 2 4 6 3 2" xfId="5867"/>
    <cellStyle name="汇总 3 4 6" xfId="5868"/>
    <cellStyle name="标题 2 4 4 2 2 2" xfId="5869"/>
    <cellStyle name="强调文字颜色 6 5 3" xfId="5870"/>
    <cellStyle name="常规 19 3" xfId="5871"/>
    <cellStyle name="常规 13 3 4 2" xfId="5872"/>
    <cellStyle name="常规 11 3 2 3 3" xfId="5873"/>
    <cellStyle name="计算 2 6 2 2 5" xfId="5874"/>
    <cellStyle name="强调文字颜色 1 2 3 3 7" xfId="5875"/>
    <cellStyle name="注释 4 4 3" xfId="5876"/>
    <cellStyle name="计算 2 5 5 5" xfId="5877"/>
    <cellStyle name="汇总 7" xfId="5878"/>
    <cellStyle name="计算 2 2 2 3 3 5" xfId="5879"/>
    <cellStyle name="强调文字颜色 3 2 5 3 2 2" xfId="5880"/>
    <cellStyle name="计算 2 7 4 5" xfId="5881"/>
    <cellStyle name="20% - 强调文字颜色 3 4 2 4" xfId="5882"/>
    <cellStyle name="标题 4 2 2 2 2 3 2 2" xfId="5883"/>
    <cellStyle name="40% - 强调文字颜色 2 2 2 3 2" xfId="5884"/>
    <cellStyle name="输入 2 2 4 3 4 2" xfId="5885"/>
    <cellStyle name="计算 2 3 2 8 2" xfId="5886"/>
    <cellStyle name="计算 2 4 2 4 3 2" xfId="5887"/>
    <cellStyle name="60% - 强调文字颜色 3 2 2 4 4" xfId="5888"/>
    <cellStyle name="计算 2 4 3 3 2 2" xfId="5889"/>
    <cellStyle name="输出 2 2 7 4 2 2" xfId="5890"/>
    <cellStyle name="强调文字颜色 4 2 4 2 3" xfId="5891"/>
    <cellStyle name="输入 2 2 3 6 3" xfId="5892"/>
    <cellStyle name="计算 2 2 5 7" xfId="5893"/>
    <cellStyle name="输出 2 2 5 8 2" xfId="5894"/>
    <cellStyle name="60% - 强调文字颜色 1 2 2 2 2 2 2 2" xfId="5895"/>
    <cellStyle name="输入 2 2 5 2 3 2" xfId="5896"/>
    <cellStyle name="输出 2 4 2 2 2 4 2" xfId="5897"/>
    <cellStyle name="标题 5 3 2 6" xfId="5898"/>
    <cellStyle name="无色 2 4 2" xfId="5899"/>
    <cellStyle name="注释 2 3 9 2" xfId="5900"/>
    <cellStyle name="输出 2 2 3 2 3 3 2" xfId="5901"/>
    <cellStyle name="60% - 强调文字颜色 2 2 6 2 2" xfId="5902"/>
    <cellStyle name="计算 2 2 4 2 9 2 2" xfId="5903"/>
    <cellStyle name="标题 4 2 2 2 6" xfId="5904"/>
    <cellStyle name="强调文字颜色 3 2 9" xfId="5905"/>
    <cellStyle name="输出 2 2 5 3 4 2" xfId="5906"/>
    <cellStyle name="注释 2 2 7 9" xfId="5907"/>
    <cellStyle name="输出 2 6 3 2" xfId="5908"/>
    <cellStyle name="强调文字颜色 1 2 2 2 3 5" xfId="5909"/>
    <cellStyle name="超链接 3 3 4 5" xfId="5910"/>
    <cellStyle name="输入 2 7 5 5" xfId="5911"/>
    <cellStyle name="常规 2 4 4" xfId="5912"/>
    <cellStyle name="输出 2 5 6" xfId="5913"/>
    <cellStyle name="40% - 强调文字颜色 4 2 5 3 2 2 2" xfId="5914"/>
    <cellStyle name="警告文本 2 2 3 5 3" xfId="5915"/>
    <cellStyle name="计算 2 2 5 2 2 5" xfId="5916"/>
    <cellStyle name="常规 6 2 3 2 2 2 2" xfId="5917"/>
    <cellStyle name="计算 2 8 2 2 5" xfId="5918"/>
    <cellStyle name="汇总 2 5 2 2 3 4" xfId="5919"/>
    <cellStyle name="链接单元格 2 4 3" xfId="5920"/>
    <cellStyle name="常规 6 2 2 2 4 2 2 2" xfId="5921"/>
    <cellStyle name="计算 2 2 5 4 9" xfId="5922"/>
    <cellStyle name="常规 9 5 2" xfId="5923"/>
    <cellStyle name="注释 2 7 10" xfId="5924"/>
    <cellStyle name="标题 1 2 2 3 3 3 3" xfId="5925"/>
    <cellStyle name="汇总 2 2 6 5 2 3" xfId="5926"/>
    <cellStyle name="输入 2 2 3 4 4" xfId="5927"/>
    <cellStyle name="60% - 强调文字颜色 3 2 2 2 5" xfId="5928"/>
    <cellStyle name="计算 2 2 3 8" xfId="5929"/>
    <cellStyle name="40% - 强调文字颜色 1 3 2 5" xfId="5930"/>
    <cellStyle name="40% - 强调文字颜色 3 6 2" xfId="5931"/>
    <cellStyle name="常规 9 2 2 5" xfId="5932"/>
    <cellStyle name="常规 3 2 2 2 2 3 2 2" xfId="5933"/>
    <cellStyle name="超链接 2 4 3 3" xfId="5934"/>
    <cellStyle name="常规 2 3 2 2 2 3 2" xfId="5935"/>
    <cellStyle name="汇总 2 19" xfId="5936"/>
    <cellStyle name="标题 3 2 2 3 5 2 2" xfId="5937"/>
    <cellStyle name="计算 2 10 4 2" xfId="5938"/>
    <cellStyle name="解释性文本 2 2 2 3 2 3" xfId="5939"/>
    <cellStyle name="计算 2 2 4 2 5 4 2" xfId="5940"/>
    <cellStyle name="60% - 强调文字颜色 2 2 2 4 2" xfId="5941"/>
    <cellStyle name="计算 2 2 8 2 2 2 3" xfId="5942"/>
    <cellStyle name="适中 2 2 3 5 2 2" xfId="5943"/>
    <cellStyle name="标题 5 2 3 3 3 2" xfId="5944"/>
    <cellStyle name="标题 4 2 2 3 3 4" xfId="5945"/>
    <cellStyle name="注释 2 2 6 9" xfId="5946"/>
    <cellStyle name="输出 2 6 2 2" xfId="5947"/>
    <cellStyle name="汇总 2 2 4 2 2 2 2 4 3" xfId="5948"/>
    <cellStyle name="计算 2 2 2 5 2 2 2" xfId="5949"/>
    <cellStyle name="输入 2 7 2 2 2" xfId="5950"/>
    <cellStyle name="输出 2 2 5 14" xfId="5951"/>
    <cellStyle name="计算 2 8 2 3" xfId="5952"/>
    <cellStyle name="汇总 2 2 4 3 2 2 6" xfId="5953"/>
    <cellStyle name="汇总 2 2 6 6 2" xfId="5954"/>
    <cellStyle name="20% - 强调文字颜色 6 3 3 3" xfId="5955"/>
    <cellStyle name="警告文本 2 3 5 3" xfId="5956"/>
    <cellStyle name="常规 3 2 4 2 3 4 2" xfId="5957"/>
    <cellStyle name="常规 9 4 3 2 2" xfId="5958"/>
    <cellStyle name="强调文字颜色 5 2 2 3 3 2 3" xfId="5959"/>
    <cellStyle name="计算 2 5 2 10 3" xfId="5960"/>
    <cellStyle name="汇总 2 6 2 4 2 3" xfId="5961"/>
    <cellStyle name="标题 4 2 2 2 4" xfId="5962"/>
    <cellStyle name="强调文字颜色 3 2 7" xfId="5963"/>
    <cellStyle name="超链接 2 3 4 3" xfId="5964"/>
    <cellStyle name="计算 2 2 4" xfId="5965"/>
    <cellStyle name="计算 3 2 2 2 2" xfId="5966"/>
    <cellStyle name="标题 2 3 7" xfId="5967"/>
    <cellStyle name="好 2 2 6 3" xfId="5968"/>
    <cellStyle name="60% - 强调文字颜色 1 2 3 2 2 3" xfId="5969"/>
    <cellStyle name="计算 2 2 5 4 2 3 2 2" xfId="5970"/>
    <cellStyle name="常规 9 3 3 2 3 2" xfId="5971"/>
    <cellStyle name="60% - 强调文字颜色 5 2 2 2 4 2 2 2" xfId="5972"/>
    <cellStyle name="20% - 强调文字颜色 5 2 4" xfId="5973"/>
    <cellStyle name="注释 2 2 4 3 5 2" xfId="5974"/>
    <cellStyle name="警告文本 2 3 3 2" xfId="5975"/>
    <cellStyle name="输出 2 2 2 2 2 6" xfId="5976"/>
    <cellStyle name="输入 2 2 7 8 2" xfId="5977"/>
    <cellStyle name="汇总 3 11" xfId="5978"/>
    <cellStyle name="汇总 2 8 4 3 2 2" xfId="5979"/>
    <cellStyle name="40% - 强调文字颜色 3 2 4 5 2" xfId="5980"/>
    <cellStyle name="注释 2 2 4 6 3" xfId="5981"/>
    <cellStyle name="20% - 强调文字颜色 1 2 3 2 2 3 3 2" xfId="5982"/>
    <cellStyle name="汇总 2 3 2 2 3 2 3" xfId="5983"/>
    <cellStyle name="汇总 2 6 2 3 4" xfId="5984"/>
    <cellStyle name="超链接 3 5 2 3 2" xfId="5985"/>
    <cellStyle name="注释 3 2 6 2" xfId="5986"/>
    <cellStyle name="计算 4 6" xfId="5987"/>
    <cellStyle name="输出 2 3 3 2 3" xfId="5988"/>
    <cellStyle name="汇总 2 2 2 2 2 3 3 3" xfId="5989"/>
    <cellStyle name="标题 1 2 2 5 2" xfId="5990"/>
    <cellStyle name="强调文字颜色 6 2 3 7" xfId="5991"/>
    <cellStyle name="百分比 2 2 3" xfId="5992"/>
    <cellStyle name="20% - 强调文字颜色 1 3 3 3 2 2" xfId="5993"/>
    <cellStyle name="计算 2 3 4 2" xfId="5994"/>
    <cellStyle name="注释 2 2 3 2 2 2 2" xfId="5995"/>
    <cellStyle name="汇总 2 2 3 3 7 2" xfId="5996"/>
    <cellStyle name="汇总 2 3 2 2 2 4 2" xfId="5997"/>
    <cellStyle name="20% - 强调文字颜色 1 2 2 7 2" xfId="5998"/>
    <cellStyle name="60% - 强调文字颜色 3 2 2 3 3 3 2" xfId="5999"/>
    <cellStyle name="强调文字颜色 5 2 2 2 4 3" xfId="6000"/>
    <cellStyle name="输出 2 2 3 7 2 2" xfId="6001"/>
    <cellStyle name="汇总 2 4 4 4 2" xfId="6002"/>
    <cellStyle name="汇总 2 7 3 2" xfId="6003"/>
    <cellStyle name="60% - 强调文字颜色 6 2 2 2 4 2 2 3" xfId="6004"/>
    <cellStyle name="40% - 强调文字颜色 6 2 2 3 4" xfId="6005"/>
    <cellStyle name="警告文本 2 7 2 2" xfId="6006"/>
    <cellStyle name="注释 2 2 5 2 5 2" xfId="6007"/>
    <cellStyle name="输入 2 2 4 5 7" xfId="6008"/>
    <cellStyle name="输出 2 3 2 3 3 2" xfId="6009"/>
    <cellStyle name="输入 2 2 5 3 2 6" xfId="6010"/>
    <cellStyle name="汇总 2 4 2 3 2 3" xfId="6011"/>
    <cellStyle name="输入 2 2 6" xfId="6012"/>
    <cellStyle name="常规 8 4 3 2" xfId="6013"/>
    <cellStyle name="常规 4 2 4 2 3 2" xfId="6014"/>
    <cellStyle name="20% - 强调文字颜色 3 2 2 3 2 2" xfId="6015"/>
    <cellStyle name="输入 2 6 2 6" xfId="6016"/>
    <cellStyle name="40% - 强调文字颜色 5 3 5 2 2" xfId="6017"/>
    <cellStyle name="好 2 4 5 2 2" xfId="6018"/>
    <cellStyle name="计算 2 2 3 2 4 3" xfId="6019"/>
    <cellStyle name="强调文字颜色 2 2 3 4 4" xfId="6020"/>
    <cellStyle name="汇总 2 10 2 3 2 2" xfId="6021"/>
    <cellStyle name="计算 2 2 4 2 3 3 2 3" xfId="6022"/>
    <cellStyle name="常规 6 4 5 2" xfId="6023"/>
    <cellStyle name="链接单元格 2 2 6 2 2" xfId="6024"/>
    <cellStyle name="汇总 2 5 2 3 3" xfId="6025"/>
    <cellStyle name="常规 10 2 8" xfId="6026"/>
    <cellStyle name="40% - 强调文字颜色 1 2 9 2" xfId="6027"/>
    <cellStyle name="常规 9 3 2 3 4" xfId="6028"/>
    <cellStyle name="计算 3 2 3 3 2" xfId="6029"/>
    <cellStyle name="计算 2 2 8 9" xfId="6030"/>
    <cellStyle name="计算 3 2 3 4" xfId="6031"/>
    <cellStyle name="汇总 2 4 7 3" xfId="6032"/>
    <cellStyle name="汇总 2 7 4 5 2" xfId="6033"/>
    <cellStyle name="输入 2 3 5" xfId="6034"/>
    <cellStyle name="40% - 强调文字颜色 1 2 2 2 2 2 3 3 2" xfId="6035"/>
    <cellStyle name="汇总 2 4 2 3 3 2" xfId="6036"/>
    <cellStyle name="计算 2 9 3 2 2" xfId="6037"/>
    <cellStyle name="汇总 2 7 16" xfId="6038"/>
    <cellStyle name="链接单元格 2 2 4 2" xfId="6039"/>
    <cellStyle name="输入 2 2 8 7 2" xfId="6040"/>
    <cellStyle name="60% - 强调文字颜色 5 3 2 5" xfId="6041"/>
    <cellStyle name="汇总 2 2 4 5 2 5 2" xfId="6042"/>
    <cellStyle name="20% - 强调文字颜色 6 2 5 3 2 2" xfId="6043"/>
    <cellStyle name="强调文字颜色 6 2 2 2 2 3 3 2 2" xfId="6044"/>
    <cellStyle name="汇总 2 2 8 2 9" xfId="6045"/>
    <cellStyle name="强调文字颜色 5 2 4 5" xfId="6046"/>
    <cellStyle name="计算 2 2 2 2 2 4" xfId="6047"/>
    <cellStyle name="计算 2 2 7 9 2" xfId="6048"/>
    <cellStyle name="计算 3 2 3 2 2 2" xfId="6049"/>
    <cellStyle name="20% - 强调文字颜色 6 2 2 2 2 2 2 3 2" xfId="6050"/>
    <cellStyle name="计算 2 2 4 2 3 4 3" xfId="6051"/>
    <cellStyle name="强调文字颜色 3 2 2 2 2" xfId="6052"/>
    <cellStyle name="输出 5 3 2 2" xfId="6053"/>
    <cellStyle name="20% - 强调文字颜色 5 2 3 2 2 4 2" xfId="6054"/>
    <cellStyle name="强调文字颜色 6 2 2 2 2 2 2 2 2 2" xfId="6055"/>
    <cellStyle name="强调文字颜色 1 2 3 2 2 2 2 2" xfId="6056"/>
    <cellStyle name="常规 2 3 6 2 2 2" xfId="6057"/>
    <cellStyle name="强调文字颜色 6 3 2 2 3" xfId="6058"/>
    <cellStyle name="注释 2 3 4 2 2 2 2" xfId="6059"/>
    <cellStyle name="标题 3 2 3" xfId="6060"/>
    <cellStyle name="计算 2 2 6 5" xfId="6061"/>
    <cellStyle name="60% - 强调文字颜色 3 2 2 5 2" xfId="6062"/>
    <cellStyle name="解释性文本 2 3 2 3 3 3" xfId="6063"/>
    <cellStyle name="40% - 强调文字颜色 3 2 2 3 4 2 2" xfId="6064"/>
    <cellStyle name="常规 5 5 2 2 3" xfId="6065"/>
    <cellStyle name="强调文字颜色 3 2 2 2 4 3" xfId="6066"/>
    <cellStyle name="强调文字颜色 5 2 4 5 2 2" xfId="6067"/>
    <cellStyle name="常规 12 2 4 2" xfId="6068"/>
    <cellStyle name="标题 2 2 5 2 2 3" xfId="6069"/>
    <cellStyle name="汇总 2 8 2 6" xfId="6070"/>
    <cellStyle name="标题 7 2 2 2" xfId="6071"/>
    <cellStyle name="输出 2 3 2 3" xfId="6072"/>
    <cellStyle name="40% - 强调文字颜色 2 2 2 2 2 3 3" xfId="6073"/>
    <cellStyle name="适中 2 2 3 4 2 2" xfId="6074"/>
    <cellStyle name="汇总 2 3 12" xfId="6075"/>
    <cellStyle name="标题 2 2 5 2 2 2" xfId="6076"/>
    <cellStyle name="好 2 2 2 4 3 2 2" xfId="6077"/>
    <cellStyle name="常规 11 2 2 3 5" xfId="6078"/>
    <cellStyle name="计算 2 5 2 2 7" xfId="6079"/>
    <cellStyle name="计算 5 2 3" xfId="6080"/>
    <cellStyle name="差 2 2 3 6" xfId="6081"/>
    <cellStyle name="好 2 3 2 3 4" xfId="6082"/>
    <cellStyle name="强调文字颜色 4 2 2 2 3" xfId="6083"/>
    <cellStyle name="输出 2 2 7 2 2 2" xfId="6084"/>
    <cellStyle name="计算 2 2 4 3 2 8" xfId="6085"/>
    <cellStyle name="汇总 2 2 4 2 2 2 5" xfId="6086"/>
    <cellStyle name="强调文字颜色 1 2 2 6 2 3" xfId="6087"/>
    <cellStyle name="检查单元格 2 2 5 3 3" xfId="6088"/>
    <cellStyle name="链接单元格 2 2 6 3 2 2" xfId="6089"/>
    <cellStyle name="注释 2 2 4 11" xfId="6090"/>
    <cellStyle name="计算 4 2 6" xfId="6091"/>
    <cellStyle name="汇总 2 2 8 2 2 4 2" xfId="6092"/>
    <cellStyle name="计算 2 2 5 4 2 4" xfId="6093"/>
    <cellStyle name="60% - 强调文字颜色 5 2 2 2 4 3" xfId="6094"/>
    <cellStyle name="常规 10 2 3 3 3 3" xfId="6095"/>
    <cellStyle name="40% - 强调文字颜色 2 3 3 2" xfId="6096"/>
    <cellStyle name="常规 2 2 2 2 2 2 3" xfId="6097"/>
    <cellStyle name="输入 2 8 3 2" xfId="6098"/>
    <cellStyle name="计算 2 2 5 2 2 3 3 2 2" xfId="6099"/>
    <cellStyle name="超链接 3 4 2 2" xfId="6100"/>
    <cellStyle name="40% - 强调文字颜色 1 2 3 2 4 2 2" xfId="6101"/>
    <cellStyle name="注释 3 7" xfId="6102"/>
    <cellStyle name="注释 2 2 3 2 3 2 2 2" xfId="6103"/>
    <cellStyle name="计算 3 3 3 4" xfId="6104"/>
    <cellStyle name="检查单元格 2 3 2 2 2 2 3" xfId="6105"/>
    <cellStyle name="计算 2 2 5 4 2 2 2 2" xfId="6106"/>
    <cellStyle name="输入 2 2 4 2 5 3" xfId="6107"/>
    <cellStyle name="计算 2 4 2 3 4 3" xfId="6108"/>
    <cellStyle name="20% - 强调文字颜色 3 2 3 3 2 2 2 2 2" xfId="6109"/>
    <cellStyle name="汇总 2 2 5 10 2 2" xfId="6110"/>
    <cellStyle name="计算 2 2 4 2 4 6" xfId="6111"/>
    <cellStyle name="汇总 2 2 2 7 2" xfId="6112"/>
    <cellStyle name="注释 2 2 4 4 2 2 3" xfId="6113"/>
    <cellStyle name="汇总 3 3 6 3" xfId="6114"/>
    <cellStyle name="计算 2 2 10 8" xfId="6115"/>
    <cellStyle name="标题 5 2 4 4 3" xfId="6116"/>
    <cellStyle name="Normal 2 2 4" xfId="6117"/>
    <cellStyle name="输入 2 2 3 3 2 3 2" xfId="6118"/>
    <cellStyle name="链接单元格 2 2 2 5 3" xfId="6119"/>
    <cellStyle name="注释 3 2 2 6" xfId="6120"/>
    <cellStyle name="注释 4 3 2 2 2" xfId="6121"/>
    <cellStyle name="超链接 2 2 2 2 4 3" xfId="6122"/>
    <cellStyle name="检查单元格 2 2 4 2 2 2" xfId="6123"/>
    <cellStyle name="计算 2 5 2 2 2 4 2" xfId="6124"/>
    <cellStyle name="常规 5 2 3 2 3 4" xfId="6125"/>
    <cellStyle name="计算 2 2 2 3 3 3 2 2" xfId="6126"/>
    <cellStyle name="注释 2 5 4 4 2" xfId="6127"/>
    <cellStyle name="汇总 2 3 2 2 6 3" xfId="6128"/>
    <cellStyle name="超链接 3 2 2 2 4 3" xfId="6129"/>
    <cellStyle name="输出 2 2 2 3 5 2" xfId="6130"/>
    <cellStyle name="计算 2 6 2 2 6 3" xfId="6131"/>
    <cellStyle name="40% - 强调文字颜色 2 2 2 8" xfId="6132"/>
    <cellStyle name="汇总 2 2 4 2 2" xfId="6133"/>
    <cellStyle name="常规 13 2 2 4" xfId="6134"/>
    <cellStyle name="超链接 3 5 2 2" xfId="6135"/>
    <cellStyle name="输入 2 9 3 2" xfId="6136"/>
    <cellStyle name="注释 3 2 5" xfId="6137"/>
    <cellStyle name="百分比 2 4 3 3" xfId="6138"/>
    <cellStyle name="输入 2 3 2 2 2 3 2" xfId="6139"/>
    <cellStyle name="汇总 2 5 2 3 3 2 3" xfId="6140"/>
    <cellStyle name="汇总 2 5 2 3 8" xfId="6141"/>
    <cellStyle name="差 2 2 5 3" xfId="6142"/>
    <cellStyle name="标题 1 3 3 3 2 3" xfId="6143"/>
    <cellStyle name="汇总 2 2 7 9" xfId="6144"/>
    <cellStyle name="计算 2 2 4 2 17" xfId="6145"/>
    <cellStyle name="强调文字颜色 1 2 2 4" xfId="6146"/>
    <cellStyle name="常规 2 3 2 5 2 2 2" xfId="6147"/>
    <cellStyle name="汇总 2 2 2 6 2 2" xfId="6148"/>
    <cellStyle name="输出 5 4 3" xfId="6149"/>
    <cellStyle name="链接单元格 2 2 4 2 4" xfId="6150"/>
    <cellStyle name="输出 2 3 2 2 2 4 2" xfId="6151"/>
    <cellStyle name="警告文本 2 2 5 3" xfId="6152"/>
    <cellStyle name="强调文字颜色 5 3 3 3" xfId="6153"/>
    <cellStyle name="汇总 2 2 7 2 8" xfId="6154"/>
    <cellStyle name="警告文本 2 2 2 2 2 2 2 3" xfId="6155"/>
    <cellStyle name="标题 2 2 3 2 3 3 2" xfId="6156"/>
    <cellStyle name="40% - 强调文字颜色 1 2 2 6 2 2 2" xfId="6157"/>
    <cellStyle name="计算 2 6 13" xfId="6158"/>
    <cellStyle name="注释 2 4 4 2 3 2" xfId="6159"/>
    <cellStyle name="输入 2 2 4 3 4" xfId="6160"/>
    <cellStyle name="计算 2 3 2 8" xfId="6161"/>
    <cellStyle name="计算 2 4 2 4 3" xfId="6162"/>
    <cellStyle name="输出 2 2 6 5 3" xfId="6163"/>
    <cellStyle name="计算 2 5 2 2 2 4" xfId="6164"/>
    <cellStyle name="汇总 5 2" xfId="6165"/>
    <cellStyle name="注释 2 5 2 2 2 2" xfId="6166"/>
    <cellStyle name="20% - 强调文字颜色 4 2 3 3 2" xfId="6167"/>
    <cellStyle name="注释 2 7 3 4" xfId="6168"/>
    <cellStyle name="警告文本 2 2 2 4 2 2" xfId="6169"/>
    <cellStyle name="解释性文本 4 4 2" xfId="6170"/>
    <cellStyle name="20% - 强调文字颜色 4 2 2 4 3 3 2" xfId="6171"/>
    <cellStyle name="强调文字颜色 2 2 2 3 7" xfId="6172"/>
    <cellStyle name="常规 6 5 2 2 2" xfId="6173"/>
    <cellStyle name="计算 2 3 5 3" xfId="6174"/>
    <cellStyle name="60% - 强调文字颜色 1 2 2 3 2 2 2 2" xfId="6175"/>
    <cellStyle name="计算 2 2 4 2 3 3 4 2" xfId="6176"/>
    <cellStyle name="标题 1 2 3 2 3" xfId="6177"/>
    <cellStyle name="汇总 2 3 2 5 2 2" xfId="6178"/>
    <cellStyle name="强调文字颜色 1 4 5" xfId="6179"/>
    <cellStyle name="20% - 强调文字颜色 3 2 3 2 5 2 2" xfId="6180"/>
    <cellStyle name="标题 3 2 3 2 5 2" xfId="6181"/>
    <cellStyle name="汇总 2 4 10 3" xfId="6182"/>
    <cellStyle name="汇总 5 5 2 2" xfId="6183"/>
    <cellStyle name="常规 4 4 2 2" xfId="6184"/>
    <cellStyle name="注释 2 5 2 2 2 6" xfId="6185"/>
    <cellStyle name="超链接 2 2 2 2 5" xfId="6186"/>
    <cellStyle name="差 3 4 2 2" xfId="6187"/>
    <cellStyle name="输入 2 5 2 4" xfId="6188"/>
    <cellStyle name="40% - 强调文字颜色 2 2 3 5 2 2" xfId="6189"/>
    <cellStyle name="汇总 2 7 4 2 2 2 2" xfId="6190"/>
    <cellStyle name="20% - 强调文字颜色 5 3 2 2 2 2 2" xfId="6191"/>
    <cellStyle name="输出 4 2 2 3 2" xfId="6192"/>
    <cellStyle name="适中 2 2 3 3 2" xfId="6193"/>
    <cellStyle name="计算 2 5 2 5 2 3" xfId="6194"/>
    <cellStyle name="60% - 强调文字颜色 6 2 6 2 3" xfId="6195"/>
    <cellStyle name="强调文字颜色 3 2 3 3" xfId="6196"/>
    <cellStyle name="标题 1 2 2" xfId="6197"/>
    <cellStyle name="强调文字颜色 6 2 3 2 2 2 2 2" xfId="6198"/>
    <cellStyle name="强调文字颜色 5 2 2 2 2 4 2 2" xfId="6199"/>
    <cellStyle name="20% - 强调文字颜色 1 2 2 5 3 2 2" xfId="6200"/>
    <cellStyle name="计算 4 3 4 2 2" xfId="6201"/>
    <cellStyle name="汇总 2 7 13" xfId="6202"/>
    <cellStyle name="输出 2 5 2" xfId="6203"/>
    <cellStyle name="40% - 强调文字颜色 2 2 2 2 4 3" xfId="6204"/>
    <cellStyle name="60% - 强调文字颜色 4 2 2 2 2 3 2 2 2" xfId="6205"/>
    <cellStyle name="检查单元格 2 2 2 2 4 3 2" xfId="6206"/>
    <cellStyle name="20% - 强调文字颜色 4 2 5 3 3" xfId="6207"/>
    <cellStyle name="40% - 强调文字颜色 2 5" xfId="6208"/>
    <cellStyle name="常规 4 2 6 2" xfId="6209"/>
    <cellStyle name="好 2 2 2 3 2 2" xfId="6210"/>
    <cellStyle name="警告文本 2 2 3 3 2 2 2" xfId="6211"/>
    <cellStyle name="标题 4 2 4 4 2" xfId="6212"/>
    <cellStyle name="40% - 强调文字颜色 5 2 2 2 2 3 2 2 2 2" xfId="6213"/>
    <cellStyle name="20% - 强调文字颜色 4 2 3 2 2 2 3" xfId="6214"/>
    <cellStyle name="输出 8 2" xfId="6215"/>
    <cellStyle name="20% - 强调文字颜色 3 2 2 2 2 4 3" xfId="6216"/>
    <cellStyle name="强调文字颜色 5 4 5" xfId="6217"/>
    <cellStyle name="警告文本 2 2 2 4 3 2" xfId="6218"/>
    <cellStyle name="解释性文本 2 3 2 2 4" xfId="6219"/>
    <cellStyle name="40% - 强调文字颜色 1 2 5 5" xfId="6220"/>
    <cellStyle name="汇总 2 6 4 4 2" xfId="6221"/>
    <cellStyle name="标题 2 3" xfId="6222"/>
    <cellStyle name="20% - 强调文字颜色 5 2 2 4 2" xfId="6223"/>
    <cellStyle name="警告文本 2 2 3 2 2 2 2 2" xfId="6224"/>
    <cellStyle name="输入 2 7 8" xfId="6225"/>
    <cellStyle name="超链接 3 3 7" xfId="6226"/>
    <cellStyle name="计算 2 7 4 2 5" xfId="6227"/>
    <cellStyle name="标题 3 4 3" xfId="6228"/>
    <cellStyle name="60% - 强调文字颜色 3 2 2 7 2" xfId="6229"/>
    <cellStyle name="计算 2 2 8 5" xfId="6230"/>
    <cellStyle name="常规 7 5 3" xfId="6231"/>
    <cellStyle name="标题 1 2 2 2 2 2 3 3" xfId="6232"/>
    <cellStyle name="输出 2 2 4 2 2 7" xfId="6233"/>
    <cellStyle name="好 2 3 2 2 2 2" xfId="6234"/>
    <cellStyle name="常规 2 4 3 2 2" xfId="6235"/>
    <cellStyle name="输出 2 5 5 2 2" xfId="6236"/>
    <cellStyle name="汇总 6 5" xfId="6237"/>
    <cellStyle name="40% - 强调文字颜色 1 2 2 6 3" xfId="6238"/>
    <cellStyle name="输出 2 2 4 2 10" xfId="6239"/>
    <cellStyle name="计算 2 2 6 3 4 2 2" xfId="6240"/>
    <cellStyle name="汇总 2 5 3 2 7" xfId="6241"/>
    <cellStyle name="差 2 3 4 2" xfId="6242"/>
    <cellStyle name="强调文字颜色 6 2 2 4 3 2 3" xfId="6243"/>
    <cellStyle name="汇总 2 5 2 2 3 2" xfId="6244"/>
    <cellStyle name="计算 2 2 6 2 3 3" xfId="6245"/>
    <cellStyle name="计算 3 2 7 2" xfId="6246"/>
    <cellStyle name="差 3 3 2" xfId="6247"/>
    <cellStyle name="输出 3 2 2 2 4" xfId="6248"/>
    <cellStyle name="汇总 2 8 2 9" xfId="6249"/>
    <cellStyle name="链接单元格 2 2 2 2 2 2" xfId="6250"/>
    <cellStyle name="注释 2 2 6 3 4" xfId="6251"/>
    <cellStyle name="输出 2 3 2 6" xfId="6252"/>
    <cellStyle name="输入 4 3 3 2" xfId="6253"/>
    <cellStyle name="常规 13 4 2 3 3" xfId="6254"/>
    <cellStyle name="计算 3 2 2 2" xfId="6255"/>
    <cellStyle name="汇总 2 5 11 2 2" xfId="6256"/>
    <cellStyle name="标题 1 5 2 3" xfId="6257"/>
    <cellStyle name="计算 2 5 2 3 6" xfId="6258"/>
    <cellStyle name="计算 5 3 2" xfId="6259"/>
    <cellStyle name="常规 12 3 5 3" xfId="6260"/>
    <cellStyle name="计算 2 2 15 2 2" xfId="6261"/>
    <cellStyle name="标题 2 3 5 2" xfId="6262"/>
    <cellStyle name="注释 2 8 3" xfId="6263"/>
    <cellStyle name="强调文字颜色 4 2 3 4 3 2" xfId="6264"/>
    <cellStyle name="计算 2 4 3 2 4 2 2" xfId="6265"/>
    <cellStyle name="强调文字颜色 3 2 2 4 3 4" xfId="6266"/>
    <cellStyle name="汇总 2 2 4 9" xfId="6267"/>
    <cellStyle name="计算 2 2 2 7 2" xfId="6268"/>
    <cellStyle name="输入 2 2 3 3 3 2" xfId="6269"/>
    <cellStyle name="输出 4 6" xfId="6270"/>
    <cellStyle name="输出 2 2 5 5 2 2" xfId="6271"/>
    <cellStyle name="标题 6 10" xfId="6272"/>
    <cellStyle name="强调文字颜色 4 2 2 2 2 4 2" xfId="6273"/>
    <cellStyle name="强调文字颜色 5 2 3 2 2 2 2" xfId="6274"/>
    <cellStyle name="汇总 2 2 4 9 3" xfId="6275"/>
    <cellStyle name="20% - 强调文字颜色 5 2 3 6 2" xfId="6276"/>
    <cellStyle name="计算 2 2 6 2 2 3 2" xfId="6277"/>
    <cellStyle name="汇总 2 5 2 2 2 2 2" xfId="6278"/>
    <cellStyle name="40% - 强调文字颜色 1 2 2 2 3 2 2 2 2 2" xfId="6279"/>
    <cellStyle name="40% - 强调文字颜色 2 2 3 2 3" xfId="6280"/>
    <cellStyle name="汇总 2 4 2 4 4 2" xfId="6281"/>
    <cellStyle name="标题 2 2 2 4 3" xfId="6282"/>
    <cellStyle name="输入 2 5 2 2 2 3 2" xfId="6283"/>
    <cellStyle name="输入 2 2 12" xfId="6284"/>
    <cellStyle name="强调文字颜色 4 2 4 4 4" xfId="6285"/>
    <cellStyle name="计算 2 2 7 8" xfId="6286"/>
    <cellStyle name="标题 3 3 6" xfId="6287"/>
    <cellStyle name="输入 2 2 5 2 5 3" xfId="6288"/>
    <cellStyle name="40% - 强调文字颜色 4 2 2 2 2 2 3 2 2" xfId="6289"/>
    <cellStyle name="输入 4 3 2 3" xfId="6290"/>
    <cellStyle name="常规 9 2 3 4 2" xfId="6291"/>
    <cellStyle name="输出 2 4 2 2 3 2" xfId="6292"/>
    <cellStyle name="常规 8 2 4 2 2 2" xfId="6293"/>
    <cellStyle name="20% - 强调文字颜色 6 2 2 3 5 2" xfId="6294"/>
    <cellStyle name="计算 2 6 3 3 3" xfId="6295"/>
    <cellStyle name="强调文字颜色 3 2 2 2 2 3 3 2" xfId="6296"/>
    <cellStyle name="适中 2 2 3 2 2 2 2 2" xfId="6297"/>
    <cellStyle name="汇总 2 2 2 2 2 8" xfId="6298"/>
    <cellStyle name="强调文字颜色 5 2 3 2 4 4" xfId="6299"/>
    <cellStyle name="40% - 强调文字颜色 4 2 4 4 3" xfId="6300"/>
    <cellStyle name="输入 2 2 3 3" xfId="6301"/>
    <cellStyle name="注释 2 2 11 2" xfId="6302"/>
    <cellStyle name="常规 8 5 3 2" xfId="6303"/>
    <cellStyle name="常规 4 2 4 3 3 2" xfId="6304"/>
    <cellStyle name="计算 2" xfId="6305"/>
    <cellStyle name="输入 2 7 2 2 5" xfId="6306"/>
    <cellStyle name="计算 2 2 6 2 2 2 2" xfId="6307"/>
    <cellStyle name="差 3 4 2 3" xfId="6308"/>
    <cellStyle name="输入 2 5 2 5" xfId="6309"/>
    <cellStyle name="强调文字颜色 2 2 2 4 3" xfId="6310"/>
    <cellStyle name="输出 2 2 2 2 5 2 2" xfId="6311"/>
    <cellStyle name="差 3 6 2" xfId="6312"/>
    <cellStyle name="强调文字颜色 6 2 2 6 3" xfId="6313"/>
    <cellStyle name="注释 2 2 4 6" xfId="6314"/>
    <cellStyle name="差 2 2 3 3" xfId="6315"/>
    <cellStyle name="汇总 2 2 5 11 2" xfId="6316"/>
    <cellStyle name="输出 2 6 3 3 2 2" xfId="6317"/>
    <cellStyle name="注释 2 4 4 4 3" xfId="6318"/>
    <cellStyle name="常规 4 2 3 2 5" xfId="6319"/>
    <cellStyle name="输入 2 2 2 2" xfId="6320"/>
    <cellStyle name="60% - 强调文字颜色 4 2 3 3 3" xfId="6321"/>
    <cellStyle name="标题 3 2 3 2 2 3 2" xfId="6322"/>
    <cellStyle name="标题 2 2 2 2 2 5 2" xfId="6323"/>
    <cellStyle name="汇总 2 7 2 2 4" xfId="6324"/>
    <cellStyle name="注释 4 2 5 2" xfId="6325"/>
    <cellStyle name="20% - 强调文字颜色 1 2 2 2 2 2 3 3 2" xfId="6326"/>
    <cellStyle name="注释 2 5 2 2 7" xfId="6327"/>
    <cellStyle name="输出 2 4 3 9" xfId="6328"/>
    <cellStyle name="20% - 强调文字颜色 1 2 4 3 3 2" xfId="6329"/>
    <cellStyle name="输入 2 2 7 4 5" xfId="6330"/>
    <cellStyle name="计算 2 6 3 9" xfId="6331"/>
    <cellStyle name="汇总 2 7 4 4 3" xfId="6332"/>
    <cellStyle name="输入 2 2 2 4 5" xfId="6333"/>
    <cellStyle name="好 2 2 2 6 2 2 2" xfId="6334"/>
    <cellStyle name="计算 2 2 8 3 4" xfId="6335"/>
    <cellStyle name="强调文字颜色 5 2 2 2 3 2 2" xfId="6336"/>
    <cellStyle name="强调文字颜色 4 3 2" xfId="6337"/>
    <cellStyle name="链接单元格 2 2 2 2 4 3" xfId="6338"/>
    <cellStyle name="汇总 2 2 5 3 9" xfId="6339"/>
    <cellStyle name="输出 3 2 5" xfId="6340"/>
    <cellStyle name="注释 2 2 3 4 2 4" xfId="6341"/>
    <cellStyle name="汇总 2 2 6 3 5 3" xfId="6342"/>
    <cellStyle name="40% - 强调文字颜色 4 4 2 2 2 2 2" xfId="6343"/>
    <cellStyle name="40% - 强调文字颜色 6 2 5 5" xfId="6344"/>
    <cellStyle name="好 4 2 4" xfId="6345"/>
    <cellStyle name="计算 2 6 2 9 2" xfId="6346"/>
    <cellStyle name="计算 2 2 4 3 2 2 4" xfId="6347"/>
    <cellStyle name="输入 2 2 2 3" xfId="6348"/>
    <cellStyle name="常规 6 2 2 3 2 2" xfId="6349"/>
    <cellStyle name="40% - 强调文字颜色 4 2 4 3 3" xfId="6350"/>
    <cellStyle name="标题 4 2 3 2 4 2 2" xfId="6351"/>
    <cellStyle name="20% - 强调文字颜色 3 2 3 5" xfId="6352"/>
    <cellStyle name="强调文字颜色 4 2 7 2 2" xfId="6353"/>
    <cellStyle name="计算 2 5 5 6" xfId="6354"/>
    <cellStyle name="输入 2 2 6 6 2" xfId="6355"/>
    <cellStyle name="常规 5 2 3 3 5 2" xfId="6356"/>
    <cellStyle name="20% - 强调文字颜色 3 3 3 3 2" xfId="6357"/>
    <cellStyle name="汇总 2 7 2 6" xfId="6358"/>
    <cellStyle name="注释 2 4 3 2 2 2" xfId="6359"/>
    <cellStyle name="常规 5 2 3 5" xfId="6360"/>
    <cellStyle name="汇总 2 2 5 2 2" xfId="6361"/>
    <cellStyle name="超链接 2 2 2 2" xfId="6362"/>
    <cellStyle name="计算 2 2 3 2 4 4" xfId="6363"/>
    <cellStyle name="强调文字颜色 3 2 2 2 3 2 2" xfId="6364"/>
    <cellStyle name="计算 4 4 5" xfId="6365"/>
    <cellStyle name="汇总 2 6 4 8" xfId="6366"/>
    <cellStyle name="计算 2 3 4 2 4 2 2" xfId="6367"/>
    <cellStyle name="标题 2 2 3 3 2" xfId="6368"/>
    <cellStyle name="输入 4 3 4" xfId="6369"/>
    <cellStyle name="计算 2 3 2 2 2 2 2 2 2" xfId="6370"/>
    <cellStyle name="输入 2 3 3 6 2" xfId="6371"/>
    <cellStyle name="输入 2 7 2 3 2" xfId="6372"/>
    <cellStyle name="链接单元格 2 2 2 3 4" xfId="6373"/>
    <cellStyle name="注释 2 2 3 4 5 2" xfId="6374"/>
    <cellStyle name="输出 3 5 3" xfId="6375"/>
    <cellStyle name="百分比 2 4 2 3" xfId="6376"/>
    <cellStyle name="输入 2 3 2 2 2 2 2" xfId="6377"/>
    <cellStyle name="汇总 2 6 4 4" xfId="6378"/>
    <cellStyle name="计算 7 2" xfId="6379"/>
    <cellStyle name="好 2 3 7" xfId="6380"/>
    <cellStyle name="标题 5 3 2 2 2" xfId="6381"/>
    <cellStyle name="40% - 强调文字颜色 5 2 7" xfId="6382"/>
    <cellStyle name="注释 2 2 2 6 2 2" xfId="6383"/>
    <cellStyle name="60% - 强调文字颜色 1 3 3 3" xfId="6384"/>
    <cellStyle name="计算 2 2 3 3 6 3" xfId="6385"/>
    <cellStyle name="输入 2 6 2 4 2 2" xfId="6386"/>
    <cellStyle name="汇总 2 6 4 5" xfId="6387"/>
    <cellStyle name="计算 7 3" xfId="6388"/>
    <cellStyle name="计算 2 2 17 2" xfId="6389"/>
    <cellStyle name="计算 2 2 3 2 3 7" xfId="6390"/>
    <cellStyle name="计算 2 2 2 2 2 5 2 2" xfId="6391"/>
    <cellStyle name="标题 5 2 2 2 2" xfId="6392"/>
    <cellStyle name="输入 2 2 8 3 3 2" xfId="6393"/>
    <cellStyle name="标题 4 2 3 5 2 2 3" xfId="6394"/>
    <cellStyle name="输出 2 2 2 2 2 4 2" xfId="6395"/>
    <cellStyle name="汇总 2 9 2 6" xfId="6396"/>
    <cellStyle name="标题 7 3 2 2" xfId="6397"/>
    <cellStyle name="好 2 3 2 3 2" xfId="6398"/>
    <cellStyle name="强调文字颜色 3 3 4 2" xfId="6399"/>
    <cellStyle name="差 2 2 3 4" xfId="6400"/>
    <cellStyle name="40% - 强调文字颜色 1 2 2 4 2 3" xfId="6401"/>
    <cellStyle name="60% - 强调文字颜色 5 2 3 4 2 2 2" xfId="6402"/>
    <cellStyle name="汇总 4 4 3" xfId="6403"/>
    <cellStyle name="检查单元格 2 3 2 5 2 2" xfId="6404"/>
    <cellStyle name="标题 1 2 3 3 3 3" xfId="6405"/>
    <cellStyle name="标题 1 2 2 2 8" xfId="6406"/>
    <cellStyle name="计算 2 4 2 3 3" xfId="6407"/>
    <cellStyle name="输入 2 2 4 11" xfId="6408"/>
    <cellStyle name="输出 2 2 6 4 3" xfId="6409"/>
    <cellStyle name="输入 2 2 4 2 4" xfId="6410"/>
    <cellStyle name="注释 2 4 4 2 2 2" xfId="6411"/>
    <cellStyle name="20% - 强调文字颜色 5 2 3 2 2 4 2 2" xfId="6412"/>
    <cellStyle name="强调文字颜色 1 2 2 5" xfId="6413"/>
    <cellStyle name="20% - 强调文字颜色 5 2 3 2 2 3 3" xfId="6414"/>
    <cellStyle name="检查单元格 2 2 3 10" xfId="6415"/>
    <cellStyle name="注释 3 6 2" xfId="6416"/>
    <cellStyle name="检查单元格 2 7 2 2" xfId="6417"/>
    <cellStyle name="计算 8 2" xfId="6418"/>
    <cellStyle name="计算 2 16 2" xfId="6419"/>
    <cellStyle name="超链接 3" xfId="6420"/>
    <cellStyle name="计算 2 2 5 3 3 3 3" xfId="6421"/>
    <cellStyle name="常规 9 2 4 2 4" xfId="6422"/>
    <cellStyle name="常规 9 3 3 2 2 2" xfId="6423"/>
    <cellStyle name="好 2 2 5 3" xfId="6424"/>
    <cellStyle name="汇总 2 7 5 2" xfId="6425"/>
    <cellStyle name="输出 2 6 3 4" xfId="6426"/>
    <cellStyle name="输入 2 2 4 3 2 2 3 2" xfId="6427"/>
    <cellStyle name="汇总 2 2 5 10" xfId="6428"/>
    <cellStyle name="40% - 强调文字颜色 4 5 2 2" xfId="6429"/>
    <cellStyle name="汇总 2 2 7 2 2 4 2" xfId="6430"/>
    <cellStyle name="20% - 强调文字颜色 4 2 3 2 4 3" xfId="6431"/>
    <cellStyle name="计算 2 5 2 4 2 3" xfId="6432"/>
    <cellStyle name="汇总 2 6 2 5 2" xfId="6433"/>
    <cellStyle name="计算 2 8 8 3" xfId="6434"/>
    <cellStyle name="输出 2 2 2 4 3 3" xfId="6435"/>
    <cellStyle name="解释性文本 2 2 3 3 2" xfId="6436"/>
    <cellStyle name="标题 4 2 2 4 2 2 2 2" xfId="6437"/>
    <cellStyle name="60% - 强调文字颜色 5 2 6 3 2" xfId="6438"/>
    <cellStyle name="输出 2 3 2 5 2" xfId="6439"/>
    <cellStyle name="输入 2 3 2 2 2 6" xfId="6440"/>
    <cellStyle name="输出 2 2 5 2" xfId="6441"/>
    <cellStyle name="输入 4 5 3" xfId="6442"/>
    <cellStyle name="强调文字颜色 3 2 2 3 2 2 2 3" xfId="6443"/>
    <cellStyle name="注释 2 2 3 2 2 2 2 3 2" xfId="6444"/>
    <cellStyle name="强调文字颜色 6 3 2 4 2" xfId="6445"/>
    <cellStyle name="常规 7 2 2 3 3" xfId="6446"/>
    <cellStyle name="20% - 强调文字颜色 3 2 5 2" xfId="6447"/>
    <cellStyle name="计算 2 5 7 3" xfId="6448"/>
    <cellStyle name="20% - 强调文字颜色 6 3 2 3 2 2 2" xfId="6449"/>
    <cellStyle name="标题 3 3 4" xfId="6450"/>
    <cellStyle name="20% - 强调文字颜色 2 2 2 2 2 4 2 2 2" xfId="6451"/>
    <cellStyle name="强调文字颜色 4 2 4 4 2" xfId="6452"/>
    <cellStyle name="计算 2 2 7 6" xfId="6453"/>
    <cellStyle name="60% - 强调文字颜色 3 2 2 6 3" xfId="6454"/>
    <cellStyle name="输入 2 2 3 8 2" xfId="6455"/>
    <cellStyle name="20% - 强调文字颜色 6 2 3 5 2 2" xfId="6456"/>
    <cellStyle name="20% - 强调文字颜色 3 2 3 2 2 2 2 2 2" xfId="6457"/>
    <cellStyle name="输出 2 2 2 4 2 2 2" xfId="6458"/>
    <cellStyle name="强调文字颜色 5 3 2 2" xfId="6459"/>
    <cellStyle name="汇总 2 5 2 11" xfId="6460"/>
    <cellStyle name="强调文字颜色 4 2 2 2 5 2 3" xfId="6461"/>
    <cellStyle name="警告文本 2 2 2 7" xfId="6462"/>
    <cellStyle name="标题 5 4 2 2 2 2 2" xfId="6463"/>
    <cellStyle name="强调文字颜色 6 2 2 3 3 2 2" xfId="6464"/>
    <cellStyle name="输出 2 4 3 6" xfId="6465"/>
    <cellStyle name="解释性文本 2 3 4 4" xfId="6466"/>
    <cellStyle name="输入 2 2 4 5 4 3" xfId="6467"/>
    <cellStyle name="20% - 强调文字颜色 2 2 4 7" xfId="6468"/>
    <cellStyle name="警告文本 3 3 2" xfId="6469"/>
    <cellStyle name="适中 2 2 5 3 2" xfId="6470"/>
    <cellStyle name="强调文字颜色 6 3 5 2" xfId="6471"/>
    <cellStyle name="汇总 2 2 3 2 10" xfId="6472"/>
    <cellStyle name="警告文本 2 2 4 5 2 2" xfId="6473"/>
    <cellStyle name="输出 2 4 2 2 2 3" xfId="6474"/>
    <cellStyle name="计算 2 2 5 3 2 4 2" xfId="6475"/>
    <cellStyle name="常规 9 2 3 3 3" xfId="6476"/>
    <cellStyle name="汇总 2 2 10 4 3" xfId="6477"/>
    <cellStyle name="常规 10 3 4 3" xfId="6478"/>
    <cellStyle name="计算 2 2 6 6 3 2 2" xfId="6479"/>
    <cellStyle name="标题 3 2 4 3 2 2" xfId="6480"/>
    <cellStyle name="汇总 2 8 2 2 7" xfId="6481"/>
    <cellStyle name="汇总 2 2 8 8 2 2" xfId="6482"/>
    <cellStyle name="输入 2 5 2 3 2 3" xfId="6483"/>
    <cellStyle name="汇总 3 2 2 5 3" xfId="6484"/>
    <cellStyle name="60% - 强调文字颜色 2 3 3" xfId="6485"/>
    <cellStyle name="计算 2 2 4 3 6" xfId="6486"/>
    <cellStyle name="注释 2 2 8 3 2 2" xfId="6487"/>
    <cellStyle name="注释 2 4 2 4 2 5" xfId="6488"/>
    <cellStyle name="标题 5 2 5 3 2" xfId="6489"/>
    <cellStyle name="标题 1 2 2 2 3 2 2 3" xfId="6490"/>
    <cellStyle name="汇总 2 2 6 2 2 3 2" xfId="6491"/>
    <cellStyle name="汇总 2 2 3 2 2 2 4 2" xfId="6492"/>
    <cellStyle name="注释 2 4 2 2" xfId="6493"/>
    <cellStyle name="汇总 2 6 2 11" xfId="6494"/>
    <cellStyle name="输入 2 3 3 5 3" xfId="6495"/>
    <cellStyle name="输入 2 2 6 2 2 2" xfId="6496"/>
    <cellStyle name="强调文字颜色 6 2 3 2 3 3 2 2" xfId="6497"/>
    <cellStyle name="解释性文本 2 6 2" xfId="6498"/>
    <cellStyle name="常规 9 3 2 3" xfId="6499"/>
    <cellStyle name="输入 2 5 4 2 2 2" xfId="6500"/>
    <cellStyle name="计算 2 2 5 3 10" xfId="6501"/>
    <cellStyle name="计算 2 4 3 3 5" xfId="6502"/>
    <cellStyle name="输出 2 2 7 4 5" xfId="6503"/>
    <cellStyle name="40% - 强调文字颜色 3 2 2 7" xfId="6504"/>
    <cellStyle name="百分比 2 2 2 3" xfId="6505"/>
    <cellStyle name="汇总 2 2 5 2 3 3 2" xfId="6506"/>
    <cellStyle name="计算 2 5 2 2 2 3 2" xfId="6507"/>
    <cellStyle name="常规 5 2 3 2 2 4" xfId="6508"/>
    <cellStyle name="常规 6 2 4 2 2 2" xfId="6509"/>
    <cellStyle name="强调文字颜色 5 2 2 2 2 2 3" xfId="6510"/>
    <cellStyle name="输入 2 5 2 6 2 2" xfId="6511"/>
    <cellStyle name="常规 3 3 3 4 2 2 2" xfId="6512"/>
    <cellStyle name="常规 4 2 3 2" xfId="6513"/>
    <cellStyle name="差 2 2 2 2 6 3" xfId="6514"/>
    <cellStyle name="40% - 强调文字颜色 4 2 4 4 2 2 2" xfId="6515"/>
    <cellStyle name="20% - 强调文字颜色 3 2 2 8" xfId="6516"/>
    <cellStyle name="输入 2 2 6 5 5" xfId="6517"/>
    <cellStyle name="计算 2 5 4 9" xfId="6518"/>
    <cellStyle name="40% - 强调文字颜色 5 3 2 2 2 2" xfId="6519"/>
    <cellStyle name="计算 3 2 11" xfId="6520"/>
    <cellStyle name="好 2 4 2 2 2 2" xfId="6521"/>
    <cellStyle name="输入 2 3 2 6 2" xfId="6522"/>
    <cellStyle name="输出 2 4 2 4 2 4" xfId="6523"/>
    <cellStyle name="差 3 2 2 4 2" xfId="6524"/>
    <cellStyle name="强调文字颜色 4 3 3 2 2" xfId="6525"/>
    <cellStyle name="20% - 强调文字颜色 3 2 3 2 3 3 2" xfId="6526"/>
    <cellStyle name="汇总 2 2 3 3 3" xfId="6527"/>
    <cellStyle name="40% - 强调文字颜色 1 3 2 4 2 2 2" xfId="6528"/>
    <cellStyle name="汇总 2 5 5 2 4 3" xfId="6529"/>
    <cellStyle name="标题 2 3 2 4 2 3" xfId="6530"/>
    <cellStyle name="计算 2 2 4 2 3 4 2 2" xfId="6531"/>
    <cellStyle name="输出 2 4 2 5 3" xfId="6532"/>
    <cellStyle name="计算 4 3 3" xfId="6533"/>
    <cellStyle name="计算 2 2 4 4 2 2 2" xfId="6534"/>
    <cellStyle name="注释 2 2 7 2 2 2" xfId="6535"/>
    <cellStyle name="汇总 3 3 2 3" xfId="6536"/>
    <cellStyle name="汇总 2 2 2 3 2" xfId="6537"/>
    <cellStyle name="输入 2 2 5 4 2 2 2 2" xfId="6538"/>
    <cellStyle name="标题 3 2 2 2 3 2 2 2 2 2" xfId="6539"/>
    <cellStyle name="输入 2 4 2 2 7" xfId="6540"/>
    <cellStyle name="常规 2 2 2 2 2 5 2" xfId="6541"/>
    <cellStyle name="注释 2 5 4" xfId="6542"/>
    <cellStyle name="标题 2 3 2 3" xfId="6543"/>
    <cellStyle name="汇总 2 8 2 2" xfId="6544"/>
    <cellStyle name="常规 4 4 4 4" xfId="6545"/>
    <cellStyle name="40% - 强调文字颜色 6 2 3 2 4" xfId="6546"/>
    <cellStyle name="40% - 强调文字颜色 6 4 5 2" xfId="6547"/>
    <cellStyle name="强调文字颜色 6 2 3 4 2" xfId="6548"/>
    <cellStyle name="检查单元格 2 2 2 2 2 2" xfId="6549"/>
    <cellStyle name="强调文字颜色 2 5 3" xfId="6550"/>
    <cellStyle name="强调文字颜色 1 2 2 6 3 2 2" xfId="6551"/>
    <cellStyle name="常规 3 3 8 2 2" xfId="6552"/>
    <cellStyle name="输出 2 2 5 3 2 2 2" xfId="6553"/>
    <cellStyle name="标题 1 2 3 2 2 2 2 2" xfId="6554"/>
    <cellStyle name="计算 2 8 3 2 5" xfId="6555"/>
    <cellStyle name="计算 3 3 7 2" xfId="6556"/>
    <cellStyle name="20% - 强调文字颜色 3 2 2 5 2 2 2" xfId="6557"/>
    <cellStyle name="20% - 强调文字颜色 4 2 2 6 2 2" xfId="6558"/>
    <cellStyle name="输入 2 2 6 3 6" xfId="6559"/>
    <cellStyle name="汇总 2 2 2 12" xfId="6560"/>
    <cellStyle name="输出 2 2 2 3 5 2 2" xfId="6561"/>
    <cellStyle name="强调文字颜色 4 2 4 8" xfId="6562"/>
    <cellStyle name="强调文字颜色 2 2 2 3 3 2 2" xfId="6563"/>
    <cellStyle name="20% - 强调文字颜色 1 4 3 2 2" xfId="6564"/>
    <cellStyle name="60% - 强调文字颜色 4 2 2 2 2 4" xfId="6565"/>
    <cellStyle name="注释 2 2 7 2 4 2" xfId="6566"/>
    <cellStyle name="40% - 强调文字颜色 1 2 2 4 5 2 2" xfId="6567"/>
    <cellStyle name="汇总 4 7 2 2" xfId="6568"/>
    <cellStyle name="输出 2 2 7 2 6" xfId="6569"/>
    <cellStyle name="标题 1 2 3 5 2 2 3" xfId="6570"/>
    <cellStyle name="标题 1 3 3 2" xfId="6571"/>
    <cellStyle name="40% - 强调文字颜色 4 2 3 3 5" xfId="6572"/>
    <cellStyle name="计算 2 2 9 9" xfId="6573"/>
    <cellStyle name="计算 2 3 4 3 2" xfId="6574"/>
    <cellStyle name="注释 2 4 3 2 3 2 2" xfId="6575"/>
    <cellStyle name="计算 2 3 4 3" xfId="6576"/>
    <cellStyle name="汇总 2 3 3 7 2" xfId="6577"/>
    <cellStyle name="好 2 4 4" xfId="6578"/>
    <cellStyle name="强调文字颜色 3 2 2 5 2 2 2" xfId="6579"/>
    <cellStyle name="解释性文本 2 4 4 2 2" xfId="6580"/>
    <cellStyle name="输出 2 5 3 4 2" xfId="6581"/>
    <cellStyle name="警告文本 2 5 2 2" xfId="6582"/>
    <cellStyle name="输入 4 2 2 2 2 2" xfId="6583"/>
    <cellStyle name="警告文本 2 2 2 3 2 2 2" xfId="6584"/>
    <cellStyle name="好 2 3 2 4" xfId="6585"/>
    <cellStyle name="计算 2 5 15" xfId="6586"/>
    <cellStyle name="计算 2 5 2 2 2 2 3 2 2" xfId="6587"/>
    <cellStyle name="常规 4 2 8" xfId="6588"/>
    <cellStyle name="强调文字颜色 4 2 3 2 2 2 2 2 2" xfId="6589"/>
    <cellStyle name="强调文字颜色 3 2 2 2 2 4 2 2 2" xfId="6590"/>
    <cellStyle name="汇总 2 5 7 2 2" xfId="6591"/>
    <cellStyle name="常规 2 2 2 2 4" xfId="6592"/>
    <cellStyle name="常规 5 2 5 2 3 3" xfId="6593"/>
    <cellStyle name="输出 2 3 4 2 4" xfId="6594"/>
    <cellStyle name="汇总 2 2 7 2" xfId="6595"/>
    <cellStyle name="差 2 2 2 2 4 2 2" xfId="6596"/>
    <cellStyle name="常规 5 3 2" xfId="6597"/>
    <cellStyle name="汇总 2 3 3 2 2 3" xfId="6598"/>
    <cellStyle name="20% - 强调文字颜色 4 2 2 3 3 2 2 2" xfId="6599"/>
    <cellStyle name="汇总 2 5 2 8 3" xfId="6600"/>
    <cellStyle name="计算 2 2 15" xfId="6601"/>
    <cellStyle name="计算 2 2 20" xfId="6602"/>
    <cellStyle name="输出 2 2 3 5 3 2" xfId="6603"/>
    <cellStyle name="注释 2 2 2 3 2 2 3" xfId="6604"/>
    <cellStyle name="无色 7" xfId="6605"/>
    <cellStyle name="汇总 2 5 2 8 2" xfId="6606"/>
    <cellStyle name="计算 2 2 14" xfId="6607"/>
    <cellStyle name="常规 11 2 2 3 3 2" xfId="6608"/>
    <cellStyle name="计算 2 5 2 2 5 2" xfId="6609"/>
    <cellStyle name="60% - 强调文字颜色 2 3 2 3 2 2 2" xfId="6610"/>
    <cellStyle name="强调文字颜色 1 2 2 2 2 5 3" xfId="6611"/>
    <cellStyle name="强调文字颜色 3 2 2 2 2 5" xfId="6612"/>
    <cellStyle name="计算 2 2 7 3 4 2" xfId="6613"/>
    <cellStyle name="强调文字颜色 5 2 2 2 2 2 2 2" xfId="6614"/>
    <cellStyle name="汇总 2 3 6 4 2" xfId="6615"/>
    <cellStyle name="60% - 强调文字颜色 4 2 2 2 3 2 2 2 2" xfId="6616"/>
    <cellStyle name="汇总 2 5 2 3 2 2" xfId="6617"/>
    <cellStyle name="计算 2 2 6 3 2 3" xfId="6618"/>
    <cellStyle name="输出 2 2 2 2 5 3" xfId="6619"/>
    <cellStyle name="输出 2 4 2 3 2 2 3" xfId="6620"/>
    <cellStyle name="60% - 强调文字颜色 5 4 3 2" xfId="6621"/>
    <cellStyle name="汇总 2 8 5 4 2" xfId="6622"/>
    <cellStyle name="注释 2 6 2 2 2" xfId="6623"/>
    <cellStyle name="汇总 2 2 2 8 2 2" xfId="6624"/>
    <cellStyle name="检查单元格 2 2 3 3 4" xfId="6625"/>
    <cellStyle name="注释 2 5 9" xfId="6626"/>
    <cellStyle name="好 2 2 3 5 3" xfId="6627"/>
    <cellStyle name="输出 2 2 3 3 3 2 2 2" xfId="6628"/>
    <cellStyle name="注释 2 2 5 2 2 5" xfId="6629"/>
    <cellStyle name="输入 2 5 3 2 2 2 2" xfId="6630"/>
    <cellStyle name="汇总 2 2 2 2 2 5 3" xfId="6631"/>
    <cellStyle name="60% - 强调文字颜色 6 4 6" xfId="6632"/>
    <cellStyle name="解释性文本 3 4 3" xfId="6633"/>
    <cellStyle name="警告文本 2 2 2 3 2 3" xfId="6634"/>
    <cellStyle name="汇总 2 8 6 3" xfId="6635"/>
    <cellStyle name="百分比 2 4 2 2 2" xfId="6636"/>
    <cellStyle name="注释 2 4 2 7 3" xfId="6637"/>
    <cellStyle name="20% - 强调文字颜色 3 2 2 2 3 4" xfId="6638"/>
    <cellStyle name="适中 2 2 6" xfId="6639"/>
    <cellStyle name="20% - 强调文字颜色 4 2 3 2 3 2" xfId="6640"/>
    <cellStyle name="检查单元格 2 2 2 2 2 2 2 2" xfId="6641"/>
    <cellStyle name="好 2 2 2 2 4 2" xfId="6642"/>
    <cellStyle name="汇总 3 2 3 2 3" xfId="6643"/>
    <cellStyle name="汇总 2 2 7 11" xfId="6644"/>
    <cellStyle name="计算 2 2 6 8 3" xfId="6645"/>
    <cellStyle name="标题 3 2 6 3" xfId="6646"/>
    <cellStyle name="常规 2 2 2 3 3 2 2" xfId="6647"/>
    <cellStyle name="计算 2 2 2 15" xfId="6648"/>
    <cellStyle name="20% - 强调文字颜色 2 3 2 2 4 2" xfId="6649"/>
    <cellStyle name="注释 2 2 3 5 4 2" xfId="6650"/>
    <cellStyle name="40% - 强调文字颜色 3 2 3 4 3 2" xfId="6651"/>
    <cellStyle name="输入 2 15 2 2" xfId="6652"/>
    <cellStyle name="输出 2 10" xfId="6653"/>
    <cellStyle name="输出 4 4 3" xfId="6654"/>
    <cellStyle name="汇总 2 5 3 2 2 4 2 2" xfId="6655"/>
    <cellStyle name="汇总 2 2 7 8" xfId="6656"/>
    <cellStyle name="计算 3 4 2 2 2" xfId="6657"/>
    <cellStyle name="计算 2 2 4 2 16" xfId="6658"/>
    <cellStyle name="链接单元格 2 2 2 4 2 2" xfId="6659"/>
    <cellStyle name="60% - 强调文字颜色 6 2 4 3 2 3" xfId="6660"/>
    <cellStyle name="计算 3 2 8" xfId="6661"/>
    <cellStyle name="汇总 3 2 2 4" xfId="6662"/>
    <cellStyle name="强调文字颜色 5 5 2 2" xfId="6663"/>
    <cellStyle name="链接单元格 2 2 6 2" xfId="6664"/>
    <cellStyle name="常规 6 2 2 4 3" xfId="6665"/>
    <cellStyle name="输出 2 2 3 2 2 6" xfId="6666"/>
    <cellStyle name="警告文本 3 3 3 2" xfId="6667"/>
    <cellStyle name="汇总 3 3 4 2" xfId="6668"/>
    <cellStyle name="输入 2 2 6 3 4" xfId="6669"/>
    <cellStyle name="计算 2 5 2 8" xfId="6670"/>
    <cellStyle name="计算 2 4 4 4 3" xfId="6671"/>
    <cellStyle name="输入 2 2 3 2 5" xfId="6672"/>
    <cellStyle name="超链接 3 3 7 2" xfId="6673"/>
    <cellStyle name="输入 2 7 8 2" xfId="6674"/>
    <cellStyle name="注释 3 3 2 2" xfId="6675"/>
    <cellStyle name="强调文字颜色 1 2 2 2 6 2" xfId="6676"/>
    <cellStyle name="标题 2 3 2" xfId="6677"/>
    <cellStyle name="20% - 强调文字颜色 5 2 2 4 2 2" xfId="6678"/>
    <cellStyle name="40% - 强调文字颜色 1 2 5 5 2" xfId="6679"/>
    <cellStyle name="标题 4 4 2 2 3" xfId="6680"/>
    <cellStyle name="汇总 2 6 4 4 2 2" xfId="6681"/>
    <cellStyle name="输出 2 2 5 3 3 2" xfId="6682"/>
    <cellStyle name="标题 1 2 3 2 2 3 2" xfId="6683"/>
    <cellStyle name="汇总 2 2 4 5 2 3 2 2" xfId="6684"/>
    <cellStyle name="输入 2 4 3 2 2 2" xfId="6685"/>
    <cellStyle name="汇总 4 2 4 3" xfId="6686"/>
    <cellStyle name="强调文字颜色 1 2 2 4 3 2" xfId="6687"/>
    <cellStyle name="解释性文本 2 3 2 3 3" xfId="6688"/>
    <cellStyle name="注释 3 8 2 2" xfId="6689"/>
    <cellStyle name="计算 2 2 7 2" xfId="6690"/>
    <cellStyle name="计算 2 6 2 2 9" xfId="6691"/>
    <cellStyle name="标题 2 2 6 2 2" xfId="6692"/>
    <cellStyle name="注释 3 4" xfId="6693"/>
    <cellStyle name="常规 7 2 2 2 2 3" xfId="6694"/>
    <cellStyle name="警告文本 2 3 2 2 3 2" xfId="6695"/>
    <cellStyle name="超链接 3 2 2 3" xfId="6696"/>
    <cellStyle name="输入 2 6 3 3" xfId="6697"/>
    <cellStyle name="汇总 2 2 3 4 2 3" xfId="6698"/>
    <cellStyle name="20% - 强调文字颜色 5 2 3 2 3 2 2 2" xfId="6699"/>
    <cellStyle name="汇总 2 2 2 2 2 2 4" xfId="6700"/>
    <cellStyle name="汇总 2 3 2 3 2 2 2" xfId="6701"/>
    <cellStyle name="强调文字颜色 1 3 2 2" xfId="6702"/>
    <cellStyle name="输入 2 3 2 2 4 2 2" xfId="6703"/>
    <cellStyle name="常规 2 2 2 4 3 2 2" xfId="6704"/>
    <cellStyle name="常规 13 2 2 4 3" xfId="6705"/>
    <cellStyle name="超链接 3 5 2 2 3" xfId="6706"/>
    <cellStyle name="20% - 强调文字颜色 6 2 2 5 3" xfId="6707"/>
    <cellStyle name="差 2 2 3 3 3 2" xfId="6708"/>
    <cellStyle name="汇总 3 11 2" xfId="6709"/>
    <cellStyle name="计算 2 2 3 2 2 9" xfId="6710"/>
    <cellStyle name="常规 5 3 4 2 3 3" xfId="6711"/>
    <cellStyle name="常规 5 5 2 3 5" xfId="6712"/>
    <cellStyle name="强调文字颜色 4 2 3 2 5 3" xfId="6713"/>
    <cellStyle name="强调文字颜色 6 2 3 4 3 2 2" xfId="6714"/>
    <cellStyle name="汇总 2 4 2 3" xfId="6715"/>
    <cellStyle name="标题 4 2 2 4 2 2" xfId="6716"/>
    <cellStyle name="汇总 2 2 4 2 3 3 4 2" xfId="6717"/>
    <cellStyle name="计算 4 2 2 4 2 2" xfId="6718"/>
    <cellStyle name="汇总 2 3 2 3 2 2" xfId="6719"/>
    <cellStyle name="计算 2 2 3 2 2 2 3 3" xfId="6720"/>
    <cellStyle name="强调文字颜色 2 2 3 2 3 3 3" xfId="6721"/>
    <cellStyle name="输入 2 2 4 2 2 2 4 3" xfId="6722"/>
    <cellStyle name="汇总 2 2 2 2 3 3 3" xfId="6723"/>
    <cellStyle name="汇总 2 7 2 4 2" xfId="6724"/>
    <cellStyle name="40% - 强调文字颜色 6 2 2 2 6 2" xfId="6725"/>
    <cellStyle name="60% - 强调文字颜色 6 2 2 2 2 2 2" xfId="6726"/>
    <cellStyle name="计算 2 6 3" xfId="6727"/>
    <cellStyle name="强调文字颜色 6 2 2 4 4 2" xfId="6728"/>
    <cellStyle name="汇总 2 2 8 4 3 2" xfId="6729"/>
    <cellStyle name="标题 2 2 3 3 6" xfId="6730"/>
    <cellStyle name="注释 3 2 6 2 2" xfId="6731"/>
    <cellStyle name="好 2 2 3 5" xfId="6732"/>
    <cellStyle name="汇总 3 2 6 2" xfId="6733"/>
    <cellStyle name="汇总 3 2 4" xfId="6734"/>
    <cellStyle name="输入 2 7 2 4 2 2" xfId="6735"/>
    <cellStyle name="计算 2 6 4 6 2" xfId="6736"/>
    <cellStyle name="输入 2 2 7 5 2 2" xfId="6737"/>
    <cellStyle name="20% - 强调文字颜色 5 2 2 6" xfId="6738"/>
    <cellStyle name="20% - 强调文字颜色 3 3 2 5 2" xfId="6739"/>
    <cellStyle name="汇总 2 6 4 6" xfId="6740"/>
    <cellStyle name="好 2 3 2 4 2 3" xfId="6741"/>
    <cellStyle name="输入 2 5 2 4 4" xfId="6742"/>
    <cellStyle name="40% - 强调文字颜色 2 2 5 5 2 2" xfId="6743"/>
    <cellStyle name="标题 1 3 2 4" xfId="6744"/>
    <cellStyle name="计算 3 3 3" xfId="6745"/>
    <cellStyle name="输入 2 3 2 2 8" xfId="6746"/>
    <cellStyle name="强调文字颜色 3 2 4 4 3 2" xfId="6747"/>
    <cellStyle name="输入 2 4 3 6 2" xfId="6748"/>
    <cellStyle name="汇总 2 3 5 5" xfId="6749"/>
    <cellStyle name="汇总 2 3 6 2 2" xfId="6750"/>
    <cellStyle name="注释 2 2 4 3 2 2 2 2" xfId="6751"/>
    <cellStyle name="常规 4 2 5 2 2 2" xfId="6752"/>
    <cellStyle name="40% - 强调文字颜色 1 5 2 2" xfId="6753"/>
    <cellStyle name="常规 9 4 2 2" xfId="6754"/>
    <cellStyle name="计算 2 2 2 2 2 3 2" xfId="6755"/>
    <cellStyle name="检查单元格 2 4 2 2 3" xfId="6756"/>
    <cellStyle name="计算 2 11 2" xfId="6757"/>
    <cellStyle name="60% - 强调文字颜色 3 2 4" xfId="6758"/>
    <cellStyle name="计算 2 2 5 2 7" xfId="6759"/>
    <cellStyle name="60% - 强调文字颜色 2 2 3 2" xfId="6760"/>
    <cellStyle name="计算 2 2 4 2 6 2" xfId="6761"/>
    <cellStyle name="标题 3 2 3 6 2 3" xfId="6762"/>
    <cellStyle name="标题 3 2 3 5 2 2 2" xfId="6763"/>
    <cellStyle name="60% - 强调文字颜色 4 5 2 2 2 2" xfId="6764"/>
    <cellStyle name="好 2 2 2 2 6 3" xfId="6765"/>
    <cellStyle name="输出 2 2 7 7 3" xfId="6766"/>
    <cellStyle name="标题 3 2 2 2 3 2 2 3" xfId="6767"/>
    <cellStyle name="输入 2 2 5 4 2 3" xfId="6768"/>
    <cellStyle name="计算 2 4 3 6 3" xfId="6769"/>
    <cellStyle name="计算 2 4 4 8" xfId="6770"/>
    <cellStyle name="输出 2 2 3 2 3 5 2 2" xfId="6771"/>
    <cellStyle name="强调文字颜色 3 2 5 2" xfId="6772"/>
    <cellStyle name="好 2 2 6" xfId="6773"/>
    <cellStyle name="检查单元格 2 3 2 2 3 2" xfId="6774"/>
    <cellStyle name="Normal 3 3 2" xfId="6775"/>
    <cellStyle name="汇总 2 2 7 3 2 3 2 2" xfId="6776"/>
    <cellStyle name="注释 5 2 4" xfId="6777"/>
    <cellStyle name="输入 2 9 2 2" xfId="6778"/>
    <cellStyle name="汇总 2 3 3 2 8" xfId="6779"/>
    <cellStyle name="常规 5 2 2 2 2 5 2" xfId="6780"/>
    <cellStyle name="注释 2 10 2 2" xfId="6781"/>
    <cellStyle name="标题 4 2 4 8" xfId="6782"/>
    <cellStyle name="强调文字颜色 3 2 6 3 2" xfId="6783"/>
    <cellStyle name="标题 4 2 2 2 3 3 2" xfId="6784"/>
    <cellStyle name="汇总 2 2 5 2 8" xfId="6785"/>
    <cellStyle name="汇总 2 7 5 6" xfId="6786"/>
    <cellStyle name="汇总 2 2 4 2 3 3 4" xfId="6787"/>
    <cellStyle name="常规 5 2 5 4" xfId="6788"/>
    <cellStyle name="汇总 2 5 2 3 6" xfId="6789"/>
    <cellStyle name="40% - 强调文字颜色 2 3 4 2 2" xfId="6790"/>
    <cellStyle name="汇总 2 4 2 2 3 2 3" xfId="6791"/>
    <cellStyle name="链接单元格 2 2 5 3 2" xfId="6792"/>
    <cellStyle name="标题 3 2 3 2 5 3" xfId="6793"/>
    <cellStyle name="注释 2 4 2 3" xfId="6794"/>
    <cellStyle name="适中 2 2 3 4 3 2" xfId="6795"/>
    <cellStyle name="计算 5 2 4" xfId="6796"/>
    <cellStyle name="计算 2 5 2 2 8" xfId="6797"/>
    <cellStyle name="注释 2 3 2 4 2" xfId="6798"/>
    <cellStyle name="链接单元格 2" xfId="6799"/>
    <cellStyle name="汇总 2 6 2 4 4" xfId="6800"/>
    <cellStyle name="汇总 2 3 2 2 3 3 3" xfId="6801"/>
    <cellStyle name="汇总 3 3 5 2" xfId="6802"/>
    <cellStyle name="计算 2 2 6 2 2 2 3 2 2" xfId="6803"/>
    <cellStyle name="60% - 强调文字颜色 1 2 3 3 3 2" xfId="6804"/>
    <cellStyle name="20% - 强调文字颜色 4 2 2 2" xfId="6805"/>
    <cellStyle name="标题 5 3 2 2 2 2" xfId="6806"/>
    <cellStyle name="40% - 强调文字颜色 5 2 7 2" xfId="6807"/>
    <cellStyle name="注释 2 2 3 2 8" xfId="6808"/>
    <cellStyle name="输出 2 2 3 2 3 6" xfId="6809"/>
    <cellStyle name="注释 2 2 10 5" xfId="6810"/>
    <cellStyle name="汇总 2 8 10" xfId="6811"/>
    <cellStyle name="适中 3 3 2 2" xfId="6812"/>
    <cellStyle name="常规 9 5 2 2 3" xfId="6813"/>
    <cellStyle name="40% - 强调文字颜色 3 2 2 4 4 2 2" xfId="6814"/>
    <cellStyle name="强调文字颜色 3 2 3 2 4 3" xfId="6815"/>
    <cellStyle name="强调文字颜色 5 2 2 2 2 5 3" xfId="6816"/>
    <cellStyle name="汇总 2 7 2 2 2 3 2" xfId="6817"/>
    <cellStyle name="警告文本 2 4 3 2 2 2" xfId="6818"/>
    <cellStyle name="汇总 2 3 2 3 4 2" xfId="6819"/>
    <cellStyle name="超链接 3 2 2 3 2 2" xfId="6820"/>
    <cellStyle name="输入 2 6 3 3 2 2" xfId="6821"/>
    <cellStyle name="40% - 强调文字颜色 5 2 2 2 5" xfId="6822"/>
    <cellStyle name="好 2 3 2 2 5" xfId="6823"/>
    <cellStyle name="输出 2 4 2 3 3 2 2" xfId="6824"/>
    <cellStyle name="检查单元格 2 3 2 2 3" xfId="6825"/>
    <cellStyle name="输入 2 4 3 2 3 2" xfId="6826"/>
    <cellStyle name="注释 2 6 8" xfId="6827"/>
    <cellStyle name="常规 6 6 2 2" xfId="6828"/>
    <cellStyle name="输出 2 5 3 2 3" xfId="6829"/>
    <cellStyle name="40% - 强调文字颜色 4 2 6" xfId="6830"/>
    <cellStyle name="输入 2 6 3 6 2" xfId="6831"/>
    <cellStyle name="常规 11" xfId="6832"/>
    <cellStyle name="解释性文本 2 2 4 2 2 3" xfId="6833"/>
    <cellStyle name="汇总 2 2 6 2 2" xfId="6834"/>
    <cellStyle name="解释性文本 3 7" xfId="6835"/>
    <cellStyle name="60% - 强调文字颜色 2 5 2 2 2 2" xfId="6836"/>
    <cellStyle name="标题 1 2 3 6 2 3" xfId="6837"/>
    <cellStyle name="输出 2 4 4 9" xfId="6838"/>
    <cellStyle name="好 2 4 10" xfId="6839"/>
    <cellStyle name="输出 2 2 9 3 3" xfId="6840"/>
    <cellStyle name="计算 2 2 6 3 2 2" xfId="6841"/>
    <cellStyle name="输入 2 3 9 3" xfId="6842"/>
    <cellStyle name="汇总 2 10 2 2 2 2" xfId="6843"/>
    <cellStyle name="好 2 2 4 3 2 3" xfId="6844"/>
    <cellStyle name="汇总 2 2 9 3" xfId="6845"/>
    <cellStyle name="强调文字颜色 1 2 2 4 2 2 2 2" xfId="6846"/>
    <cellStyle name="警告文本 2 4 6 3" xfId="6847"/>
    <cellStyle name="汇总 4 3 4" xfId="6848"/>
    <cellStyle name="计算 2 8 5 4 2" xfId="6849"/>
    <cellStyle name="40% - 强调文字颜色 3 2 5 3 2 2" xfId="6850"/>
    <cellStyle name="注释 2 2 5 4 3 2" xfId="6851"/>
    <cellStyle name="20% - 强调文字颜色 1 2 2 3 3" xfId="6852"/>
    <cellStyle name="汇总 2 2 4 3 2 2 5 2" xfId="6853"/>
    <cellStyle name="计算 2 8 2 2 2" xfId="6854"/>
    <cellStyle name="20% - 强调文字颜色 5 2 3 2 4 3" xfId="6855"/>
    <cellStyle name="汇总 2 3 2 2 2 3 3" xfId="6856"/>
    <cellStyle name="标题 5 2 7" xfId="6857"/>
    <cellStyle name="输入 2 2 7 10" xfId="6858"/>
    <cellStyle name="计算 2 2 2 3" xfId="6859"/>
    <cellStyle name="汇总 2 3 2 3 3 2" xfId="6860"/>
    <cellStyle name="40% - 强调文字颜色 5 2 2 6 3" xfId="6861"/>
    <cellStyle name="汇总 2 2 4 2 2 2 2 5 2" xfId="6862"/>
    <cellStyle name="注释 2 2 7 8" xfId="6863"/>
    <cellStyle name="常规 4 2 2 2 3 2 2" xfId="6864"/>
    <cellStyle name="标题 1 2 2 4 2 2 2" xfId="6865"/>
    <cellStyle name="强调文字颜色 6 2 2 7 2 2" xfId="6866"/>
    <cellStyle name="汇总 2 8 3 2 3 2" xfId="6867"/>
    <cellStyle name="20% - 强调文字颜色 5 3 3 2 2" xfId="6868"/>
    <cellStyle name="60% - 强调文字颜色 3 2 2 2 2 2 2 2 2" xfId="6869"/>
    <cellStyle name="输出 2 5 2 2 4" xfId="6870"/>
    <cellStyle name="汇总 2 7 5 2 2" xfId="6871"/>
    <cellStyle name="输出 2 2 5 4 3" xfId="6872"/>
    <cellStyle name="输入 2 2 3 2 4" xfId="6873"/>
    <cellStyle name="计算 2 3 2 4 3" xfId="6874"/>
    <cellStyle name="注释 2 4 3 2 3 2" xfId="6875"/>
    <cellStyle name="注释 4 3" xfId="6876"/>
    <cellStyle name="汇总 2 6 9 2" xfId="6877"/>
    <cellStyle name="常规 11 3 2 2" xfId="6878"/>
    <cellStyle name="常规 18" xfId="6879"/>
    <cellStyle name="常规 23" xfId="6880"/>
    <cellStyle name="计算 2 6 2 3 8" xfId="6881"/>
    <cellStyle name="20% - 强调文字颜色 5 2 3 2 3 3 2" xfId="6882"/>
    <cellStyle name="汇总 2 2 4 3 2 2 4 2 2" xfId="6883"/>
    <cellStyle name="20% - 强调文字颜色 1 2 3 2 2 2" xfId="6884"/>
    <cellStyle name="适中 2 3 2 3 2 2" xfId="6885"/>
    <cellStyle name="输出 2 2 5 2 2 3 3" xfId="6886"/>
    <cellStyle name="计算 3 2 7 2 2" xfId="6887"/>
    <cellStyle name="警告文本 2 3 3 5" xfId="6888"/>
    <cellStyle name="输出 2 2 2 2 2 9" xfId="6889"/>
    <cellStyle name="20% - 强调文字颜色 4 2 2 5 2 2 2" xfId="6890"/>
    <cellStyle name="链接单元格 2 3" xfId="6891"/>
    <cellStyle name="常规 3 3 7 2 3 2" xfId="6892"/>
    <cellStyle name="输出 2 2 4 2 2 3" xfId="6893"/>
    <cellStyle name="20% - 强调文字颜色 5 3 5 2" xfId="6894"/>
    <cellStyle name="计算 2 2 5 2 10" xfId="6895"/>
    <cellStyle name="20% - 强调文字颜色 2 2 4 4 3 2" xfId="6896"/>
    <cellStyle name="适中 2 4 5 3" xfId="6897"/>
    <cellStyle name="注释 2 3 2 4" xfId="6898"/>
    <cellStyle name="20% - 强调文字颜色 1 3 6 2" xfId="6899"/>
    <cellStyle name="强调文字颜色 2 2 2 2 6 2" xfId="6900"/>
    <cellStyle name="检查单元格 2 4 5 2 2" xfId="6901"/>
    <cellStyle name="汇总 2 3 2 2 2 2" xfId="6902"/>
    <cellStyle name="计算 4 2 2 3 2 2" xfId="6903"/>
    <cellStyle name="注释 2 2 3 2 2 2 2 2 2" xfId="6904"/>
    <cellStyle name="输入 2 2 8 10" xfId="6905"/>
    <cellStyle name="输入 4 4 3" xfId="6906"/>
    <cellStyle name="汇总 2 7 4 5" xfId="6907"/>
    <cellStyle name="计算 2 4 3 7" xfId="6908"/>
    <cellStyle name="输出 2 2 7 8" xfId="6909"/>
    <cellStyle name="60% - 强调文字颜色 2 2 3 2 2 4" xfId="6910"/>
    <cellStyle name="输入 2 2 5 4 3" xfId="6911"/>
    <cellStyle name="标题 3 2 2 2 3 2 3" xfId="6912"/>
    <cellStyle name="60% - 强调文字颜色 1 2 2 2 2 4 2" xfId="6913"/>
    <cellStyle name="60% - 强调文字颜色 3 2 4 2 2 2" xfId="6914"/>
    <cellStyle name="计算 2 4 3 5 2" xfId="6915"/>
    <cellStyle name="60% - 强调文字颜色 2 2 3 2 2 2 2" xfId="6916"/>
    <cellStyle name="60% - 强调文字颜色 1 2 2 2 2 6" xfId="6917"/>
    <cellStyle name="输出 2 2 7 6 2" xfId="6918"/>
    <cellStyle name="汇总 2 2 10 2 2 2 2" xfId="6919"/>
    <cellStyle name="计算 2 4 2 9 2" xfId="6920"/>
    <cellStyle name="输入 2 2 5 3 5 2" xfId="6921"/>
    <cellStyle name="计算 2 3 2 13" xfId="6922"/>
    <cellStyle name="输入 2 2 13 3" xfId="6923"/>
    <cellStyle name="60% - 强调文字颜色 3 2 2 2 4 3 2 2" xfId="6924"/>
    <cellStyle name="输出 2 2 3 13" xfId="6925"/>
    <cellStyle name="常规 10 2 3 2 3 3" xfId="6926"/>
    <cellStyle name="输入 2 5 2 4 6" xfId="6927"/>
    <cellStyle name="60% - 强调文字颜色 3 2 2 6 3 2" xfId="6928"/>
    <cellStyle name="标题 3 3 4 2" xfId="6929"/>
    <cellStyle name="强调文字颜色 4 2 4 4 2 2" xfId="6930"/>
    <cellStyle name="输入 2 2 3 8 2 2" xfId="6931"/>
    <cellStyle name="计算 2 2 7 6 2" xfId="6932"/>
    <cellStyle name="计算 2 5 2 6 2 3" xfId="6933"/>
    <cellStyle name="标题 2 2 2" xfId="6934"/>
    <cellStyle name="40% - 强调文字颜色 1 2 5 4 2" xfId="6935"/>
    <cellStyle name="解释性文本 2 3 2 2 3 2" xfId="6936"/>
    <cellStyle name="汇总 2 5 2 5 4" xfId="6937"/>
    <cellStyle name="输入 2 5 2 2 3 2 2 2" xfId="6938"/>
    <cellStyle name="标题 4 3 2 2 2 3" xfId="6939"/>
    <cellStyle name="输出 3 12" xfId="6940"/>
    <cellStyle name="常规 4 8 3" xfId="6941"/>
    <cellStyle name="40% - 强调文字颜色 4 3 3 2 2" xfId="6942"/>
    <cellStyle name="注释 2 2 4 2 3" xfId="6943"/>
    <cellStyle name="输入 2 6 2 2 2 3" xfId="6944"/>
    <cellStyle name="汇总 2 2 6 4 2 7" xfId="6945"/>
    <cellStyle name="40% - 强调文字颜色 1 2 3 3" xfId="6946"/>
    <cellStyle name="40% - 强调文字颜色 2 2 2 2 3 2 2 2" xfId="6947"/>
    <cellStyle name="输入 2 5 3 3 3" xfId="6948"/>
    <cellStyle name="汇总 3 3 2 6" xfId="6949"/>
    <cellStyle name="汇总 2 2 2 3 5" xfId="6950"/>
    <cellStyle name="计算 2 5 9 2 2" xfId="6951"/>
    <cellStyle name="注释 2 3 3 6" xfId="6952"/>
    <cellStyle name="40% - 强调文字颜色 5 2 6 3 2" xfId="6953"/>
    <cellStyle name="计算 2 2 2 3 5 3" xfId="6954"/>
    <cellStyle name="60% - 强调文字颜色 2 2 3 2 5" xfId="6955"/>
    <cellStyle name="60% - 强调文字颜色 3 2 4 5" xfId="6956"/>
    <cellStyle name="汇总 2 5 5 3" xfId="6957"/>
    <cellStyle name="链接单元格 2 4 2 2 2 2 2" xfId="6958"/>
    <cellStyle name="计算 2 5 2 2 2 2 4 2" xfId="6959"/>
    <cellStyle name="汇总 2 2 2 3 2 8" xfId="6960"/>
    <cellStyle name="强调文字颜色 3 2 2 2 2 4 3 2" xfId="6961"/>
    <cellStyle name="输入 3 6 2" xfId="6962"/>
    <cellStyle name="20% - 强调文字颜色 4 3 2 2 4" xfId="6963"/>
    <cellStyle name="强调文字颜色 2 2 2 2 2 2 2 2 3" xfId="6964"/>
    <cellStyle name="计算 2 5 2 2 7 2" xfId="6965"/>
    <cellStyle name="计算 5 2 3 2" xfId="6966"/>
    <cellStyle name="链接单元格 2 2 4 3 2 2" xfId="6967"/>
    <cellStyle name="汇总 2 2 6 11" xfId="6968"/>
    <cellStyle name="计算 2 8 4 4" xfId="6969"/>
    <cellStyle name="适中 2 2 6 4" xfId="6970"/>
    <cellStyle name="计算 2 5 2 4 2 4" xfId="6971"/>
    <cellStyle name="输出 2 5 2 6 2 2" xfId="6972"/>
    <cellStyle name="超链接 2 2 5 3" xfId="6973"/>
    <cellStyle name="注释 2 6 4 2 5" xfId="6974"/>
    <cellStyle name="解释性文本 2 2 2 2 3 3" xfId="6975"/>
    <cellStyle name="计算 2 2 4 2 4 5 2" xfId="6976"/>
    <cellStyle name="计算 3 2 3 3" xfId="6977"/>
    <cellStyle name="汇总 3 2 2 2 2 2" xfId="6978"/>
    <cellStyle name="超链接 2 4 3 2 3" xfId="6979"/>
    <cellStyle name="超链接 3 2 3 2 2 2" xfId="6980"/>
    <cellStyle name="输入 2 6 4 2 2 2" xfId="6981"/>
    <cellStyle name="汇总 2 3 3 2 4 2" xfId="6982"/>
    <cellStyle name="40% - 强调文字颜色 1 2 3 2 2 3 2 2 2" xfId="6983"/>
    <cellStyle name="超链接 2 2 2 2 2 4" xfId="6984"/>
    <cellStyle name="20% - 强调文字颜色 5 2 3 2 5 2 2" xfId="6985"/>
    <cellStyle name="计算 3 3 6 3" xfId="6986"/>
    <cellStyle name="强调文字颜色 4 2 2 2 2 2 2 2 2 2" xfId="6987"/>
    <cellStyle name="注释 2 2 4 2 3 2 2" xfId="6988"/>
    <cellStyle name="好 4 2 2 2 3" xfId="6989"/>
    <cellStyle name="汇总 2 2 3 2 7" xfId="6990"/>
    <cellStyle name="常规 11 4 2 4 2" xfId="6991"/>
    <cellStyle name="输入 2 5 4 2 5" xfId="6992"/>
    <cellStyle name="40% - 强调文字颜色 1 3 6" xfId="6993"/>
    <cellStyle name="20% - 强调文字颜色 6 3 2 2 3 2 2" xfId="6994"/>
    <cellStyle name="常规 9 2 6" xfId="6995"/>
    <cellStyle name="输出 2 7 2 2 5" xfId="6996"/>
    <cellStyle name="标题 1 2 3 6 2 2" xfId="6997"/>
    <cellStyle name="计算 2 4 5 2 2" xfId="6998"/>
    <cellStyle name="输出 2 2 9 3 2" xfId="6999"/>
    <cellStyle name="输出 2 4 4 8" xfId="7000"/>
    <cellStyle name="警告文本 2 2 2 5" xfId="7001"/>
    <cellStyle name="汇总 2 3 3 3 2" xfId="7002"/>
    <cellStyle name="计算 4 2 3 4 2" xfId="7003"/>
    <cellStyle name="好 2 3 2 2 2 3" xfId="7004"/>
    <cellStyle name="百分比 2 2 3 2 2" xfId="7005"/>
    <cellStyle name="注释 2 2 3 7 3" xfId="7006"/>
    <cellStyle name="40% - 强调文字颜色 5 2 2 2 2 3" xfId="7007"/>
    <cellStyle name="40% - 强调文字颜色 3 2 3 6 2" xfId="7008"/>
    <cellStyle name="标题 1 2 2 5 2 2 2" xfId="7009"/>
    <cellStyle name="常规 5 2 2" xfId="7010"/>
    <cellStyle name="链接单元格 2 2 2 2 2 4" xfId="7011"/>
    <cellStyle name="解释性文本 3 3 2 2" xfId="7012"/>
    <cellStyle name="差 3 2 2 3 2 3" xfId="7013"/>
    <cellStyle name="标题 2 3 8" xfId="7014"/>
    <cellStyle name="计算 3 2 2 2 3" xfId="7015"/>
    <cellStyle name="输入 3 7" xfId="7016"/>
    <cellStyle name="标题 1 2 2 2 4 2" xfId="7017"/>
    <cellStyle name="40% - 强调文字颜色 5 2 3 2 5 2 2" xfId="7018"/>
    <cellStyle name="汇总 2 8 8 2 2" xfId="7019"/>
    <cellStyle name="汇总 2 2 4 2 2 4" xfId="7020"/>
    <cellStyle name="输入 2 2 6 4 2 4" xfId="7021"/>
    <cellStyle name="输入 2 2 10 3" xfId="7022"/>
    <cellStyle name="警告文本 2 2 3 5 2" xfId="7023"/>
    <cellStyle name="计算 2 2 5 2 2 4" xfId="7024"/>
    <cellStyle name="计算 2 5 4 2 7" xfId="7025"/>
    <cellStyle name="强调文字颜色 1 2 7 2 2" xfId="7026"/>
    <cellStyle name="40% - 强调文字颜色 6 4 2 4" xfId="7027"/>
    <cellStyle name="汇总 2 6 2 2 2 3 2 2" xfId="7028"/>
    <cellStyle name="汇总 2 2 8 4 3" xfId="7029"/>
    <cellStyle name="汇总 2 2 2 2 2 2 7" xfId="7030"/>
    <cellStyle name="标题 2 2 2 2 3 3" xfId="7031"/>
    <cellStyle name="输入 3 2 5 3" xfId="7032"/>
    <cellStyle name="常规 10 6" xfId="7033"/>
    <cellStyle name="20% - 强调文字颜色 1 4 2 3 2 2" xfId="7034"/>
    <cellStyle name="汇总 3 3 3" xfId="7035"/>
    <cellStyle name="差 2 4 2 2 2 2" xfId="7036"/>
    <cellStyle name="标题 1 2 2 6 3 3" xfId="7037"/>
    <cellStyle name="百分比 2 3 4 3" xfId="7038"/>
    <cellStyle name="20% - 强调文字颜色 3 2 7 2 2 2" xfId="7039"/>
    <cellStyle name="差 2 3 3 3 2" xfId="7040"/>
    <cellStyle name="强调文字颜色 1 4 2 3" xfId="7041"/>
    <cellStyle name="常规 5 3 3 2 4 2" xfId="7042"/>
    <cellStyle name="汇总 2 2 8 2" xfId="7043"/>
    <cellStyle name="输入 3 2 3" xfId="7044"/>
    <cellStyle name="计算 2 6 2 3 5" xfId="7045"/>
    <cellStyle name="计算 3 2 4 3 2 2" xfId="7046"/>
    <cellStyle name="计算 2 2 3 3 2 4" xfId="7047"/>
    <cellStyle name="20% - 强调文字颜色 3 3 5" xfId="7048"/>
    <cellStyle name="强调文字颜色 1 2 2 2 4 3 3" xfId="7049"/>
    <cellStyle name="适中 2 2 7" xfId="7050"/>
    <cellStyle name="20% - 强调文字颜色 3 2 2 2 3 5" xfId="7051"/>
    <cellStyle name="标题 1 3 2 2 3 2 2" xfId="7052"/>
    <cellStyle name="输出 2 8 4 3" xfId="7053"/>
    <cellStyle name="计算 2 3 4 2 2" xfId="7054"/>
    <cellStyle name="标题 1 2 2 5 2 2" xfId="7055"/>
    <cellStyle name="百分比 2 2 3 2" xfId="7056"/>
    <cellStyle name="汇总 2 8 4 2 3" xfId="7057"/>
    <cellStyle name="40% - 强调文字颜色 3 2 3 6" xfId="7058"/>
    <cellStyle name="强调文字颜色 6 2 2 4 3 2" xfId="7059"/>
    <cellStyle name="20% - 强调文字颜色 1 2 2 4 2 2 2 2" xfId="7060"/>
    <cellStyle name="强调文字颜色 4 2 3 2 6" xfId="7061"/>
    <cellStyle name="输出 2 2 7 3 2 5" xfId="7062"/>
    <cellStyle name="常规 5 3 2 4 2 2" xfId="7063"/>
    <cellStyle name="标题 4 2 2 2 2 3 3 2" xfId="7064"/>
    <cellStyle name="计算 2 7 5 5" xfId="7065"/>
    <cellStyle name="标题 7" xfId="7066"/>
    <cellStyle name="强调文字颜色 3 2 3 2" xfId="7067"/>
    <cellStyle name="注释 2 5 2 2 8" xfId="7068"/>
    <cellStyle name="常规 11 3 4 2" xfId="7069"/>
    <cellStyle name="输入 3 4" xfId="7070"/>
    <cellStyle name="标题 3 2 3 3 3" xfId="7071"/>
    <cellStyle name="计算 2 2 6 5 3 3" xfId="7072"/>
    <cellStyle name="汇总 2 5 2 5 3 2" xfId="7073"/>
    <cellStyle name="差 4 2 5" xfId="7074"/>
    <cellStyle name="计算 2 6 10" xfId="7075"/>
    <cellStyle name="20% - 强调文字颜色 6 2 4 4 2 2" xfId="7076"/>
    <cellStyle name="汇总 2 6 2 3 2" xfId="7077"/>
    <cellStyle name="常规 4 2 4 5 2" xfId="7078"/>
    <cellStyle name="20% - 强调文字颜色 4 2 2 2 4" xfId="7079"/>
    <cellStyle name="超链接 2 5 4 2 2" xfId="7080"/>
    <cellStyle name="解释性文本 2 3 4 2 2 2" xfId="7081"/>
    <cellStyle name="差 3 10" xfId="7082"/>
    <cellStyle name="输出 2 4 3 4 2 2" xfId="7083"/>
    <cellStyle name="汇总 2 2 5 3" xfId="7084"/>
    <cellStyle name="解释性文本 2 9 2 2" xfId="7085"/>
    <cellStyle name="40% - 强调文字颜色 4 3 2 2 2 2" xfId="7086"/>
    <cellStyle name="计算 2 2 4 4 3 3 2 2" xfId="7087"/>
    <cellStyle name="输出 2 5 3 4" xfId="7088"/>
    <cellStyle name="解释性文本 2 4 4 2" xfId="7089"/>
    <cellStyle name="标题 3 2 2 9" xfId="7090"/>
    <cellStyle name="检查单元格 2 3 5" xfId="7091"/>
    <cellStyle name="汇总 2 8 2 5 2 2" xfId="7092"/>
    <cellStyle name="标题 6 2 3 2 3" xfId="7093"/>
    <cellStyle name="适中 2 2 3 3" xfId="7094"/>
    <cellStyle name="20% - 强调文字颜色 5 2 2 3 2 2" xfId="7095"/>
    <cellStyle name="标题 1 3 2" xfId="7096"/>
    <cellStyle name="计算 2 5 2 4 2 6" xfId="7097"/>
    <cellStyle name="汇总 2 6 4 3 2 2" xfId="7098"/>
    <cellStyle name="40% - 强调文字颜色 1 2 4 5 2" xfId="7099"/>
    <cellStyle name="计算 3 2 2 7 2" xfId="7100"/>
    <cellStyle name="解释性文本 2 2 6 3 2 2" xfId="7101"/>
    <cellStyle name="输出 4 2 2 3" xfId="7102"/>
    <cellStyle name="常规 2 2 3 5 2 2" xfId="7103"/>
    <cellStyle name="输出 3 3 5" xfId="7104"/>
    <cellStyle name="40% - 强调文字颜色 4 2 4 3 2 2" xfId="7105"/>
    <cellStyle name="常规 3 2 3" xfId="7106"/>
    <cellStyle name="20% - 强调文字颜色 6 2 2 4 4" xfId="7107"/>
    <cellStyle name="检查单元格 4 2 2 2" xfId="7108"/>
    <cellStyle name="输入 2 4 4 2" xfId="7109"/>
    <cellStyle name="汇总 2 6 3 2 5" xfId="7110"/>
    <cellStyle name="超链接 3 5 3 2 3" xfId="7111"/>
    <cellStyle name="警告文本 2 2 2 4 2" xfId="7112"/>
    <cellStyle name="计算 2 2 10 2 2 2 2" xfId="7113"/>
    <cellStyle name="解释性文本 2 2 2 2 6 2 2" xfId="7114"/>
    <cellStyle name="汇总 2 2 3 2 6" xfId="7115"/>
    <cellStyle name="计算 2 7 2 3 3" xfId="7116"/>
    <cellStyle name="汇总 2 2 4 2 3 6 2 2" xfId="7117"/>
    <cellStyle name="40% - 强调文字颜色 3 3 3 3 2 2 2" xfId="7118"/>
    <cellStyle name="输出 2 3 3 4" xfId="7119"/>
    <cellStyle name="60% - 强调文字颜色 5 2 7 2" xfId="7120"/>
    <cellStyle name="解释性文本 2 2 4 2" xfId="7121"/>
    <cellStyle name="计算 2 2 5 2 2 2 3 2 2" xfId="7122"/>
    <cellStyle name="超链接 2 4 2 2" xfId="7123"/>
    <cellStyle name="60% - 强调文字颜色 2 2 3 4 2" xfId="7124"/>
    <cellStyle name="计算 2 2 4 2 6 4 2" xfId="7125"/>
    <cellStyle name="计算 2 2 5 2 9 2" xfId="7126"/>
    <cellStyle name="60% - 强调文字颜色 3 2 6 2" xfId="7127"/>
    <cellStyle name="解释性文本 2 2 2 4 2 3" xfId="7128"/>
    <cellStyle name="计算 2 11 4 2" xfId="7129"/>
    <cellStyle name="40% - 强调文字颜色 5 2 2 2 6 2 2 2" xfId="7130"/>
    <cellStyle name="汇总 2 2 7 5" xfId="7131"/>
    <cellStyle name="20% - 强调文字颜色 6 2 5 4 2 2" xfId="7132"/>
    <cellStyle name="计算 2 2 4 2 13" xfId="7133"/>
    <cellStyle name="40% - 强调文字颜色 4 5" xfId="7134"/>
    <cellStyle name="汇总 2 7 6 3" xfId="7135"/>
    <cellStyle name="汇总 2 2 8 2 2 7" xfId="7136"/>
    <cellStyle name="检查单元格 2 6 2 2" xfId="7137"/>
    <cellStyle name="汇总 2 3 15" xfId="7138"/>
    <cellStyle name="好 2 2 3 2 2 3" xfId="7139"/>
    <cellStyle name="输出 2 5 2 2 5 2" xfId="7140"/>
    <cellStyle name="适中 4 8" xfId="7141"/>
    <cellStyle name="输出 2 2 3 4 2 5" xfId="7142"/>
    <cellStyle name="计算 2 2 5 2 2 2" xfId="7143"/>
    <cellStyle name="60% - 强调文字颜色 6 2 2 2 4 2 2 2" xfId="7144"/>
    <cellStyle name="40% - 强调文字颜色 6 2 2 3 3" xfId="7145"/>
    <cellStyle name="汇总 2 2 4 2 3 2 2 2 2" xfId="7146"/>
    <cellStyle name="适中 2 3 2 3 4" xfId="7147"/>
    <cellStyle name="注释 2 2 7 3 5" xfId="7148"/>
    <cellStyle name="好 2 2 2 2 2 2 2 2" xfId="7149"/>
    <cellStyle name="60% - 强调文字颜色 5 2 3 3 3" xfId="7150"/>
    <cellStyle name="计算 2 2 5 2 2 7 2" xfId="7151"/>
    <cellStyle name="输出 2 5 6 2 2" xfId="7152"/>
    <cellStyle name="常规 2 4 4 2 2" xfId="7153"/>
    <cellStyle name="20% - 强调文字颜色 5 2 2 2 3 3" xfId="7154"/>
    <cellStyle name="汇总 2 6 4 2 3 3" xfId="7155"/>
    <cellStyle name="解释性文本 2 2 2 2 2 2 2 2 2" xfId="7156"/>
    <cellStyle name="差 2 2 2 9" xfId="7157"/>
    <cellStyle name="链接单元格 2 2 2 8" xfId="7158"/>
    <cellStyle name="40% - 强调文字颜色 3 3 2 2" xfId="7159"/>
    <cellStyle name="20% - 强调文字颜色 1 2 7 2 2" xfId="7160"/>
    <cellStyle name="注释 2 2 3 4 2" xfId="7161"/>
    <cellStyle name="汇总 2 2 3 2 3 5" xfId="7162"/>
    <cellStyle name="汇总 2 2 3 6 3" xfId="7163"/>
    <cellStyle name="适中 2 8 3 2" xfId="7164"/>
    <cellStyle name="差 3 5" xfId="7165"/>
    <cellStyle name="汇总 2 3 10 2" xfId="7166"/>
    <cellStyle name="计算 2 3 2 2 2 2 3" xfId="7167"/>
    <cellStyle name="输出 3 7 2 2" xfId="7168"/>
    <cellStyle name="汇总 2 6 2 8 2" xfId="7169"/>
    <cellStyle name="常规 4 2 3 2 2 4 2" xfId="7170"/>
    <cellStyle name="40% - 强调文字颜色 6 6" xfId="7171"/>
    <cellStyle name="计算 2 2 3 2 4 3 2 2" xfId="7172"/>
    <cellStyle name="链接单元格 3 6" xfId="7173"/>
    <cellStyle name="汇总 2 2 5 7" xfId="7174"/>
    <cellStyle name="常规 4 3 3 4 2 2" xfId="7175"/>
    <cellStyle name="强调文字颜色 3 2 2 4 4 2" xfId="7176"/>
    <cellStyle name="汇总 2 2 5 4 2 6" xfId="7177"/>
    <cellStyle name="注释 2 4 5 3 3" xfId="7178"/>
    <cellStyle name="注释 2 4 3 2 3 3" xfId="7179"/>
    <cellStyle name="适中 2 2 3 5" xfId="7180"/>
    <cellStyle name="汇总 2 2 5 4 2 4 2" xfId="7181"/>
    <cellStyle name="强调文字颜色 2 2 8" xfId="7182"/>
    <cellStyle name="常规 5 2 5 5 2 2" xfId="7183"/>
    <cellStyle name="汇总 2 2 5 4 2 2 2" xfId="7184"/>
    <cellStyle name="标题 3 3 2 4 2 2" xfId="7185"/>
    <cellStyle name="注释 2 4 5 2 4" xfId="7186"/>
    <cellStyle name="适中 2 2 2 6" xfId="7187"/>
    <cellStyle name="输入 2 2 3 2 3 6" xfId="7188"/>
    <cellStyle name="60% - 强调文字颜色 1 2 4 2 2 2 2 2" xfId="7189"/>
    <cellStyle name="输入 2 13" xfId="7190"/>
    <cellStyle name="汇总 2 5 3 2 2 2" xfId="7191"/>
    <cellStyle name="Normal 5 2 2" xfId="7192"/>
    <cellStyle name="计算 2 2 7 2 2 3" xfId="7193"/>
    <cellStyle name="汇总 2 4 5 4" xfId="7194"/>
    <cellStyle name="汇总 2 2 6 5 3 3" xfId="7195"/>
    <cellStyle name="常规 4 2 6" xfId="7196"/>
    <cellStyle name="检查单元格 2 2 2 2 4 3" xfId="7197"/>
    <cellStyle name="输入 2 6 2 2 6 2" xfId="7198"/>
    <cellStyle name="常规 4 8" xfId="7199"/>
    <cellStyle name="60% - 强调文字颜色 5 2 2 2 4 2" xfId="7200"/>
    <cellStyle name="计算 2 2 5 4 2 3" xfId="7201"/>
    <cellStyle name="输出 2 2 4 2 6 2" xfId="7202"/>
    <cellStyle name="输出 2 2 7 3 4" xfId="7203"/>
    <cellStyle name="计算 2 4 3 2 4" xfId="7204"/>
    <cellStyle name="汇总 2 2 5 3 2 4 3" xfId="7205"/>
    <cellStyle name="60% - 强调文字颜色 1 2 2 4 5" xfId="7206"/>
    <cellStyle name="计算 2 2 3 3 2 3" xfId="7207"/>
    <cellStyle name="20% - 强调文字颜色 3 3 4" xfId="7208"/>
    <cellStyle name="输入 2 8 3 3" xfId="7209"/>
    <cellStyle name="超链接 3 4 2 3" xfId="7210"/>
    <cellStyle name="常规 2 3 2 3 2 2 2" xfId="7211"/>
    <cellStyle name="常规 2 3 2 2 4 2 2 2" xfId="7212"/>
    <cellStyle name="检查单元格 2 2 2 2 5 3" xfId="7213"/>
    <cellStyle name="输出 2 15" xfId="7214"/>
    <cellStyle name="常规 4 3 6" xfId="7215"/>
    <cellStyle name="40% - 强调文字颜色 6 2 2 4" xfId="7216"/>
    <cellStyle name="强调文字颜色 1 2 5 2 2" xfId="7217"/>
    <cellStyle name="汇总 2 4 5 3" xfId="7218"/>
    <cellStyle name="40% - 强调文字颜色 2 2 3 2 2 3 3" xfId="7219"/>
    <cellStyle name="强调文字颜色 4 2 2 4 5 3" xfId="7220"/>
    <cellStyle name="汇总 5 5 2" xfId="7221"/>
    <cellStyle name="40% - 强调文字颜色 1 2 2 5 3 2" xfId="7222"/>
    <cellStyle name="计算 2 2 2 11 2" xfId="7223"/>
    <cellStyle name="标题 6 3 3 2" xfId="7224"/>
    <cellStyle name="强调文字颜色 6 2 3 2 2" xfId="7225"/>
    <cellStyle name="汇总 2 2 4 2 2 2 3 2" xfId="7226"/>
    <cellStyle name="计算 2 2 4 3 2 6 2" xfId="7227"/>
    <cellStyle name="输出 2 3 2 2 4 3" xfId="7228"/>
    <cellStyle name="汇总 2 5 5 2 2 3" xfId="7229"/>
    <cellStyle name="汇总 3 2 2 2 5 2" xfId="7230"/>
    <cellStyle name="链接单元格 2 2 7 2 2" xfId="7231"/>
    <cellStyle name="输入 2 5 2 2 3 4" xfId="7232"/>
    <cellStyle name="计算 2 5 2 2 2 4 2 2" xfId="7233"/>
    <cellStyle name="注释 2 4 3 3 2 3" xfId="7234"/>
    <cellStyle name="汇总 2 2 5 2 2 5 3" xfId="7235"/>
    <cellStyle name="输入 2 2 7 3 2 4" xfId="7236"/>
    <cellStyle name="汇总 2 2 2 2 2 3 2 3" xfId="7237"/>
    <cellStyle name="汇总 2 4 4 8" xfId="7238"/>
    <cellStyle name="注释 4 8 2" xfId="7239"/>
    <cellStyle name="注释 2 2 2 2 4 2" xfId="7240"/>
    <cellStyle name="输入 2 2 3 2 2 5 2 2" xfId="7241"/>
    <cellStyle name="强调文字颜色 3 2 2 6 3 3" xfId="7242"/>
    <cellStyle name="超链接 2 3 4 4 2" xfId="7243"/>
    <cellStyle name="计算 2 2 5 2" xfId="7244"/>
    <cellStyle name="40% - 强调文字颜色 2 2 3 5 2 2 2" xfId="7245"/>
    <cellStyle name="差 2 3 3 2 2 3" xfId="7246"/>
    <cellStyle name="20% - 强调文字颜色 5 3 2 2 2 2 2 2" xfId="7247"/>
    <cellStyle name="常规 2 5 3 2" xfId="7248"/>
    <cellStyle name="输出 2 6 5 2" xfId="7249"/>
    <cellStyle name="计算 2 3 3 2 4" xfId="7250"/>
    <cellStyle name="输出 2 2 3 2 6 2" xfId="7251"/>
    <cellStyle name="汇总 2 2 5 2 2 4 3" xfId="7252"/>
    <cellStyle name="常规 4 4 2 3" xfId="7253"/>
    <cellStyle name="汇总 2 6 3 2 4 2 2" xfId="7254"/>
    <cellStyle name="警告文本 2 3 3 2 3" xfId="7255"/>
    <cellStyle name="汇总 2 2 6 2 3 4 2" xfId="7256"/>
    <cellStyle name="标题 5 4 3 3 2" xfId="7257"/>
    <cellStyle name="好 2 2 2 5 2 2" xfId="7258"/>
    <cellStyle name="输入 2 9 5" xfId="7259"/>
    <cellStyle name="超链接 3 5 4" xfId="7260"/>
    <cellStyle name="60% - 强调文字颜色 1 2 2 4 3 2" xfId="7261"/>
    <cellStyle name="20% - 强调文字颜色 3 3 2 2" xfId="7262"/>
    <cellStyle name="强调文字颜色 2 2 4 2 2 2" xfId="7263"/>
    <cellStyle name="计算 2 6 4 3" xfId="7264"/>
    <cellStyle name="强调文字颜色 1 2 3 2 2 4" xfId="7265"/>
    <cellStyle name="标题 2 2 3 2 4 2 2" xfId="7266"/>
    <cellStyle name="输出 2 4 2 7" xfId="7267"/>
    <cellStyle name="解释性文本 2 3 3 5" xfId="7268"/>
    <cellStyle name="输出 2 2 7 7 2 2" xfId="7269"/>
    <cellStyle name="输入 2 2 5 4 2 2 2" xfId="7270"/>
    <cellStyle name="计算 2 5 5 7" xfId="7271"/>
    <cellStyle name="标题 3 2 2 2 3 2 2 2 2" xfId="7272"/>
    <cellStyle name="计算 2 4 3 6 2 2" xfId="7273"/>
    <cellStyle name="输入 2 2 6 6 3" xfId="7274"/>
    <cellStyle name="强调文字颜色 4 2 7 2 3" xfId="7275"/>
    <cellStyle name="标题 4 2 3 2 4 2 3" xfId="7276"/>
    <cellStyle name="60% - 强调文字颜色 1 2 2 2 2 5 2 2" xfId="7277"/>
    <cellStyle name="20% - 强调文字颜色 3 2 3 6" xfId="7278"/>
    <cellStyle name="检查单元格 6" xfId="7279"/>
    <cellStyle name="60% - 强调文字颜色 3 3 2 2 2 2 2 2" xfId="7280"/>
    <cellStyle name="输出 2 6 4 2" xfId="7281"/>
    <cellStyle name="常规 4 2 2 2 3 3 3" xfId="7282"/>
    <cellStyle name="常规 2 5 2 2" xfId="7283"/>
    <cellStyle name="计算 2 7 5" xfId="7284"/>
    <cellStyle name="输出 2 2 3 4 2 2 2" xfId="7285"/>
    <cellStyle name="强调文字颜色 4 2 4 2" xfId="7286"/>
    <cellStyle name="输入 2 2 3 6" xfId="7287"/>
    <cellStyle name="汇总 2 2 5 10 2" xfId="7288"/>
    <cellStyle name="输出 2 6 3 4 2" xfId="7289"/>
    <cellStyle name="常规 13 4 3 4" xfId="7290"/>
    <cellStyle name="注释 2 7 3 3 2" xfId="7291"/>
    <cellStyle name="汇总 2 2 8 2 2 5" xfId="7292"/>
    <cellStyle name="好 2 2 4 2 4" xfId="7293"/>
    <cellStyle name="注释 2 2 6 3 2 3" xfId="7294"/>
    <cellStyle name="计算 2 2 3 2 2 2 7" xfId="7295"/>
    <cellStyle name="适中 2 2 2 2 3" xfId="7296"/>
    <cellStyle name="汇总 4 2 6" xfId="7297"/>
    <cellStyle name="解释性文本 2 4 10" xfId="7298"/>
    <cellStyle name="20% - 强调文字颜色 4 2 2 2 2 2 4 3" xfId="7299"/>
    <cellStyle name="汇总 2 2 2 2 4 4" xfId="7300"/>
    <cellStyle name="解释性文本 5 3" xfId="7301"/>
    <cellStyle name="汇总 2 3 2 2 2 5 2" xfId="7302"/>
    <cellStyle name="输入 2 2 2 2 2 2" xfId="7303"/>
    <cellStyle name="输出 2 2 4 2 3 5" xfId="7304"/>
    <cellStyle name="注释 2 2 2 2 2 3 2 2" xfId="7305"/>
    <cellStyle name="强调文字颜色 1 2 2 5 3 2" xfId="7306"/>
    <cellStyle name="20% - 强调文字颜色 4 2 2 2 2 3" xfId="7307"/>
    <cellStyle name="汇总 2 5 4 7" xfId="7308"/>
    <cellStyle name="输入 2 7 10 2" xfId="7309"/>
    <cellStyle name="标题 3 2 2 2 5 2 2 3" xfId="7310"/>
    <cellStyle name="汇总 2 2 2 2 2 4 2 2" xfId="7311"/>
    <cellStyle name="计算 2 6 3 6 3" xfId="7312"/>
    <cellStyle name="汇总 2 2 4 4 7" xfId="7313"/>
    <cellStyle name="好 2 4 2 2 2 3" xfId="7314"/>
    <cellStyle name="强调文字颜色 5 2" xfId="7315"/>
    <cellStyle name="输出 2 4 2 4 2 5" xfId="7316"/>
    <cellStyle name="计算 2 4 4 2 2 2" xfId="7317"/>
    <cellStyle name="输出 2 2 8 3 2 2" xfId="7318"/>
    <cellStyle name="20% - 强调文字颜色 1 2 2 3 4 2" xfId="7319"/>
    <cellStyle name="强调文字颜色 5 2 5 2 2 2" xfId="7320"/>
    <cellStyle name="20% - 强调文字颜色 3 2 2 2 2 2 3 2 2 2" xfId="7321"/>
    <cellStyle name="60% - 强调文字颜色 4 2 3 4 3 2" xfId="7322"/>
    <cellStyle name="常规 6 3 2 3 3" xfId="7323"/>
    <cellStyle name="汇总 4 3 3 2" xfId="7324"/>
    <cellStyle name="输出 2 2 3 3 6" xfId="7325"/>
    <cellStyle name="60% - 强调文字颜色 3 3 3 3 2" xfId="7326"/>
    <cellStyle name="常规 2 2 2 2 2 3 2 2" xfId="7327"/>
    <cellStyle name="Normal 4 4" xfId="7328"/>
    <cellStyle name="强调文字颜色 2 2 3 5" xfId="7329"/>
    <cellStyle name="20% - 强调文字颜色 2 6" xfId="7330"/>
    <cellStyle name="标题 3 2 3 5 3" xfId="7331"/>
    <cellStyle name="常规 5 2 3 2 2 3 2" xfId="7332"/>
    <cellStyle name="计算 2 2 5 2 2 6" xfId="7333"/>
    <cellStyle name="40% - 强调文字颜色 3 2 2 2 2 2 3 3" xfId="7334"/>
    <cellStyle name="常规 9 3 4 2" xfId="7335"/>
    <cellStyle name="40% - 强调文字颜色 1 4 4 2" xfId="7336"/>
    <cellStyle name="汇总 2 7 3 2 4 2" xfId="7337"/>
    <cellStyle name="超链接 2 4 2 2 3" xfId="7338"/>
    <cellStyle name="汇总 2 8 2 2 5" xfId="7339"/>
    <cellStyle name="计算 2 9 8" xfId="7340"/>
    <cellStyle name="链接单元格 2 3 4 3 2 2" xfId="7341"/>
    <cellStyle name="输出 2 2 2 5 3" xfId="7342"/>
    <cellStyle name="计算 2 2 6 14" xfId="7343"/>
    <cellStyle name="汇总 2 8 5 3" xfId="7344"/>
    <cellStyle name="输出 2 5 3 2 3 2" xfId="7345"/>
    <cellStyle name="输入 2 2 7 3" xfId="7346"/>
    <cellStyle name="计算 2 5 2 4 2 5" xfId="7347"/>
    <cellStyle name="适中 2 2 3 2" xfId="7348"/>
    <cellStyle name="计算 2 2 2 2 2 2 5 3" xfId="7349"/>
    <cellStyle name="输出 4 2 2 2" xfId="7350"/>
    <cellStyle name="汇总 2 2 5 4 8" xfId="7351"/>
    <cellStyle name="标题 3 2 2 2 2 3 3 3" xfId="7352"/>
    <cellStyle name="输入 2 2 4 5 3 3" xfId="7353"/>
    <cellStyle name="20% - 强调文字颜色 2 2 3 7" xfId="7354"/>
    <cellStyle name="输入 2 2 5 3 2 2 3" xfId="7355"/>
    <cellStyle name="超链接 3 5 4 2" xfId="7356"/>
    <cellStyle name="输入 2 9 5 2" xfId="7357"/>
    <cellStyle name="40% - 强调文字颜色 1 2 7 2 2" xfId="7358"/>
    <cellStyle name="计算 2 3 4 4" xfId="7359"/>
    <cellStyle name="输出 2 4 2 12" xfId="7360"/>
    <cellStyle name="汇总 2 2 6 6 3 3" xfId="7361"/>
    <cellStyle name="强调文字颜色 5 2 3 5" xfId="7362"/>
    <cellStyle name="常规 5 2 6" xfId="7363"/>
    <cellStyle name="输出 2 2 3 3 2 4 3" xfId="7364"/>
    <cellStyle name="常规 6 2 6 2" xfId="7365"/>
    <cellStyle name="标题 4 3 4 2 2 2" xfId="7366"/>
    <cellStyle name="注释 2 5 3 2 6" xfId="7367"/>
    <cellStyle name="常规 2 3 2" xfId="7368"/>
    <cellStyle name="40% - 强调文字颜色 2 2 2 2 3 5" xfId="7369"/>
    <cellStyle name="输出 2 4 4" xfId="7370"/>
    <cellStyle name="标题 2 4 2 3 3" xfId="7371"/>
    <cellStyle name="输入 2 6 3 2" xfId="7372"/>
    <cellStyle name="超链接 3 2 2 2" xfId="7373"/>
    <cellStyle name="40% - 强调文字颜色 1 2 3 2 2 2 2" xfId="7374"/>
    <cellStyle name="常规 5 5 4 2" xfId="7375"/>
    <cellStyle name="计算 2 2 8 3 2 7" xfId="7376"/>
    <cellStyle name="汇总 2 2 5 2 2 3 3 3" xfId="7377"/>
    <cellStyle name="40% - 强调文字颜色 6 3 4 2 2" xfId="7378"/>
    <cellStyle name="强调文字颜色 3 2 2 4 4" xfId="7379"/>
    <cellStyle name="输出 2 2 4 3 2 5" xfId="7380"/>
    <cellStyle name="计算 2 2 4 2 3 3 3 2 2" xfId="7381"/>
    <cellStyle name="汇总 2 11 2 3" xfId="7382"/>
    <cellStyle name="解释性文本 2 3 2 4 3 2" xfId="7383"/>
    <cellStyle name="标题 4 2 2" xfId="7384"/>
    <cellStyle name="常规 5 3 4 2 5" xfId="7385"/>
    <cellStyle name="强调文字颜色 4 2 3 2 7" xfId="7386"/>
    <cellStyle name="常规 8 2 2 5 2" xfId="7387"/>
    <cellStyle name="超链接 2 5" xfId="7388"/>
    <cellStyle name="计算 2 2 5 2 2 2 4" xfId="7389"/>
    <cellStyle name="输出 2 2 2 6 2" xfId="7390"/>
    <cellStyle name="计算 2 2 10 2 3" xfId="7391"/>
    <cellStyle name="解释性文本 2 2 2 2 7" xfId="7392"/>
    <cellStyle name="40% - 强调文字颜色 2 2 5 2 2 2" xfId="7393"/>
    <cellStyle name="输入 2 2 4 2 4 2 2 2" xfId="7394"/>
    <cellStyle name="20% - 强调文字颜色 4 2 3 3 4" xfId="7395"/>
    <cellStyle name="计算 4 3 4 2" xfId="7396"/>
    <cellStyle name="注释 2 2 6 6 2" xfId="7397"/>
    <cellStyle name="检查单元格 2 2 4 3" xfId="7398"/>
    <cellStyle name="汇总 4 2 4 2" xfId="7399"/>
    <cellStyle name="计算 2 8 5 3 2 2" xfId="7400"/>
    <cellStyle name="汇总 2 2 4 2 2 5 3" xfId="7401"/>
    <cellStyle name="输出 2 2 4 7" xfId="7402"/>
    <cellStyle name="汇总 2 3 2 2 2 2 3 2" xfId="7403"/>
    <cellStyle name="汇总 2 9 3 2 2" xfId="7404"/>
    <cellStyle name="标题 1 2 3 2 2 2 2 3" xfId="7405"/>
    <cellStyle name="40% - 强调文字颜色 6 2 2 2 4 2 2 2" xfId="7406"/>
    <cellStyle name="强调文字颜色 5 2 2 2 2 4 3" xfId="7407"/>
    <cellStyle name="汇总 2 7 2 2 2 2 2" xfId="7408"/>
    <cellStyle name="输入 2 5 2 3 9" xfId="7409"/>
    <cellStyle name="强调文字颜色 6 2 3 2 2 2 3" xfId="7410"/>
    <cellStyle name="强调文字颜色 3 2 2 2 2 2 2 2 2" xfId="7411"/>
    <cellStyle name="强调文字颜色 5 2 2 2 3 2 3" xfId="7412"/>
    <cellStyle name="输入 2 5 2 7 2 2" xfId="7413"/>
    <cellStyle name="输出 2 4 2 6 2" xfId="7414"/>
    <cellStyle name="汇总 2 4 2 2 9" xfId="7415"/>
    <cellStyle name="强调文字颜色 2 3 5 2" xfId="7416"/>
    <cellStyle name="20% - 强调文字颜色 2 2 3 2 2 3 2 2 2" xfId="7417"/>
    <cellStyle name="60% - 强调文字颜色 5 3 4 2 2" xfId="7418"/>
    <cellStyle name="60% - 强调文字颜色 2 4 4 2 2 2" xfId="7419"/>
    <cellStyle name="标题 1 2 6 2 2" xfId="7420"/>
    <cellStyle name="常规 5 4 3 2 4 2" xfId="7421"/>
    <cellStyle name="强调文字颜色 4 2 2 3 4 2 2" xfId="7422"/>
    <cellStyle name="差 5 2 3" xfId="7423"/>
    <cellStyle name="60% - 强调文字颜色 4 2 2 4 5 2" xfId="7424"/>
    <cellStyle name="强调文字颜色 4 2 3 2 4 4" xfId="7425"/>
    <cellStyle name="计算 2 2 6 3 2 3 2 2" xfId="7426"/>
    <cellStyle name="汇总 2 5 2 3 2 2 2 2" xfId="7427"/>
    <cellStyle name="常规 9 2 2 2 3 4" xfId="7428"/>
    <cellStyle name="40% - 强调文字颜色 6 2 2 3 2 2 2 2 2" xfId="7429"/>
    <cellStyle name="60% - 强调文字颜色 1 2 2 2 3 3" xfId="7430"/>
    <cellStyle name="40% - 强调文字颜色 1 2 8 2 2" xfId="7431"/>
    <cellStyle name="计算 2 4 4 4" xfId="7432"/>
    <cellStyle name="输出 2 2 8 5" xfId="7433"/>
    <cellStyle name="解释性文本 2 2 2 2 2" xfId="7434"/>
    <cellStyle name="注释 2 2 9 2 4" xfId="7435"/>
    <cellStyle name="60% - 强调文字颜色 5 2 5 2 2" xfId="7436"/>
    <cellStyle name="40% - 强调文字颜色 2 2 2 2 2 2 4 2" xfId="7437"/>
    <cellStyle name="汇总 2 2 8 2 8" xfId="7438"/>
    <cellStyle name="40% - 强调文字颜色 5 2 5 2 2 2 2" xfId="7439"/>
    <cellStyle name="汇总 2 2 4 5 4 2" xfId="7440"/>
    <cellStyle name="注释 2 3 5" xfId="7441"/>
    <cellStyle name="输入 2 8 4 2" xfId="7442"/>
    <cellStyle name="常规 2 2 2 2 2 3 3" xfId="7443"/>
    <cellStyle name="超链接 3 4 3 2" xfId="7444"/>
    <cellStyle name="40% - 强调文字颜色 1 2 3 2 4 3 2" xfId="7445"/>
    <cellStyle name="计算 2 10 2 4 2" xfId="7446"/>
    <cellStyle name="常规 4 2 2 2 5 3" xfId="7447"/>
    <cellStyle name="输出 2 4 2 4 4" xfId="7448"/>
    <cellStyle name="20% - 强调文字颜色 5 2 3 4 2" xfId="7449"/>
    <cellStyle name="计算 2 5 12" xfId="7450"/>
    <cellStyle name="注释 2 2 7 3 2 4" xfId="7451"/>
    <cellStyle name="常规 4 3 2 5 2 2" xfId="7452"/>
    <cellStyle name="输入 2 2 6 2 3 3" xfId="7453"/>
    <cellStyle name="输出 2 2 2 2 8 2" xfId="7454"/>
    <cellStyle name="计算 2 2 3 4 4" xfId="7455"/>
    <cellStyle name="注释 2 4 2 3 3 3" xfId="7456"/>
    <cellStyle name="标题 2 2 2 4 4 2" xfId="7457"/>
    <cellStyle name="汇总 2 2 4 5 2 6" xfId="7458"/>
    <cellStyle name="解释性文本 3 2 2 2" xfId="7459"/>
    <cellStyle name="40% - 强调文字颜色 2 3 2 4 2 2 2" xfId="7460"/>
    <cellStyle name="差 3 2 2 2 2 3" xfId="7461"/>
    <cellStyle name="解释性文本 2 2 3 6 2 2" xfId="7462"/>
    <cellStyle name="输出 2 4 2 2 2 5 2" xfId="7463"/>
    <cellStyle name="标题 5 3 3 6" xfId="7464"/>
    <cellStyle name="20% - 强调文字颜色 1 2 3" xfId="7465"/>
    <cellStyle name="40% - 强调文字颜色 2 2 8" xfId="7466"/>
    <cellStyle name="40% - 强调文字颜色 6 2 2 3 3 2 2" xfId="7467"/>
    <cellStyle name="常规 9 5 3 2 3" xfId="7468"/>
    <cellStyle name="60% - 强调文字颜色 5 2 2 4 4 2 2" xfId="7469"/>
    <cellStyle name="注释 2 6 13" xfId="7470"/>
    <cellStyle name="输出 2 5 2 4 3" xfId="7471"/>
    <cellStyle name="40% - 强调文字颜色 2 2 2 2 2 2 4 2 2 2" xfId="7472"/>
    <cellStyle name="20% - 强调文字颜色 2 2 2 4 5 2 2" xfId="7473"/>
    <cellStyle name="输出 2 2 5 4 6" xfId="7474"/>
    <cellStyle name="常规 16 4" xfId="7475"/>
    <cellStyle name="输出 2 4 4 4 3" xfId="7476"/>
    <cellStyle name="常规 2 3 2 4 3" xfId="7477"/>
    <cellStyle name="常规 5 2 6 3 2 2" xfId="7478"/>
    <cellStyle name="常规 9 5 2 4" xfId="7479"/>
    <cellStyle name="20% - 强调文字颜色 6 3 3 2 2 2 2" xfId="7480"/>
    <cellStyle name="链接单元格 2 3 4 3 2" xfId="7481"/>
    <cellStyle name="计算 2 2 4 2 4 3 2" xfId="7482"/>
    <cellStyle name="输出 2 2 4 5 2" xfId="7483"/>
    <cellStyle name="输入 2 2 2 3 3" xfId="7484"/>
    <cellStyle name="计算 2 2 6 3 2 6" xfId="7485"/>
    <cellStyle name="汇总 2 5 2 3 2 5" xfId="7486"/>
    <cellStyle name="汇总 2 2 4 4 2 2 3" xfId="7487"/>
    <cellStyle name="链接单元格 3 3 4" xfId="7488"/>
    <cellStyle name="汇总 2 2 4 4 2 3" xfId="7489"/>
    <cellStyle name="汇总 2 2 4 4 2 2 2" xfId="7490"/>
    <cellStyle name="汇总 2 5 2 3 2 4" xfId="7491"/>
    <cellStyle name="链接单元格 3 3 3" xfId="7492"/>
    <cellStyle name="计算 2 2 6 3 2 5" xfId="7493"/>
    <cellStyle name="差 2 3 2 3 3 2" xfId="7494"/>
    <cellStyle name="40% - 强调文字颜色 6 2 2" xfId="7495"/>
    <cellStyle name="解释性文本 4 2 4" xfId="7496"/>
    <cellStyle name="好 4 3 2 3" xfId="7497"/>
    <cellStyle name="汇总 2 2 4 3 7" xfId="7498"/>
    <cellStyle name="输出 2 2 3" xfId="7499"/>
    <cellStyle name="汇总 2 2 3 2 2 5 2" xfId="7500"/>
    <cellStyle name="注释 2 2 3 3 2 2" xfId="7501"/>
    <cellStyle name="警告文本 2 4 2 2 2 2" xfId="7502"/>
    <cellStyle name="适中 2 2 3 3 4" xfId="7503"/>
    <cellStyle name="计算 2 2 5 3 2 5 2" xfId="7504"/>
    <cellStyle name="常规 9 2 3 4 3" xfId="7505"/>
    <cellStyle name="汇总 2 2 4 3 2 2 2 2" xfId="7506"/>
    <cellStyle name="输出 2 4 2 2 3 3" xfId="7507"/>
    <cellStyle name="输入 2 2 3" xfId="7508"/>
    <cellStyle name="汇总 2 2 2 4 5 2 2" xfId="7509"/>
    <cellStyle name="40% - 强调文字颜色 4 2 4 4" xfId="7510"/>
    <cellStyle name="强调文字颜色 1 2 4 3 2" xfId="7511"/>
    <cellStyle name="强调文字颜色 5 2 2 3 2 2 2 2" xfId="7512"/>
    <cellStyle name="计算 2 5 4 2 5 2" xfId="7513"/>
    <cellStyle name="解释性文本 2 2 2 2 5" xfId="7514"/>
    <cellStyle name="汇总 2 5 4 4 3" xfId="7515"/>
    <cellStyle name="40% - 强调文字颜色 6 2 2 2 4 3" xfId="7516"/>
    <cellStyle name="汇总 2 7 2 2 3" xfId="7517"/>
    <cellStyle name="常规 4 3 4 4 3" xfId="7518"/>
    <cellStyle name="20% - 强调文字颜色 2 2 3 2 5 2 2 2" xfId="7519"/>
    <cellStyle name="适中 2 2 2 2 6" xfId="7520"/>
    <cellStyle name="常规 5 2 3 2 3 3 2" xfId="7521"/>
    <cellStyle name="输出 2 2 5 11" xfId="7522"/>
    <cellStyle name="计算 2 2 5 3 2 6" xfId="7523"/>
    <cellStyle name="汇总 2 2 4 3 2 2 3" xfId="7524"/>
    <cellStyle name="常规 5 3 3 2 4" xfId="7525"/>
    <cellStyle name="强调文字颜色 3 2 2 4 2 2" xfId="7526"/>
    <cellStyle name="输入 2 2 4 2 2 2 2 3 2" xfId="7527"/>
    <cellStyle name="汇总 2 8 3 2 2 2 2" xfId="7528"/>
    <cellStyle name="20% - 强调文字颜色 3 2 3 2 2 3 2" xfId="7529"/>
    <cellStyle name="20% - 强调文字颜色 6 2 4 5" xfId="7530"/>
    <cellStyle name="差 4 3 2 2 2" xfId="7531"/>
    <cellStyle name="输入 2 4 4 5" xfId="7532"/>
    <cellStyle name="标题 3 2 2 4 2 3" xfId="7533"/>
    <cellStyle name="汇总 2 6 3 2 8" xfId="7534"/>
    <cellStyle name="输入 2 2 6 3 2 2 2" xfId="7535"/>
    <cellStyle name="计算 2 5 2 6 2 2" xfId="7536"/>
    <cellStyle name="检查单元格 2 2 2 4 2 2" xfId="7537"/>
    <cellStyle name="强调文字颜色 2 2 2 2 2 3 3 2" xfId="7538"/>
    <cellStyle name="强调文字颜色 5 2 4 7" xfId="7539"/>
    <cellStyle name="计算 3 2 6 3" xfId="7540"/>
    <cellStyle name="注释 2 2 4 2 2 2 2" xfId="7541"/>
    <cellStyle name="20% - 强调文字颜色 4 2 2 4 5" xfId="7542"/>
    <cellStyle name="输出 2 2 8 2 5" xfId="7543"/>
    <cellStyle name="输出 2 2 4 3 5 3" xfId="7544"/>
    <cellStyle name="40% - 强调文字颜色 4 3 2 2 3 2 2" xfId="7545"/>
    <cellStyle name="输出 2 4 2 3 3" xfId="7546"/>
    <cellStyle name="常规 9 2 4 4" xfId="7547"/>
    <cellStyle name="计算 2 2 4 4 2 2" xfId="7548"/>
    <cellStyle name="超链接 2 5 5" xfId="7549"/>
    <cellStyle name="好 2 2 2 4 2 3" xfId="7550"/>
    <cellStyle name="输入 2 2 4 3 2 4 2" xfId="7551"/>
    <cellStyle name="解释性文本 2 7 3" xfId="7552"/>
    <cellStyle name="输出 2 2 2 2 2 2 2 2" xfId="7553"/>
    <cellStyle name="注释 3 2 2 2" xfId="7554"/>
    <cellStyle name="计算 2 2 7 2 5 2" xfId="7555"/>
    <cellStyle name="60% - 强调文字颜色 5 2 2 2" xfId="7556"/>
    <cellStyle name="常规 5 3 2 3 2" xfId="7557"/>
    <cellStyle name="输出 3 2 2 7 2" xfId="7558"/>
    <cellStyle name="40% - 强调文字颜色 2 2 3 2 5" xfId="7559"/>
    <cellStyle name="汇总 2 6 2 3 2 2 2" xfId="7560"/>
    <cellStyle name="注释 2 4 4 6" xfId="7561"/>
    <cellStyle name="汇总 2 2 9 2 3 2" xfId="7562"/>
    <cellStyle name="输入 2 5 9 3" xfId="7563"/>
    <cellStyle name="标题 5 7" xfId="7564"/>
    <cellStyle name="标题 3 2 3 2 2" xfId="7565"/>
    <cellStyle name="60% - 强调文字颜色 4 2 2 3 4 3" xfId="7566"/>
    <cellStyle name="计算 2 2 6 5 2 2" xfId="7567"/>
    <cellStyle name="60% - 强调文字颜色 3 2 2 5 2 2 2" xfId="7568"/>
    <cellStyle name="计算 2 2 4 7 3" xfId="7569"/>
    <cellStyle name="60% - 强调文字颜色 3 2 2 3 4 3" xfId="7570"/>
    <cellStyle name="20% - 强调文字颜色 1 2 3 7" xfId="7571"/>
    <cellStyle name="适中 2 3 2 8" xfId="7572"/>
    <cellStyle name="输入 2 2 5 2 2 2 3" xfId="7573"/>
    <cellStyle name="60% - 强调文字颜色 3 3 4" xfId="7574"/>
    <cellStyle name="60% - 强调文字颜色 2 2 4 2" xfId="7575"/>
    <cellStyle name="计算 2 2 5 3 7" xfId="7576"/>
    <cellStyle name="计算 2 2 4 2 7 2" xfId="7577"/>
    <cellStyle name="计算 2 12 2" xfId="7578"/>
    <cellStyle name="20% - 强调文字颜色 2 2 2 6 3 2" xfId="7579"/>
    <cellStyle name="常规 5 2 9" xfId="7580"/>
    <cellStyle name="注释 4 3 2 2" xfId="7581"/>
    <cellStyle name="60% - 强调文字颜色 2 2 2 3 7" xfId="7582"/>
    <cellStyle name="40% - 强调文字颜色 1 2 2 4 5 2" xfId="7583"/>
    <cellStyle name="汇总 4 7 2" xfId="7584"/>
    <cellStyle name="强调文字颜色 3 2 3 5" xfId="7585"/>
    <cellStyle name="汇总 2 2 4 6 3 3" xfId="7586"/>
    <cellStyle name="常规 9 2 4 3 2 2" xfId="7587"/>
    <cellStyle name="输出 2 4 2 3 2 2 2" xfId="7588"/>
    <cellStyle name="汇总 2 2 4 2 3 2 2 2" xfId="7589"/>
    <cellStyle name="输入 2 2 6 2 2 7" xfId="7590"/>
    <cellStyle name="60% - 强调文字颜色 6 2 2 2 4 2 2" xfId="7591"/>
    <cellStyle name="计算 4 6 3" xfId="7592"/>
    <cellStyle name="计算 2 2 4 4 2 5 2" xfId="7593"/>
    <cellStyle name="好 4 4 2 2 2" xfId="7594"/>
    <cellStyle name="输出 2 2 4 2 3 2 3" xfId="7595"/>
    <cellStyle name="常规 14 2 2 2" xfId="7596"/>
    <cellStyle name="计算 2 2 2 14" xfId="7597"/>
    <cellStyle name="计算 2 2 4 10 3" xfId="7598"/>
    <cellStyle name="计算 2 2 6 2 3 2" xfId="7599"/>
    <cellStyle name="强调文字颜色 6 2 2 4 3 2 2" xfId="7600"/>
    <cellStyle name="输出 2 2 3 7 3" xfId="7601"/>
    <cellStyle name="20% - 强调文字颜色 4 2 3 2 2 3 2 2 2" xfId="7602"/>
    <cellStyle name="20% - 强调文字颜色 1 2 2 2 2 5" xfId="7603"/>
    <cellStyle name="汇总 2 2 11 2" xfId="7604"/>
    <cellStyle name="适中 2 3 4 2" xfId="7605"/>
    <cellStyle name="20% - 强调文字颜色 3 2 2 2 4 2 2" xfId="7606"/>
    <cellStyle name="计算 2 9 2 2" xfId="7607"/>
    <cellStyle name="输出 2 7 6 3" xfId="7608"/>
    <cellStyle name="标题 1 3 4" xfId="7609"/>
    <cellStyle name="强调文字颜色 4 2 2 4 2" xfId="7610"/>
    <cellStyle name="20% - 强调文字颜色 6 2 3 3 2 2" xfId="7611"/>
    <cellStyle name="40% - 强调文字颜色 3 2 3 4 2 2 2" xfId="7612"/>
    <cellStyle name="注释 2 2 3 5 3 2 2" xfId="7613"/>
    <cellStyle name="常规 5 4" xfId="7614"/>
    <cellStyle name="20% - 强调文字颜色 1 2 3 2 2 2 2 2 2 2" xfId="7615"/>
    <cellStyle name="输出 4 3 3 2" xfId="7616"/>
    <cellStyle name="差 2 2 2 2 4 3" xfId="7617"/>
    <cellStyle name="输出 2 11" xfId="7618"/>
    <cellStyle name="差 2 2 2 2 3 2 2" xfId="7619"/>
    <cellStyle name="常规 4 3 2" xfId="7620"/>
    <cellStyle name="计算 2 3 6" xfId="7621"/>
    <cellStyle name="标题 1 2 2 7" xfId="7622"/>
    <cellStyle name="检查单元格 2 2 3 4 3" xfId="7623"/>
    <cellStyle name="60% - 强调文字颜色 2 2 2 4 2 3" xfId="7624"/>
    <cellStyle name="60% - 强调文字颜色 3 4 3 2 2 2" xfId="7625"/>
    <cellStyle name="汇总 2 4 3 4 2" xfId="7626"/>
    <cellStyle name="标题 5 5 4" xfId="7627"/>
    <cellStyle name="输出 2 2 2 3 2 2 3" xfId="7628"/>
    <cellStyle name="输入 3 2 2 6" xfId="7629"/>
    <cellStyle name="计算 2 6 2 2 3 3 3" xfId="7630"/>
    <cellStyle name="强调文字颜色 5 2 3 2" xfId="7631"/>
    <cellStyle name="百分比 2 2 3 2 2 3" xfId="7632"/>
    <cellStyle name="40% - 强调文字颜色 5 2 2 2 2 3 3" xfId="7633"/>
    <cellStyle name="输出 4 5 2 2" xfId="7634"/>
    <cellStyle name="差 2 2 2 4 3 3" xfId="7635"/>
    <cellStyle name="链接单元格 2 2 3 3 3 2" xfId="7636"/>
    <cellStyle name="标题 5 2 2 4 4" xfId="7637"/>
    <cellStyle name="60% - 强调文字颜色 1 2 3 5 2 2" xfId="7638"/>
    <cellStyle name="链接单元格 2 4 7" xfId="7639"/>
    <cellStyle name="常规 10 2 2 2 5" xfId="7640"/>
    <cellStyle name="计算 4 2 3 2 3" xfId="7641"/>
    <cellStyle name="常规 5 2 2 2 2 3 4 2" xfId="7642"/>
    <cellStyle name="20% - 强调文字颜色 4 2 2 2 4 3" xfId="7643"/>
    <cellStyle name="强调文字颜色 6 3 2 2 3 2" xfId="7644"/>
    <cellStyle name="强调文字颜色 1 2 3 2 2 2 2 2 2" xfId="7645"/>
    <cellStyle name="计算 3 2 4 2 3" xfId="7646"/>
    <cellStyle name="计算 2 2 4 2 3 10" xfId="7647"/>
    <cellStyle name="20% - 强调文字颜色 6 3 2 2 4" xfId="7648"/>
    <cellStyle name="解释性文本 3 2 2 4" xfId="7649"/>
    <cellStyle name="计算 3 4 3 2 2" xfId="7650"/>
    <cellStyle name="汇总 2 2 2 2 2 2 5 3" xfId="7651"/>
    <cellStyle name="强调文字颜色 5 2 4 2 2 3" xfId="7652"/>
    <cellStyle name="60% - 强调文字颜色 4 2 2 4 3 3" xfId="7653"/>
    <cellStyle name="强调文字颜色 3 2 2 2 2 7" xfId="7654"/>
    <cellStyle name="强调文字颜色 4 2 3 2 2 5" xfId="7655"/>
    <cellStyle name="链接单元格 2 3 4 2 2 2" xfId="7656"/>
    <cellStyle name="汇总 2 7 5 3" xfId="7657"/>
    <cellStyle name="警告文本 2 2 4 6" xfId="7658"/>
    <cellStyle name="计算 2 2 2 2 3 2 2 2" xfId="7659"/>
    <cellStyle name="计算 2 16 2 2" xfId="7660"/>
    <cellStyle name="20% - 强调文字颜色 2 2" xfId="7661"/>
    <cellStyle name="计算 2 4 2 2 6" xfId="7662"/>
    <cellStyle name="输出 2 2 6 3 6" xfId="7663"/>
    <cellStyle name="输入 2 2 4 5 2 2 2" xfId="7664"/>
    <cellStyle name="20% - 强调文字颜色 2 2 2 6 2" xfId="7665"/>
    <cellStyle name="标题 3 2 2 2 2 3 2 2 2" xfId="7666"/>
    <cellStyle name="标题 4 2 2 3 4 2 3" xfId="7667"/>
    <cellStyle name="计算 2 2 9 2 3 2" xfId="7668"/>
    <cellStyle name="标题 3 2 8" xfId="7669"/>
    <cellStyle name="20% - 强调文字颜色 5 3 3 3 2 2" xfId="7670"/>
    <cellStyle name="汇总 2 7 5 3 2 2" xfId="7671"/>
    <cellStyle name="计算 2 6 2 8" xfId="7672"/>
    <cellStyle name="输入 2 2 7 3 4" xfId="7673"/>
    <cellStyle name="强调文字颜色 2 2 2 2 2 2 2 2 2" xfId="7674"/>
    <cellStyle name="20% - 强调文字颜色 1 3 2 2 2 2 2" xfId="7675"/>
    <cellStyle name="20% - 强调文字颜色 4 3 2 2 3" xfId="7676"/>
    <cellStyle name="输入 2 8 2 7" xfId="7677"/>
    <cellStyle name="汇总 2 2 2 3 3 3 2" xfId="7678"/>
    <cellStyle name="标题 2 2 5" xfId="7679"/>
    <cellStyle name="强调文字颜色 4 2 3 3 3" xfId="7680"/>
    <cellStyle name="输入 2 2 2 7 3" xfId="7681"/>
    <cellStyle name="输出 2 2 7 3 3 2" xfId="7682"/>
    <cellStyle name="计算 2 4 3 2 3 2" xfId="7683"/>
    <cellStyle name="适中 2 4 3 3" xfId="7684"/>
    <cellStyle name="常规 5 2 3 2 3 3" xfId="7685"/>
    <cellStyle name="解释性文本 2 9 2" xfId="7686"/>
    <cellStyle name="计算 2 2 4 2 5 2 2 2" xfId="7687"/>
    <cellStyle name="60% - 强调文字颜色 2 2 2 2 2 2" xfId="7688"/>
    <cellStyle name="计算 2 10 2 2 2" xfId="7689"/>
    <cellStyle name="计算 2 2 4 3 2 2 3" xfId="7690"/>
    <cellStyle name="20% - 强调文字颜色 1 2 5 3 2" xfId="7691"/>
    <cellStyle name="汇总 2 2 11 4 2" xfId="7692"/>
    <cellStyle name="计算 2 4 2 2 3 5" xfId="7693"/>
    <cellStyle name="常规 5 2 4 3 4" xfId="7694"/>
    <cellStyle name="20% - 强调文字颜色 4 2 2 2 2 2 3 2 2" xfId="7695"/>
    <cellStyle name="标题 3 2 4 4 2 2 2" xfId="7696"/>
    <cellStyle name="汇总 2 2 2 2 3 3 2" xfId="7697"/>
    <cellStyle name="注释 2 5 2 3 5" xfId="7698"/>
    <cellStyle name="解释性文本 4 2 2" xfId="7699"/>
    <cellStyle name="注释 2 2 7 6 2 2" xfId="7700"/>
    <cellStyle name="无色 3 2" xfId="7701"/>
    <cellStyle name="检查单元格 2 3 4 3 2" xfId="7702"/>
    <cellStyle name="强调文字颜色 2 2 2 3 4 2 3" xfId="7703"/>
    <cellStyle name="汇总 2 7 3 6" xfId="7704"/>
    <cellStyle name="20% - 强调文字颜色 3 3 3 4 2" xfId="7705"/>
    <cellStyle name="计算 2 6 4 2 6" xfId="7706"/>
    <cellStyle name="输出 2 3 9 2" xfId="7707"/>
    <cellStyle name="常规 2 2 7 2" xfId="7708"/>
    <cellStyle name="汇总 2 2 2 2 2 9" xfId="7709"/>
    <cellStyle name="汇总 2 6 3 2 2 2 2" xfId="7710"/>
    <cellStyle name="强调文字颜色 3 2 2 2 2 3 3 3" xfId="7711"/>
    <cellStyle name="常规 9 6 2 2 2" xfId="7712"/>
    <cellStyle name="输入 2 2 2 2 3 6" xfId="7713"/>
    <cellStyle name="标题 1 2 2 2 2 4 3 2" xfId="7714"/>
    <cellStyle name="40% - 强调文字颜色 1 2 2 2 3 2 2 2 2" xfId="7715"/>
    <cellStyle name="计算 2 2 6 2 2 3" xfId="7716"/>
    <cellStyle name="汇总 2 5 2 2 2 2" xfId="7717"/>
    <cellStyle name="适中 2 2 2" xfId="7718"/>
    <cellStyle name="标题 5 2 4 5 2 2" xfId="7719"/>
    <cellStyle name="输入 2 5 4 8" xfId="7720"/>
    <cellStyle name="强调文字颜色 1 2 2 2 3 3 2" xfId="7721"/>
    <cellStyle name="链接单元格 2 3 5 2 3" xfId="7722"/>
    <cellStyle name="强调文字颜色 6 2 7 2" xfId="7723"/>
    <cellStyle name="适中 2 2 4 5 2" xfId="7724"/>
    <cellStyle name="超链接 3 2 3 4 3" xfId="7725"/>
    <cellStyle name="输入 2 6 4 4 3" xfId="7726"/>
    <cellStyle name="计算 2 8 2 5 2" xfId="7727"/>
    <cellStyle name="汇总 3 13" xfId="7728"/>
    <cellStyle name="注释 2 2 4 2 2 4 3" xfId="7729"/>
    <cellStyle name="强调文字颜色 3 2 2 4 2 2 2" xfId="7730"/>
    <cellStyle name="汇总 2 2 3 7 2" xfId="7731"/>
    <cellStyle name="计算 2 2 2 2 3 8" xfId="7732"/>
    <cellStyle name="汇总 2 5 2 3 2 4 2 2" xfId="7733"/>
    <cellStyle name="适中 2 9 2" xfId="7734"/>
    <cellStyle name="注释 2 4 3 6 2" xfId="7735"/>
    <cellStyle name="注释 2 2 2 3 2 6" xfId="7736"/>
    <cellStyle name="汇总 2 2 9 2 2 2 2" xfId="7737"/>
    <cellStyle name="计算 2 6 4 4" xfId="7738"/>
    <cellStyle name="强调文字颜色 1 2 3 2 2 5" xfId="7739"/>
    <cellStyle name="输出 2 2 2 2 2 2 2 2 2" xfId="7740"/>
    <cellStyle name="标题 4 4" xfId="7741"/>
    <cellStyle name="20% - 强调文字颜色 5 2 2 6 3" xfId="7742"/>
    <cellStyle name="计算 2 5 2 5" xfId="7743"/>
    <cellStyle name="常规 2 2 4 6" xfId="7744"/>
    <cellStyle name="常规 9 3 2 3 2 3" xfId="7745"/>
    <cellStyle name="40% - 强调文字颜色 4 2 5 4" xfId="7746"/>
    <cellStyle name="20% - 强调文字颜色 2 2 4 3 2 2 2" xfId="7747"/>
    <cellStyle name="汇总 2 2 7 3 3 3" xfId="7748"/>
    <cellStyle name="计算 3 3 2 4 2" xfId="7749"/>
    <cellStyle name="常规 2 2 2 2 2 4 2" xfId="7750"/>
    <cellStyle name="注释 2 4 4" xfId="7751"/>
    <cellStyle name="检查单元格 2 2 5 4" xfId="7752"/>
    <cellStyle name="强调文字颜色 1 2 2 6 3" xfId="7753"/>
    <cellStyle name="输入 2 2 8 2 4 2" xfId="7754"/>
    <cellStyle name="输出 2 2 4 2 8" xfId="7755"/>
    <cellStyle name="汇总 2 8 3 3 2" xfId="7756"/>
    <cellStyle name="常规 5 2 5 3 3 2" xfId="7757"/>
    <cellStyle name="超链接 2 2 2 2 2 2 2 2" xfId="7758"/>
    <cellStyle name="链接单元格 2 2 4 4 2" xfId="7759"/>
    <cellStyle name="汇总 2 2 6 3 9" xfId="7760"/>
    <cellStyle name="差 2 2 2 2 2 4" xfId="7761"/>
    <cellStyle name="常规 3 5" xfId="7762"/>
    <cellStyle name="差 3 2 3 2 2 2" xfId="7763"/>
    <cellStyle name="输入 2 3 3 4 2 2" xfId="7764"/>
    <cellStyle name="60% - 强调文字颜色 3 3 2 2 3 2" xfId="7765"/>
    <cellStyle name="20% - 强调文字颜色 2 3 3 3 2" xfId="7766"/>
    <cellStyle name="强调文字颜色 2 2 3 2 3 3 2" xfId="7767"/>
    <cellStyle name="计算 2 2 3 2 2 2 3 2" xfId="7768"/>
    <cellStyle name="汇总 2 4 2 2 3 3" xfId="7769"/>
    <cellStyle name="计算 2 5 2 3 3" xfId="7770"/>
    <cellStyle name="注释 2 4 5 2 2 2" xfId="7771"/>
    <cellStyle name="输入 2 3 4 2 4" xfId="7772"/>
    <cellStyle name="适中 2 2 2 4 2" xfId="7773"/>
    <cellStyle name="汇总 4 4 5" xfId="7774"/>
    <cellStyle name="标题 2 2 3 2 5 2" xfId="7775"/>
    <cellStyle name="输出 2 2 2 4 7" xfId="7776"/>
    <cellStyle name="输出 2 2 4 8" xfId="7777"/>
    <cellStyle name="汇总 2 3 2 2 2 2 3 3" xfId="7778"/>
    <cellStyle name="警告文本 2 3 4 2 3" xfId="7779"/>
    <cellStyle name="说明文本 2 5" xfId="7780"/>
    <cellStyle name="输入 2 5 4 3 3" xfId="7781"/>
    <cellStyle name="汇总 2 2 3 3 5" xfId="7782"/>
    <cellStyle name="计算 2 7 2 4 2" xfId="7783"/>
    <cellStyle name="汇总 3 2 4 2 2" xfId="7784"/>
    <cellStyle name="强调文字颜色 4 2 2 2 2 5 2 2" xfId="7785"/>
    <cellStyle name="60% - 强调文字颜色 5 3 2 2 4" xfId="7786"/>
    <cellStyle name="40% - 强调文字颜色 6 2 4 4 2" xfId="7787"/>
    <cellStyle name="汇总 2 7 2 2 2 2 3" xfId="7788"/>
    <cellStyle name="强调文字颜色 5 2 2 2 2 4 4" xfId="7789"/>
    <cellStyle name="计算 2 7 12 2" xfId="7790"/>
    <cellStyle name="检查单元格 3 4 2" xfId="7791"/>
    <cellStyle name="40% - 强调文字颜色 2 4 3" xfId="7792"/>
    <cellStyle name="汇总 2 7 4 2 3" xfId="7793"/>
    <cellStyle name="40% - 强调文字颜色 2 2 3 6" xfId="7794"/>
    <cellStyle name="强调文字颜色 6 2 2 6 2 3" xfId="7795"/>
    <cellStyle name="输出 2 12 2 2" xfId="7796"/>
    <cellStyle name="适中 2 2 3 2 2" xfId="7797"/>
    <cellStyle name="汇总 5 2 5" xfId="7798"/>
    <cellStyle name="20% - 强调文字颜色 1 2 2 2 2 2 2 2 2 2 2" xfId="7799"/>
    <cellStyle name="强调文字颜色 1 3 3 2" xfId="7800"/>
    <cellStyle name="注释 2 3 4 3 2" xfId="7801"/>
    <cellStyle name="汇总 2 4 3 2 3 2 2" xfId="7802"/>
    <cellStyle name="汇总 2 2 4 3 2 5" xfId="7803"/>
    <cellStyle name="标题 1 2 3 3 5" xfId="7804"/>
    <cellStyle name="汇总 2 4 2 4 3" xfId="7805"/>
    <cellStyle name="40% - 强调文字颜色 1 2 2 2 2 2 4 3" xfId="7806"/>
    <cellStyle name="汇总 2 2 4 3 3 4 2" xfId="7807"/>
    <cellStyle name="汇总 2 8 6 2 2" xfId="7808"/>
    <cellStyle name="20% - 强调文字颜色 3 2 3 3 2" xfId="7809"/>
    <cellStyle name="60% - 强调文字颜色 1 2 2 3 4 3 2" xfId="7810"/>
    <cellStyle name="计算 2 5 5 4 2" xfId="7811"/>
    <cellStyle name="注释 2 4 2 7 2 2" xfId="7812"/>
    <cellStyle name="输入 2 2 4 2 6" xfId="7813"/>
    <cellStyle name="常规 11 3 5 2" xfId="7814"/>
    <cellStyle name="计算 2 4 2 3 5" xfId="7815"/>
    <cellStyle name="输入 2 2 4 13" xfId="7816"/>
    <cellStyle name="输出 2 2 6 4 5" xfId="7817"/>
    <cellStyle name="输出 2 5 4 2 3" xfId="7818"/>
    <cellStyle name="汇总 2 4 10" xfId="7819"/>
    <cellStyle name="强调文字颜色 5 2 2 4 5 3" xfId="7820"/>
    <cellStyle name="计算 2 5 4 6 2" xfId="7821"/>
    <cellStyle name="标题 3 2 2 2 4 3 2 2" xfId="7822"/>
    <cellStyle name="输入 2 2 6 5 2 2" xfId="7823"/>
    <cellStyle name="20% - 强调文字颜色 4 2 2 6" xfId="7824"/>
    <cellStyle name="输入 2 4 10" xfId="7825"/>
    <cellStyle name="计算 2 2 7 2 2 2 2" xfId="7826"/>
    <cellStyle name="注释 2 2 3 2 4" xfId="7827"/>
    <cellStyle name="输入 2 12 2" xfId="7828"/>
    <cellStyle name="超链接 2 2 4 2" xfId="7829"/>
    <cellStyle name="汇总 2 4 2 2 6 2 2" xfId="7830"/>
    <cellStyle name="计算 2 2 5 2 2 2 2 2 2" xfId="7831"/>
    <cellStyle name="超链接 2 3 2 2" xfId="7832"/>
    <cellStyle name="解释性文本 2 2 2 2 5 2 2" xfId="7833"/>
    <cellStyle name="计算 2 5 4 3 2 2 2" xfId="7834"/>
    <cellStyle name="40% - 强调文字颜色 4 2 2 2 2 2 2 3" xfId="7835"/>
    <cellStyle name="汇总 6 2" xfId="7836"/>
    <cellStyle name="计算 2 5 2 2 3 4" xfId="7837"/>
    <cellStyle name="常规 10 2 3" xfId="7838"/>
    <cellStyle name="计算 2 2 2 3 3 4 2" xfId="7839"/>
    <cellStyle name="输入 2 3 2 7" xfId="7840"/>
    <cellStyle name="差 3 2 2 5" xfId="7841"/>
    <cellStyle name="强调文字颜色 4 3 3 3" xfId="7842"/>
    <cellStyle name="强调文字颜色 6 3" xfId="7843"/>
    <cellStyle name="计算 2 4 4 2 3 3" xfId="7844"/>
    <cellStyle name="强调文字颜色 4 2 2 2 2 3 3 2 2" xfId="7845"/>
    <cellStyle name="超链接 3 2 6" xfId="7846"/>
    <cellStyle name="输入 2 6 7" xfId="7847"/>
    <cellStyle name="注释 2 2 5 3 3 2" xfId="7848"/>
    <cellStyle name="40% - 强调文字颜色 3 2 5 2 2 2" xfId="7849"/>
    <cellStyle name="解释性文本 4 5" xfId="7850"/>
    <cellStyle name="输出 2 2 5 3 3 2 2" xfId="7851"/>
    <cellStyle name="警告文本 2 2 2 4 3" xfId="7852"/>
    <cellStyle name="强调文字颜色 3 2 2 2 2 3 2 3" xfId="7853"/>
    <cellStyle name="标题 5 3 7 2" xfId="7854"/>
    <cellStyle name="计算 2 4 2 13" xfId="7855"/>
    <cellStyle name="警告文本 2 5 3 3" xfId="7856"/>
    <cellStyle name="计算 2 2 4 2 2 4" xfId="7857"/>
    <cellStyle name="60% - 强调文字颜色 2 2 4 2 2" xfId="7858"/>
    <cellStyle name="计算 2 2 4 2 7 2 2" xfId="7859"/>
    <cellStyle name="计算 2 2 5 3 7 2" xfId="7860"/>
    <cellStyle name="60% - 强调文字颜色 3 3 4 2" xfId="7861"/>
    <cellStyle name="计算 2 12 2 2" xfId="7862"/>
    <cellStyle name="常规 9 2 2 2 3 3" xfId="7863"/>
    <cellStyle name="计算 2 2 2 2 2 4 2 2" xfId="7864"/>
    <cellStyle name="强调文字颜色 2 2 2 3 8" xfId="7865"/>
    <cellStyle name="常规 3 2 4 2 3 2 2" xfId="7866"/>
    <cellStyle name="常规 7 9" xfId="7867"/>
    <cellStyle name="输入 2 4 6 2 2" xfId="7868"/>
    <cellStyle name="常规 13 2 2 2 2 2 2" xfId="7869"/>
    <cellStyle name="注释 2 2 2 2 2 4" xfId="7870"/>
    <cellStyle name="计算 2 7 4 2 2 3" xfId="7871"/>
    <cellStyle name="注释 3 2 3 2 2 2" xfId="7872"/>
    <cellStyle name="计算 2 3 2 2 2 5 2 2" xfId="7873"/>
    <cellStyle name="强调文字颜色 3 2 8" xfId="7874"/>
    <cellStyle name="汇总 2 2 4 3 2" xfId="7875"/>
    <cellStyle name="强调文字颜色 6 2 2 3 5" xfId="7876"/>
    <cellStyle name="汇总 2 2 3 3 3 3 3" xfId="7877"/>
    <cellStyle name="汇总 2 2 7 3 3 2" xfId="7878"/>
    <cellStyle name="适中 2 2 2 2 8" xfId="7879"/>
    <cellStyle name="汇总 2 3 2 2 6 2" xfId="7880"/>
    <cellStyle name="超链接 3 2 2 2 4 2" xfId="7881"/>
    <cellStyle name="检查单元格 2 2 3 2 2 3" xfId="7882"/>
    <cellStyle name="20% - 强调文字颜色 4 2 2 6 3 2" xfId="7883"/>
    <cellStyle name="输入 3 2 2 2 3" xfId="7884"/>
    <cellStyle name="强调文字颜色 2 4 3 2" xfId="7885"/>
    <cellStyle name="40% - 强调文字颜色 2 2 3 4 3" xfId="7886"/>
    <cellStyle name="计算 2 2 6 2 2 5 2" xfId="7887"/>
    <cellStyle name="链接单元格 2 3 3 2" xfId="7888"/>
    <cellStyle name="汇总 2 5 2 2 2 4 2" xfId="7889"/>
    <cellStyle name="汇总 2 2 4 2 11 2" xfId="7890"/>
    <cellStyle name="适中 6 2" xfId="7891"/>
    <cellStyle name="40% - 强调文字颜色 6 2 3 5 2 2" xfId="7892"/>
    <cellStyle name="60% - 强调文字颜色 5 2 2 7 2" xfId="7893"/>
    <cellStyle name="注释 2 5 2 2 2" xfId="7894"/>
    <cellStyle name="20% - 强调文字颜色 4 2 3 3" xfId="7895"/>
    <cellStyle name="输出 2 4 2 8 2 2" xfId="7896"/>
    <cellStyle name="常规 3 3 2 2 2 3 2" xfId="7897"/>
    <cellStyle name="汇总 2 2 6 2 3 3 2 2" xfId="7898"/>
    <cellStyle name="强调文字颜色 3 2 2 3 5" xfId="7899"/>
    <cellStyle name="汇总 2 2 3 9 2" xfId="7900"/>
    <cellStyle name="汇总 2 6 5 2 2 2" xfId="7901"/>
    <cellStyle name="20% - 强调文字颜色 4 2 2 2 2 4" xfId="7902"/>
    <cellStyle name="汇总 2 2 4 4 8" xfId="7903"/>
    <cellStyle name="常规 4 2 4 2 4 2" xfId="7904"/>
    <cellStyle name="常规 13 2 2 2 2 2" xfId="7905"/>
    <cellStyle name="常规 4 6 2 4 2" xfId="7906"/>
    <cellStyle name="注释 3 2 3 2 2" xfId="7907"/>
    <cellStyle name="计算 2 3 2 2 2 5 2" xfId="7908"/>
    <cellStyle name="差 2 3 6 3" xfId="7909"/>
    <cellStyle name="强调文字颜色 5 3 3 2 2" xfId="7910"/>
    <cellStyle name="汇总 2 2 4 4 6" xfId="7911"/>
    <cellStyle name="计算 2 7 3 5 3" xfId="7912"/>
    <cellStyle name="汇总 5 6 2" xfId="7913"/>
    <cellStyle name="注释 3 15" xfId="7914"/>
    <cellStyle name="40% - 强调文字颜色 3 5 2 2 2" xfId="7915"/>
    <cellStyle name="计算 2 2 9 2 6" xfId="7916"/>
    <cellStyle name="注释 2 5 2 3 3" xfId="7917"/>
    <cellStyle name="汇总 2 2 4 2 4 3 3" xfId="7918"/>
    <cellStyle name="60% - 强调文字颜色 6 2 2 3 5 3" xfId="7919"/>
    <cellStyle name="计算 2 2 5 3 2 5" xfId="7920"/>
    <cellStyle name="40% - 强调文字颜色 5 2 2 9 2" xfId="7921"/>
    <cellStyle name="汇总 2 2 4 3 2 2 2" xfId="7922"/>
    <cellStyle name="警告文本 2 2 4 5 3" xfId="7923"/>
    <cellStyle name="输出 2 2 5 10" xfId="7924"/>
    <cellStyle name="输入 3 2 7 2" xfId="7925"/>
    <cellStyle name="输入 2 7 14" xfId="7926"/>
    <cellStyle name="20% - 强调文字颜色 5 2 2 2 2 2 3 3 2 2" xfId="7927"/>
    <cellStyle name="标题 2 2 2 2 5 2" xfId="7928"/>
    <cellStyle name="强调文字颜色 3 2 2 4 5 2" xfId="7929"/>
    <cellStyle name="解释性文本 2 3 2 2 2 3" xfId="7930"/>
    <cellStyle name="40% - 强调文字颜色 1 2 5 3 3" xfId="7931"/>
    <cellStyle name="计算 2 2 5 2 4 4 2" xfId="7932"/>
    <cellStyle name="注释 2 2 6 10" xfId="7933"/>
    <cellStyle name="标题 2 4 2 3" xfId="7934"/>
    <cellStyle name="汇总 2 2 7 2 2 5" xfId="7935"/>
    <cellStyle name="注释 2 6 3 3 2" xfId="7936"/>
    <cellStyle name="输入 2 3 2 2 2 5" xfId="7937"/>
    <cellStyle name="强调文字颜色 6 2 4 3 3 2" xfId="7938"/>
    <cellStyle name="计算 2 6 3 3 3 2 2" xfId="7939"/>
    <cellStyle name="适中 4 4 2" xfId="7940"/>
    <cellStyle name="计算 2 6 5" xfId="7941"/>
    <cellStyle name="60% - 强调文字颜色 6 2 2 2 2 2 4" xfId="7942"/>
    <cellStyle name="60% - 强调文字颜色 2 2 4 4 3 2" xfId="7943"/>
    <cellStyle name="强调文字颜色 3 2 6 2 2 2" xfId="7944"/>
    <cellStyle name="20% - 强调文字颜色 4 3 2 4" xfId="7945"/>
    <cellStyle name="标题 4 2 2 2 3 2 2 2" xfId="7946"/>
    <cellStyle name="20% - 强调文字颜色 1 2 3 2 4 2" xfId="7947"/>
    <cellStyle name="输入 2 2 4 5 2 4" xfId="7948"/>
    <cellStyle name="20% - 强调文字颜色 2 2 2 8" xfId="7949"/>
    <cellStyle name="40% - 强调文字颜色 1 2 2 2 2 4 3" xfId="7950"/>
    <cellStyle name="20% - 强调文字颜色 4 2 2 3 4 2" xfId="7951"/>
    <cellStyle name="输入 2 5 2 3 5 3" xfId="7952"/>
    <cellStyle name="计算 2 2 4 2 2 2 2 2 2" xfId="7953"/>
    <cellStyle name="汇总 2 2 5 2 11" xfId="7954"/>
    <cellStyle name="汇总 2 5 2 5 7" xfId="7955"/>
    <cellStyle name="差 2 2 7 2" xfId="7956"/>
    <cellStyle name="汇总 2 5 2 3 3 4 2" xfId="7957"/>
    <cellStyle name="汇总 2 2 4 4 2 3 2 2" xfId="7958"/>
    <cellStyle name="检查单元格 2" xfId="7959"/>
    <cellStyle name="计算 2 2 2 2 4 2" xfId="7960"/>
    <cellStyle name="注释 2 5 3 6" xfId="7961"/>
    <cellStyle name="汇总 2 2 9 3 2 2" xfId="7962"/>
    <cellStyle name="链接单元格 2 2 3 2 2 2 2" xfId="7963"/>
    <cellStyle name="强调文字颜色 6 2 2 2 2 3" xfId="7964"/>
    <cellStyle name="输出 2 2 2 4 2 4" xfId="7965"/>
    <cellStyle name="强调文字颜色 2 3 3 2 2" xfId="7966"/>
    <cellStyle name="计算 2 4 2 10" xfId="7967"/>
    <cellStyle name="强调文字颜色 5 3 4" xfId="7968"/>
    <cellStyle name="20% - 强调文字颜色 3 2 2 2 2 3 2" xfId="7969"/>
    <cellStyle name="40% - 强调文字颜色 5 4 2 3" xfId="7970"/>
    <cellStyle name="计算 2 2 3 2" xfId="7971"/>
    <cellStyle name="超链接 2 3 4 2 2" xfId="7972"/>
    <cellStyle name="强调文字颜色 3 2 3 2 2 3" xfId="7973"/>
    <cellStyle name="警告文本 3 2 2 2 2" xfId="7974"/>
    <cellStyle name="20% - 强调文字颜色 4 2 4 5 2" xfId="7975"/>
    <cellStyle name="汇总 2 4 2 8" xfId="7976"/>
    <cellStyle name="输出 2 2 3 2 5 2" xfId="7977"/>
    <cellStyle name="汇总 2 2 5 2 2 3 3" xfId="7978"/>
    <cellStyle name="输出 5 3 2" xfId="7979"/>
    <cellStyle name="常规 10 2 2 4 3" xfId="7980"/>
    <cellStyle name="60% - 强调文字颜色 4 2 2 7" xfId="7981"/>
    <cellStyle name="强调文字颜色 1 2 4 3 3 2" xfId="7982"/>
    <cellStyle name="注释 2 5 4 4" xfId="7983"/>
    <cellStyle name="常规 3 2 4 2 3 3 2 2" xfId="7984"/>
    <cellStyle name="40% - 强调文字颜色 3 2 2 2 2 3 2 2 2 2" xfId="7985"/>
    <cellStyle name="超链接 2 2 2 3" xfId="7986"/>
    <cellStyle name="计算 2 5 2 8 3" xfId="7987"/>
    <cellStyle name="计算 2 2 6 2 2 9" xfId="7988"/>
    <cellStyle name="链接单元格 2 3 7" xfId="7989"/>
    <cellStyle name="汇总 2 5 2 2 2 8" xfId="7990"/>
    <cellStyle name="汇总 3 2 3 4" xfId="7991"/>
    <cellStyle name="60% - 强调文字颜色 3 2" xfId="7992"/>
    <cellStyle name="20% - 强调文字颜色 1 2 2 3 3 2 2 2" xfId="7993"/>
    <cellStyle name="计算 2 2 2 2 2 4 3" xfId="7994"/>
    <cellStyle name="汇总 2 4 6" xfId="7995"/>
    <cellStyle name="40% - 强调文字颜色 2 2 3 2 2 4" xfId="7996"/>
    <cellStyle name="输入 2 2 4 2 3 4 2" xfId="7997"/>
    <cellStyle name="40% - 强调文字颜色 3 2 6 3" xfId="7998"/>
    <cellStyle name="强调文字颜色 4 2 2 2 2 4 4" xfId="7999"/>
    <cellStyle name="标题 1 2 2 4 5" xfId="8000"/>
    <cellStyle name="检查单元格 2 4 2 2 2 2 2" xfId="8001"/>
    <cellStyle name="60% - 强调文字颜色 3 2 3 2 2" xfId="8002"/>
    <cellStyle name="计算 2 3 3 5" xfId="8003"/>
    <cellStyle name="计算 2 2 5 2 6 2 2" xfId="8004"/>
    <cellStyle name="常规 2 2 2 2 3 3 2" xfId="8005"/>
    <cellStyle name="汇总 2 2 4 2 4 2 2 2 2" xfId="8006"/>
    <cellStyle name="60% - 强调文字颜色 6 2 2 3 4 2 2 2" xfId="8007"/>
    <cellStyle name="注释 3 3 4" xfId="8008"/>
    <cellStyle name="强调文字颜色 1 2 2 2 8" xfId="8009"/>
    <cellStyle name="计算 2 2 4 2 2 3 2" xfId="8010"/>
    <cellStyle name="警告文本 2 5 3 2 2" xfId="8011"/>
    <cellStyle name="链接单元格 2 3 5 2 2" xfId="8012"/>
    <cellStyle name="差 2 4 3 3 3" xfId="8013"/>
    <cellStyle name="汇总 2 4 2 3 4" xfId="8014"/>
    <cellStyle name="输入 2 7 3 3 2" xfId="8015"/>
    <cellStyle name="超链接 3 3 2 3 2" xfId="8016"/>
    <cellStyle name="输入 3 2 2 3 2" xfId="8017"/>
    <cellStyle name="汇总 2 2 19" xfId="8018"/>
    <cellStyle name="汇总 2 4 2 2 3 5" xfId="8019"/>
    <cellStyle name="常规 6 2 3 3 2 2 2" xfId="8020"/>
    <cellStyle name="常规 5 2 2 3 2 4 2" xfId="8021"/>
    <cellStyle name="输出 2 2 3 2 3 3 2 2" xfId="8022"/>
    <cellStyle name="60% - 强调文字颜色 3 2 2 3 5" xfId="8023"/>
    <cellStyle name="计算 2 2 4 8" xfId="8024"/>
    <cellStyle name="强调文字颜色 6 2 2 4 5 2 2" xfId="8025"/>
    <cellStyle name="输入 2 2 5 2 2 3" xfId="8026"/>
    <cellStyle name="输出 2 2 5 7 3" xfId="8027"/>
    <cellStyle name="计算 2 2 2 9" xfId="8028"/>
    <cellStyle name="输入 2 2 3 3 5" xfId="8029"/>
    <cellStyle name="输出 2 2 5 5 4" xfId="8030"/>
    <cellStyle name="计算 2 6 2 8 2" xfId="8031"/>
    <cellStyle name="40% - 强调文字颜色 5 3 2 3" xfId="8032"/>
    <cellStyle name="好 2 4 2 3" xfId="8033"/>
    <cellStyle name="计算 2 7 3 2 7" xfId="8034"/>
    <cellStyle name="强调文字颜色 5 2 2 2 5 2 2" xfId="8035"/>
    <cellStyle name="60% - 强调文字颜色 6 2 3 5 2 2" xfId="8036"/>
    <cellStyle name="警告文本 2 2 2 5 3" xfId="8037"/>
    <cellStyle name="输出 2 2 3 3 2 8" xfId="8038"/>
    <cellStyle name="计算 2 9" xfId="8039"/>
    <cellStyle name="汇总 2 2 2 9 2" xfId="8040"/>
    <cellStyle name="输入 2 2 4 2 2 2 5" xfId="8041"/>
    <cellStyle name="标题 2 3 3 2 2" xfId="8042"/>
    <cellStyle name="注释 2 6 3 2" xfId="8043"/>
    <cellStyle name="60% - 强调文字颜色 5 2 2 2 2 2 3" xfId="8044"/>
    <cellStyle name="输出 2 2 4 3 2 2" xfId="8045"/>
    <cellStyle name="60% - 强调文字颜色 6 3 3 2 2 3" xfId="8046"/>
    <cellStyle name="60% - 强调文字颜色 5 2 4 8" xfId="8047"/>
    <cellStyle name="20% - 强调文字颜色 2 2 7 3 2 2" xfId="8048"/>
    <cellStyle name="汇总 2 2 5 4 5 3" xfId="8049"/>
    <cellStyle name="输入 2 3 2 4 2 2" xfId="8050"/>
    <cellStyle name="差 3 2 2 2 2 2" xfId="8051"/>
    <cellStyle name="汇总 2 4 14" xfId="8052"/>
    <cellStyle name="汇总 2 2 8 3 6" xfId="8053"/>
    <cellStyle name="标题 3 2 3 2 2 4" xfId="8054"/>
    <cellStyle name="强调文字颜色 5 2 5 2" xfId="8055"/>
    <cellStyle name="输出 6 2 2" xfId="8056"/>
    <cellStyle name="20% - 强调文字颜色 3 2 2 2 2 2 3 2" xfId="8057"/>
    <cellStyle name="标题 2 2 2 2 2 6" xfId="8058"/>
    <cellStyle name="标题 4 2 4 2 2 2" xfId="8059"/>
    <cellStyle name="计算 2 2 4 3 4 3" xfId="8060"/>
    <cellStyle name="强调文字颜色 3 6" xfId="8061"/>
    <cellStyle name="常规 8 3 2 3 2" xfId="8062"/>
    <cellStyle name="计算 3 5 2" xfId="8063"/>
    <cellStyle name="输入 2 2 4 2 2 2 3 2 2" xfId="8064"/>
    <cellStyle name="汇总 2 2 8 2 7" xfId="8065"/>
    <cellStyle name="常规 5 2 3 2 2 2 2" xfId="8066"/>
    <cellStyle name="警告文本 2 2 3 4 4" xfId="8067"/>
    <cellStyle name="常规 4 2 2 2 2 4 2" xfId="8068"/>
    <cellStyle name="链接单元格 2 2 5 3 2 2" xfId="8069"/>
    <cellStyle name="标题 4 2 2 3 2 2 2 3" xfId="8070"/>
    <cellStyle name="链接单元格 2 2 2 2 4 2 2" xfId="8071"/>
    <cellStyle name="60% - 强调文字颜色 3 2 2 4 5 2" xfId="8072"/>
    <cellStyle name="计算 2 2 5 8 2" xfId="8073"/>
    <cellStyle name="输入 2 2 5 2 3 3 2" xfId="8074"/>
    <cellStyle name="强调文字颜色 3 2 3 2 4 4" xfId="8075"/>
    <cellStyle name="60% - 强调文字颜色 3 4 4 2" xfId="8076"/>
    <cellStyle name="60% - 强调文字颜色 2 2 5 2 2" xfId="8077"/>
    <cellStyle name="计算 2 2 4 2 8 2 2" xfId="8078"/>
    <cellStyle name="计算 2 13 2 2" xfId="8079"/>
    <cellStyle name="计算 2 2 5 3" xfId="8080"/>
    <cellStyle name="20% - 强调文字颜色 4 2 3 2 5 2 2" xfId="8081"/>
    <cellStyle name="常规 3 7 2 5" xfId="8082"/>
    <cellStyle name="40% - 强调文字颜色 1 2 2 2 2 3 2 2 2" xfId="8083"/>
    <cellStyle name="汇总 2 4 3 2 2 2" xfId="8084"/>
    <cellStyle name="适中 2 4 6 2" xfId="8085"/>
    <cellStyle name="注释 2 3 3 3" xfId="8086"/>
    <cellStyle name="汇总 2 2 3 8 2 2" xfId="8087"/>
    <cellStyle name="强调文字颜色 2 4 2 4" xfId="8088"/>
    <cellStyle name="输入 2 4 2 2 6 2" xfId="8089"/>
    <cellStyle name="汇总 3 2 8 3" xfId="8090"/>
    <cellStyle name="汇总 2 11 3 2" xfId="8091"/>
    <cellStyle name="标题 1 2 2 8 3" xfId="8092"/>
    <cellStyle name="百分比 2 5 4" xfId="8093"/>
    <cellStyle name="计算 2 3 7 3" xfId="8094"/>
    <cellStyle name="计算 2 2 4 2 2 2 9" xfId="8095"/>
    <cellStyle name="40% - 强调文字颜色 3 2 2 2 6 2 2" xfId="8096"/>
    <cellStyle name="强调文字颜色 5 4" xfId="8097"/>
    <cellStyle name="超链接 2 2 3 3" xfId="8098"/>
    <cellStyle name="汇总 2 5 5 2 6" xfId="8099"/>
    <cellStyle name="输出 2 3 2 2 8" xfId="8100"/>
    <cellStyle name="输入 2 2 3 2 2 2 2" xfId="8101"/>
    <cellStyle name="20% - 强调文字颜色 3 2 3 7 2" xfId="8102"/>
    <cellStyle name="注释 5 4 2 2" xfId="8103"/>
    <cellStyle name="60% - 强调文字颜色 6 3 2 2 3 2" xfId="8104"/>
    <cellStyle name="汇总 2 2 2 2 14" xfId="8105"/>
    <cellStyle name="强调文字颜色 6 2 3 4 3" xfId="8106"/>
    <cellStyle name="计算 2 6 3 2 4 2" xfId="8107"/>
    <cellStyle name="60% - 强调文字颜色 6 4 3 2 3" xfId="8108"/>
    <cellStyle name="汇总 2 2 3 2 3 3 2" xfId="8109"/>
    <cellStyle name="输出 2 3 2 2 9" xfId="8110"/>
    <cellStyle name="检查单元格 2 2 2 2 2" xfId="8111"/>
    <cellStyle name="汇总 2 2 4 2 12" xfId="8112"/>
    <cellStyle name="60% - 强调文字颜色 3 2 4 3 2 2 2" xfId="8113"/>
    <cellStyle name="60% - 强调文字颜色 2 2 3 2 3 2 2 2" xfId="8114"/>
    <cellStyle name="计算 2 4 4 5 2 2" xfId="8115"/>
    <cellStyle name="计算 2 5 3 7 2" xfId="8116"/>
    <cellStyle name="输入 2 2 6 4 3 2" xfId="8117"/>
    <cellStyle name="40% - 强调文字颜色 5 2 5 4" xfId="8118"/>
    <cellStyle name="标题 1 2 2 6" xfId="8119"/>
    <cellStyle name="检查单元格 2 2 3 4 2" xfId="8120"/>
    <cellStyle name="输出 2 4 2 6 3" xfId="8121"/>
    <cellStyle name="强调文字颜色 3 2 2 2 2 2" xfId="8122"/>
    <cellStyle name="好 2 3 3 6" xfId="8123"/>
    <cellStyle name="输出 2 2 7 4 3" xfId="8124"/>
    <cellStyle name="计算 2 4 3 3 3" xfId="8125"/>
    <cellStyle name="60% - 强调文字颜色 1 2 2 2 2 2 3" xfId="8126"/>
    <cellStyle name="输出 2 2 5 9" xfId="8127"/>
    <cellStyle name="注释 2 4 4 3 2 2" xfId="8128"/>
    <cellStyle name="输入 2 2 5 2 4" xfId="8129"/>
    <cellStyle name="汇总 2 2 5 3 2 5 2" xfId="8130"/>
    <cellStyle name="输入 2 2 4 2 4 3" xfId="8131"/>
    <cellStyle name="计算 2 4 2 3 3 3" xfId="8132"/>
    <cellStyle name="强调文字颜色 4 2 2 2 2 4 2 2" xfId="8133"/>
    <cellStyle name="强调文字颜色 5 2 3 2 2 2 2 2" xfId="8134"/>
    <cellStyle name="注释 2 2 6 2 3" xfId="8135"/>
    <cellStyle name="汇总 2 7 2 6 3" xfId="8136"/>
    <cellStyle name="60% - 强调文字颜色 4 2 3 5 2 2" xfId="8137"/>
    <cellStyle name="计算 2 2 6 5 4" xfId="8138"/>
    <cellStyle name="标题 3 2 3 4" xfId="8139"/>
    <cellStyle name="计算 2 5 3 2 2 3 2 2" xfId="8140"/>
    <cellStyle name="强调文字颜色 5 2 3 2 4 2 2" xfId="8141"/>
    <cellStyle name="计算 2 2 2 4 8" xfId="8142"/>
    <cellStyle name="警告文本 2 4 4 2 3" xfId="8143"/>
    <cellStyle name="计算 2 8 4 5" xfId="8144"/>
    <cellStyle name="汇总 2 2 6 12" xfId="8145"/>
    <cellStyle name="标题 5 2 3 2 2 2 2 2" xfId="8146"/>
    <cellStyle name="40% - 强调文字颜色 2 2 3 3 2" xfId="8147"/>
    <cellStyle name="适中 2 5 3" xfId="8148"/>
    <cellStyle name="输出 4 5 2" xfId="8149"/>
    <cellStyle name="链接单元格 2 2 3 3 3" xfId="8150"/>
    <cellStyle name="输出 2 5 2 2" xfId="8151"/>
    <cellStyle name="40% - 强调文字颜色 2 2 2 2 4 3 2" xfId="8152"/>
    <cellStyle name="标题 4 2 3 3 2 2 2 2" xfId="8153"/>
    <cellStyle name="链接单元格 2 2 4 3 2 3" xfId="8154"/>
    <cellStyle name="60% - 强调文字颜色 5 2 2 4 2 3" xfId="8155"/>
    <cellStyle name="计算 2 2 2 2 9 2" xfId="8156"/>
    <cellStyle name="检查单元格 2 2 2 5 3" xfId="8157"/>
    <cellStyle name="强调文字颜色 2 2 2 2 2 4 4" xfId="8158"/>
    <cellStyle name="差 2 2 2 5 2 2 2" xfId="8159"/>
    <cellStyle name="输出 4 2 3 3" xfId="8160"/>
    <cellStyle name="链接单元格 2 2 2 2 6" xfId="8161"/>
    <cellStyle name="差 2 2 2 2 2 2 3" xfId="8162"/>
    <cellStyle name="40% - 强调文字颜色 4 2 4 3 3 2" xfId="8163"/>
    <cellStyle name="常规 3 3 3" xfId="8164"/>
    <cellStyle name="输出 3 4 5" xfId="8165"/>
    <cellStyle name="输入 2 2 5 3 3 3" xfId="8166"/>
    <cellStyle name="计算 2 4 2 7 3" xfId="8167"/>
    <cellStyle name="标题 4 3 3 3 2 2 2" xfId="8168"/>
    <cellStyle name="标题 3 2 2 2 2 4 4" xfId="8169"/>
    <cellStyle name="计算 2 5 5 5 3" xfId="8170"/>
    <cellStyle name="好 2 2 3 6" xfId="8171"/>
    <cellStyle name="汇总 2 6 2 3 4 3" xfId="8172"/>
    <cellStyle name="常规 2 2 5 3 2" xfId="8173"/>
    <cellStyle name="计算 2 5 3 2 2" xfId="8174"/>
    <cellStyle name="强调文字颜色 5 2 2 2 2 2 4" xfId="8175"/>
    <cellStyle name="计算 2 7 10 2" xfId="8176"/>
    <cellStyle name="60% - 强调文字颜色 4 2 3 2 2 2 2 2" xfId="8177"/>
    <cellStyle name="汇总 2 9 5 2" xfId="8178"/>
    <cellStyle name="20% - 强调文字颜色 4 2 3 2" xfId="8179"/>
    <cellStyle name="输入 2 12 2 2" xfId="8180"/>
    <cellStyle name="注释 2 2 3 2 4 2" xfId="8181"/>
    <cellStyle name="差 2 9" xfId="8182"/>
    <cellStyle name="计算 2 2 7 2 2 2 2 2" xfId="8183"/>
    <cellStyle name="输出 3 3 4 3" xfId="8184"/>
    <cellStyle name="常规 3 2 2 3" xfId="8185"/>
    <cellStyle name="强调文字颜色 3 4 2" xfId="8186"/>
    <cellStyle name="40% - 强调文字颜色 1 3 2 4 2 2" xfId="8187"/>
    <cellStyle name="常规 9 2 2 4 2 2" xfId="8188"/>
    <cellStyle name="检查单元格 2 3 4 2 3" xfId="8189"/>
    <cellStyle name="无色 2 3" xfId="8190"/>
    <cellStyle name="60% - 强调文字颜色 1 4 3 2" xfId="8191"/>
    <cellStyle name="计算 2 2 3 4 6 2" xfId="8192"/>
    <cellStyle name="注释 2 3 8" xfId="8193"/>
    <cellStyle name="输入 2 8 4 5" xfId="8194"/>
    <cellStyle name="输入 2 5 2 2 3 3 2" xfId="8195"/>
    <cellStyle name="汇总 2 2 3 3 6 2" xfId="8196"/>
    <cellStyle name="40% - 强调文字颜色 1 2 3 2 3 2 2" xfId="8197"/>
    <cellStyle name="输入 2 7 3 2" xfId="8198"/>
    <cellStyle name="超链接 3 3 2 2" xfId="8199"/>
    <cellStyle name="计算 2 2 5 2 2 3 2 2 2" xfId="8200"/>
    <cellStyle name="汇总 2 2 2 2 2 2 4 2" xfId="8201"/>
    <cellStyle name="解释性文本 2 2 3 3 2 3" xfId="8202"/>
    <cellStyle name="注释 3 3 5" xfId="8203"/>
    <cellStyle name="超链接 3 5 3 2" xfId="8204"/>
    <cellStyle name="输入 2 9 4 2" xfId="8205"/>
    <cellStyle name="检查单元格 2 3 2 3 2 2 2" xfId="8206"/>
    <cellStyle name="计算 4 3 3 3" xfId="8207"/>
    <cellStyle name="汇总 2 4 3 2" xfId="8208"/>
    <cellStyle name="40% - 强调文字颜色 1 2 2 2 2 3 2" xfId="8209"/>
    <cellStyle name="20% - 强调文字颜色 4 2 3 2 5" xfId="8210"/>
    <cellStyle name="输出 2 9 4" xfId="8211"/>
    <cellStyle name="输入 2 2" xfId="8212"/>
    <cellStyle name="常规 2 8 2" xfId="8213"/>
    <cellStyle name="强调文字颜色 1 2 4 2" xfId="8214"/>
    <cellStyle name="汇总 2 5 2 16" xfId="8215"/>
    <cellStyle name="输出 2 2 3 3 2 2 4" xfId="8216"/>
    <cellStyle name="解释性文本 2 2 4 2 2 2 2" xfId="8217"/>
    <cellStyle name="输入 2 9 9" xfId="8218"/>
    <cellStyle name="输入 2 5 5 2 2 2 2" xfId="8219"/>
    <cellStyle name="标题 1 6 2 2 2" xfId="8220"/>
    <cellStyle name="汇总 2 2 4 2 4 2 2" xfId="8221"/>
    <cellStyle name="计算 2 2 4 5 2 5" xfId="8222"/>
    <cellStyle name="60% - 强调文字颜色 6 2 2 3 4 2" xfId="8223"/>
    <cellStyle name="强调文字颜色 5 2 4 5 3" xfId="8224"/>
    <cellStyle name="计算 2 5 2 4 2 2 2 2" xfId="8225"/>
    <cellStyle name="标题 2 2 7 3" xfId="8226"/>
    <cellStyle name="好 2 5" xfId="8227"/>
    <cellStyle name="输入 2 2 3 10" xfId="8228"/>
    <cellStyle name="计算 2 10 3 2 2" xfId="8229"/>
    <cellStyle name="链接单元格 3 8" xfId="8230"/>
    <cellStyle name="60% - 强调文字颜色 2 2 2 3 2 2" xfId="8231"/>
    <cellStyle name="计算 2 2 4 2 5 3 2 2" xfId="8232"/>
    <cellStyle name="计算 2 5 2 6 3 2" xfId="8233"/>
    <cellStyle name="常规 3 3 2 2 2 2 2 2 2" xfId="8234"/>
    <cellStyle name="60% - 强调文字颜色 1 2 3 6 2" xfId="8235"/>
    <cellStyle name="汇总 2 2 3 3 2 8" xfId="8236"/>
    <cellStyle name="注释 2 2 4 3 5" xfId="8237"/>
    <cellStyle name="强调文字颜色 1 2 3 2 3 3" xfId="8238"/>
    <cellStyle name="计算 2 6 5 2" xfId="8239"/>
    <cellStyle name="常规 9 6 2 2" xfId="8240"/>
    <cellStyle name="汇总 2 6 3 2 2 2" xfId="8241"/>
    <cellStyle name="输出 2 3 9" xfId="8242"/>
    <cellStyle name="常规 2 2 7" xfId="8243"/>
    <cellStyle name="40% - 强调文字颜色 6 2 6 2 2 2" xfId="8244"/>
    <cellStyle name="注释 2 2 3 2 2 3 3 2" xfId="8245"/>
    <cellStyle name="20% - 强调文字颜色 1 2 5 3" xfId="8246"/>
    <cellStyle name="标题 4 2 6 2 3" xfId="8247"/>
    <cellStyle name="汇总 2 2 11 4" xfId="8248"/>
    <cellStyle name="适中 2 3 4 4" xfId="8249"/>
    <cellStyle name="20% - 强调文字颜色 3 2 6 3 2 2" xfId="8250"/>
    <cellStyle name="注释 2 2 5 6 2" xfId="8251"/>
    <cellStyle name="标题 6 4 2 2 2" xfId="8252"/>
    <cellStyle name="注释 2 2 4 3 2 2" xfId="8253"/>
    <cellStyle name="汇总 2 2 3 3 2 5 2" xfId="8254"/>
    <cellStyle name="适中 2 2 3 3 2 2" xfId="8255"/>
    <cellStyle name="20% - 强调文字颜色 4 2 2 3 3" xfId="8256"/>
    <cellStyle name="输入 2 6 2 2 3 2 2" xfId="8257"/>
    <cellStyle name="常规 4 2 5 2" xfId="8258"/>
    <cellStyle name="40% - 强调文字颜色 1 5" xfId="8259"/>
    <cellStyle name="检查单元格 2 2 2 2 4 2 2" xfId="8260"/>
    <cellStyle name="20% - 强调文字颜色 4 2 5 2 3" xfId="8261"/>
    <cellStyle name="常规 9 4" xfId="8262"/>
    <cellStyle name="汇总 2 7 12" xfId="8263"/>
    <cellStyle name="适中 3 3 5" xfId="8264"/>
    <cellStyle name="20% - 强调文字颜色 3 2 2 3 4 3" xfId="8265"/>
    <cellStyle name="计算 3 9 3" xfId="8266"/>
    <cellStyle name="注释 6 2" xfId="8267"/>
    <cellStyle name="计算 2 4 2 2 7 2" xfId="8268"/>
    <cellStyle name="输出 3 2 2 4 2 2" xfId="8269"/>
    <cellStyle name="强调文字颜色 2 2 3 2 2" xfId="8270"/>
    <cellStyle name="计算 2 9 10" xfId="8271"/>
    <cellStyle name="20% - 强调文字颜色 2 3 2" xfId="8272"/>
    <cellStyle name="强调文字颜色 4 2 2 2 2 2 2 2 3" xfId="8273"/>
    <cellStyle name="注释 2 2 4 2 3 3" xfId="8274"/>
    <cellStyle name="汇总 2 2 3 2 8" xfId="8275"/>
    <cellStyle name="输入 2 5 4 2 6" xfId="8276"/>
    <cellStyle name="汇总 2 2 3 2 7 2" xfId="8277"/>
    <cellStyle name="强调文字颜色 1 4 2 2" xfId="8278"/>
    <cellStyle name="常规 5 2 2 2 2 2 3" xfId="8279"/>
    <cellStyle name="输出 2 2 2 2 2 2 2 3" xfId="8280"/>
    <cellStyle name="强调文字颜色 3 3 2 2 3" xfId="8281"/>
    <cellStyle name="输出 2 2 2 2 2 2 4" xfId="8282"/>
    <cellStyle name="输出 2 3 2 3 2 2 2" xfId="8283"/>
    <cellStyle name="常规 8 2 4 3 2 2" xfId="8284"/>
    <cellStyle name="60% - 强调文字颜色 5 2 3 2 2" xfId="8285"/>
    <cellStyle name="注释 2 2 7 2 4" xfId="8286"/>
    <cellStyle name="常规 7 8" xfId="8287"/>
    <cellStyle name="常规 4 5 6" xfId="8288"/>
    <cellStyle name="40% - 强调文字颜色 6 2 4 4" xfId="8289"/>
    <cellStyle name="20% - 强调文字颜色 4 2 3 6 2 2" xfId="8290"/>
    <cellStyle name="20% - 强调文字颜色 3 2 2 6 2 2 2" xfId="8291"/>
    <cellStyle name="汇总 2 2 5 14" xfId="8292"/>
    <cellStyle name="计算 2 2 7 2 2" xfId="8293"/>
    <cellStyle name="输出 2 2 4 2 2 3 3" xfId="8294"/>
    <cellStyle name="汇总 2 4 12" xfId="8295"/>
    <cellStyle name="60% - 强调文字颜色 2 2 2 5 2 2 2" xfId="8296"/>
    <cellStyle name="汇总 2 4 5 3 2" xfId="8297"/>
    <cellStyle name="40% - 强调文字颜色 2 2 3 2 2 3 3 2" xfId="8298"/>
    <cellStyle name="计算 2 7 9" xfId="8299"/>
    <cellStyle name="常规 5 2 5 2 3 2 2" xfId="8300"/>
    <cellStyle name="输出 2 3 4 2 3 2" xfId="8301"/>
    <cellStyle name="常规 2 2 2 2 3 2" xfId="8302"/>
    <cellStyle name="汇总 2 2 2 2 2 2 2 5" xfId="8303"/>
    <cellStyle name="警告文本 2 3 2 3 2 2" xfId="8304"/>
    <cellStyle name="20% - 强调文字颜色 2 3 2 5" xfId="8305"/>
    <cellStyle name="强调文字颜色 2 2 3 2 2 5" xfId="8306"/>
    <cellStyle name="强调文字颜色 3 2 4 2 2 3" xfId="8307"/>
    <cellStyle name="强调文字颜色 1 2 2 2 2 7" xfId="8308"/>
    <cellStyle name="60% - 强调文字颜色 2 2 2 4 3 3" xfId="8309"/>
    <cellStyle name="汇总 2 2 2 3 2 5 2" xfId="8310"/>
    <cellStyle name="注释 2 2 3 4" xfId="8311"/>
    <cellStyle name="汇总 2 2 13 3" xfId="8312"/>
    <cellStyle name="警告文本 2 2 3 4" xfId="8313"/>
    <cellStyle name="强调文字颜色 6 2 2 2 3 2 2 2" xfId="8314"/>
    <cellStyle name="输入 2 4 3 8" xfId="8315"/>
    <cellStyle name="20% - 强调文字颜色 4 2 4 2 2 2 2 2" xfId="8316"/>
    <cellStyle name="计算 2 2 4 2 4 2 3" xfId="8317"/>
    <cellStyle name="汇总 2 2 2 2 4 5" xfId="8318"/>
    <cellStyle name="标题 3 2 2 10" xfId="8319"/>
    <cellStyle name="计算 2 2 2 4 2 5 2" xfId="8320"/>
    <cellStyle name="常规 10 2 2 2 2 6" xfId="8321"/>
    <cellStyle name="强调文字颜色 5 2 2 4 5" xfId="8322"/>
    <cellStyle name="40% - 强调文字颜色 1 2 2 3 5" xfId="8323"/>
    <cellStyle name="汇总 3 7" xfId="8324"/>
    <cellStyle name="汇总 2 2 4 5 4 2 2" xfId="8325"/>
    <cellStyle name="计算 3 13" xfId="8326"/>
    <cellStyle name="常规 5 3 4 4" xfId="8327"/>
    <cellStyle name="40% - 强调文字颜色 6 3 2 2 4" xfId="8328"/>
    <cellStyle name="汇总 3 7 2 2" xfId="8329"/>
    <cellStyle name="40% - 强调文字颜色 1 2 2 3 5 2 2" xfId="8330"/>
    <cellStyle name="输出 2 2 3 2 3 2 5" xfId="8331"/>
    <cellStyle name="好 2 2 2 6 2 2" xfId="8332"/>
    <cellStyle name="标题 5 4 4 3 2" xfId="8333"/>
    <cellStyle name="强调文字颜色 5 2 2 2 3 2" xfId="8334"/>
    <cellStyle name="常规 11 2 2 4 2" xfId="8335"/>
    <cellStyle name="注释 2 4 5 2 2 3" xfId="8336"/>
    <cellStyle name="计算 2 5 2 3 4" xfId="8337"/>
    <cellStyle name="40% - 强调文字颜色 3 2 4 4 2 2" xfId="8338"/>
    <cellStyle name="20% - 强调文字颜色 1 2 3 2 2 3 2 2 2" xfId="8339"/>
    <cellStyle name="适中 2 2 2 4 3" xfId="8340"/>
    <cellStyle name="60% - 强调文字颜色 2 3 2 2 4 2" xfId="8341"/>
    <cellStyle name="常规 12 2 3 2" xfId="8342"/>
    <cellStyle name="输出 2 4 2 7 2" xfId="8343"/>
    <cellStyle name="计算 2 5 2 10 2" xfId="8344"/>
    <cellStyle name="强调文字颜色 1 3 4 3" xfId="8345"/>
    <cellStyle name="强调文字颜色 5 2 2 3 3 2 2" xfId="8346"/>
    <cellStyle name="输入 2 5 2 3 3 2 2" xfId="8347"/>
    <cellStyle name="汇总 3 2 2 6 2 2" xfId="8348"/>
    <cellStyle name="20% - 强调文字颜色 1 2 2 2 2 3 2" xfId="8349"/>
    <cellStyle name="检查单元格 2 3 6 2" xfId="8350"/>
    <cellStyle name="40% - 强调文字颜色 3 4 2 2" xfId="8351"/>
    <cellStyle name="链接单元格 2 3 2 8" xfId="8352"/>
    <cellStyle name="标题 5 2 2 2 4 4" xfId="8353"/>
    <cellStyle name="注释 2 5 2 2 2 5" xfId="8354"/>
    <cellStyle name="超链接 2 2 2 2 4" xfId="8355"/>
    <cellStyle name="计算 2 2 4 2 2 2 2 4 2 2" xfId="8356"/>
    <cellStyle name="汇总 2 2 6 3 2 7" xfId="8357"/>
    <cellStyle name="汇总 2 5 2 11 3" xfId="8358"/>
    <cellStyle name="60% - 强调文字颜色 3 2 4 6" xfId="8359"/>
    <cellStyle name="60% - 强调文字颜色 2 2 3 2 6" xfId="8360"/>
    <cellStyle name="20% - 强调文字颜色 4 2 3 2 2 3 3 2 2" xfId="8361"/>
    <cellStyle name="20% - 强调文字颜色 6 2 2 7 2" xfId="8362"/>
    <cellStyle name="计算 2 5 4 5 3" xfId="8363"/>
    <cellStyle name="20% - 强调文字颜色 4 2 2 4 2 3 2" xfId="8364"/>
    <cellStyle name="标题 4 5 2 2 2 2" xfId="8365"/>
    <cellStyle name="强调文字颜色 6 2 2 2 2 3 3 3" xfId="8366"/>
    <cellStyle name="注释 2 2 4 2 2 3 2 2" xfId="8367"/>
    <cellStyle name="链接单元格 3 3" xfId="8368"/>
    <cellStyle name="常规 9 2 2 2 4 3" xfId="8369"/>
    <cellStyle name="60% - 强调文字颜色 2 2 4 3 2" xfId="8370"/>
    <cellStyle name="标题 4 2 2 7" xfId="8371"/>
    <cellStyle name="60% - 强调文字颜色 3 3 5 2" xfId="8372"/>
    <cellStyle name="注释 2 3 7 2" xfId="8373"/>
    <cellStyle name="检查单元格 2 3 4 2 2 2" xfId="8374"/>
    <cellStyle name="无色 2 2 2" xfId="8375"/>
    <cellStyle name="超链接 3 2 2 5 2" xfId="8376"/>
    <cellStyle name="输入 2 6 3 5 2" xfId="8377"/>
    <cellStyle name="标题 5 2 3 10" xfId="8378"/>
    <cellStyle name="输入 2 3 10" xfId="8379"/>
    <cellStyle name="好 2 3 2 6" xfId="8380"/>
    <cellStyle name="计算 2 3 2 6 3" xfId="8381"/>
    <cellStyle name="输入 2 2 4 3 2 3" xfId="8382"/>
    <cellStyle name="注释 2 2 4 6 2" xfId="8383"/>
    <cellStyle name="常规 7 2 2 4 3 2 2" xfId="8384"/>
    <cellStyle name="20% - 强调文字颜色 3 2 6 2 2 2" xfId="8385"/>
    <cellStyle name="汇总 3 10" xfId="8386"/>
    <cellStyle name="差 2 2 3 3 2" xfId="8387"/>
    <cellStyle name="常规 10 5 4" xfId="8388"/>
    <cellStyle name="汇总 2 2 2 3 3" xfId="8389"/>
    <cellStyle name="汇总 3 3 2 4" xfId="8390"/>
    <cellStyle name="常规 4 4 3 2 2" xfId="8391"/>
    <cellStyle name="百分比 2 2 2 2 3" xfId="8392"/>
    <cellStyle name="40% - 强调文字颜色 3 2 2 6 3" xfId="8393"/>
    <cellStyle name="警告文本 2 2" xfId="8394"/>
    <cellStyle name="常规 5 3 2 2" xfId="8395"/>
    <cellStyle name="差 2 2 2 2 4 2 2 2" xfId="8396"/>
    <cellStyle name="汇总 2 2 3 3 3 3 2" xfId="8397"/>
    <cellStyle name="输出 2 2 3 2 2 2 7" xfId="8398"/>
    <cellStyle name="汇总 2 2 5 3 3" xfId="8399"/>
    <cellStyle name="常规 5 2 2 2 7" xfId="8400"/>
    <cellStyle name="20% - 强调文字颜色 6 4 3" xfId="8401"/>
    <cellStyle name="输入 2 2 3 4 2 3 2" xfId="8402"/>
    <cellStyle name="60% - 强调文字颜色 3 2 2 2 3 3 2" xfId="8403"/>
    <cellStyle name="链接单元格 2 3 2 5 3" xfId="8404"/>
    <cellStyle name="20% - 强调文字颜色 5 2 5 5 2" xfId="8405"/>
    <cellStyle name="输入 2 2 3 3 8" xfId="8406"/>
    <cellStyle name="计算 2 2 4 3 2 3 2" xfId="8407"/>
    <cellStyle name="警告文本 2 6 3 2 2" xfId="8408"/>
    <cellStyle name="计算 2 2 17" xfId="8409"/>
    <cellStyle name="好 2 2 3 3 3 2" xfId="8410"/>
    <cellStyle name="强调文字颜色 3 2 4 7" xfId="8411"/>
    <cellStyle name="注释 2 2 6 2 3 2 2" xfId="8412"/>
    <cellStyle name="超链接 3 6 3" xfId="8413"/>
    <cellStyle name="40% - 强调文字颜色 3 3 2 2 3 2 2" xfId="8414"/>
    <cellStyle name="常规 6 8" xfId="8415"/>
    <cellStyle name="40% - 强调文字颜色 6 2 3 4" xfId="8416"/>
    <cellStyle name="20% - 强调文字颜色 1 2 3 5 2 2 2" xfId="8417"/>
    <cellStyle name="强调文字颜色 1 2 5 3 2" xfId="8418"/>
    <cellStyle name="检查单元格 2 2 2 2 6 3" xfId="8419"/>
    <cellStyle name="差 2 3 2 6" xfId="8420"/>
    <cellStyle name="常规 3 2 2 4 4" xfId="8421"/>
    <cellStyle name="好 6" xfId="8422"/>
    <cellStyle name="百分比 2 2 2 2 2 2 3" xfId="8423"/>
    <cellStyle name="标题 4 2 3 2 3 3 3" xfId="8424"/>
    <cellStyle name="60% - 强调文字颜色 1 2 2 2 2 4 3 2" xfId="8425"/>
    <cellStyle name="输入 2 2 5 4 4 2" xfId="8426"/>
    <cellStyle name="输出 2 2 5 3" xfId="8427"/>
    <cellStyle name="汇总 2 2 3 2 5 2 2" xfId="8428"/>
    <cellStyle name="输入 2 2 5 3 6 2" xfId="8429"/>
    <cellStyle name="差 2 3 3" xfId="8430"/>
    <cellStyle name="常规 7 6 3" xfId="8431"/>
    <cellStyle name="常规 4 2 3 4 3" xfId="8432"/>
    <cellStyle name="输入 2 2 4 5 2 3 2" xfId="8433"/>
    <cellStyle name="20% - 强调文字颜色 2 2 2 7 2" xfId="8434"/>
    <cellStyle name="注释 2 4 2 4 2 2 2" xfId="8435"/>
    <cellStyle name="注释 2 2 2 2 2 2 6" xfId="8436"/>
    <cellStyle name="计算 2 2 4 3 3 2" xfId="8437"/>
    <cellStyle name="20% - 强调文字颜色 6 2 2 2 2 2 5 2 2" xfId="8438"/>
    <cellStyle name="计算 2 11 3 3" xfId="8439"/>
    <cellStyle name="标题 6 3 2 2 2" xfId="8440"/>
    <cellStyle name="20% - 强调文字颜色 3 2 5 3 2 2" xfId="8441"/>
    <cellStyle name="常规 2 2 4 5 2 2" xfId="8442"/>
    <cellStyle name="计算 2 5 2 4 2 2" xfId="8443"/>
    <cellStyle name="输出 5 2 2 3" xfId="8444"/>
    <cellStyle name="标题 3 2 2 3 2 2 2 3" xfId="8445"/>
    <cellStyle name="输出 2" xfId="8446"/>
    <cellStyle name="注释 2 2 5 8 2" xfId="8447"/>
    <cellStyle name="40% - 强调文字颜色 5 2 2 4 3 2" xfId="8448"/>
    <cellStyle name="汇总 2 2 4 2 2 2 2 3 2 2" xfId="8449"/>
    <cellStyle name="汇总 2 2 2 2 2 3 5" xfId="8450"/>
    <cellStyle name="20% - 强调文字颜色 6 5 2 2" xfId="8451"/>
    <cellStyle name="链接单元格 2 3 2 6 2 2" xfId="8452"/>
    <cellStyle name="标题 5 2 2 2 4 2 2 2" xfId="8453"/>
    <cellStyle name="标题 3 2 3 2 4" xfId="8454"/>
    <cellStyle name="汇总 2 5 2 5 2 3" xfId="8455"/>
    <cellStyle name="20% - 强调文字颜色 4 2 4 3 3 2" xfId="8456"/>
    <cellStyle name="标题 1 2 2 2 4 2 3" xfId="8457"/>
    <cellStyle name="检查单元格 2 2 2 2 3 3 2 2" xfId="8458"/>
    <cellStyle name="输出 4 8 2" xfId="8459"/>
    <cellStyle name="链接单元格 2 2 3 6 3" xfId="8460"/>
    <cellStyle name="标题 2 2 2 2 2 3 3 2 2" xfId="8461"/>
    <cellStyle name="常规 5 4 6" xfId="8462"/>
    <cellStyle name="40% - 强调文字颜色 6 3 3 4" xfId="8463"/>
    <cellStyle name="强调文字颜色 1 2 6 3 2" xfId="8464"/>
    <cellStyle name="警告文本 2 2 7 2 2" xfId="8465"/>
    <cellStyle name="计算 2 2 2 2 8 2" xfId="8466"/>
    <cellStyle name="检查单元格 2 2 2 4 3" xfId="8467"/>
    <cellStyle name="强调文字颜色 2 2 2 2 2 3 4" xfId="8468"/>
    <cellStyle name="40% - 强调文字颜色 3 2 3 2 2 5 2" xfId="8469"/>
    <cellStyle name="强调文字颜色 6 2 6 3" xfId="8470"/>
    <cellStyle name="适中 2 2 4 4 3" xfId="8471"/>
    <cellStyle name="计算 2 2 4 2 2 2 4" xfId="8472"/>
    <cellStyle name="超链接 3 2 3 3 4" xfId="8473"/>
    <cellStyle name="计算 2 8 2 4 3" xfId="8474"/>
    <cellStyle name="输入 2 7 2 2 3 3" xfId="8475"/>
    <cellStyle name="输入 2 4 7 2 2" xfId="8476"/>
    <cellStyle name="计算 2 2 4 3 2 4" xfId="8477"/>
    <cellStyle name="警告文本 2 6 3 3" xfId="8478"/>
    <cellStyle name="解释性文本 3 7 2" xfId="8479"/>
    <cellStyle name="汇总 2 2 3 2 2 2 3" xfId="8480"/>
    <cellStyle name="汇总 2 2 6 2 2 2" xfId="8481"/>
    <cellStyle name="常规 5 3 3 5 2" xfId="8482"/>
    <cellStyle name="输入 2 2 6 2 2 3 2 2" xfId="8483"/>
    <cellStyle name="输出 2 10 3 2" xfId="8484"/>
    <cellStyle name="强调文字颜色 6 2 2 4 3 3" xfId="8485"/>
    <cellStyle name="汇总 2 3 2 3 3 2 2" xfId="8486"/>
    <cellStyle name="汇总 2 7 2 3 3" xfId="8487"/>
    <cellStyle name="计算 2 2 2 3 2" xfId="8488"/>
    <cellStyle name="常规 5 6 5 3" xfId="8489"/>
    <cellStyle name="计算 2 2 6 2 4" xfId="8490"/>
    <cellStyle name="汇总 2 6 2 3 3" xfId="8491"/>
    <cellStyle name="汇总 2 3 2 2 3 2 2" xfId="8492"/>
    <cellStyle name="常规 4 2 4 5 3" xfId="8493"/>
    <cellStyle name="差 2 2 4 4 2 2" xfId="8494"/>
    <cellStyle name="60% - 强调文字颜色 4 2 6 3 2" xfId="8495"/>
    <cellStyle name="标题 4 2 2 3 2 2 2 2" xfId="8496"/>
    <cellStyle name="标题 4 2 6 2 2 3" xfId="8497"/>
    <cellStyle name="20% - 强调文字颜色 1 2 5 2 3" xfId="8498"/>
    <cellStyle name="40% - 强调文字颜色 5 2 2 4 2 2 2" xfId="8499"/>
    <cellStyle name="注释 2 2 5 7 2 2" xfId="8500"/>
    <cellStyle name="好 2 3 2 4 2 2 2" xfId="8501"/>
    <cellStyle name="汇总 2 2 11 3 3" xfId="8502"/>
    <cellStyle name="适中 2 3 4 3 3" xfId="8503"/>
    <cellStyle name="强调文字颜色 6 2 2 4 4" xfId="8504"/>
    <cellStyle name="20% - 强调文字颜色 4 4 2 2 2 2" xfId="8505"/>
    <cellStyle name="60% - 强调文字颜色 6 2 2 4 6" xfId="8506"/>
    <cellStyle name="汇总 2 2 4 2 5 4" xfId="8507"/>
    <cellStyle name="汇总 2 5 3 2 2 5" xfId="8508"/>
    <cellStyle name="计算 2 2 7 2 2 6" xfId="8509"/>
    <cellStyle name="输入 2 16" xfId="8510"/>
    <cellStyle name="常规 5 2 3 4 2 3 2" xfId="8511"/>
    <cellStyle name="输入 3 3 5 2 2" xfId="8512"/>
    <cellStyle name="计算 2 2 4 12" xfId="8513"/>
    <cellStyle name="差 2 6 2 3" xfId="8514"/>
    <cellStyle name="标题 2 2 2 3 3 2 2" xfId="8515"/>
    <cellStyle name="汇总 2 2 9 4 2 2" xfId="8516"/>
    <cellStyle name="注释 2 6 3 6" xfId="8517"/>
    <cellStyle name="注释 2 4 2 2 2 3 2" xfId="8518"/>
    <cellStyle name="强调文字颜色 5 2 2 2 2" xfId="8519"/>
    <cellStyle name="汇总 2 5 2 2 3 3 3" xfId="8520"/>
    <cellStyle name="链接单元格 2 4 2 3" xfId="8521"/>
    <cellStyle name="40% - 强调文字颜色 5 2 5 4 2 2" xfId="8522"/>
    <cellStyle name="检查单元格 2 2 2 2 4 2" xfId="8523"/>
    <cellStyle name="计算 2 6 14" xfId="8524"/>
    <cellStyle name="常规 3 7 5 2" xfId="8525"/>
    <cellStyle name="标题 3 2 3 3 7" xfId="8526"/>
    <cellStyle name="计算 2 4 8 2 2" xfId="8527"/>
    <cellStyle name="强调文字颜色 6 2 2 2 2 3 2" xfId="8528"/>
    <cellStyle name="链接单元格 2 2 3 2 2 2 2 2" xfId="8529"/>
    <cellStyle name="警告文本 2 6 2 3" xfId="8530"/>
    <cellStyle name="标题 5 4 6 2" xfId="8531"/>
    <cellStyle name="输入 2 2 4 3 2 7" xfId="8532"/>
    <cellStyle name="计算 2 2 4 2 3 5 2" xfId="8533"/>
    <cellStyle name="常规 12 4 2 3 2 2" xfId="8534"/>
    <cellStyle name="汇总 4 2 2 2" xfId="8535"/>
    <cellStyle name="强调文字颜色 5 2 2 6 4" xfId="8536"/>
    <cellStyle name="注释 2 3 4 3 3" xfId="8537"/>
    <cellStyle name="40% - 强调文字颜色 3 3 4 2 2" xfId="8538"/>
    <cellStyle name="适中 2 2 2 2 3 3 2 2" xfId="8539"/>
    <cellStyle name="汇总 2 2 4 3 2 6" xfId="8540"/>
    <cellStyle name="强调文字颜色 1 2 3 2 3 2 3" xfId="8541"/>
    <cellStyle name="20% - 强调文字颜色 6 2 2 5 3 2" xfId="8542"/>
    <cellStyle name="汇总 2 5 2 2 3 3 2 2" xfId="8543"/>
    <cellStyle name="标题 2 2 2 7 3" xfId="8544"/>
    <cellStyle name="链接单元格 2 4 2 2 2" xfId="8545"/>
    <cellStyle name="汇总 2 2 6" xfId="8546"/>
    <cellStyle name="计算 2 2 2 2 2 2 2 3 3" xfId="8547"/>
    <cellStyle name="20% - 强调文字颜色 3 2 3 3 5" xfId="8548"/>
    <cellStyle name="注释 2 4 2 2 2 5" xfId="8549"/>
    <cellStyle name="汇总 2 2 4 2 3 2 5" xfId="8550"/>
    <cellStyle name="计算 2 2 4 4 2 8" xfId="8551"/>
    <cellStyle name="常规 3 2 4 3 2" xfId="8552"/>
    <cellStyle name="计算 3 5 2 2 2" xfId="8553"/>
    <cellStyle name="汇总 2 7 2 2 4 3" xfId="8554"/>
    <cellStyle name="汇总 2 3 4 6 2" xfId="8555"/>
    <cellStyle name="好 3 3 4" xfId="8556"/>
    <cellStyle name="40% - 强调文字颜色 1 2 2 2 2 5 2 2 2" xfId="8557"/>
    <cellStyle name="输出 2 2 2 2 4 2" xfId="8558"/>
    <cellStyle name="强调文字颜色 3 5 2" xfId="8559"/>
    <cellStyle name="输出 3 3 5 3" xfId="8560"/>
    <cellStyle name="输出 2 5 12" xfId="8561"/>
    <cellStyle name="常规 3 2 3 3" xfId="8562"/>
    <cellStyle name="汇总 2 2 3 9 2 2" xfId="8563"/>
    <cellStyle name="输出 2 2 3 2 3 5 3" xfId="8564"/>
    <cellStyle name="输入 2 2 2 4 3 2" xfId="8565"/>
    <cellStyle name="输出 2 2 4 6 2 2" xfId="8566"/>
    <cellStyle name="计算 2 2 8 3 2 2" xfId="8567"/>
    <cellStyle name="标题 3 2 2 5 2 2" xfId="8568"/>
    <cellStyle name="60% - 强调文字颜色 4 4 2 2 2" xfId="8569"/>
    <cellStyle name="输入 2 5 4 4" xfId="8570"/>
    <cellStyle name="计算 2 5 5 2 4 3" xfId="8571"/>
    <cellStyle name="标题 1 2 2 2 2 3 2" xfId="8572"/>
    <cellStyle name="强调文字颜色 6 2 3 4" xfId="8573"/>
    <cellStyle name="汇总 2 2 4 4 4 3" xfId="8574"/>
    <cellStyle name="强调文字颜色 4 4 2 3 2" xfId="8575"/>
    <cellStyle name="常规 3 3 2 3 3 2" xfId="8576"/>
    <cellStyle name="汇总 2 2 2 6 3 2 2" xfId="8577"/>
    <cellStyle name="输出 2 6 8" xfId="8578"/>
    <cellStyle name="强调文字颜色 1 2 3 4 2" xfId="8579"/>
    <cellStyle name="常规 4 4" xfId="8580"/>
    <cellStyle name="40% - 强调文字颜色 2 2 2 4 2 3 2" xfId="8581"/>
    <cellStyle name="汇总 2 2 6 4 8" xfId="8582"/>
    <cellStyle name="差 2 2 2 2 3 3" xfId="8583"/>
    <cellStyle name="输出 4 3 2 2" xfId="8584"/>
    <cellStyle name="标题 1 2 4" xfId="8585"/>
    <cellStyle name="强调文字颜色 4 2 2 3 2" xfId="8586"/>
    <cellStyle name="汇总 2 2 10 2" xfId="8587"/>
    <cellStyle name="适中 2 3 3 2" xfId="8588"/>
    <cellStyle name="常规 7 4 4 2 2" xfId="8589"/>
    <cellStyle name="常规 4 2 3 2 4 2 2" xfId="8590"/>
    <cellStyle name="60% - 强调文字颜色 5 2 3 8" xfId="8591"/>
    <cellStyle name="输入 2 4 5 2 2" xfId="8592"/>
    <cellStyle name="强调文字颜色 1 2 4 4 3" xfId="8593"/>
    <cellStyle name="检查单元格 2 5 4" xfId="8594"/>
    <cellStyle name="常规 9 2 2 3" xfId="8595"/>
    <cellStyle name="40% - 强调文字颜色 1 3 2 3" xfId="8596"/>
    <cellStyle name="计算 2 2 4 2 12 2" xfId="8597"/>
    <cellStyle name="汇总 2 2 7 4 2" xfId="8598"/>
    <cellStyle name="强调文字颜色 6 2 6 2" xfId="8599"/>
    <cellStyle name="适中 2 2 4 4 2" xfId="8600"/>
    <cellStyle name="输入 2 6 4 3 3" xfId="8601"/>
    <cellStyle name="超链接 3 2 3 3 3" xfId="8602"/>
    <cellStyle name="汇总 2 3 3 3 5" xfId="8603"/>
    <cellStyle name="计算 2 8 2 4 2" xfId="8604"/>
    <cellStyle name="输入 2 7 2 2 3 2" xfId="8605"/>
    <cellStyle name="常规 11 2 2 5 3" xfId="8606"/>
    <cellStyle name="计算 2 5 2 4 5" xfId="8607"/>
    <cellStyle name="输入 2 15" xfId="8608"/>
    <cellStyle name="输入 2 20" xfId="8609"/>
    <cellStyle name="计算 2 2 7 2 2 5" xfId="8610"/>
    <cellStyle name="汇总 2 5 3 2 2 4" xfId="8611"/>
    <cellStyle name="链接单元格 2 3 2 2 2 2 2 2" xfId="8612"/>
    <cellStyle name="强调文字颜色 1 2 2 2 3 2 3" xfId="8613"/>
    <cellStyle name="20% - 强调文字颜色 4 2 2 4 3 2 2" xfId="8614"/>
    <cellStyle name="链接单元格 2 2 3 4" xfId="8615"/>
    <cellStyle name="40% - 强调文字颜色 2 2 2 4 5" xfId="8616"/>
    <cellStyle name="注释 2 5 10" xfId="8617"/>
    <cellStyle name="标题 6 3 3 2 2 2" xfId="8618"/>
    <cellStyle name="60% - 强调文字颜色 6 2 3 4 3 2" xfId="8619"/>
    <cellStyle name="输入 2 5 5 2 2 2" xfId="8620"/>
    <cellStyle name="计算 2 3 2 2 2 2 4 2" xfId="8621"/>
    <cellStyle name="输入 2 2 4 2 3 2 2 2" xfId="8622"/>
    <cellStyle name="标题 2 2 5 3" xfId="8623"/>
    <cellStyle name="标题 2 2 3 2 3 2" xfId="8624"/>
    <cellStyle name="输入 4 2 5 2" xfId="8625"/>
    <cellStyle name="标题 1 2 2 2 3 4" xfId="8626"/>
    <cellStyle name="输出 9" xfId="8627"/>
    <cellStyle name="标题 4 2 4 5" xfId="8628"/>
    <cellStyle name="计算 2 4 4 4 2 2" xfId="8629"/>
    <cellStyle name="输入 2 2 6 3 3 2" xfId="8630"/>
    <cellStyle name="计算 2 5 2 7 2" xfId="8631"/>
    <cellStyle name="标题 4 2 3 3 2 2 3" xfId="8632"/>
    <cellStyle name="强调文字颜色 6 2 3 3 5" xfId="8633"/>
    <cellStyle name="超链接 2 3 2 2 2 2 2" xfId="8634"/>
    <cellStyle name="标题 4 2 2 2 4 2 3" xfId="8635"/>
    <cellStyle name="计算 2 3 3 6 2 2" xfId="8636"/>
    <cellStyle name="标题 3 2 2 2 2 2 2 2 2" xfId="8637"/>
    <cellStyle name="60% - 强调文字颜色 3 2 3 2 3 2 2" xfId="8638"/>
    <cellStyle name="强调文字颜色 3 2 7 2 3" xfId="8639"/>
    <cellStyle name="输入 2 2 4 4 2 2 2" xfId="8640"/>
    <cellStyle name="20% - 强调文字颜色 6 2 5 4 2" xfId="8641"/>
    <cellStyle name="输入 2 4 2 8" xfId="8642"/>
    <cellStyle name="注释 2 2 10 3" xfId="8643"/>
    <cellStyle name="计算 2 3 3 3 2" xfId="8644"/>
    <cellStyle name="强调文字颜色 6 2 4 2 2 2 3" xfId="8645"/>
    <cellStyle name="计算 2 6 4 9" xfId="8646"/>
    <cellStyle name="强调文字颜色 5 2 7 2 2 2" xfId="8647"/>
    <cellStyle name="标题 3 2 6 2" xfId="8648"/>
    <cellStyle name="计算 2 2 6 8 2" xfId="8649"/>
    <cellStyle name="输出 2 2 4 5 3" xfId="8650"/>
    <cellStyle name="输入 2 2 2 3 4" xfId="8651"/>
    <cellStyle name="输出 2 2 2 2 7 2" xfId="8652"/>
    <cellStyle name="计算 2 2 3 3 4" xfId="8653"/>
    <cellStyle name="注释 2 4 2 3 2 3" xfId="8654"/>
    <cellStyle name="检查单元格 3 3 3 2" xfId="8655"/>
    <cellStyle name="20% - 强调文字颜色 2 2 3 2 2 4 2 2" xfId="8656"/>
    <cellStyle name="强调文字颜色 3 2 4 6" xfId="8657"/>
    <cellStyle name="20% - 强调文字颜色 3 2 4 2 2 2 2 2" xfId="8658"/>
    <cellStyle name="20% - 强调文字颜色 1 2 2 2 2 4 2" xfId="8659"/>
    <cellStyle name="常规 10 4 2 3 2" xfId="8660"/>
    <cellStyle name="汇总 2 2 5 2 2 2 5 2" xfId="8661"/>
    <cellStyle name="20% - 强调文字颜色 4 2 3 5 2 2 2" xfId="8662"/>
    <cellStyle name="常规 5 2 3 2 2 3" xfId="8663"/>
    <cellStyle name="常规 4 2 2 2 2 5" xfId="8664"/>
    <cellStyle name="检查单元格 2 3 3 5" xfId="8665"/>
    <cellStyle name="60% - 强调文字颜色 5 2 3 5 2" xfId="8666"/>
    <cellStyle name="强调文字颜色 2 2 4 9" xfId="8667"/>
    <cellStyle name="强调文字颜色 1 2 3 4 4" xfId="8668"/>
    <cellStyle name="40% - 强调文字颜色 4 3 5 2 2" xfId="8669"/>
    <cellStyle name="输出 4 2 5 2" xfId="8670"/>
    <cellStyle name="强调文字颜色 1 2 3 4 2 3" xfId="8671"/>
    <cellStyle name="输出 2 6 8 3" xfId="8672"/>
    <cellStyle name="60% - 强调文字颜色 6 2 2 2 2 4 3 2" xfId="8673"/>
    <cellStyle name="计算 2 8 4 2" xfId="8674"/>
    <cellStyle name="汇总 2 2 4 5 5 2" xfId="8675"/>
    <cellStyle name="输入 2 2 8 7 2 2" xfId="8676"/>
    <cellStyle name="汇总 2 2 7 5 5" xfId="8677"/>
    <cellStyle name="汇总 2 2 4 2 2 3 3 2 2" xfId="8678"/>
    <cellStyle name="注释 2 3 2 2" xfId="8679"/>
    <cellStyle name="强调文字颜色 6 2 2 2 5" xfId="8680"/>
    <cellStyle name="强调文字颜色 1 2 4 2 2 2 2 2" xfId="8681"/>
    <cellStyle name="常规 3 3 6 2 2 2" xfId="8682"/>
    <cellStyle name="链接单元格 2 2 3 10" xfId="8683"/>
    <cellStyle name="强调文字颜色 3 2 2 3 2 2" xfId="8684"/>
    <cellStyle name="输出 3 3 2 2 2" xfId="8685"/>
    <cellStyle name="汇总 2 3 11 3" xfId="8686"/>
    <cellStyle name="差 4 6" xfId="8687"/>
    <cellStyle name="汇总 2 6 2 2 2 3 2" xfId="8688"/>
    <cellStyle name="强调文字颜色 1 2 7 2" xfId="8689"/>
    <cellStyle name="计算 3 3 4" xfId="8690"/>
    <cellStyle name="20% - 强调文字颜色 1 2 3 2 2 2 2 2 2" xfId="8691"/>
    <cellStyle name="注释 2 2 3 5 3 2" xfId="8692"/>
    <cellStyle name="40% - 强调文字颜色 3 2 3 4 2 2" xfId="8693"/>
    <cellStyle name="计算 4 2 3 2 2 2" xfId="8694"/>
    <cellStyle name="汇总 2 2 2 5 4 2" xfId="8695"/>
    <cellStyle name="注释 2 2 2 8" xfId="8696"/>
    <cellStyle name="输入 2 2 5 2 2 5 2" xfId="8697"/>
    <cellStyle name="强调文字颜色 2 2 2 6 3 3" xfId="8698"/>
    <cellStyle name="差 2 7" xfId="8699"/>
    <cellStyle name="汇总 2 2 2 2 4 3 3" xfId="8700"/>
    <cellStyle name="常规 2 2 2 3 2 2" xfId="8701"/>
    <cellStyle name="常规 13 2 2 2 2 3 2" xfId="8702"/>
    <cellStyle name="输出 2 3 4 3 2 2" xfId="8703"/>
    <cellStyle name="汇总 2 4 6 2 2" xfId="8704"/>
    <cellStyle name="40% - 强调文字颜色 2 2 3 2 2 4 2 2" xfId="8705"/>
    <cellStyle name="输出 2 2 3 2 4" xfId="8706"/>
    <cellStyle name="40% - 强调文字颜色 3 2 4 2 2 2 2 2" xfId="8707"/>
    <cellStyle name="强调文字颜色 3 2 2 6 3" xfId="8708"/>
    <cellStyle name="常规 10 4 3 3 2" xfId="8709"/>
    <cellStyle name="输出 2 2 2 2 2 8" xfId="8710"/>
    <cellStyle name="警告文本 2 3 3 4" xfId="8711"/>
    <cellStyle name="60% - 强调文字颜色 6 2 2 4 2 2" xfId="8712"/>
    <cellStyle name="差 2 2 2 4 2 2 3" xfId="8713"/>
    <cellStyle name="20% - 强调文字颜色 1 2 2 4 5" xfId="8714"/>
    <cellStyle name="好 2 2 4 2 2 2 2" xfId="8715"/>
    <cellStyle name="输入 2 2 9 2 2" xfId="8716"/>
    <cellStyle name="汇总 2 2 8 2 2 3 2 2" xfId="8717"/>
    <cellStyle name="40% - 强调文字颜色 1 5 2 2 2" xfId="8718"/>
    <cellStyle name="常规 9 4 2 2 2" xfId="8719"/>
    <cellStyle name="计算 2 2 7 2 3 2 2" xfId="8720"/>
    <cellStyle name="强调文字颜色 4 2 2 2 2 2 2 3" xfId="8721"/>
    <cellStyle name="注释 2 2 2 2 2 4 2" xfId="8722"/>
    <cellStyle name="计算 2 2 5 2 4 3 2 2" xfId="8723"/>
    <cellStyle name="40% - 强调文字颜色 1 2 5 2 3 2" xfId="8724"/>
    <cellStyle name="汇总 2 6 4 5 3" xfId="8725"/>
    <cellStyle name="标题 3 3 3 3 2 3" xfId="8726"/>
    <cellStyle name="标题 4 2 2 4 3 2 2" xfId="8727"/>
    <cellStyle name="解释性文本 2 3 3 3" xfId="8728"/>
    <cellStyle name="注释 2 6" xfId="8729"/>
    <cellStyle name="输出 2 5 4 2 2 2 2" xfId="8730"/>
    <cellStyle name="常规 2 4 2 2 2 2 2" xfId="8731"/>
    <cellStyle name="标题 2 2 2 2 4 3 2" xfId="8732"/>
    <cellStyle name="汇总 2 7 3 3" xfId="8733"/>
    <cellStyle name="40% - 强调文字颜色 6 2 2 3 5" xfId="8734"/>
    <cellStyle name="汇总 3 2 4 3 3" xfId="8735"/>
    <cellStyle name="输入 2 4 2 2 2 2 3" xfId="8736"/>
    <cellStyle name="计算 2 2 8 2 2 2 2 2" xfId="8737"/>
    <cellStyle name="输入 2 2 4 2 3 5 2 2" xfId="8738"/>
    <cellStyle name="汇总 2 2 3 4 6" xfId="8739"/>
    <cellStyle name="计算 2 7 2 5 3" xfId="8740"/>
    <cellStyle name="60% - 强调文字颜色 5 4 3 2 2 2" xfId="8741"/>
    <cellStyle name="计算 2 2 8 12" xfId="8742"/>
    <cellStyle name="常规 5 2 2 2 3 2 2" xfId="8743"/>
    <cellStyle name="常规 5 4 3 4 2" xfId="8744"/>
    <cellStyle name="常规 9 2 2 5 2" xfId="8745"/>
    <cellStyle name="常规 9 2 2 6" xfId="8746"/>
    <cellStyle name="适中 2 2 2 2 6 2" xfId="8747"/>
    <cellStyle name="40% - 强调文字颜色 1 3 2 6" xfId="8748"/>
    <cellStyle name="输出 2 2 4 3 2 6" xfId="8749"/>
    <cellStyle name="标题 1 2 2 2 2 3 3 2" xfId="8750"/>
    <cellStyle name="常规 3 2 4 2 3 4" xfId="8751"/>
    <cellStyle name="常规 9 4 3 2" xfId="8752"/>
    <cellStyle name="强调文字颜色 2 2 3 5 2 3" xfId="8753"/>
    <cellStyle name="汇总 2 3 2 4 5" xfId="8754"/>
    <cellStyle name="超链接 3 2 2 4 3" xfId="8755"/>
    <cellStyle name="输入 2 6 3 4 3" xfId="8756"/>
    <cellStyle name="适中 2 3 2 2 3" xfId="8757"/>
    <cellStyle name="标题 5 2 3 6 2 2" xfId="8758"/>
    <cellStyle name="标题 1 2 2 3 2" xfId="8759"/>
    <cellStyle name="40% - 强调文字颜色 4 2 2 2 6 2" xfId="8760"/>
    <cellStyle name="注释 2 6 7 2 2" xfId="8761"/>
    <cellStyle name="汇总 2 2 2 2 4 2 3" xfId="8762"/>
    <cellStyle name="40% - 强调文字颜色 6 2 2 3 5 2" xfId="8763"/>
    <cellStyle name="汇总 2 7 3 3 2" xfId="8764"/>
    <cellStyle name="输入 2 5 3 2 2 2 3" xfId="8765"/>
    <cellStyle name="20% - 强调文字颜色 4 3 5 2 2 2" xfId="8766"/>
    <cellStyle name="输出 2 2 3 2 2 3 2 2" xfId="8767"/>
    <cellStyle name="标题 1 2 2 2 6 3" xfId="8768"/>
    <cellStyle name="常规 6 2 6" xfId="8769"/>
    <cellStyle name="常规 9 4 2 3" xfId="8770"/>
    <cellStyle name="解释性文本 3 6 2" xfId="8771"/>
    <cellStyle name="汇总 2 2 2 2 2 7 2" xfId="8772"/>
    <cellStyle name="汇总 2 5 5 2 2 2" xfId="8773"/>
    <cellStyle name="计算 2 2 9 2 2 3" xfId="8774"/>
    <cellStyle name="输入 2 2 5 2 3 6" xfId="8775"/>
    <cellStyle name="输出 2 3 2 2 4 2" xfId="8776"/>
    <cellStyle name="40% - 强调文字颜色 6 2 3 2 2 2 2 2 2" xfId="8777"/>
    <cellStyle name="40% - 强调文字颜色 5 2 2 2 2 4 2 2 2" xfId="8778"/>
    <cellStyle name="标题 5 2 4 4" xfId="8779"/>
    <cellStyle name="标题 2 2 2 4 3 3 2" xfId="8780"/>
    <cellStyle name="输入 2 5 2 2 2 2 2" xfId="8781"/>
    <cellStyle name="超链接 3 3 2 5" xfId="8782"/>
    <cellStyle name="输入 2 7 3 5" xfId="8783"/>
    <cellStyle name="强调文字颜色 3 2 2 3 8" xfId="8784"/>
    <cellStyle name="常规 6 2 3 3 3 2" xfId="8785"/>
    <cellStyle name="计算 2 2 2 3 2 4 2 2" xfId="8786"/>
    <cellStyle name="汇总 2 2 8 2 3" xfId="8787"/>
    <cellStyle name="常规 5 2 2 3 3 4" xfId="8788"/>
    <cellStyle name="60% - 强调文字颜色 4 3 10" xfId="8789"/>
    <cellStyle name="输出 2 2 3 5 4 2 2" xfId="8790"/>
    <cellStyle name="40% - 强调文字颜色 5 4 2 3 2 2 2" xfId="8791"/>
    <cellStyle name="输出 2 2 6 6 2 2" xfId="8792"/>
    <cellStyle name="计算 2 4 2 5 2 2" xfId="8793"/>
    <cellStyle name="标题 3 2 2 2 2 2 3 2" xfId="8794"/>
    <cellStyle name="计算 2 3 3 7 2" xfId="8795"/>
    <cellStyle name="60% - 强调文字颜色 3 2 3 2 4 2" xfId="8796"/>
    <cellStyle name="输入 2 2 4 4 3 2" xfId="8797"/>
    <cellStyle name="汇总 2 2 2 2 2 7" xfId="8798"/>
    <cellStyle name="警告文本 2 2 2 3 4" xfId="8799"/>
    <cellStyle name="解释性文本 3 6" xfId="8800"/>
    <cellStyle name="60% - 强调文字颜色 1 2 2 2 2 4" xfId="8801"/>
    <cellStyle name="计算 2 11 2 2 2" xfId="8802"/>
    <cellStyle name="输出 2 2 7 6" xfId="8803"/>
    <cellStyle name="计算 2 4 3 5" xfId="8804"/>
    <cellStyle name="60% - 强调文字颜色 3 2 4 2 2" xfId="8805"/>
    <cellStyle name="60% - 强调文字颜色 2 2 3 2 2 2" xfId="8806"/>
    <cellStyle name="计算 2 2 5 2 7 2 2" xfId="8807"/>
    <cellStyle name="计算 2 2 4 2 6 2 2 2" xfId="8808"/>
    <cellStyle name="强调文字颜色 4 2 4 5" xfId="8809"/>
    <cellStyle name="输入 2 2 3 9" xfId="8810"/>
    <cellStyle name="计算 2 5 2 4 2 3 3" xfId="8811"/>
    <cellStyle name="注释 2 7 4 2" xfId="8812"/>
    <cellStyle name="20% - 强调文字颜色 4 2 5 2" xfId="8813"/>
    <cellStyle name="差 2 2 2 2 8" xfId="8814"/>
    <cellStyle name="输入 3 12" xfId="8815"/>
    <cellStyle name="20% - 强调文字颜色 1 2 4 2 2 2 2" xfId="8816"/>
    <cellStyle name="计算 2 5 2 9 2" xfId="8817"/>
    <cellStyle name="常规 5 2 2 2 3" xfId="8818"/>
    <cellStyle name="常规 2 10" xfId="8819"/>
    <cellStyle name="标题 1 2 2 2 4" xfId="8820"/>
    <cellStyle name="汇总 2 3 2 4 2 3" xfId="8821"/>
    <cellStyle name="40% - 强调文字颜色 5 2 3 2 5 2" xfId="8822"/>
    <cellStyle name="强调文字颜色 1 2 2 2 3 7" xfId="8823"/>
    <cellStyle name="计算 2 2 3 2 2 2 5" xfId="8824"/>
    <cellStyle name="注释 2 2 4 4" xfId="8825"/>
    <cellStyle name="汇总 2 2 14 3" xfId="8826"/>
    <cellStyle name="40% - 强调文字颜色 1 2 2 2 4 3 2" xfId="8827"/>
    <cellStyle name="60% - 强调文字颜色 1 2 4 3 2 2" xfId="8828"/>
    <cellStyle name="常规 9 6" xfId="8829"/>
    <cellStyle name="汇总 2 6 3 2" xfId="8830"/>
    <cellStyle name="汇总 2 2 7 2 5 3" xfId="8831"/>
    <cellStyle name="注释 2 2 4 3 2 4" xfId="8832"/>
    <cellStyle name="汇总 2 3 8" xfId="8833"/>
    <cellStyle name="常规 10 9" xfId="8834"/>
    <cellStyle name="标题 3 2 5 3 2" xfId="8835"/>
    <cellStyle name="计算 2 7 5 6" xfId="8836"/>
    <cellStyle name="输入 2 2 8 6 2" xfId="8837"/>
    <cellStyle name="标题 4 2 2 2 2 3 3 3" xfId="8838"/>
    <cellStyle name="检查单元格 2 3 2 6 2 2" xfId="8839"/>
    <cellStyle name="汇总 5 4 3" xfId="8840"/>
    <cellStyle name="汇总 2 3 2 2 3 4 2" xfId="8841"/>
    <cellStyle name="汇总 2 6 2 5 3" xfId="8842"/>
    <cellStyle name="警告文本 3 9" xfId="8843"/>
    <cellStyle name="汇总 2 2 4 3 11" xfId="8844"/>
    <cellStyle name="适中 2 2 4 2 2" xfId="8845"/>
    <cellStyle name="20% - 强调文字颜色 3 2 2 2 3 2 2 2" xfId="8846"/>
    <cellStyle name="强调文字颜色 6 2 4 2" xfId="8847"/>
    <cellStyle name="强调文字颜色 2 2 6 4" xfId="8848"/>
    <cellStyle name="标题 5 2 2 2 3 2" xfId="8849"/>
    <cellStyle name="汇总 2 5 2 2 2 2 6" xfId="8850"/>
    <cellStyle name="40% - 强调文字颜色 6 2 2 2 6 2 2 2" xfId="8851"/>
    <cellStyle name="20% - 强调文字颜色 5 5" xfId="8852"/>
    <cellStyle name="常规 3 3 2 4 2 2 2" xfId="8853"/>
    <cellStyle name="常规 5 2 6 5" xfId="8854"/>
    <cellStyle name="链接单元格 2 3 2 3 2 3" xfId="8855"/>
    <cellStyle name="20% - 强调文字颜色 6 2 2 3" xfId="8856"/>
    <cellStyle name="汇总 2 2 5 5 2" xfId="8857"/>
    <cellStyle name="强调文字颜色 3 4 3" xfId="8858"/>
    <cellStyle name="解释性文本 3 2 5 2" xfId="8859"/>
    <cellStyle name="60% - 强调文字颜色 6 2 8 2" xfId="8860"/>
    <cellStyle name="常规 3 2 2 4" xfId="8861"/>
    <cellStyle name="计算 2 2 5 2 3 4 2" xfId="8862"/>
    <cellStyle name="40% - 强调文字颜色 1 2 4 3 3" xfId="8863"/>
    <cellStyle name="警告文本 2 2 3 6 2 2" xfId="8864"/>
    <cellStyle name="输出 2 2 3 8 3" xfId="8865"/>
    <cellStyle name="强调文字颜色 6 2 2 4 3 3 2" xfId="8866"/>
    <cellStyle name="强调文字颜色 4 2 2 2 4" xfId="8867"/>
    <cellStyle name="输出 2 2 7 2 2 3" xfId="8868"/>
    <cellStyle name="常规 5 3 3 2 2" xfId="8869"/>
    <cellStyle name="输入 2 6 6 3" xfId="8870"/>
    <cellStyle name="超链接 3 2 5 3" xfId="8871"/>
    <cellStyle name="计算 2 10 3 2" xfId="8872"/>
    <cellStyle name="计算 2 2 4 2 5 3 2" xfId="8873"/>
    <cellStyle name="60% - 强调文字颜色 2 2 2 3 2" xfId="8874"/>
    <cellStyle name="适中 3 2 5 3" xfId="8875"/>
    <cellStyle name="计算 2 3 3" xfId="8876"/>
    <cellStyle name="超链接 2 3 5 2" xfId="8877"/>
    <cellStyle name="注释 2 6 7 3" xfId="8878"/>
    <cellStyle name="40% - 强调文字颜色 4 2 2 2 7" xfId="8879"/>
    <cellStyle name="40% - 强调文字颜色 2 2 5 4 2 2" xfId="8880"/>
    <cellStyle name="标题 1 2 2 4" xfId="8881"/>
    <cellStyle name="汇总 2 2 2 11 3" xfId="8882"/>
    <cellStyle name="输出 3 2 7 2" xfId="8883"/>
    <cellStyle name="好 3 3" xfId="8884"/>
    <cellStyle name="解释性文本 2 3 4 3 3" xfId="8885"/>
    <cellStyle name="20% - 强调文字颜色 5 2 3 2 3" xfId="8886"/>
    <cellStyle name="检查单元格 2 2 3 2 2 2 2" xfId="8887"/>
    <cellStyle name="输出 2 4 2 2 5" xfId="8888"/>
    <cellStyle name="汇总 2 6 5 2 3" xfId="8889"/>
    <cellStyle name="20% - 强调文字颜色 3 6" xfId="8890"/>
    <cellStyle name="强调文字颜色 2 2 4 5" xfId="8891"/>
    <cellStyle name="标题 3 2 3 6 3" xfId="8892"/>
    <cellStyle name="好 2 2 2 2 7" xfId="8893"/>
    <cellStyle name="强调文字颜色 5 2 3 4 3 2" xfId="8894"/>
    <cellStyle name="输入 2 2 4 2 2 3 2 3" xfId="8895"/>
    <cellStyle name="计算 2 5 3 2 4 2 2" xfId="8896"/>
    <cellStyle name="强调文字颜色 4 2 2 4 3 4" xfId="8897"/>
    <cellStyle name="计算 2 2 3 3 10" xfId="8898"/>
    <cellStyle name="强调文字颜色 1 2 3 3 2 3" xfId="8899"/>
    <cellStyle name="60% - 强调文字颜色 6 2 2 2 2 3 3 2" xfId="8900"/>
    <cellStyle name="计算 2 7 4 2" xfId="8901"/>
    <cellStyle name="40% - 强调文字颜色 5 2 2 3 5" xfId="8902"/>
    <cellStyle name="好 2 3 2 3 3" xfId="8903"/>
    <cellStyle name="汇总 2 2 4 2 2 2 2 2 2" xfId="8904"/>
    <cellStyle name="注释 2 2 4 8" xfId="8905"/>
    <cellStyle name="计算 2 2 4 3 2 5 2 2" xfId="8906"/>
    <cellStyle name="40% - 强调文字颜色 5 2 2 3 3" xfId="8907"/>
    <cellStyle name="强调文字颜色 5 2 2 5 3 2 2" xfId="8908"/>
    <cellStyle name="强调文字颜色 3 3 4 3" xfId="8909"/>
    <cellStyle name="差 2 2 3 5" xfId="8910"/>
    <cellStyle name="注释 2 4 2 9 2" xfId="8911"/>
    <cellStyle name="计算 2 3 6 3" xfId="8912"/>
    <cellStyle name="百分比 2 4 4" xfId="8913"/>
    <cellStyle name="标题 1 2 2 7 3" xfId="8914"/>
    <cellStyle name="汇总 2 11 2 2" xfId="8915"/>
    <cellStyle name="输出 2 6 3 3 2" xfId="8916"/>
    <cellStyle name="汇总 4 2 5 2" xfId="8917"/>
    <cellStyle name="40% - 强调文字颜色 3 2 3" xfId="8918"/>
    <cellStyle name="适中 2 2 2 2 2 2" xfId="8919"/>
    <cellStyle name="强调文字颜色 3 2 3 2 3 2" xfId="8920"/>
    <cellStyle name="计算 2 3 3 2 2 2 2" xfId="8921"/>
    <cellStyle name="40% - 强调文字颜色 2 5 2" xfId="8922"/>
    <cellStyle name="常规 4 2 6 2 2" xfId="8923"/>
    <cellStyle name="20% - 强调文字颜色 4 2 5 3 3 2" xfId="8924"/>
    <cellStyle name="标题 1 2 2 3 4 2 3" xfId="8925"/>
    <cellStyle name="计算 2 3 2 4 2 3" xfId="8926"/>
    <cellStyle name="标题 4 3 2 2 2 2 2" xfId="8927"/>
    <cellStyle name="汇总 2 9 2 7" xfId="8928"/>
    <cellStyle name="输出 2 2 2 2 2 4 3" xfId="8929"/>
    <cellStyle name="强调文字颜色 6 2 3 3 3" xfId="8930"/>
    <cellStyle name="计算 2 6 3 2 3 2" xfId="8931"/>
    <cellStyle name="输入 2 2 4 3 2 2 4" xfId="8932"/>
    <cellStyle name="标题 3 2 2 3 2 2 2 2 2" xfId="8933"/>
    <cellStyle name="20% - 强调文字颜色 4 2 2 4 4" xfId="8934"/>
    <cellStyle name="计算 4 2 5 2" xfId="8935"/>
    <cellStyle name="强调文字颜色 1 2 2 2 2 3 2 2" xfId="8936"/>
    <cellStyle name="警告文本 2 7" xfId="8937"/>
    <cellStyle name="强调文字颜色 4 2 3 2 3 3 2" xfId="8938"/>
    <cellStyle name="输入 4 2 2 4" xfId="8939"/>
    <cellStyle name="计算 2 2 5 2 3 5" xfId="8940"/>
    <cellStyle name="警告文本 2 2 3 6 3" xfId="8941"/>
    <cellStyle name="20% - 强调文字颜色 2 2 2 2 2 2 2 3" xfId="8942"/>
    <cellStyle name="输出 2 2 7 3 2 3" xfId="8943"/>
    <cellStyle name="计算 2 4 3 2 2 3" xfId="8944"/>
    <cellStyle name="强调文字颜色 4 2 3 2 4" xfId="8945"/>
    <cellStyle name="解释性文本 2 2 3 4 2 3" xfId="8946"/>
    <cellStyle name="60% - 强调文字颜色 2 3 3 4 2" xfId="8947"/>
    <cellStyle name="60% - 强调文字颜色 4 2 6 2" xfId="8948"/>
    <cellStyle name="输出 2 2 3 4 4 3" xfId="8949"/>
    <cellStyle name="计算 2 3 4 3 3" xfId="8950"/>
    <cellStyle name="注释 2 4 3 4 2 2" xfId="8951"/>
    <cellStyle name="汇总 2 2 5 2 3 5 2" xfId="8952"/>
    <cellStyle name="常规 11 2 2 2 2 2" xfId="8953"/>
    <cellStyle name="汇总 2 10 5 3" xfId="8954"/>
    <cellStyle name="标题 4 2 3 2 2 2 2" xfId="8955"/>
    <cellStyle name="计算 2 4 3" xfId="8956"/>
    <cellStyle name="注释 2 2 5 2 4 2 2" xfId="8957"/>
    <cellStyle name="超链接 2 3 6 2" xfId="8958"/>
    <cellStyle name="超链接 3 4 3" xfId="8959"/>
    <cellStyle name="计算 2 2 5 2 2 3 3 3" xfId="8960"/>
    <cellStyle name="输入 2 8 4" xfId="8961"/>
    <cellStyle name="强调文字颜色 4 2 3 2 2 3 2" xfId="8962"/>
    <cellStyle name="计算 2 5 2 2 2 3 3" xfId="8963"/>
    <cellStyle name="强调文字颜色 3 2 2 2 2 5 2" xfId="8964"/>
    <cellStyle name="注释 2 16" xfId="8965"/>
    <cellStyle name="强调文字颜色 1 2 2 2 2 2 2 2" xfId="8966"/>
    <cellStyle name="强调文字颜色 6 2 2 3 3 2 2 2" xfId="8967"/>
    <cellStyle name="计算 2 2 5 2 3 2 2" xfId="8968"/>
    <cellStyle name="注释 2 7 3 5" xfId="8969"/>
    <cellStyle name="20% - 强调文字颜色 1 2 2 2 6" xfId="8970"/>
    <cellStyle name="注释 2 2 5 4 2 5" xfId="8971"/>
    <cellStyle name="注释 2 2 3 3 2 3 2 2" xfId="8972"/>
    <cellStyle name="输出 2 2 4 2 2" xfId="8973"/>
    <cellStyle name="常规 7 4 3 3" xfId="8974"/>
    <cellStyle name="输出 2 2 4 4 2 2 2 2" xfId="8975"/>
    <cellStyle name="计算 2 2 3 2 3 2 3" xfId="8976"/>
    <cellStyle name="40% - 强调文字颜色 4 2 2 2 3 3 2 2" xfId="8977"/>
    <cellStyle name="汇总 2 2 7" xfId="8978"/>
    <cellStyle name="汇总 2 2 3 3 2 4 3" xfId="8979"/>
    <cellStyle name="汇总 2 2 7 2 4 2" xfId="8980"/>
    <cellStyle name="标题 4 6 2 2" xfId="8981"/>
    <cellStyle name="链接单元格 2 2 2 2 4 2 2 2" xfId="8982"/>
    <cellStyle name="输出 2 4 2 2 2 4" xfId="8983"/>
    <cellStyle name="计算 2 2 5 3 2 4 3" xfId="8984"/>
    <cellStyle name="常规 9 2 3 3 4" xfId="8985"/>
    <cellStyle name="差 5 2 2 2" xfId="8986"/>
    <cellStyle name="强调文字颜色 4 2 3 2 4 3 2" xfId="8987"/>
    <cellStyle name="输出 2 2 4 4 7" xfId="8988"/>
    <cellStyle name="差 2 2 4 4" xfId="8989"/>
    <cellStyle name="强调文字颜色 3 3 5 2" xfId="8990"/>
    <cellStyle name="汇总 2 5 2 2 9" xfId="8991"/>
    <cellStyle name="标题 4 2 2 3 2 2" xfId="8992"/>
    <cellStyle name="输出 2 2 4 10" xfId="8993"/>
    <cellStyle name="好 2 3 2 4 2" xfId="8994"/>
    <cellStyle name="20% - 强调文字颜色 3 2 6 2" xfId="8995"/>
    <cellStyle name="常规 7 2 2 4 3" xfId="8996"/>
    <cellStyle name="注释 4 2 2 4" xfId="8997"/>
    <cellStyle name="计算 2 5 8 3" xfId="8998"/>
    <cellStyle name="强调文字颜色 1 2 4 4 4" xfId="8999"/>
    <cellStyle name="注释 2 2 4 2 10" xfId="9000"/>
    <cellStyle name="好 4 2 3" xfId="9001"/>
    <cellStyle name="差 2 3 2 4 2 3" xfId="9002"/>
    <cellStyle name="常规 12 3" xfId="9003"/>
    <cellStyle name="40% - 强调文字颜色 4 2 2 2 2 4 3" xfId="9004"/>
    <cellStyle name="标题 5 3 5 2 2 2" xfId="9005"/>
    <cellStyle name="好 2 3 3 2 2 2 3" xfId="9006"/>
    <cellStyle name="汇总 2 10 6 2" xfId="9007"/>
    <cellStyle name="解释性文本 2 2 2 2 2 2 2 3" xfId="9008"/>
    <cellStyle name="注释 2 2 6 2 4 2" xfId="9009"/>
    <cellStyle name="60% - 强调文字颜色 5 2 2 2 2 2" xfId="9010"/>
    <cellStyle name="常规 5 5 2" xfId="9011"/>
    <cellStyle name="汇总 3 2 8 2 2" xfId="9012"/>
    <cellStyle name="强调文字颜色 4 2 2 3 7" xfId="9013"/>
    <cellStyle name="标题 1 2 9" xfId="9014"/>
    <cellStyle name="标题 1 2 2 2 2 4 2 3" xfId="9015"/>
    <cellStyle name="输入 2 2 2 2 2 7" xfId="9016"/>
    <cellStyle name="常规 2 2 4 4 2" xfId="9017"/>
    <cellStyle name="计算 2 5 2 3 2" xfId="9018"/>
    <cellStyle name="输入 2 3 4 2 3" xfId="9019"/>
    <cellStyle name="解释性文本 2 2 7 2 2" xfId="9020"/>
    <cellStyle name="汇总 2 6 2 2 5 3" xfId="9021"/>
    <cellStyle name="60% - 强调文字颜色 1 6 2 2 2" xfId="9022"/>
    <cellStyle name="注释 2 4 2 2 4 2" xfId="9023"/>
    <cellStyle name="输出 2 7" xfId="9024"/>
    <cellStyle name="标题 3 2 3 2 2 2 2 2 2" xfId="9025"/>
    <cellStyle name="60% - 强调文字颜色 4 2 3 2 3 2 2" xfId="9026"/>
    <cellStyle name="标题 2 2 2 2 2 4 2 2 2" xfId="9027"/>
    <cellStyle name="链接单元格 2 3 2 6 3" xfId="9028"/>
    <cellStyle name="标题 5 2 2 2 4 2 3" xfId="9029"/>
    <cellStyle name="输入 2 2 5 2 2 3 3" xfId="9030"/>
    <cellStyle name="汇总 2 2 10 8" xfId="9031"/>
    <cellStyle name="20% - 强调文字颜色 1 2 4 7" xfId="9032"/>
    <cellStyle name="计算 2 2 4 8 3" xfId="9033"/>
    <cellStyle name="输出 2 2 3 12" xfId="9034"/>
    <cellStyle name="汇总 2 2 4 4 3 5" xfId="9035"/>
    <cellStyle name="40% - 强调文字颜色 2 2 3 2 5 2" xfId="9036"/>
    <cellStyle name="汇总 2 7 4" xfId="9037"/>
    <cellStyle name="40% - 强调文字颜色 1 3 2 2 4" xfId="9038"/>
    <cellStyle name="好 4 3 2 2" xfId="9039"/>
    <cellStyle name="常规 13 2 2" xfId="9040"/>
    <cellStyle name="40% - 强调文字颜色 5 2 3 2 2 3 2 2" xfId="9041"/>
    <cellStyle name="计算 2 5 2 5 3 3" xfId="9042"/>
    <cellStyle name="常规 9 12" xfId="9043"/>
    <cellStyle name="40% - 强调文字颜色 4 2 2 2 2 5 2 2" xfId="9044"/>
    <cellStyle name="计算 2 2 8" xfId="9045"/>
    <cellStyle name="汇总 2 4 3 3 4" xfId="9046"/>
    <cellStyle name="超链接 3 3 3 3 2" xfId="9047"/>
    <cellStyle name="输入 2 7 4 3 2" xfId="9048"/>
    <cellStyle name="40% - 强调文字颜色 5 2 3 2 3 3 2" xfId="9049"/>
    <cellStyle name="标题 1 2 4 4 4" xfId="9050"/>
    <cellStyle name="40% - 强调文字颜色 4 2 6 3" xfId="9051"/>
    <cellStyle name="60% - 强调文字颜色 3 2 2 2 4 2 2" xfId="9052"/>
    <cellStyle name="输入 2 2 3 4 3 2 2" xfId="9053"/>
    <cellStyle name="计算 2 2 3 7 2 2" xfId="9054"/>
    <cellStyle name="强调文字颜色 5 2 4 8" xfId="9055"/>
    <cellStyle name="强调文字颜色 2 2 2 2 2 3 3 3" xfId="9056"/>
    <cellStyle name="检查单元格 2 2 2 4 2 3" xfId="9057"/>
    <cellStyle name="标题 3 2 2 2 4 2 3" xfId="9058"/>
    <cellStyle name="计算 2 5 3 7" xfId="9059"/>
    <cellStyle name="输入 2 2 6 4 3" xfId="9060"/>
    <cellStyle name="计算 2 4 4 5 2" xfId="9061"/>
    <cellStyle name="60% - 强调文字颜色 2 2 3 2 3 2 2" xfId="9062"/>
    <cellStyle name="60% - 强调文字颜色 3 2 4 3 2 2" xfId="9063"/>
    <cellStyle name="计算 2 2 7 2 2 4 2" xfId="9064"/>
    <cellStyle name="汇总 2 5 3 2 2 3 2" xfId="9065"/>
    <cellStyle name="输入 2 14 2" xfId="9066"/>
    <cellStyle name="注释 2 2 3 4 4" xfId="9067"/>
    <cellStyle name="汇总 2 2 3 2 3 7" xfId="9068"/>
    <cellStyle name="40% - 强调文字颜色 3 2 3 3 3" xfId="9069"/>
    <cellStyle name="20% - 强调文字颜色 5 2 3 2 3 2 2" xfId="9070"/>
    <cellStyle name="输出 2 4 2 2 5 2 2" xfId="9071"/>
    <cellStyle name="强调文字颜色 1 2 2 6 4" xfId="9072"/>
    <cellStyle name="汇总 3 3 6 2" xfId="9073"/>
    <cellStyle name="计算 2 2 10 7" xfId="9074"/>
    <cellStyle name="百分比 2 2 2 4 2" xfId="9075"/>
    <cellStyle name="40% - 强调文字颜色 3 2 2 8 2" xfId="9076"/>
    <cellStyle name="汇总 2 2 4 2 4 2 3 3" xfId="9077"/>
    <cellStyle name="常规 5 6 3 3 2" xfId="9078"/>
    <cellStyle name="解释性文本 2 4 2 3" xfId="9079"/>
    <cellStyle name="注释 2 9 6" xfId="9080"/>
    <cellStyle name="输出 2 6 4" xfId="9081"/>
    <cellStyle name="60% - 强调文字颜色 3 3 2 2 2 2 2" xfId="9082"/>
    <cellStyle name="常规 2 5 2" xfId="9083"/>
    <cellStyle name="常规 3 3 5 2 2 2" xfId="9084"/>
    <cellStyle name="汇总 2 14 2 2" xfId="9085"/>
    <cellStyle name="好 3 2 2 3 2 2 2" xfId="9086"/>
    <cellStyle name="无色 2 3 2 2" xfId="9087"/>
    <cellStyle name="强调文字颜色 5 2 2 2 2 4 2 3" xfId="9088"/>
    <cellStyle name="标题 4 2 3 3" xfId="9089"/>
    <cellStyle name="计算 2 6 2 2 2 4 2" xfId="9090"/>
    <cellStyle name="计算 2 2 2 2 2 8" xfId="9091"/>
    <cellStyle name="常规 5 3 3 2 3 2" xfId="9092"/>
    <cellStyle name="注释 2 2 4 2 2 3 3" xfId="9093"/>
    <cellStyle name="汇总 2 2 5 2 4 5" xfId="9094"/>
    <cellStyle name="注释 2 4 3 5 2" xfId="9095"/>
    <cellStyle name="计算 2 6 3 4" xfId="9096"/>
    <cellStyle name="60% - 强调文字颜色 6 2 3 2 3 2 2 2" xfId="9097"/>
    <cellStyle name="60% - 强调文字颜色 1 2 2 4 2 3" xfId="9098"/>
    <cellStyle name="40% - 强调文字颜色 6 2 2 4 3 2" xfId="9099"/>
    <cellStyle name="40% - 强调文字颜色 2 2 2 5" xfId="9100"/>
    <cellStyle name="解释性文本 2 3 3 2 2 2" xfId="9101"/>
    <cellStyle name="输出 2 4 2 4 2 2" xfId="9102"/>
    <cellStyle name="注释 2 5 2 2" xfId="9103"/>
    <cellStyle name="60% - 强调文字颜色 3 2 2 3 8" xfId="9104"/>
    <cellStyle name="输入 2 2 5 2 2 6" xfId="9105"/>
    <cellStyle name="输出 2 3 2 2 3 2" xfId="9106"/>
    <cellStyle name="计算 2 2 5 2 2 2 3 2" xfId="9107"/>
    <cellStyle name="超链接 2 4 2" xfId="9108"/>
    <cellStyle name="汇总 2 4 3 6 3" xfId="9109"/>
    <cellStyle name="汇总 2 3 14" xfId="9110"/>
    <cellStyle name="适中 2 2 3 6 2" xfId="9111"/>
    <cellStyle name="链接单元格 2 3 4 3 3" xfId="9112"/>
    <cellStyle name="40% - 强调文字颜色 3 2 2 4 2 2 2 2" xfId="9113"/>
    <cellStyle name="计算 2 2 2 2 2 3 2 2" xfId="9114"/>
    <cellStyle name="常规 3 2 4 2 2 2 2" xfId="9115"/>
    <cellStyle name="解释性文本 2 3 6 2" xfId="9116"/>
    <cellStyle name="注释 2 2 8 2 3" xfId="9117"/>
    <cellStyle name="60% - 强调文字颜色 5 2 2 4 3 2 2 2" xfId="9118"/>
    <cellStyle name="强调文字颜色 6 2 4 2 2 2 2 2" xfId="9119"/>
    <cellStyle name="输出 2 8 2 6" xfId="9120"/>
    <cellStyle name="60% - 强调文字颜色 4 2 3 2 3 2 2 2" xfId="9121"/>
    <cellStyle name="汇总 2 5 2 2 6 2 2" xfId="9122"/>
    <cellStyle name="60% - 强调文字颜色 4 2 3 3 2" xfId="9123"/>
    <cellStyle name="注释 2 2 5 4 2 2" xfId="9124"/>
    <cellStyle name="20% - 强调文字颜色 1 2 2 2 3" xfId="9125"/>
    <cellStyle name="输出 2 2 3 4 2" xfId="9126"/>
    <cellStyle name="汇总 2 2 2 4 4" xfId="9127"/>
    <cellStyle name="汇总 3 3 3 5" xfId="9128"/>
    <cellStyle name="计算 2 2 3 10" xfId="9129"/>
    <cellStyle name="输入 2 5 3 4 2" xfId="9130"/>
    <cellStyle name="注释 2 2 4 2 4 2 2" xfId="9131"/>
    <cellStyle name="60% - 强调文字颜色 1 2 3 2 5 2" xfId="9132"/>
    <cellStyle name="汇总 2 2 3 2 2 3 4 2" xfId="9133"/>
    <cellStyle name="汇总 2 2 6 2 3 3 2" xfId="9134"/>
    <cellStyle name="输入 2 2 4 3 6 2" xfId="9135"/>
    <cellStyle name="计算 2 8 2 8" xfId="9136"/>
    <cellStyle name="适中 4 3 2" xfId="9137"/>
    <cellStyle name="计算 2 5 5" xfId="9138"/>
    <cellStyle name="标题 1 2 2 4 3 2 2 2" xfId="9139"/>
    <cellStyle name="计算 2 3 3 3 2 2 2" xfId="9140"/>
    <cellStyle name="强调文字颜色 1 2 2 2 3 6" xfId="9141"/>
    <cellStyle name="60% - 强调文字颜色 2 2 2 4 4 2" xfId="9142"/>
    <cellStyle name="计算 2 2 18" xfId="9143"/>
    <cellStyle name="计算 2 2 5 3 3 2" xfId="9144"/>
    <cellStyle name="强调文字颜色 6 2 2 3 4 2 2" xfId="9145"/>
    <cellStyle name="注释 2 2 4 3" xfId="9146"/>
    <cellStyle name="汇总 2 2 14 2" xfId="9147"/>
    <cellStyle name="输入 3 2" xfId="9148"/>
    <cellStyle name="常规 2 9 2" xfId="9149"/>
    <cellStyle name="20% - 强调文字颜色 4 2 3 2 2 5" xfId="9150"/>
    <cellStyle name="输出 2 2 2 11" xfId="9151"/>
    <cellStyle name="计算 2 2 4 3 2" xfId="9152"/>
    <cellStyle name="输出 2 6 2 3 2" xfId="9153"/>
    <cellStyle name="适中 2 2 2 2 3 3 3" xfId="9154"/>
    <cellStyle name="计算 2 2 2 2 10" xfId="9155"/>
    <cellStyle name="强调文字颜色 4 2 2 6 3 3" xfId="9156"/>
    <cellStyle name="强调文字颜色 1 2 2" xfId="9157"/>
    <cellStyle name="解释性文本 2 2 5 2 2 2" xfId="9158"/>
    <cellStyle name="输入 2 3 2 2 3 2" xfId="9159"/>
    <cellStyle name="常规 2 2 2 4 2 2" xfId="9160"/>
    <cellStyle name="输出 2 3 4 4 2 2" xfId="9161"/>
    <cellStyle name="汇总 2 7 2 2 2 2" xfId="9162"/>
    <cellStyle name="常规 4 3 4 4 2 2" xfId="9163"/>
    <cellStyle name="40% - 强调文字颜色 6 2 2 2 4 2 2" xfId="9164"/>
    <cellStyle name="计算 2 6 3 3 5" xfId="9165"/>
    <cellStyle name="常规 13 4 5 2" xfId="9166"/>
    <cellStyle name="超链接 3 6" xfId="9167"/>
    <cellStyle name="计算 2 2 5 2 2 3 5" xfId="9168"/>
    <cellStyle name="输出 2 2 2 7 3" xfId="9169"/>
    <cellStyle name="强调文字颜色 6 2 2 4 2 2 2" xfId="9170"/>
    <cellStyle name="汇总 2 6 2 2 2 2 3" xfId="9171"/>
    <cellStyle name="强调文字颜色 6 2 3 3 2 2 2" xfId="9172"/>
    <cellStyle name="强调文字颜色 1 2 6 3" xfId="9173"/>
    <cellStyle name="计算 2 6 2 3 3 2" xfId="9174"/>
    <cellStyle name="20% - 强调文字颜色 6 2 2 2 5 2 2" xfId="9175"/>
    <cellStyle name="强调文字颜色 4 2 3 2 2 4" xfId="9176"/>
    <cellStyle name="60% - 强调文字颜色 4 2 2 4 3 2" xfId="9177"/>
    <cellStyle name="20% - 强调文字颜色 3 2 2 2 2 2 2 2 2 2" xfId="9178"/>
    <cellStyle name="强调文字颜色 5 2 4 2 2 2" xfId="9179"/>
    <cellStyle name="强调文字颜色 3 2 2 2 2 6" xfId="9180"/>
    <cellStyle name="汇总 2 3 6 3 3" xfId="9181"/>
    <cellStyle name="计算 2 2 7 3 3 3" xfId="9182"/>
    <cellStyle name="汇总 2 5 3 3 3 2" xfId="9183"/>
    <cellStyle name="计算 2 5 4 2 5" xfId="9184"/>
    <cellStyle name="注释 2 2 3 2 6 2" xfId="9185"/>
    <cellStyle name="计算 2 2 2 4 2 3" xfId="9186"/>
    <cellStyle name="输入 3 3 5 2" xfId="9187"/>
    <cellStyle name="汇总 2 7 2 3 5" xfId="9188"/>
    <cellStyle name="检查单元格 2 4 3 2 2" xfId="9189"/>
    <cellStyle name="60% - 强调文字颜色 4 2 3" xfId="9190"/>
    <cellStyle name="计算 2 2 6 2 6" xfId="9191"/>
    <cellStyle name="标题 2 2 2 2 2 6 3" xfId="9192"/>
    <cellStyle name="标题 4 2 4 2 2 2 3" xfId="9193"/>
    <cellStyle name="强调文字颜色 5 2 2 2 3 3" xfId="9194"/>
    <cellStyle name="60% - 强调文字颜色 3 2 2 3 3 2 2" xfId="9195"/>
    <cellStyle name="20% - 强调文字颜色 1 2 2 6 2" xfId="9196"/>
    <cellStyle name="计算 2 2 4 6 2 2" xfId="9197"/>
    <cellStyle name="汇总 2 2 2 9" xfId="9198"/>
    <cellStyle name="输入 2 4 2 3 6" xfId="9199"/>
    <cellStyle name="输出 2 4 2 3 4 3" xfId="9200"/>
    <cellStyle name="汇总 2 2 6 4 2 3 2 2" xfId="9201"/>
    <cellStyle name="汇总 2 2 4 4 2 7" xfId="9202"/>
    <cellStyle name="汇总 2 5 3 3 4 2 2" xfId="9203"/>
    <cellStyle name="适中 4" xfId="9204"/>
    <cellStyle name="解释性文本 2 2 2 5 2 2 2" xfId="9205"/>
    <cellStyle name="标题 4 2 3 6 2" xfId="9206"/>
    <cellStyle name="注释 2 6 8 2" xfId="9207"/>
    <cellStyle name="40% - 强调文字颜色 4 2 2 3 6" xfId="9208"/>
    <cellStyle name="适中 2 14" xfId="9209"/>
    <cellStyle name="常规 9 2 4 3" xfId="9210"/>
    <cellStyle name="输出 2 4 2 3 2" xfId="9211"/>
    <cellStyle name="60% - 强调文字颜色 5 5 2 2 2" xfId="9212"/>
    <cellStyle name="汇总 2 2 4 10 2" xfId="9213"/>
    <cellStyle name="20% - 强调文字颜色 6 2 2 8" xfId="9214"/>
    <cellStyle name="计算 2 4 2 4 3 3" xfId="9215"/>
    <cellStyle name="40% - 强调文字颜色 4 2 2 4 3 2 2" xfId="9216"/>
    <cellStyle name="注释 3 2 2 2 3" xfId="9217"/>
    <cellStyle name="40% - 强调文字颜色 4 2 3 2 5 2 2" xfId="9218"/>
    <cellStyle name="适中 2 2 2 3 2" xfId="9219"/>
    <cellStyle name="汇总 4 3 5" xfId="9220"/>
    <cellStyle name="超链接 3 3 3 4" xfId="9221"/>
    <cellStyle name="输入 2 7 4 4" xfId="9222"/>
    <cellStyle name="标题 3 2 2 7 2 2" xfId="9223"/>
    <cellStyle name="60% - 强调文字颜色 2 3 5 2 2 2" xfId="9224"/>
    <cellStyle name="60% - 强调文字颜色 4 4 4 2 2" xfId="9225"/>
    <cellStyle name="汇总 2 3 4 2 2" xfId="9226"/>
    <cellStyle name="20% - 强调文字颜色 4 2 2 3 5 2" xfId="9227"/>
    <cellStyle name="输入 2 2 5 3 5 2 2" xfId="9228"/>
    <cellStyle name="标题 4 3 5 2" xfId="9229"/>
    <cellStyle name="注释 2 2 4 5" xfId="9230"/>
    <cellStyle name="差 2 2 3 2" xfId="9231"/>
    <cellStyle name="汇总 2 3 2 3" xfId="9232"/>
    <cellStyle name="常规 12 2 2 3 4 2" xfId="9233"/>
    <cellStyle name="计算 4 2 2 4" xfId="9234"/>
    <cellStyle name="标题 3 6 2 3" xfId="9235"/>
    <cellStyle name="汇总 2 2 6 2 4 3" xfId="9236"/>
    <cellStyle name="强调文字颜色 1 2 2 4 5 3" xfId="9237"/>
    <cellStyle name="解释性文本 2 2 2 3 5" xfId="9238"/>
    <cellStyle name="汇总 2 5 4 5 3" xfId="9239"/>
    <cellStyle name="输出 2 2 4 3 2 3" xfId="9240"/>
    <cellStyle name="20% - 强调文字颜色 5 4 5 2" xfId="9241"/>
    <cellStyle name="汇总 2 4 15" xfId="9242"/>
    <cellStyle name="超链接 3 3" xfId="9243"/>
    <cellStyle name="计算 2 2 5 2 2 3 2" xfId="9244"/>
    <cellStyle name="强调文字颜色 5 2 3 2 5 2 2" xfId="9245"/>
    <cellStyle name="汇总 4 2 2 4" xfId="9246"/>
    <cellStyle name="计算 2 5 3 2 2 4 2 2" xfId="9247"/>
    <cellStyle name="计算 2 3 2 3 4" xfId="9248"/>
    <cellStyle name="注释 2 4 3 2 2 3" xfId="9249"/>
    <cellStyle name="汇总 2 2 13" xfId="9250"/>
    <cellStyle name="计算 4 3 3 2 2" xfId="9251"/>
    <cellStyle name="适中 2 3 6" xfId="9252"/>
    <cellStyle name="输出 2 8 5 2" xfId="9253"/>
    <cellStyle name="20% - 强调文字颜色 3 2 5 3 2 2 2" xfId="9254"/>
    <cellStyle name="标题 6 3 2 2 2 2" xfId="9255"/>
    <cellStyle name="常规 3 3 2 3 2" xfId="9256"/>
    <cellStyle name="常规 9 3 9" xfId="9257"/>
    <cellStyle name="强调文字颜色 4 4 2 2" xfId="9258"/>
    <cellStyle name="汇总 2 2 2 3 2 4 2 2" xfId="9259"/>
    <cellStyle name="注释 2 2 2 4 2" xfId="9260"/>
    <cellStyle name="汇总 2 2 12 3 2" xfId="9261"/>
    <cellStyle name="检查单元格 2 3 2 3 2 2" xfId="9262"/>
    <cellStyle name="汇总 2 4 3" xfId="9263"/>
    <cellStyle name="汇总 2 6 4 3" xfId="9264"/>
    <cellStyle name="常规 4 2 6 5" xfId="9265"/>
    <cellStyle name="常规 3 3 2 3 2 2 2" xfId="9266"/>
    <cellStyle name="输出 3 14" xfId="9267"/>
    <cellStyle name="标题 5 3 3 2 2 3" xfId="9268"/>
    <cellStyle name="40% - 强调文字颜色 6 2 7 3" xfId="9269"/>
    <cellStyle name="常规 4 8 5" xfId="9270"/>
    <cellStyle name="超链接 2 2 4 3 3" xfId="9271"/>
    <cellStyle name="60% - 强调文字颜色 6 2 6 3 2 2" xfId="9272"/>
    <cellStyle name="20% - 强调文字颜色 6 2 2 2 2 2 4 3 2" xfId="9273"/>
    <cellStyle name="计算 2 10 4 3" xfId="9274"/>
    <cellStyle name="60% - 强调文字颜色 2 2 2 4 3" xfId="9275"/>
    <cellStyle name="强调文字颜色 3 2 4 2 2" xfId="9276"/>
    <cellStyle name="20% - 强调文字颜色 3 2 5 2 3 2" xfId="9277"/>
    <cellStyle name="差 4 5 2" xfId="9278"/>
    <cellStyle name="汇总 2 3 11 2 2" xfId="9279"/>
    <cellStyle name="好 2 2 2 2 4" xfId="9280"/>
    <cellStyle name="40% - 强调文字颜色 4 2 2 2 3 4" xfId="9281"/>
    <cellStyle name="汇总 2 2 5 3 2 3" xfId="9282"/>
    <cellStyle name="常规 5 2 4 5 3" xfId="9283"/>
    <cellStyle name="汇总 2 3 3 2 3 2 2" xfId="9284"/>
    <cellStyle name="计算 2 5 2 2 3 2 2 2" xfId="9285"/>
    <cellStyle name="标题 5 2 2 3 2 2 2" xfId="9286"/>
    <cellStyle name="计算 2 7 4 4" xfId="9287"/>
    <cellStyle name="20% - 强调文字颜色 3 4 2 3" xfId="9288"/>
    <cellStyle name="强调文字颜色 2 2 4 3 2 3" xfId="9289"/>
    <cellStyle name="计算 2 2 4 2 3 2 3 2 2" xfId="9290"/>
    <cellStyle name="输出 2 2 3 3 2 5" xfId="9291"/>
    <cellStyle name="差 2 5 2" xfId="9292"/>
    <cellStyle name="适中 2 8 2 2 2" xfId="9293"/>
    <cellStyle name="标题 6 2 4" xfId="9294"/>
    <cellStyle name="常规 4 4 3 2 2 2 2" xfId="9295"/>
    <cellStyle name="输入 2 2 6 7 2" xfId="9296"/>
    <cellStyle name="警告文本 2 2 2 2" xfId="9297"/>
    <cellStyle name="40% - 强调文字颜色 3 2 2 6 3 2 2" xfId="9298"/>
    <cellStyle name="标题 4 2 3 2 4 3 2" xfId="9299"/>
    <cellStyle name="20% - 强调文字颜色 3 2 4 5" xfId="9300"/>
    <cellStyle name="标题 5 2 2 2 2 2 2" xfId="9301"/>
    <cellStyle name="20% - 强调文字颜色 4 5 2" xfId="9302"/>
    <cellStyle name="40% - 强调文字颜色 5 2 2 2 2 4 3 2" xfId="9303"/>
    <cellStyle name="40% - 强调文字颜色 6 2 3 2 2 2 3 2" xfId="9304"/>
    <cellStyle name="常规 6 3 2 2" xfId="9305"/>
    <cellStyle name="警告文本 2 3 2 2" xfId="9306"/>
    <cellStyle name="标题 7 2 4" xfId="9307"/>
    <cellStyle name="输入 2 2 7 7 2" xfId="9308"/>
    <cellStyle name="汇总 2 4 4 4" xfId="9309"/>
    <cellStyle name="输出 2 5 2 2 2 2 2 2" xfId="9310"/>
    <cellStyle name="解释性文本 3 3" xfId="9311"/>
    <cellStyle name="20% - 强调文字颜色 5 2 2 2 3 2 2 2 2 2" xfId="9312"/>
    <cellStyle name="链接单元格 3 2 3 2" xfId="9313"/>
    <cellStyle name="常规 6 2 3 2 3 2" xfId="9314"/>
    <cellStyle name="计算 2 2 2 3 2 3 2 2" xfId="9315"/>
    <cellStyle name="汇总 2 2 7 2 3" xfId="9316"/>
    <cellStyle name="计算 2 2 4 2 10 3" xfId="9317"/>
    <cellStyle name="常规 5 4 3 6" xfId="9318"/>
    <cellStyle name="强调文字颜色 4 2 2 5 3 2" xfId="9319"/>
    <cellStyle name="标题 1 4 5 2" xfId="9320"/>
    <cellStyle name="输出 3 3 6 2" xfId="9321"/>
    <cellStyle name="常规 3 2 4 2" xfId="9322"/>
    <cellStyle name="解释性文本 3 3 5" xfId="9323"/>
    <cellStyle name="60% - 强调文字颜色 6 3 8" xfId="9324"/>
    <cellStyle name="40% - 强调文字颜色 3 2 4 4 2 2 2" xfId="9325"/>
    <cellStyle name="好 2 4 3" xfId="9326"/>
    <cellStyle name="计算 2 5 2 2 2 5 2 2" xfId="9327"/>
    <cellStyle name="输出 2 2 3 5 2 3 2" xfId="9328"/>
    <cellStyle name="注释 2 2 9 2 5" xfId="9329"/>
    <cellStyle name="解释性文本 2 2 2 2 3" xfId="9330"/>
    <cellStyle name="输入 2 2 5 3 2 2 2" xfId="9331"/>
    <cellStyle name="计算 2 4 2 6 2 2" xfId="9332"/>
    <cellStyle name="输出 2 2 6 7 2 2" xfId="9333"/>
    <cellStyle name="20% - 强调文字颜色 2 2 3 6" xfId="9334"/>
    <cellStyle name="标题 3 2 2 2 2 3 3 2" xfId="9335"/>
    <cellStyle name="输入 2 2 4 5 3 2" xfId="9336"/>
    <cellStyle name="注释 2 3 2 2 5" xfId="9337"/>
    <cellStyle name="60% - 强调文字颜色 6 3 3 2 2 2" xfId="9338"/>
    <cellStyle name="40% - 强调文字颜色 6 2 3 7 2" xfId="9339"/>
    <cellStyle name="60% - 强调文字颜色 5 2 4 7" xfId="9340"/>
    <cellStyle name="输出 2 2 3 5 2 4" xfId="9341"/>
    <cellStyle name="好 2 2 3 3 2 2" xfId="9342"/>
    <cellStyle name="汇总 4 6 3" xfId="9343"/>
    <cellStyle name="60% - 强调文字颜色 6 2 4 4 2 2 2" xfId="9344"/>
    <cellStyle name="60% - 强调文字颜色 1 2 6 3 2" xfId="9345"/>
    <cellStyle name="标题 3 2 2 3 4 3" xfId="9346"/>
    <cellStyle name="强调文字颜色 5 4 2 2 2" xfId="9347"/>
    <cellStyle name="常规 9 4 2 3 2" xfId="9348"/>
    <cellStyle name="汇总 2 2 5 4 2 5" xfId="9349"/>
    <cellStyle name="注释 2 4 5 3 2" xfId="9350"/>
    <cellStyle name="汇总 2 5 2 3 2 3" xfId="9351"/>
    <cellStyle name="计算 2 2 6 3 2 4" xfId="9352"/>
    <cellStyle name="链接单元格 3 3 2" xfId="9353"/>
    <cellStyle name="说明文本 6" xfId="9354"/>
    <cellStyle name="60% - 强调文字颜色 5 2 2 3 2 2 2" xfId="9355"/>
    <cellStyle name="适中 3 2 2 2" xfId="9356"/>
    <cellStyle name="检查单元格 2 2 2 5 2 2" xfId="9357"/>
    <cellStyle name="强调文字颜色 2 2 2 2 2 4 3 2" xfId="9358"/>
    <cellStyle name="强调文字颜色 2 2 2 6 2 2 2" xfId="9359"/>
    <cellStyle name="输入 2 2 7 2 6" xfId="9360"/>
    <cellStyle name="计算 2 7 2 2 5 3" xfId="9361"/>
    <cellStyle name="计算 2 4 2 4 5" xfId="9362"/>
    <cellStyle name="计算 2 2 4 2 2 10" xfId="9363"/>
    <cellStyle name="输入 2 2 4 3 6" xfId="9364"/>
    <cellStyle name="输出 2 2 2 3 2 2 2 2" xfId="9365"/>
    <cellStyle name="注释 2 2 5 2 2 3" xfId="9366"/>
    <cellStyle name="标题 5 5 3 2" xfId="9367"/>
    <cellStyle name="检查单元格 2 2 3 6" xfId="9368"/>
    <cellStyle name="强调文字颜色 6 2 4 3 2" xfId="9369"/>
    <cellStyle name="60% - 强调文字颜色 5 2 2 5 3" xfId="9370"/>
    <cellStyle name="适中 2 2 4 2 3 2" xfId="9371"/>
    <cellStyle name="适中 4 3" xfId="9372"/>
    <cellStyle name="60% - 强调文字颜色 2 3 2 4 2 2 2" xfId="9373"/>
    <cellStyle name="链接单元格 4" xfId="9374"/>
    <cellStyle name="输入 2 5 7 2 2" xfId="9375"/>
    <cellStyle name="标题 3 6 2" xfId="9376"/>
    <cellStyle name="汇总 2 2 6 2 4" xfId="9377"/>
    <cellStyle name="输入 2 9 7" xfId="9378"/>
    <cellStyle name="计算 2 2 4 5 2 3" xfId="9379"/>
    <cellStyle name="汇总 2 5 4 3 3 2 2" xfId="9380"/>
    <cellStyle name="强调文字颜色 1 2 2 4 5" xfId="9381"/>
    <cellStyle name="输入 2 6 2 2 2 2 2" xfId="9382"/>
    <cellStyle name="常规 11 3 3 3" xfId="9383"/>
    <cellStyle name="计算 2 7 2 2 2 3 2 2" xfId="9384"/>
    <cellStyle name="计算 2 2 4 2 3 2 4 3" xfId="9385"/>
    <cellStyle name="标题 1 2 2 3 6" xfId="9386"/>
    <cellStyle name="常规 9 10 2" xfId="9387"/>
    <cellStyle name="汇总 2 3 10" xfId="9388"/>
    <cellStyle name="适中 2 8 3" xfId="9389"/>
    <cellStyle name="汇总 2 5 3 3 2 3" xfId="9390"/>
    <cellStyle name="计算 2 2 7 3 2 4" xfId="9391"/>
    <cellStyle name="汇总 2 2 5 2 2 2 2 2" xfId="9392"/>
    <cellStyle name="输入 2 2 4 2 2 9" xfId="9393"/>
    <cellStyle name="注释 2 3 2 3 6" xfId="9394"/>
    <cellStyle name="汇总 2 2 10 2 3 3" xfId="9395"/>
    <cellStyle name="汇总 2 2 3 2 6 2" xfId="9396"/>
    <cellStyle name="常规 9 2 2 3 2 2" xfId="9397"/>
    <cellStyle name="检查单元格 2 2 2 5 2 3" xfId="9398"/>
    <cellStyle name="标题 5 5 3 2 2" xfId="9399"/>
    <cellStyle name="注释 2 2 5 2 2 3 2" xfId="9400"/>
    <cellStyle name="计算 2 7" xfId="9401"/>
    <cellStyle name="标题 1 2 2 2 6 2 3" xfId="9402"/>
    <cellStyle name="强调文字颜色 6 2 4 5" xfId="9403"/>
    <cellStyle name="输入 2 9 2 3" xfId="9404"/>
    <cellStyle name="汇总 2 9 3" xfId="9405"/>
    <cellStyle name="警告文本 3 2 2 3" xfId="9406"/>
    <cellStyle name="20% - 强调文字颜色 4 2 4 6" xfId="9407"/>
    <cellStyle name="计算 2 4 6 2 2" xfId="9408"/>
    <cellStyle name="输出 2 5 4 8" xfId="9409"/>
    <cellStyle name="计算 2 2 7 3 3 2" xfId="9410"/>
    <cellStyle name="强调文字颜色 3 2 2 2 5 2 2 2" xfId="9411"/>
    <cellStyle name="强调文字颜色 6 2 2 2 6 2" xfId="9412"/>
    <cellStyle name="计算 2 2 4 5 3" xfId="9413"/>
    <cellStyle name="计算 2 2 2 2 7 3" xfId="9414"/>
    <cellStyle name="40% - 强调文字颜色 3 2 3 2 2 4 3" xfId="9415"/>
    <cellStyle name="警告文本 2 4 3" xfId="9416"/>
    <cellStyle name="输入 2 2 8 8" xfId="9417"/>
    <cellStyle name="20% - 强调文字颜色 5 2 3 2 2 3 3 2 2" xfId="9418"/>
    <cellStyle name="计算 2 2 8 2 4 3" xfId="9419"/>
    <cellStyle name="汇总 2 5 4 2 4 2" xfId="9420"/>
    <cellStyle name="汇总 2 2 5 3 2 3 2 2" xfId="9421"/>
    <cellStyle name="输出 2 2 3 9 2" xfId="9422"/>
    <cellStyle name="输出 2 2 7 2 3 2" xfId="9423"/>
    <cellStyle name="强调文字颜色 4 2 2 3 3" xfId="9424"/>
    <cellStyle name="标题 1 2 5" xfId="9425"/>
    <cellStyle name="输入 2 2 4 2 2 2 7" xfId="9426"/>
    <cellStyle name="注释 2 6 3 4" xfId="9427"/>
    <cellStyle name="计算 2 2 4 10" xfId="9428"/>
    <cellStyle name="计算 2 2 3 2 3 8" xfId="9429"/>
    <cellStyle name="常规 14 3 2 2 2 2" xfId="9430"/>
    <cellStyle name="20% - 强调文字颜色 6 2 3 2 2 4 2 2" xfId="9431"/>
    <cellStyle name="强调文字颜色 2 4 2 3" xfId="9432"/>
    <cellStyle name="常规 5 3 4 2 4 2" xfId="9433"/>
    <cellStyle name="标题 4 2 2 5 2 2 3" xfId="9434"/>
    <cellStyle name="强调文字颜色 3 2 5" xfId="9435"/>
    <cellStyle name="60% - 强调文字颜色 6 2 6 4" xfId="9436"/>
    <cellStyle name="标题 4 2 2 2 2" xfId="9437"/>
    <cellStyle name="汇总 2 4 2 2 2 2" xfId="9438"/>
    <cellStyle name="40% - 强调文字颜色 1 2 2 2 2 2 2 2 2" xfId="9439"/>
    <cellStyle name="注释 2 2 5 3 2 2 2" xfId="9440"/>
    <cellStyle name="标题 3 6" xfId="9441"/>
    <cellStyle name="输入 2 5 7 2" xfId="9442"/>
    <cellStyle name="强调文字颜色 5 3 2" xfId="9443"/>
    <cellStyle name="输出 2 2 2 4 2 2" xfId="9444"/>
    <cellStyle name="计算 2 8 7 2" xfId="9445"/>
    <cellStyle name="常规 9 2 4 2 2 2" xfId="9446"/>
    <cellStyle name="汇总 2 2 4 5 3 3" xfId="9447"/>
    <cellStyle name="汇总 3 7 2" xfId="9448"/>
    <cellStyle name="常规 4 7 3" xfId="9449"/>
    <cellStyle name="强调文字颜色 5 2 3 5 2 2 2" xfId="9450"/>
    <cellStyle name="检查单元格 2 2 2 2 4 2 3" xfId="9451"/>
    <cellStyle name="常规 9 5" xfId="9452"/>
    <cellStyle name="40% - 强调文字颜色 1 6" xfId="9453"/>
    <cellStyle name="常规 4 2 5 3" xfId="9454"/>
    <cellStyle name="计算 2 2 4 4 2 4 2 2" xfId="9455"/>
    <cellStyle name="20% - 强调文字颜色 3 4 4 2 2 2" xfId="9456"/>
    <cellStyle name="汇总 2 3 7" xfId="9457"/>
    <cellStyle name="汇总 2 2 7 2 5 2" xfId="9458"/>
    <cellStyle name="注释 2 2 4 3 2 3" xfId="9459"/>
    <cellStyle name="计算 2 7 6 3 2 2" xfId="9460"/>
    <cellStyle name="常规 10 8" xfId="9461"/>
    <cellStyle name="好 2 2 2 3 7" xfId="9462"/>
    <cellStyle name="检查单元格 2 2" xfId="9463"/>
    <cellStyle name="差 2 2 7 2 2" xfId="9464"/>
    <cellStyle name="检查单元格 2 4 3 3" xfId="9465"/>
    <cellStyle name="强调文字颜色 1 2 4 4 2" xfId="9466"/>
    <cellStyle name="注释 4 2 2 2" xfId="9467"/>
    <cellStyle name="输出 8" xfId="9468"/>
    <cellStyle name="强调文字颜色 5 2 6 3 2 2" xfId="9469"/>
    <cellStyle name="40% - 强调文字颜色 5 2 2 2 2 3 2 2 2" xfId="9470"/>
    <cellStyle name="标题 4 2 4 4" xfId="9471"/>
    <cellStyle name="汇总 2 4 3 3 3 2 2" xfId="9472"/>
    <cellStyle name="注释 2 4 4 3 2" xfId="9473"/>
    <cellStyle name="汇总 2 2 5 3 2 5" xfId="9474"/>
    <cellStyle name="20% - 强调文字颜色 2 2 4 3" xfId="9475"/>
    <cellStyle name="适中 2 4 5 2 2" xfId="9476"/>
    <cellStyle name="注释 2 3 2 3 2" xfId="9477"/>
    <cellStyle name="注释 2 2 3 2 11" xfId="9478"/>
    <cellStyle name="常规 9 4 4" xfId="9479"/>
    <cellStyle name="常规 13 2 3 2 2" xfId="9480"/>
    <cellStyle name="注释 3 3 3 2" xfId="9481"/>
    <cellStyle name="解释性文本 2 3 2 3 3 2" xfId="9482"/>
    <cellStyle name="标题 3 2 2" xfId="9483"/>
    <cellStyle name="计算 2 2 6 4" xfId="9484"/>
    <cellStyle name="常规 5 3 3 3 4 2" xfId="9485"/>
    <cellStyle name="汇总 2 2 4 7 2" xfId="9486"/>
    <cellStyle name="强调文字颜色 3 2 2 4 3 2 2" xfId="9487"/>
    <cellStyle name="适中 2 3 2 4 2 3" xfId="9488"/>
    <cellStyle name="汇总 2 2 2 4 5 2" xfId="9489"/>
    <cellStyle name="40% - 强调文字颜色 2 2 2 4 2 3" xfId="9490"/>
    <cellStyle name="输出 4 3 2" xfId="9491"/>
    <cellStyle name="汇总 2 2 10" xfId="9492"/>
    <cellStyle name="适中 2 3 3" xfId="9493"/>
    <cellStyle name="注释 2 5 3 3 3" xfId="9494"/>
    <cellStyle name="标题 2 3 2 2 3 3" xfId="9495"/>
    <cellStyle name="汇总 2 2 6 2 2 6" xfId="9496"/>
    <cellStyle name="汇总 2 2 3 2 2 2 7" xfId="9497"/>
    <cellStyle name="计算 2 2 4 2 3 2 3 2" xfId="9498"/>
    <cellStyle name="60% - 强调文字颜色 6 3 2 2 2 2 2" xfId="9499"/>
    <cellStyle name="40% - 强调文字颜色 5 2 2 2 2 2 3 2 2 2" xfId="9500"/>
    <cellStyle name="计算 3 9" xfId="9501"/>
    <cellStyle name="60% - 强调文字颜色 5 2 2 2 2 3 3" xfId="9502"/>
    <cellStyle name="警告文本 2 3 2 3 3 2 2" xfId="9503"/>
    <cellStyle name="超链接 3 2 3 2" xfId="9504"/>
    <cellStyle name="输入 2 6 4 2" xfId="9505"/>
    <cellStyle name="40% - 强调文字颜色 1 2 3 2 2 3 2" xfId="9506"/>
    <cellStyle name="输出 2 4 2 2 7" xfId="9507"/>
    <cellStyle name="20% - 强调文字颜色 5 2 3 2 5" xfId="9508"/>
    <cellStyle name="汇总 2 11 5" xfId="9509"/>
    <cellStyle name="汇总 2 6 2 2 3 3 3" xfId="9510"/>
    <cellStyle name="20% - 强调文字颜色 2 2 2 2 6" xfId="9511"/>
    <cellStyle name="60% - 强调文字颜色 4 2 2 9" xfId="9512"/>
    <cellStyle name="计算 2 2 3 4 3 2 2" xfId="9513"/>
    <cellStyle name="20% - 强调文字颜色 4 4 3 2" xfId="9514"/>
    <cellStyle name="汇总 2 10 2 6" xfId="9515"/>
    <cellStyle name="输出 2 2 3 2 2 5 2" xfId="9516"/>
    <cellStyle name="强调文字颜色 2 2 5" xfId="9517"/>
    <cellStyle name="警告文本 6" xfId="9518"/>
    <cellStyle name="常规 6 2 2 2 3 2" xfId="9519"/>
    <cellStyle name="40% - 强调文字颜色 4 2 2 4 3 2 2 2" xfId="9520"/>
    <cellStyle name="注释 3 2 2 2 3 2" xfId="9521"/>
    <cellStyle name="计算 2 7 3 2 3 3" xfId="9522"/>
    <cellStyle name="强调文字颜色 4 2 2 6 2 3" xfId="9523"/>
    <cellStyle name="汇总 2 2 11 5" xfId="9524"/>
    <cellStyle name="输入 4" xfId="9525"/>
    <cellStyle name="强调文字颜色 5 2 2 2 2 2 2 2 2" xfId="9526"/>
    <cellStyle name="标题 1 2 2 6 3 2" xfId="9527"/>
    <cellStyle name="百分比 2 3 4 2" xfId="9528"/>
    <cellStyle name="汇总 2 8 5 3 3" xfId="9529"/>
    <cellStyle name="计算 2 3 5 3 2" xfId="9530"/>
    <cellStyle name="好 5 2 3" xfId="9531"/>
    <cellStyle name="计算 2 2 8 2" xfId="9532"/>
    <cellStyle name="好 4 4 2 3" xfId="9533"/>
    <cellStyle name="好 4 4 2 2" xfId="9534"/>
    <cellStyle name="常规 14 2 2" xfId="9535"/>
    <cellStyle name="标题 2 2 3 4 3 3" xfId="9536"/>
    <cellStyle name="输入 2 5 3 2 2 2" xfId="9537"/>
    <cellStyle name="20% - 强调文字颜色 5 2 10" xfId="9538"/>
    <cellStyle name="超链接 3 2 2 7" xfId="9539"/>
    <cellStyle name="输入 2 6 3 7" xfId="9540"/>
    <cellStyle name="汇总 4 2 2 4 2 2" xfId="9541"/>
    <cellStyle name="注释 2 6 2 2 5" xfId="9542"/>
    <cellStyle name="20% - 强调文字颜色 5 2 3 6" xfId="9543"/>
    <cellStyle name="汇总 2 2 6 2 6 2 2" xfId="9544"/>
    <cellStyle name="注释 2 2 3 3 3 3 2" xfId="9545"/>
    <cellStyle name="40% - 强调文字颜色 3 2 3 2 2 3 2" xfId="9546"/>
    <cellStyle name="40% - 强调文字颜色 2 2 2 2 2 5 2" xfId="9547"/>
    <cellStyle name="常规 2 2 2 2" xfId="9548"/>
    <cellStyle name="输出 2 3 4 2" xfId="9549"/>
    <cellStyle name="计算 2 2 6 2 4 2" xfId="9550"/>
    <cellStyle name="汇总 2 7 2 3 3 2" xfId="9551"/>
    <cellStyle name="标题 4 3 2 4 2 3" xfId="9552"/>
    <cellStyle name="常规 4 2 2 6 3" xfId="9553"/>
    <cellStyle name="强调文字颜色 6 3 7" xfId="9554"/>
    <cellStyle name="注释 2 4 2 5 5" xfId="9555"/>
    <cellStyle name="强调文字颜色 6 2 3 2 4 3 2" xfId="9556"/>
    <cellStyle name="40% - 强调文字颜色 5 2 2 2 2 2 5 2 2" xfId="9557"/>
    <cellStyle name="注释 2 2 3 2 3 5" xfId="9558"/>
    <cellStyle name="标题 1 2 4 2 2 2 3" xfId="9559"/>
    <cellStyle name="汇总 2 2 10 2 3 2 2" xfId="9560"/>
    <cellStyle name="输入 5 4 3" xfId="9561"/>
    <cellStyle name="强调文字颜色 5 2 3 4" xfId="9562"/>
    <cellStyle name="汇总 2 2 6 6 3 2" xfId="9563"/>
    <cellStyle name="输出 2 4 2 11" xfId="9564"/>
    <cellStyle name="20% - 强调文字颜色 6 3 3 4 2" xfId="9565"/>
    <cellStyle name="好 3 5 2 2 2" xfId="9566"/>
    <cellStyle name="输出 2 2 3 3 3 2 3" xfId="9567"/>
    <cellStyle name="常规 6 3 4 2" xfId="9568"/>
    <cellStyle name="40% - 强调文字颜色 6 4 2 2 2" xfId="9569"/>
    <cellStyle name="好 3 5 2 2" xfId="9570"/>
    <cellStyle name="40% - 强调文字颜色 6 4 2 2" xfId="9571"/>
    <cellStyle name="常规 6 3 4" xfId="9572"/>
    <cellStyle name="好 3 5 2" xfId="9573"/>
    <cellStyle name="40% - 强调文字颜色 6 4 2" xfId="9574"/>
    <cellStyle name="60% - 强调文字颜色 6 2 2 2 2 5 3" xfId="9575"/>
    <cellStyle name="计算 2 9 4" xfId="9576"/>
    <cellStyle name="输入 2 2 3 11" xfId="9577"/>
    <cellStyle name="好 2 6" xfId="9578"/>
    <cellStyle name="40% - 强调文字颜色 5 5" xfId="9579"/>
    <cellStyle name="适中 2 3 2 4 2" xfId="9580"/>
    <cellStyle name="常规 6 4 2 3 2" xfId="9581"/>
    <cellStyle name="警告文本 2 2 3 3 4" xfId="9582"/>
    <cellStyle name="常规 4 2 2 2 2 3 2" xfId="9583"/>
    <cellStyle name="计算 2 2 3 5 2 2" xfId="9584"/>
    <cellStyle name="20% - 强调文字颜色 5 3 3" xfId="9585"/>
    <cellStyle name="强调文字颜色 2 2 6 2 3" xfId="9586"/>
    <cellStyle name="60% - 强调文字颜色 3 2 2 2 2 2 2" xfId="9587"/>
    <cellStyle name="汇总 2 5 2 2 2 2 4 3" xfId="9588"/>
    <cellStyle name="常规 10 2 3 5 2" xfId="9589"/>
    <cellStyle name="输出 2 14" xfId="9590"/>
    <cellStyle name="好 3 3 2 3" xfId="9591"/>
    <cellStyle name="检查单元格 2 2 2 2 5 2" xfId="9592"/>
    <cellStyle name="计算 2 2 2 2 2 2 2 5" xfId="9593"/>
    <cellStyle name="汇总 3 2 2 3" xfId="9594"/>
    <cellStyle name="检查单元格 2 3 2 6 3" xfId="9595"/>
    <cellStyle name="超链接 3 2 3 2 2 3" xfId="9596"/>
    <cellStyle name="输入 2 6 4 2 2 3" xfId="9597"/>
    <cellStyle name="40% - 强调文字颜色 5 2 2 4 4 2" xfId="9598"/>
    <cellStyle name="注释 2 2 5 9 2" xfId="9599"/>
    <cellStyle name="40% - 强调文字颜色 2 2 2 2 5 2 2 2" xfId="9600"/>
    <cellStyle name="40% - 强调文字颜色 3 2 3 3" xfId="9601"/>
    <cellStyle name="适中 2 2 2 2 2 2 3" xfId="9602"/>
    <cellStyle name="强调文字颜色 4 2 2 2 2 3 3" xfId="9603"/>
    <cellStyle name="40% - 强调文字颜色 1 2 4 3 3 2" xfId="9604"/>
    <cellStyle name="计算 2 2 5 2 3 4 2 2" xfId="9605"/>
    <cellStyle name="20% - 强调文字颜色 3 3 6 2" xfId="9606"/>
    <cellStyle name="计算 2 2 3 3 2 5 2" xfId="9607"/>
    <cellStyle name="输出 2 2 2 2 3 3" xfId="9608"/>
    <cellStyle name="计算 2 6 8 3" xfId="9609"/>
    <cellStyle name="60% - 强调文字颜色 5 3 2 2 3" xfId="9610"/>
    <cellStyle name="标题 2 2 2 2 2 5 2 2" xfId="9611"/>
    <cellStyle name="20% - 强调文字颜色 1 2 2 8" xfId="9612"/>
    <cellStyle name="60% - 强调文字颜色 4 2 3 3 3 2" xfId="9613"/>
    <cellStyle name="汇总 2 7 2 2 4 2" xfId="9614"/>
    <cellStyle name="好 3 3 3" xfId="9615"/>
    <cellStyle name="20% - 强调文字颜色 1 2 2 5 3" xfId="9616"/>
    <cellStyle name="强调文字颜色 5 2 2 2 2 4" xfId="9617"/>
    <cellStyle name="60% - 强调文字颜色 2 2 3 7 2" xfId="9618"/>
    <cellStyle name="60% - 强调文字颜色 3 2 9 2" xfId="9619"/>
    <cellStyle name="强调文字颜色 1 2 2 3 4 2 2" xfId="9620"/>
    <cellStyle name="汇总 2 2 2 15" xfId="9621"/>
    <cellStyle name="输入 2 2 6 4 2 2" xfId="9622"/>
    <cellStyle name="计算 2 5 3 6 2" xfId="9623"/>
    <cellStyle name="标题 3 2 2 2 4 2 2 2" xfId="9624"/>
    <cellStyle name="标题 3 2 2 3 3 3 3" xfId="9625"/>
    <cellStyle name="强调文字颜色 2 2 3 2 5 2 2" xfId="9626"/>
    <cellStyle name="20% - 强调文字颜色 2 3 5 2 2" xfId="9627"/>
    <cellStyle name="计算 2 2 3 2 2 4 2 2" xfId="9628"/>
    <cellStyle name="60% - 强调文字颜色 1 2 2 10" xfId="9629"/>
    <cellStyle name="强调文字颜色 2 2 3 2 2 2 2 3" xfId="9630"/>
    <cellStyle name="汇总 2 2 2 2 2 5 2" xfId="9631"/>
    <cellStyle name="适中 2 2 6 2 2 2" xfId="9632"/>
    <cellStyle name="输出 2 2 2 4 5 2" xfId="9633"/>
    <cellStyle name="20% - 强调文字颜色 1 3 2 4" xfId="9634"/>
    <cellStyle name="20% - 强调文字颜色 6 2 2 2 2 2 3 3 2 2" xfId="9635"/>
    <cellStyle name="强调文字颜色 2 2 2 2 2 4" xfId="9636"/>
    <cellStyle name="输入 2 2 4 2 2 3 4" xfId="9637"/>
    <cellStyle name="计算 3 8" xfId="9638"/>
    <cellStyle name="好 3 2 2 4" xfId="9639"/>
    <cellStyle name="汇总 2 2 2 2 3 4 3" xfId="9640"/>
    <cellStyle name="汇总 2 7 2 5 2" xfId="9641"/>
    <cellStyle name="40% - 强调文字颜色 6 2 2 2 7 2" xfId="9642"/>
    <cellStyle name="解释性文本 4 3 3" xfId="9643"/>
    <cellStyle name="输入 2 2 4 4 6" xfId="9644"/>
    <cellStyle name="40% - 强调文字颜色 5 2 3 2 2 2 2 2 2 2" xfId="9645"/>
    <cellStyle name="计算 2 2 2 2 2 5" xfId="9646"/>
    <cellStyle name="常规 12 2 2 2 2" xfId="9647"/>
    <cellStyle name="好 4 2 2 2 2 2" xfId="9648"/>
    <cellStyle name="解释性文本 2 2 4 3 2" xfId="9649"/>
    <cellStyle name="输出 2 3 3 5 2" xfId="9650"/>
    <cellStyle name="汇总 2 3 2 5" xfId="9651"/>
    <cellStyle name="计算 4 2 2 6" xfId="9652"/>
    <cellStyle name="输入 2 4 3 3 2" xfId="9653"/>
    <cellStyle name="常规 8 2 2 3 3 2 2" xfId="9654"/>
    <cellStyle name="标题 5 3 3 2 3" xfId="9655"/>
    <cellStyle name="汇总 2 7 3 5 2 2" xfId="9656"/>
    <cellStyle name="40% - 强调文字颜色 6 2 8" xfId="9657"/>
    <cellStyle name="40% - 强调文字颜色 4 2 7 2 2" xfId="9658"/>
    <cellStyle name="差 2 3 2 4 2 2 2" xfId="9659"/>
    <cellStyle name="常规 12 2 2" xfId="9660"/>
    <cellStyle name="计算 2 2 7 3 7" xfId="9661"/>
    <cellStyle name="60% - 强调文字颜色 2 4 4 2" xfId="9662"/>
    <cellStyle name="60% - 强调文字颜色 5 3 4" xfId="9663"/>
    <cellStyle name="计算 2 2 4 4 7 2" xfId="9664"/>
    <cellStyle name="计算 2 4 2 4 3 2 2" xfId="9665"/>
    <cellStyle name="常规 4 5 3 2 2" xfId="9666"/>
    <cellStyle name="40% - 强调文字颜色 2 2 3 2 4 3 2" xfId="9667"/>
    <cellStyle name="汇总 2 6 5 2" xfId="9668"/>
    <cellStyle name="好 2 5 3" xfId="9669"/>
    <cellStyle name="计算 2 6 3 2 2 2 2" xfId="9670"/>
    <cellStyle name="强调文字颜色 6 2 3 2 3 2" xfId="9671"/>
    <cellStyle name="计算 2 3 4 2 3" xfId="9672"/>
    <cellStyle name="20% - 强调文字颜色 1 2 2 2 2 2 3 2 2 2" xfId="9673"/>
    <cellStyle name="输出 2 2 3 4 3 3" xfId="9674"/>
    <cellStyle name="输入 2 5 2 4 5" xfId="9675"/>
    <cellStyle name="强调文字颜色 5 2 3 2 3 3 2 2" xfId="9676"/>
    <cellStyle name="解释性文本 2 2 2 3 3" xfId="9677"/>
    <cellStyle name="链接单元格 2 3 5 2 2 2" xfId="9678"/>
    <cellStyle name="计算 2 2 4 2 2 3 2 2" xfId="9679"/>
    <cellStyle name="计算 2 2 4 4 4 2 2" xfId="9680"/>
    <cellStyle name="输出 2 2 2 7 2 2" xfId="9681"/>
    <cellStyle name="40% - 强调文字颜色 1 2 3 2 5 2" xfId="9682"/>
    <cellStyle name="超链接 3 5 2" xfId="9683"/>
    <cellStyle name="计算 2 2 5 2 2 3 4 2" xfId="9684"/>
    <cellStyle name="输入 2 9 3" xfId="9685"/>
    <cellStyle name="强调文字颜色 6 2 7" xfId="9686"/>
    <cellStyle name="适中 2 2 4 5" xfId="9687"/>
    <cellStyle name="60% - 强调文字颜色 2 2 3 2 4 2 2 2" xfId="9688"/>
    <cellStyle name="60% - 强调文字颜色 3 2 4 4 2 2 2" xfId="9689"/>
    <cellStyle name="汇总 2 5 5 6" xfId="9690"/>
    <cellStyle name="40% - 强调文字颜色 1 2 4 2 2 2 2" xfId="9691"/>
    <cellStyle name="差 2 6 3 3" xfId="9692"/>
    <cellStyle name="超链接 2 3 2 5" xfId="9693"/>
    <cellStyle name="标题 2 2 2 3 3 3 2" xfId="9694"/>
    <cellStyle name="计算 2 2 2 10" xfId="9695"/>
    <cellStyle name="常规 4 2 6 3 2 2" xfId="9696"/>
    <cellStyle name="计算 2 5 2 2 2 6" xfId="9697"/>
    <cellStyle name="40% - 强调文字颜色 1 2 2 5 2" xfId="9698"/>
    <cellStyle name="40% - 强调文字颜色 2 6 2 2" xfId="9699"/>
    <cellStyle name="常规 4 8 3 2 2" xfId="9700"/>
    <cellStyle name="输出 2 2 3 3 3 2 2" xfId="9701"/>
    <cellStyle name="计算 2 2 4 5 5 2" xfId="9702"/>
    <cellStyle name="60% - 强调文字颜色 2 5 2 2" xfId="9703"/>
    <cellStyle name="注释 3 11" xfId="9704"/>
    <cellStyle name="输入 2 6 2 2 2 5" xfId="9705"/>
    <cellStyle name="常规 6 2 2 2 2 3 2" xfId="9706"/>
    <cellStyle name="40% - 强调文字颜色 3 3 2 4 2 2" xfId="9707"/>
    <cellStyle name="差 3 2" xfId="9708"/>
    <cellStyle name="计算 2 7 6" xfId="9709"/>
    <cellStyle name="输出 2 2 3 4 2 2 3" xfId="9710"/>
    <cellStyle name="常规 17" xfId="9711"/>
    <cellStyle name="常规 22" xfId="9712"/>
    <cellStyle name="输出 2 2 5 7" xfId="9713"/>
    <cellStyle name="汇总 2 3 2 2 2 2 4 2" xfId="9714"/>
    <cellStyle name="输入 2 2 5 2 2" xfId="9715"/>
    <cellStyle name="汇总 2 2 4 2 2 2 3 3" xfId="9716"/>
    <cellStyle name="计算 2 2 8 3 5 2" xfId="9717"/>
    <cellStyle name="60% - 强调文字颜色 6 3 2 2" xfId="9718"/>
    <cellStyle name="20% - 强调文字颜色 6 2 3 4 2 2" xfId="9719"/>
    <cellStyle name="输入 2 2 2 8 2" xfId="9720"/>
    <cellStyle name="强调文字颜色 4 2 3 4 2" xfId="9721"/>
    <cellStyle name="标题 2 3 4" xfId="9722"/>
    <cellStyle name="汇总 2 5 2 6 2 3" xfId="9723"/>
    <cellStyle name="好 3 2 2 2 2" xfId="9724"/>
    <cellStyle name="常规 3 3 4 2" xfId="9725"/>
    <cellStyle name="好 2 2 2 2 6 2 2" xfId="9726"/>
    <cellStyle name="标题 3 2 3 6 2 2 2" xfId="9727"/>
    <cellStyle name="计算 2 2 5 2 6 2" xfId="9728"/>
    <cellStyle name="60% - 强调文字颜色 3 2 3 2" xfId="9729"/>
    <cellStyle name="计算 2 2 4 2 4" xfId="9730"/>
    <cellStyle name="输出 2 2 2 3 6 2" xfId="9731"/>
    <cellStyle name="强调文字颜色 3 2 2 2 3 4" xfId="9732"/>
    <cellStyle name="输出 2 2 7 3 2 2 2" xfId="9733"/>
    <cellStyle name="计算 2 4 3 2 2 2 2" xfId="9734"/>
    <cellStyle name="强调文字颜色 4 2 3 2 3 2" xfId="9735"/>
    <cellStyle name="汇总 2 5 2 3 2" xfId="9736"/>
    <cellStyle name="标题 2 2 3 2 2 3 3" xfId="9737"/>
    <cellStyle name="输出 2 2 2 2 2 4" xfId="9738"/>
    <cellStyle name="计算 2 2 3 3 2 4 3" xfId="9739"/>
    <cellStyle name="输出 2 2 5 13" xfId="9740"/>
    <cellStyle name="输出 2 6 6 3" xfId="9741"/>
    <cellStyle name="汇总 2 2 4 3 2 2 5" xfId="9742"/>
    <cellStyle name="计算 2 8 2 2" xfId="9743"/>
    <cellStyle name="计算 2 2 5 3 2 8" xfId="9744"/>
    <cellStyle name="计算 2 6 4 2 2 2" xfId="9745"/>
    <cellStyle name="好 2 4 8" xfId="9746"/>
    <cellStyle name="标题 5 3 2 3 3" xfId="9747"/>
    <cellStyle name="40% - 强调文字颜色 5 3 8" xfId="9748"/>
    <cellStyle name="输入 2 5 8 2 2" xfId="9749"/>
    <cellStyle name="标题 4 6 2" xfId="9750"/>
    <cellStyle name="汇总 2 2 7 2 4" xfId="9751"/>
    <cellStyle name="60% - 强调文字颜色 2 2 3 2 2" xfId="9752"/>
    <cellStyle name="计算 2 2 4 2 6 2 2" xfId="9753"/>
    <cellStyle name="计算 2 2 5 2 7 2" xfId="9754"/>
    <cellStyle name="60% - 强调文字颜色 3 2 4 2" xfId="9755"/>
    <cellStyle name="计算 2 11 2 2" xfId="9756"/>
    <cellStyle name="标题 5 2 7 2" xfId="9757"/>
    <cellStyle name="警告文本 2 4 3 3" xfId="9758"/>
    <cellStyle name="标题 2 2 2 2 4 3 3" xfId="9759"/>
    <cellStyle name="汇总 2 2 2 4 2 2 3" xfId="9760"/>
    <cellStyle name="标题 4 2 3 2 2 2 2 2" xfId="9761"/>
    <cellStyle name="超链接 2 3 6 2 2" xfId="9762"/>
    <cellStyle name="输出 2 2 7 3" xfId="9763"/>
    <cellStyle name="计算 2 4 3 2" xfId="9764"/>
    <cellStyle name="超链接 3 2 2" xfId="9765"/>
    <cellStyle name="输入 2 6 3" xfId="9766"/>
    <cellStyle name="强调文字颜色 5 2 3 2 3 4" xfId="9767"/>
    <cellStyle name="强调文字颜色 4 2 4 2 2 2 3" xfId="9768"/>
    <cellStyle name="60% - 强调文字颜色 5 2 2 4 4 2" xfId="9769"/>
    <cellStyle name="强调文字颜色 4 2 2 2 3 6" xfId="9770"/>
    <cellStyle name="计算 2 6 3 3 2 2 2" xfId="9771"/>
    <cellStyle name="计算 2 4 3 2 2 2" xfId="9772"/>
    <cellStyle name="输出 2 2 7 3 2 2" xfId="9773"/>
    <cellStyle name="强调文字颜色 4 2 3 2 3" xfId="9774"/>
    <cellStyle name="输入 2 2 2 6 3" xfId="9775"/>
    <cellStyle name="输出 2 2 4 8 2" xfId="9776"/>
    <cellStyle name="检查单元格 2 2 6 2 2 2" xfId="9777"/>
    <cellStyle name="输出 3 8 2 2" xfId="9778"/>
    <cellStyle name="强调文字颜色 3 3 9" xfId="9779"/>
    <cellStyle name="标题 4 2 2 3 6" xfId="9780"/>
    <cellStyle name="常规 11 2 4 2 2" xfId="9781"/>
    <cellStyle name="输入 2 3 12" xfId="9782"/>
    <cellStyle name="好 2 3 2 8" xfId="9783"/>
    <cellStyle name="60% - 强调文字颜色 1 3 10" xfId="9784"/>
    <cellStyle name="百分比 2 3 2 3" xfId="9785"/>
    <cellStyle name="输入 2 5 4 3 2 2" xfId="9786"/>
    <cellStyle name="汇总 2 2 3 3 4 2" xfId="9787"/>
    <cellStyle name="20% - 强调文字颜色 5 2 2 2 6 2 2" xfId="9788"/>
    <cellStyle name="60% - 强调文字颜色 2 2 7 2" xfId="9789"/>
    <cellStyle name="计算 2 15 2" xfId="9790"/>
    <cellStyle name="40% - 强调文字颜色 1 2 2 2" xfId="9791"/>
    <cellStyle name="计算 2 6 3 5 2" xfId="9792"/>
    <cellStyle name="60% - 强调文字颜色 3 2 6 2 2 2" xfId="9793"/>
    <cellStyle name="60% - 强调文字颜色 2 2 3 4 2 2 2" xfId="9794"/>
    <cellStyle name="20% - 强调文字颜色 1 2 2 2 3 2 2" xfId="9795"/>
    <cellStyle name="汇总 2 2 3 4 3 2" xfId="9796"/>
    <cellStyle name="20% - 强调文字颜色 5 2 2 2 2 2 3 3" xfId="9797"/>
    <cellStyle name="标题 2 2 3 2 5 3" xfId="9798"/>
    <cellStyle name="计算 2 2 3 2 3 5 2" xfId="9799"/>
    <cellStyle name="强调文字颜色 5 2 2 3" xfId="9800"/>
    <cellStyle name="20% - 强调文字颜色 6 2 3 2 5 2 2 2" xfId="9801"/>
    <cellStyle name="汇总 2 2 3 2 6 2 2" xfId="9802"/>
    <cellStyle name="输出 2 4 2 5 4" xfId="9803"/>
    <cellStyle name="20% - 强调文字颜色 5 2 3 5 2" xfId="9804"/>
    <cellStyle name="百分比 2 3 2 2" xfId="9805"/>
    <cellStyle name="链接单元格 4 2" xfId="9806"/>
    <cellStyle name="强调文字颜色 3 2 3 3 2 2" xfId="9807"/>
    <cellStyle name="常规 9 2 2 4 3" xfId="9808"/>
    <cellStyle name="汇总 2 2 3 3 7" xfId="9809"/>
    <cellStyle name="标题 3 2 2 3 2 2 3" xfId="9810"/>
    <cellStyle name="输入 2 3 4 4 3" xfId="9811"/>
    <cellStyle name="差 3 2 4 2 3" xfId="9812"/>
    <cellStyle name="60% - 强调文字颜色 6 2 2 4 3 3" xfId="9813"/>
    <cellStyle name="强调文字颜色 5 2 2 2 2 7" xfId="9814"/>
    <cellStyle name="强调文字颜色 6 2 3 2 2 5" xfId="9815"/>
    <cellStyle name="强调文字颜色 4 2 2 5" xfId="9816"/>
    <cellStyle name="输出 2 6 5 5" xfId="9817"/>
    <cellStyle name="标题 1 3 2 2 2 2 2 2" xfId="9818"/>
    <cellStyle name="60% - 强调文字颜色 1 4 3 2 2" xfId="9819"/>
    <cellStyle name="计算 2 2 4 2 2 2 2 5" xfId="9820"/>
    <cellStyle name="注释 2 3 8 2" xfId="9821"/>
    <cellStyle name="无色 2 3 2" xfId="9822"/>
    <cellStyle name="注释 2 4 2 8 2" xfId="9823"/>
    <cellStyle name="好 2 3 2 2 3" xfId="9824"/>
    <cellStyle name="输入 2 6 9 2" xfId="9825"/>
    <cellStyle name="注释 2 9 4" xfId="9826"/>
    <cellStyle name="输出 3 8" xfId="9827"/>
    <cellStyle name="输入 2 2 3 3 2 4" xfId="9828"/>
    <cellStyle name="标题 2 2 2 2 2 3 2 2" xfId="9829"/>
    <cellStyle name="60% - 强调文字颜色 3 2 3 2 4 3 2" xfId="9830"/>
    <cellStyle name="常规 11 4 2 3 3" xfId="9831"/>
    <cellStyle name="汇总 2 10 5 2 2" xfId="9832"/>
    <cellStyle name="计算 2 7 2 2 5" xfId="9833"/>
    <cellStyle name="输出 2 3 2 11" xfId="9834"/>
    <cellStyle name="计算 2 2 9 3 2" xfId="9835"/>
    <cellStyle name="输出 2 4 4 3 3" xfId="9836"/>
    <cellStyle name="常规 2 3 2 3 3" xfId="9837"/>
    <cellStyle name="计算 2 2 8 3 2 2 2" xfId="9838"/>
    <cellStyle name="输入 2 2 2 4 3 2 2" xfId="9839"/>
    <cellStyle name="40% - 强调文字颜色 6 3 2 2 3 2 2" xfId="9840"/>
    <cellStyle name="20% - 强调文字颜色 3 4 2 3 2" xfId="9841"/>
    <cellStyle name="计算 2 7 4 4 2" xfId="9842"/>
    <cellStyle name="汇总 2 2 5 3 5" xfId="9843"/>
    <cellStyle name="计算 2 5 5 5 2" xfId="9844"/>
    <cellStyle name="计算 3 10" xfId="9845"/>
    <cellStyle name="输入 2 2 5 2 2 2 5" xfId="9846"/>
    <cellStyle name="标题 3 3 3 2 2" xfId="9847"/>
    <cellStyle name="计算 2 2 7 5 2 2" xfId="9848"/>
    <cellStyle name="60% - 强调文字颜色 3 2 2 6 2 2 2" xfId="9849"/>
    <cellStyle name="强调文字颜色 4 2 3 7" xfId="9850"/>
    <cellStyle name="标题 3 2 2 2 2 2 4" xfId="9851"/>
    <cellStyle name="计算 2 3 3 8" xfId="9852"/>
    <cellStyle name="60% - 强调文字颜色 3 2 3 2 5" xfId="9853"/>
    <cellStyle name="输入 2 2 4 4 4" xfId="9854"/>
    <cellStyle name="计算 2 4 2 5 3" xfId="9855"/>
    <cellStyle name="标题 3 3 2 3 2 2 2" xfId="9856"/>
    <cellStyle name="输出 2 2 6 6 3" xfId="9857"/>
    <cellStyle name="输出 2 4 2 2 3 2 3" xfId="9858"/>
    <cellStyle name="好 2 2 2 2 6" xfId="9859"/>
    <cellStyle name="标题 3 2 3 6 2" xfId="9860"/>
    <cellStyle name="汇总 2 7 6 4 2" xfId="9861"/>
    <cellStyle name="常规 12 4 4 3" xfId="9862"/>
    <cellStyle name="输出 3 3 7" xfId="9863"/>
    <cellStyle name="常规 3 2 5" xfId="9864"/>
    <cellStyle name="汇总 2 6 11 2" xfId="9865"/>
    <cellStyle name="输出 2 2 8 4" xfId="9866"/>
    <cellStyle name="计算 2 4 4 3" xfId="9867"/>
    <cellStyle name="20% - 强调文字颜色 3 3 2 2 2 2" xfId="9868"/>
    <cellStyle name="强调文字颜色 2 2 4 2 2 2 2 2" xfId="9869"/>
    <cellStyle name="60% - 强调文字颜色 1 2 2 4 3 2 2 2" xfId="9870"/>
    <cellStyle name="标题 3 2 2 3 3 4" xfId="9871"/>
    <cellStyle name="60% - 强调文字颜色 5 2 2 2 3 2" xfId="9872"/>
    <cellStyle name="输出 4 2 6 2" xfId="9873"/>
    <cellStyle name="强调文字颜色 1 2 3 4 3 3" xfId="9874"/>
    <cellStyle name="计算 2 8 5 2" xfId="9875"/>
    <cellStyle name="标题 1 3 2 2 3 2 2 2" xfId="9876"/>
    <cellStyle name="适中 2 2 7 2" xfId="9877"/>
    <cellStyle name="常规 4 5 3 4 2" xfId="9878"/>
    <cellStyle name="标题 2 3 2 4 2 2" xfId="9879"/>
    <cellStyle name="注释 2 5 5 2 2" xfId="9880"/>
    <cellStyle name="输出 2 3 2 2 6 2" xfId="9881"/>
    <cellStyle name="汇总 2 5 5 2 4 2" xfId="9882"/>
    <cellStyle name="标题 3 3 9" xfId="9883"/>
    <cellStyle name="标题 1 2 5 2 2 2" xfId="9884"/>
    <cellStyle name="强调文字颜色 4 2 2 3 3 2 2 2" xfId="9885"/>
    <cellStyle name="强调文字颜色 1 2 2 3 4" xfId="9886"/>
    <cellStyle name="标题 5 4 3 2 3" xfId="9887"/>
    <cellStyle name="超链接 3 4 5" xfId="9888"/>
    <cellStyle name="输入 2 8 6" xfId="9889"/>
    <cellStyle name="解释性文本 2 3 2 3 2" xfId="9890"/>
    <cellStyle name="40% - 强调文字颜色 1 2 6 3" xfId="9891"/>
    <cellStyle name="计算 2 6 3 2 3 3" xfId="9892"/>
    <cellStyle name="强调文字颜色 6 2 3 3 4" xfId="9893"/>
    <cellStyle name="40% - 强调文字颜色 4 2 2 3 3 2 2 2" xfId="9894"/>
    <cellStyle name="输入 2 2 4 9 2 2" xfId="9895"/>
    <cellStyle name="标题 4 4 4 2" xfId="9896"/>
    <cellStyle name="输出 2 4 2 2 3 3 2" xfId="9897"/>
    <cellStyle name="汇总 2 2 4 3 2 2 2 2 2" xfId="9898"/>
    <cellStyle name="好 2 2 2 3 5" xfId="9899"/>
    <cellStyle name="常规 10 3 4" xfId="9900"/>
    <cellStyle name="强调文字颜色 1 3 2 3 2" xfId="9901"/>
    <cellStyle name="好 2 2 2 3 3" xfId="9902"/>
    <cellStyle name="常规 8 2 2 4 3 2" xfId="9903"/>
    <cellStyle name="适中 3 2 5 2" xfId="9904"/>
    <cellStyle name="20% - 强调文字颜色 3 2 2 3 3 3 2" xfId="9905"/>
    <cellStyle name="好 2 2 2 2 5 2" xfId="9906"/>
    <cellStyle name="汇总 3 2 3 3 3" xfId="9907"/>
    <cellStyle name="输出 2 4 2 2 3 2 2 2" xfId="9908"/>
    <cellStyle name="好 2 2 2 2 3 2" xfId="9909"/>
    <cellStyle name="60% - 强调文字颜色 2 2 2 2 3 2 2" xfId="9910"/>
    <cellStyle name="输入 2 5 3 2 2 3 2" xfId="9911"/>
    <cellStyle name="汇总 3 3 3 4 2" xfId="9912"/>
    <cellStyle name="60% - 强调文字颜色 3 5 2 2 2 2" xfId="9913"/>
    <cellStyle name="标题 2 2 3 6 2 3" xfId="9914"/>
    <cellStyle name="汇总 2 2 2 4 3 2" xfId="9915"/>
    <cellStyle name="好 2 3 6" xfId="9916"/>
    <cellStyle name="标题 4 2 3 6 2 2 2" xfId="9917"/>
    <cellStyle name="适中 2 2 5" xfId="9918"/>
    <cellStyle name="40% - 强调文字颜色 4 2 2 2 4 3 2 2" xfId="9919"/>
    <cellStyle name="20% - 强调文字颜色 3 2 2 2 3 3" xfId="9920"/>
    <cellStyle name="计算 2 5 2 2 2 9" xfId="9921"/>
    <cellStyle name="计算 2 2 2 13" xfId="9922"/>
    <cellStyle name="输出 2 2 4 2 3 2 2" xfId="9923"/>
    <cellStyle name="汇总 5 7" xfId="9924"/>
    <cellStyle name="60% - 强调文字颜色 6 2 2 4 2 3" xfId="9925"/>
    <cellStyle name="好 5 2 2 2" xfId="9926"/>
    <cellStyle name="标题 3 3 2 2 3 2" xfId="9927"/>
    <cellStyle name="注释 2 4 3 3 4" xfId="9928"/>
    <cellStyle name="汇总 2 2 5 2 2 7" xfId="9929"/>
    <cellStyle name="汇总 2 2 4 11" xfId="9930"/>
    <cellStyle name="计算 3 3 2" xfId="9931"/>
    <cellStyle name="输入 2 3 2 2 7" xfId="9932"/>
    <cellStyle name="强调文字颜色 1 6" xfId="9933"/>
    <cellStyle name="计算 2 2 13 2 2" xfId="9934"/>
    <cellStyle name="标题 2 2 2 4 3 2 2" xfId="9935"/>
    <cellStyle name="注释 2 7 6 2" xfId="9936"/>
    <cellStyle name="计算 3 2 2" xfId="9937"/>
    <cellStyle name="输入 2 4 8" xfId="9938"/>
    <cellStyle name="汇总 2 2 8 2 4 2" xfId="9939"/>
    <cellStyle name="汇总 2 2 3 4 2 4 3" xfId="9940"/>
    <cellStyle name="标题 5 6 2 2" xfId="9941"/>
    <cellStyle name="强调文字颜色 5 2 7 2 3" xfId="9942"/>
    <cellStyle name="输入 2 2 6 4 2 2 2" xfId="9943"/>
    <cellStyle name="超链接 3 6 2" xfId="9944"/>
    <cellStyle name="强调文字颜色 6 2 2 4 2 2 2 2" xfId="9945"/>
    <cellStyle name="常规 12 2 4" xfId="9946"/>
    <cellStyle name="解释性文本 6" xfId="9947"/>
    <cellStyle name="计算 2 5 4 3 2 2" xfId="9948"/>
    <cellStyle name="计算 2 2 10 2 7" xfId="9949"/>
    <cellStyle name="40% - 强调文字颜色 4 2 3 2 2 2 3" xfId="9950"/>
    <cellStyle name="计算 2 2 8 8 3" xfId="9951"/>
    <cellStyle name="解释性文本 4 7" xfId="9952"/>
    <cellStyle name="汇总 2 2 2 2 3 8" xfId="9953"/>
    <cellStyle name="强调文字颜色 5 2 2 4 4 3" xfId="9954"/>
    <cellStyle name="Porcentaje 2" xfId="9955"/>
    <cellStyle name="强调文字颜色 3 2 2 3 2 2 3" xfId="9956"/>
    <cellStyle name="输入 4 6" xfId="9957"/>
    <cellStyle name="汇总 2 2 4 2 2 2 7" xfId="9958"/>
    <cellStyle name="汇总 2 2 2 2 2 2" xfId="9959"/>
    <cellStyle name="40% - 强调文字颜色 4 2 2 2 2 2 4 3 2" xfId="9960"/>
    <cellStyle name="强调文字颜色 1 5 3" xfId="9961"/>
    <cellStyle name="汇总 2 2 6 4" xfId="9962"/>
    <cellStyle name="汇总 2 2 4 3 3 4 2 2" xfId="9963"/>
    <cellStyle name="计算 2 2 4 2 3 2 2 2 2" xfId="9964"/>
    <cellStyle name="汇总 2 5 2 2 3 3 2" xfId="9965"/>
    <cellStyle name="链接单元格 2 4 2 2" xfId="9966"/>
    <cellStyle name="40% - 强调文字颜色 2 2 4 3 3" xfId="9967"/>
    <cellStyle name="20% - 强调文字颜色 5 2 3 2 2" xfId="9968"/>
    <cellStyle name="常规 9 2 3 5" xfId="9969"/>
    <cellStyle name="输出 2 4 2 2 4" xfId="9970"/>
    <cellStyle name="汇总 2 6 5 2 2" xfId="9971"/>
    <cellStyle name="40% - 强调文字颜色 2 2 3 2 4 3 2 2" xfId="9972"/>
    <cellStyle name="计算 2 2 3 2 2 6 3" xfId="9973"/>
    <cellStyle name="计算 2 2 2 2 2 2 2 2 3" xfId="9974"/>
    <cellStyle name="汇总 2 2 3 3 2 3 2" xfId="9975"/>
    <cellStyle name="60% - 强调文字颜色 6 5 2 2 3" xfId="9976"/>
    <cellStyle name="标题 5 4 3 3 3" xfId="9977"/>
    <cellStyle name="输入 2 9 6" xfId="9978"/>
    <cellStyle name="超链接 3 5 5" xfId="9979"/>
    <cellStyle name="40% - 强调文字颜色 1 2 7 2" xfId="9980"/>
    <cellStyle name="注释 2 2 3 2 7 2 2" xfId="9981"/>
    <cellStyle name="40% - 强调文字颜色 6 2 2 3 2 2 2" xfId="9982"/>
    <cellStyle name="40% - 强调文字颜色 1 2 8" xfId="9983"/>
    <cellStyle name="注释 2 3 7" xfId="9984"/>
    <cellStyle name="检查单元格 2 3 4 2 2" xfId="9985"/>
    <cellStyle name="无色 2 2" xfId="9986"/>
    <cellStyle name="超链接 3 4 3 4" xfId="9987"/>
    <cellStyle name="输入 2 8 4 4" xfId="9988"/>
    <cellStyle name="强调文字颜色 2 2 2 5 2" xfId="9989"/>
    <cellStyle name="20% - 强调文字颜色 1 6 2" xfId="9990"/>
    <cellStyle name="强调文字颜色 4 2 2" xfId="9991"/>
    <cellStyle name="链接单元格 2 2 2 2 3 3" xfId="9992"/>
    <cellStyle name="输出 3 4 2 3" xfId="9993"/>
    <cellStyle name="常规 2 2 2 7 2 2" xfId="9994"/>
    <cellStyle name="汇总 2 2 3 4 4 3" xfId="9995"/>
    <cellStyle name="20% - 强调文字颜色 6 2 4 4 3 2" xfId="9996"/>
    <cellStyle name="计算 2 2 2 2 6 2" xfId="9997"/>
    <cellStyle name="汇总 2 2 9 3 4 2" xfId="9998"/>
    <cellStyle name="检查单元格 2 2 2 2 3" xfId="9999"/>
    <cellStyle name="适中 2 8 2 2" xfId="10000"/>
    <cellStyle name="差 2 5" xfId="10001"/>
    <cellStyle name="60% - 强调文字颜色 1 4 2 4" xfId="10002"/>
    <cellStyle name="汇总 2 2 10 5 2" xfId="10003"/>
    <cellStyle name="计算 2 2 5 6" xfId="10004"/>
    <cellStyle name="60% - 强调文字颜色 3 2 2 4 3" xfId="10005"/>
    <cellStyle name="强调文字颜色 4 2 4 2 2" xfId="10006"/>
    <cellStyle name="输入 2 2 3 6 2" xfId="10007"/>
    <cellStyle name="常规 9 9" xfId="10008"/>
    <cellStyle name="汇总 2 6 3 5" xfId="10009"/>
    <cellStyle name="标题 3 2 2 4 4 2 2" xfId="10010"/>
    <cellStyle name="超链接 3 3 6 3" xfId="10011"/>
    <cellStyle name="输入 2 7 7 3" xfId="10012"/>
    <cellStyle name="计算 2 4 2 2 2 2" xfId="10013"/>
    <cellStyle name="输出 2 2 6 3 2 2" xfId="10014"/>
    <cellStyle name="输入 6" xfId="10015"/>
    <cellStyle name="输入 2 2 5 2 2 4 2" xfId="10016"/>
    <cellStyle name="汇总 2 2 11 7" xfId="10017"/>
    <cellStyle name="计算 2 2 4 9 2" xfId="10018"/>
    <cellStyle name="注释 2 2 4 2 2 2 5" xfId="10019"/>
    <cellStyle name="汇总 2 4 2 3 5 2" xfId="10020"/>
    <cellStyle name="超链接 3 3 2 3 3 2" xfId="10021"/>
    <cellStyle name="输入 2 5 5" xfId="10022"/>
    <cellStyle name="超链接 3 3 4 3 3" xfId="10023"/>
    <cellStyle name="计算 2 9 3 4 2" xfId="10024"/>
    <cellStyle name="标题 3 2 3 2 3 3 3" xfId="10025"/>
    <cellStyle name="标题 3 2 2 3 3 2 2 2" xfId="10026"/>
    <cellStyle name="40% - 强调文字颜色 5 2 10 2" xfId="10027"/>
    <cellStyle name="20% - 强调文字颜色 3 3 2 2 2 2 2" xfId="10028"/>
    <cellStyle name="输出 2 5 2 7" xfId="10029"/>
    <cellStyle name="解释性文本 2 4 3 5" xfId="10030"/>
    <cellStyle name="标题 4 2 3 2 2 2 2 2 3" xfId="10031"/>
    <cellStyle name="常规 7 3 5 2 2" xfId="10032"/>
    <cellStyle name="适中 3 5" xfId="10033"/>
    <cellStyle name="检查单元格 2 2 2 8" xfId="10034"/>
    <cellStyle name="输入 2 8 9" xfId="10035"/>
    <cellStyle name="注释 3 4 3" xfId="10036"/>
    <cellStyle name="强调文字颜色 1 2 2 3 7" xfId="10037"/>
    <cellStyle name="标题 4 4 2 3 2 2" xfId="10038"/>
    <cellStyle name="标题 2 2 6 2 2 3" xfId="10039"/>
    <cellStyle name="输入 2 2 2 2 2" xfId="10040"/>
    <cellStyle name="计算 2 6 7 3" xfId="10041"/>
    <cellStyle name="输出 2 2 2 2 2 3" xfId="10042"/>
    <cellStyle name="20% - 强调文字颜色 3 3 5 2" xfId="10043"/>
    <cellStyle name="计算 2 2 3 3 2 4 2" xfId="10044"/>
    <cellStyle name="40% - 强调文字颜色 2 2 3 3 3" xfId="10045"/>
    <cellStyle name="链接单元格 2 3 2 2" xfId="10046"/>
    <cellStyle name="计算 2 2 6 2 2 4 2" xfId="10047"/>
    <cellStyle name="汇总 2 5 2 2 2 3 2" xfId="10048"/>
    <cellStyle name="汇总 2 2 6 13" xfId="10049"/>
    <cellStyle name="计算 2 8 4 6" xfId="10050"/>
    <cellStyle name="标题 4 2 2 2 2 4 2 3" xfId="10051"/>
    <cellStyle name="汇总 2 2 4 2 10 2" xfId="10052"/>
    <cellStyle name="20% - 强调文字颜色 1 2 2 3 5 2 2" xfId="10053"/>
    <cellStyle name="60% - 强调文字颜色 6 2 2 2 2 4 3" xfId="10054"/>
    <cellStyle name="计算 2 8 4" xfId="10055"/>
    <cellStyle name="汇总 4 2 2 3 2" xfId="10056"/>
    <cellStyle name="常规 4 3 2 3 2" xfId="10057"/>
    <cellStyle name="强调文字颜色 6 2 2 5 3 3" xfId="10058"/>
    <cellStyle name="20% - 强调文字颜色 2 2 5 3" xfId="10059"/>
    <cellStyle name="计算 2 2 5 4 2 3 3" xfId="10060"/>
    <cellStyle name="常规 9 3 3 2 4" xfId="10061"/>
    <cellStyle name="汇总 2 3 2 6 3" xfId="10062"/>
    <cellStyle name="计算 2 2 7 4 4 2" xfId="10063"/>
    <cellStyle name="标题 3 3 2 4 2" xfId="10064"/>
    <cellStyle name="20% - 强调文字颜色 6 2 2 4 3" xfId="10065"/>
    <cellStyle name="汇总 2 2 5 5 3 3" xfId="10066"/>
    <cellStyle name="输入 2 2 6 3 4 2" xfId="10067"/>
    <cellStyle name="计算 2 5 2 8 2" xfId="10068"/>
    <cellStyle name="强调文字颜色 3 2 2 2 2 2 5" xfId="10069"/>
    <cellStyle name="常规 9 2 2 2 5" xfId="10070"/>
    <cellStyle name="60% - 强调文字颜色 5 3 2 2 3 2 2" xfId="10071"/>
    <cellStyle name="解释性文本 2 2 2 5 2" xfId="10072"/>
    <cellStyle name="汇总 4 4" xfId="10073"/>
    <cellStyle name="40% - 强调文字颜色 1 2 2 4 2" xfId="10074"/>
    <cellStyle name="计算 2 4 2 2 3" xfId="10075"/>
    <cellStyle name="输出 2 2 6 3 3" xfId="10076"/>
    <cellStyle name="强调文字颜色 5 2 7" xfId="10077"/>
    <cellStyle name="20% - 强调文字颜色 3 2 2 2 2 2 5" xfId="10078"/>
    <cellStyle name="输出 2 4 5 7" xfId="10079"/>
    <cellStyle name="输入 2 2 7 2 2" xfId="10080"/>
    <cellStyle name="计算 2 7 5 4 2" xfId="10081"/>
    <cellStyle name="汇总 2 2 6 3 5" xfId="10082"/>
    <cellStyle name="汇总 2 2 4 5 2 4 2" xfId="10083"/>
    <cellStyle name="常规 3 2 3 5" xfId="10084"/>
    <cellStyle name="常规 2 3 2 5" xfId="10085"/>
    <cellStyle name="输出 2 4 4 5" xfId="10086"/>
    <cellStyle name="解释性文本 2 3 5 3" xfId="10087"/>
    <cellStyle name="强调文字颜色 2 2 4 8" xfId="10088"/>
    <cellStyle name="检查单元格 2 3 3 4" xfId="10089"/>
    <cellStyle name="注释 2 2 7 5 3" xfId="10090"/>
    <cellStyle name="输入 2 2 4 3 3 4" xfId="10091"/>
    <cellStyle name="注释 2 2 3 10" xfId="10092"/>
    <cellStyle name="标题 5 2 3 3 2" xfId="10093"/>
    <cellStyle name="适中 2 3 2 3 2 2 2" xfId="10094"/>
    <cellStyle name="40% - 强调文字颜色 3 2 3 4" xfId="10095"/>
    <cellStyle name="20% - 强调文字颜色 1 2 3 2 2 2 2" xfId="10096"/>
    <cellStyle name="超链接 3 3 2 3" xfId="10097"/>
    <cellStyle name="输入 2 7 3 3" xfId="10098"/>
    <cellStyle name="20% - 强调文字颜色 2 2 3 4" xfId="10099"/>
    <cellStyle name="计算 2 10 3 4 2" xfId="10100"/>
    <cellStyle name="60% - 强调文字颜色 5 2 2 2 3" xfId="10101"/>
    <cellStyle name="计算 2 3 2 11" xfId="10102"/>
    <cellStyle name="60% - 强调文字颜色 3 2 3 6 2" xfId="10103"/>
    <cellStyle name="标题 4 3 3" xfId="10104"/>
    <cellStyle name="输入 2 7 3 2 2" xfId="10105"/>
    <cellStyle name="超链接 3 3 2 2 2" xfId="10106"/>
    <cellStyle name="注释 3 3 4 2" xfId="10107"/>
    <cellStyle name="计算 2 6 2 3" xfId="10108"/>
    <cellStyle name="汇总 2 2 8 2 3 3" xfId="10109"/>
    <cellStyle name="输入 2 3 9" xfId="10110"/>
    <cellStyle name="好 2 2 4 3 2" xfId="10111"/>
    <cellStyle name="计算 2 3 2 3 4 2" xfId="10112"/>
    <cellStyle name="输入 2 3 2 10" xfId="10113"/>
    <cellStyle name="60% - 强调文字颜色 5 3 3 2 2" xfId="10114"/>
    <cellStyle name="强调文字颜色 1 4 4 2" xfId="10115"/>
    <cellStyle name="计算 2 8 2 2 6" xfId="10116"/>
    <cellStyle name="警告文本 4 2 4" xfId="10117"/>
    <cellStyle name="强调文字颜色 6 2 4 5 2 2" xfId="10118"/>
    <cellStyle name="强调文字颜色 5 2 3 2 4" xfId="10119"/>
    <cellStyle name="计算 2 5 3 2 2 3" xfId="10120"/>
    <cellStyle name="汇总 2 2 4 2 3 3 3 2 2" xfId="10121"/>
    <cellStyle name="标题 2 2 5 4" xfId="10122"/>
    <cellStyle name="输入 2 6 2 2 5" xfId="10123"/>
    <cellStyle name="汇总 2 11 2" xfId="10124"/>
    <cellStyle name="警告文本 2 3 2 6 2 2" xfId="10125"/>
    <cellStyle name="强调文字颜色 6 2 2 6 2" xfId="10126"/>
    <cellStyle name="20% - 强调文字颜色 4 2 5 3 2" xfId="10127"/>
    <cellStyle name="40% - 强调文字颜色 2 4" xfId="10128"/>
    <cellStyle name="40% - 强调文字颜色 2 2 3 2 5 2 2" xfId="10129"/>
    <cellStyle name="40% - 强调文字颜色 6 2 2 4 4" xfId="10130"/>
    <cellStyle name="汇总 2 7 4 2" xfId="10131"/>
    <cellStyle name="20% - 强调文字颜色 5 3 2 2" xfId="10132"/>
    <cellStyle name="强调文字颜色 2 2 6 2 2 2" xfId="10133"/>
    <cellStyle name="60% - 强调文字颜色 1 2 4 4 3 2" xfId="10134"/>
    <cellStyle name="汇总 2 5 2 2 2 2 4 2 2" xfId="10135"/>
    <cellStyle name="输入 2 4 2 2 2 3 2" xfId="10136"/>
    <cellStyle name="汇总 3 2 4 4 2" xfId="10137"/>
    <cellStyle name="强调文字颜色 6 4 5" xfId="10138"/>
    <cellStyle name="适中 2 2 6 3" xfId="10139"/>
    <cellStyle name="输出 4 2 5 3" xfId="10140"/>
    <cellStyle name="输出 2 2 4 2 6" xfId="10141"/>
    <cellStyle name="超链接 3 3 7 2 2" xfId="10142"/>
    <cellStyle name="输入 2 7 8 2 2" xfId="10143"/>
    <cellStyle name="计算 2 2 8 5 2 2" xfId="10144"/>
    <cellStyle name="标题 3 4 3 2 2" xfId="10145"/>
    <cellStyle name="标题 4 2 2 3 3 2" xfId="10146"/>
    <cellStyle name="汇总 2 6 2 4 3 2 2" xfId="10147"/>
    <cellStyle name="汇总 2 5 2 3 9" xfId="10148"/>
    <cellStyle name="差 2 2 5 4" xfId="10149"/>
    <cellStyle name="汇总 2 2 4 2 3 2 5 2" xfId="10150"/>
    <cellStyle name="适中 2 5 4" xfId="10151"/>
    <cellStyle name="20% - 强调文字颜色 3 2 2 2 6 2" xfId="10152"/>
    <cellStyle name="常规 6 3" xfId="10153"/>
    <cellStyle name="差 2 2 2 2 5 2" xfId="10154"/>
    <cellStyle name="输出 4 5 3" xfId="10155"/>
    <cellStyle name="强调文字颜色 1 2 2 2" xfId="10156"/>
    <cellStyle name="输入 2 3 2 2 3 2 2" xfId="10157"/>
    <cellStyle name="汇总 2 2 2 4 3 2 2" xfId="10158"/>
    <cellStyle name="标题 1 2 2 2 5" xfId="10159"/>
    <cellStyle name="汇总 2 8 8 3" xfId="10160"/>
    <cellStyle name="无色 4 2" xfId="10161"/>
    <cellStyle name="警告文本 2 3 2 2 2 2 2 2" xfId="10162"/>
    <cellStyle name="注释 2 5 7" xfId="10163"/>
    <cellStyle name="标题 2 3 2 6" xfId="10164"/>
    <cellStyle name="20% - 强调文字颜色 4 2 2 2 2 2 3 2 2 2" xfId="10165"/>
    <cellStyle name="输入 2 2 8 3 2 3" xfId="10166"/>
    <cellStyle name="汇总 2 2 2 2 3 3 2 2" xfId="10167"/>
    <cellStyle name="汇总 2 2 6 2 3 2 2" xfId="10168"/>
    <cellStyle name="汇总 2 2 3 2 2 3 3 2" xfId="10169"/>
    <cellStyle name="注释 2 2 3 4 8" xfId="10170"/>
    <cellStyle name="40% - 强调文字颜色 5 2 9 2" xfId="10171"/>
    <cellStyle name="计算 2 2 3 2 2 2 2 3" xfId="10172"/>
    <cellStyle name="强调文字颜色 2 2 3 2 3 2 3" xfId="10173"/>
    <cellStyle name="汇总 2 2 4 13" xfId="10174"/>
    <cellStyle name="好 2 4 4 3" xfId="10175"/>
    <cellStyle name="输出 2 8 2 3 2" xfId="10176"/>
    <cellStyle name="汇总 2 4 2 2 2 4" xfId="10177"/>
    <cellStyle name="常规 8 2 2" xfId="10178"/>
    <cellStyle name="60% - 强调文字颜色 1 3 7" xfId="10179"/>
    <cellStyle name="计算 2 2 5 4 4 2 2" xfId="10180"/>
    <cellStyle name="汇总 2 2 3 4" xfId="10181"/>
    <cellStyle name="40% - 强调文字颜色 4 2 2 4 2 2 2 2" xfId="10182"/>
    <cellStyle name="输入 2 4 5 3" xfId="10183"/>
    <cellStyle name="计算 2 2 2 2 2 3 3" xfId="10184"/>
    <cellStyle name="链接单元格 2 2 3 3" xfId="10185"/>
    <cellStyle name="40% - 强调文字颜色 2 2 2 4 4" xfId="10186"/>
    <cellStyle name="标题 2 2 11" xfId="10187"/>
    <cellStyle name="警告文本 5" xfId="10188"/>
    <cellStyle name="强调文字颜色 4 4" xfId="10189"/>
    <cellStyle name="计算 2 2 5 3 3 3 2" xfId="10190"/>
    <cellStyle name="常规 9 2 4 2 3" xfId="10191"/>
    <cellStyle name="40% - 强调文字颜色 2 2 2 2 4" xfId="10192"/>
    <cellStyle name="60% - 强调文字颜色 3 2 4 5 2 2" xfId="10193"/>
    <cellStyle name="标题 5 2 3 2" xfId="10194"/>
    <cellStyle name="60% - 强调文字颜色 2 2 3 2 5 2 2" xfId="10195"/>
    <cellStyle name="汇总 2 3 2 2 2 4" xfId="10196"/>
    <cellStyle name="超链接 3 2 7" xfId="10197"/>
    <cellStyle name="输入 2 6 8" xfId="10198"/>
    <cellStyle name="注释 2 2 5 3 3 3" xfId="10199"/>
    <cellStyle name="汇总 2 2 8 2 6 2" xfId="10200"/>
    <cellStyle name="链接单元格 2 6 2 3" xfId="10201"/>
    <cellStyle name="强调文字颜色 5 2 4 2 2" xfId="10202"/>
    <cellStyle name="20% - 强调文字颜色 3 2 2 2 2 2 2 2 2" xfId="10203"/>
    <cellStyle name="60% - 强调文字颜色 4 2 2 4 3" xfId="10204"/>
    <cellStyle name="强调文字颜色 4 2 2 2 5 3" xfId="10205"/>
    <cellStyle name="常规 5 4 2 3 5" xfId="10206"/>
    <cellStyle name="标题 5 2 3 4" xfId="10207"/>
    <cellStyle name="计算 2 7 3 9" xfId="10208"/>
    <cellStyle name="输入 2 2 8 4 5" xfId="10209"/>
    <cellStyle name="注释 2 4 5 4" xfId="10210"/>
    <cellStyle name="强调文字颜色 4 2 2 2 3 5" xfId="10211"/>
    <cellStyle name="强调文字颜色 5 2 3 2 3 3" xfId="10212"/>
    <cellStyle name="计算 2 5 3 2 2 2 3" xfId="10213"/>
    <cellStyle name="60% - 强调文字颜色 3 2 2 4 3 2 2" xfId="10214"/>
    <cellStyle name="强调文字颜色 4 2 4 2 2 2 2" xfId="10215"/>
    <cellStyle name="计算 2 2 5 6 2 2" xfId="10216"/>
    <cellStyle name="汇总 2 2 6 11 2" xfId="10217"/>
    <cellStyle name="计算 2 8 4 4 2" xfId="10218"/>
    <cellStyle name="常规 10 7" xfId="10219"/>
    <cellStyle name="汇总 3 3 4" xfId="10220"/>
    <cellStyle name="强调文字颜色 3 3 3" xfId="10221"/>
    <cellStyle name="解释性文本 3 2 4 2" xfId="10222"/>
    <cellStyle name="计算 3 3 2 3 2 2" xfId="10223"/>
    <cellStyle name="常规 3 7 2 3" xfId="10224"/>
    <cellStyle name="计算 2 5 2 4 2 3 2 2" xfId="10225"/>
    <cellStyle name="计算 3 2 2 2 2 3" xfId="10226"/>
    <cellStyle name="输出 2 4 2 4 3" xfId="10227"/>
    <cellStyle name="解释性文本 2 3 3 2 3" xfId="10228"/>
    <cellStyle name="40% - 强调文字颜色 2 2 2 2 2 2 3 2 2 2" xfId="10229"/>
    <cellStyle name="常规 5 3 3 5 2 2" xfId="10230"/>
    <cellStyle name="汇总 2 2 3 2 2 2 3 2" xfId="10231"/>
    <cellStyle name="汇总 2 2 6 2 2 2 2" xfId="10232"/>
    <cellStyle name="检查单元格 2 2 3 2" xfId="10233"/>
    <cellStyle name="计算 2 4 2 2 3 2 2" xfId="10234"/>
    <cellStyle name="强调文字颜色 4 2 2 2 3 3" xfId="10235"/>
    <cellStyle name="40% - 强调文字颜色 5 2 2 3 2 2 2 2" xfId="10236"/>
    <cellStyle name="检查单元格 2 3 3 6" xfId="10237"/>
    <cellStyle name="汇总 3 3 2" xfId="10238"/>
    <cellStyle name="注释 4 8" xfId="10239"/>
    <cellStyle name="输入 2 2 3 2 2 5 2" xfId="10240"/>
    <cellStyle name="注释 2 2 2 2 4" xfId="10241"/>
    <cellStyle name="汇总 2 5 4 3 5" xfId="10242"/>
    <cellStyle name="汇总 2 4 2 2 5 2 2" xfId="10243"/>
    <cellStyle name="标题 3 3 5 2" xfId="10244"/>
    <cellStyle name="输入 2 10 2 3" xfId="10245"/>
    <cellStyle name="计算 2 2 7 7 2" xfId="10246"/>
    <cellStyle name="强调文字颜色 4 2 4 4 3 2" xfId="10247"/>
    <cellStyle name="输入 2 2 5 2 5 2 2" xfId="10248"/>
    <cellStyle name="输入 7 3" xfId="10249"/>
    <cellStyle name="注释 4" xfId="10250"/>
    <cellStyle name="输入 5 3 2" xfId="10251"/>
    <cellStyle name="计算 2 4 2 2 2 3 3" xfId="10252"/>
    <cellStyle name="60% - 强调文字颜色 4 2 2 2 4 2" xfId="10253"/>
    <cellStyle name="20% - 强调文字颜色 6 2 3 2 2 5 2" xfId="10254"/>
    <cellStyle name="20% - 强调文字颜色 1 2 3 5" xfId="10255"/>
    <cellStyle name="适中 2 3 2 6" xfId="10256"/>
    <cellStyle name="60% - 强调文字颜色 6 2 2 3 2 2" xfId="10257"/>
    <cellStyle name="输入 2 7 9" xfId="10258"/>
    <cellStyle name="超链接 3 3 8" xfId="10259"/>
    <cellStyle name="40% - 强调文字颜色 1 2 4 3 2 2" xfId="10260"/>
    <cellStyle name="汇总 2 2 4 3 8 2" xfId="10261"/>
    <cellStyle name="注释 2 5 2 2 4 2 2" xfId="10262"/>
    <cellStyle name="20% - 强调文字颜色 4 2 3 5 2 2" xfId="10263"/>
    <cellStyle name="注释 2 4 5 3" xfId="10264"/>
    <cellStyle name="汇总 2 4 3 3 4 2" xfId="10265"/>
    <cellStyle name="超链接 3 3 3 3 2 2" xfId="10266"/>
    <cellStyle name="输入 2 7 2 2 6" xfId="10267"/>
    <cellStyle name="强调文字颜色 4 2 2 2 3 4" xfId="10268"/>
    <cellStyle name="计算 2 5 3 2 2 2 2" xfId="10269"/>
    <cellStyle name="强调文字颜色 5 2 3 2 3 2" xfId="10270"/>
    <cellStyle name="强调文字颜色 3 2 4 2 2 2 3" xfId="10271"/>
    <cellStyle name="60% - 强调文字颜色 5 3 2 4 2 2" xfId="10272"/>
    <cellStyle name="汇总 2 5 2 7 2" xfId="10273"/>
    <cellStyle name="检查单元格 2 3 3 7" xfId="10274"/>
    <cellStyle name="强调文字颜色 6 2 5 3 3" xfId="10275"/>
    <cellStyle name="强调文字颜色 2 4 3" xfId="10276"/>
    <cellStyle name="输入 2 2 8 4 4" xfId="10277"/>
    <cellStyle name="计算 2 7 3 8" xfId="10278"/>
    <cellStyle name="标题 5 2 3 3" xfId="10279"/>
    <cellStyle name="标题 6 4" xfId="10280"/>
    <cellStyle name="计算 2 2 2 3 2 2 3" xfId="10281"/>
    <cellStyle name="60% - 强调文字颜色 3 2 2 3" xfId="10282"/>
    <cellStyle name="计算 2 2 5 2 5 3" xfId="10283"/>
    <cellStyle name="注释 2 2 2 4 2 2" xfId="10284"/>
    <cellStyle name="汇总 2 2 12 3 2 2" xfId="10285"/>
    <cellStyle name="计算 2 2 2 2 3 5" xfId="10286"/>
    <cellStyle name="汇总 2 7 6 2 2" xfId="10287"/>
    <cellStyle name="输出 2 5 3 2 4" xfId="10288"/>
    <cellStyle name="20% - 强调文字颜色 5 3 4 2 2" xfId="10289"/>
    <cellStyle name="输入 2 3 2 2 2 4 2" xfId="10290"/>
    <cellStyle name="输出 3 7 3" xfId="10291"/>
    <cellStyle name="60% - 强调文字颜色 3 2 3 2 4 2 2 2" xfId="10292"/>
    <cellStyle name="强调文字颜色 5 2 2 2 5 3" xfId="10293"/>
    <cellStyle name="20% - 强调文字颜色 1 2 2 8 2" xfId="10294"/>
    <cellStyle name="汇总 2 3 2 12" xfId="10295"/>
    <cellStyle name="20% - 强调文字颜色 6 3 2 2 4 2" xfId="10296"/>
    <cellStyle name="汇总 2 3 4 2" xfId="10297"/>
    <cellStyle name="计算 4 2 4 3" xfId="10298"/>
    <cellStyle name="输出 2 3 2 3 3" xfId="10299"/>
    <cellStyle name="汇总 2 5 2 6 3" xfId="10300"/>
    <cellStyle name="检查单元格 2 3 2 8" xfId="10301"/>
    <cellStyle name="强调文字颜色 4 2 2 2 2 5" xfId="10302"/>
    <cellStyle name="强调文字颜色 3 2 3 2 2 3 2" xfId="10303"/>
    <cellStyle name="20% - 强调文字颜色 1 3 2 5 2" xfId="10304"/>
    <cellStyle name="强调文字颜色 2 2 2 2 2 5 2" xfId="10305"/>
    <cellStyle name="强调文字颜色 5 2 3 2 2 3" xfId="10306"/>
    <cellStyle name="汇总 2 4 3 3 3 3" xfId="10307"/>
    <cellStyle name="注释 2 4 4 4" xfId="10308"/>
    <cellStyle name="超链接 3 2 3 2 4" xfId="10309"/>
    <cellStyle name="输入 2 6 4 2 4" xfId="10310"/>
    <cellStyle name="计算 2 8 2 3 3" xfId="10311"/>
    <cellStyle name="汇总 2 3 3 2 6" xfId="10312"/>
    <cellStyle name="标题 5 5" xfId="10313"/>
    <cellStyle name="适中 2 2 3 10" xfId="10314"/>
    <cellStyle name="差 5 2 2" xfId="10315"/>
    <cellStyle name="常规 5 5 2 2 5" xfId="10316"/>
    <cellStyle name="强调文字颜色 4 2 3 2 4 3" xfId="10317"/>
    <cellStyle name="汇总 3 2 4 3" xfId="10318"/>
    <cellStyle name="输入 2 4 2 2 2 2" xfId="10319"/>
    <cellStyle name="计算 2 2 4 2 4 2 2 2 2" xfId="10320"/>
    <cellStyle name="汇总 2 5 5" xfId="10321"/>
    <cellStyle name="40% - 强调文字颜色 2 2 3 2 3 3" xfId="10322"/>
    <cellStyle name="计算 2 7 2 5" xfId="10323"/>
    <cellStyle name="强调文字颜色 4 2 2 2 2 5 3" xfId="10324"/>
    <cellStyle name="计算 2 2 4 2 2 2 5 2" xfId="10325"/>
    <cellStyle name="计算 2 7 13" xfId="10326"/>
    <cellStyle name="检查单元格 3 5" xfId="10327"/>
    <cellStyle name="40% - 强调文字颜色 3 3 2 5 2" xfId="10328"/>
    <cellStyle name="好 2 3 2" xfId="10329"/>
    <cellStyle name="40% - 强调文字颜色 5 2 2" xfId="10330"/>
    <cellStyle name="差 2 3 2 2 3 2" xfId="10331"/>
    <cellStyle name="输出 2 2 3 2 12" xfId="10332"/>
    <cellStyle name="强调文字颜色 6 5" xfId="10333"/>
    <cellStyle name="警告文本 2 2 3 3 2 2" xfId="10334"/>
    <cellStyle name="标题 6 2 2 3 2 3" xfId="10335"/>
    <cellStyle name="汇总 2 2 3 2 2 2 8" xfId="10336"/>
    <cellStyle name="汇总 2 2 6 2 2 7" xfId="10337"/>
    <cellStyle name="汇总 2 2 5 2 2 5" xfId="10338"/>
    <cellStyle name="注释 2 4 3 3 2" xfId="10339"/>
    <cellStyle name="汇总 2 4 3 3 2 2 2" xfId="10340"/>
    <cellStyle name="计算 2 2 2 11" xfId="10341"/>
    <cellStyle name="40% - 强调文字颜色 1 2 2 5 3" xfId="10342"/>
    <cellStyle name="计算 2 5 2 2 2 7" xfId="10343"/>
    <cellStyle name="汇总 2 2 5 4 2 3" xfId="10344"/>
    <cellStyle name="输入 2 6 4 2 2 2 2" xfId="10345"/>
    <cellStyle name="超链接 3 2 3 2 2 2 2" xfId="10346"/>
    <cellStyle name="20% - 强调文字颜色 5 2 3 2 5 2 2 2" xfId="10347"/>
    <cellStyle name="常规 5 2 5 5 3" xfId="10348"/>
    <cellStyle name="汇总 2 3 3 2 4 2 2" xfId="10349"/>
    <cellStyle name="强调文字颜色 4 2 2 2 2 3 2 2" xfId="10350"/>
    <cellStyle name="适中 3 2 5" xfId="10351"/>
    <cellStyle name="20% - 强调文字颜色 3 2 2 3 3 3" xfId="10352"/>
    <cellStyle name="输出 5 2 4" xfId="10353"/>
    <cellStyle name="20% - 强调文字颜色 2 4 4 2 2 2" xfId="10354"/>
    <cellStyle name="输入 2 5 6" xfId="10355"/>
    <cellStyle name="输出 2 4 3 2 3 2 2" xfId="10356"/>
    <cellStyle name="强调文字颜色 3 2 4 2 2 2" xfId="10357"/>
    <cellStyle name="60% - 强调文字颜色 2 2 2 4 3 2" xfId="10358"/>
    <cellStyle name="强调文字颜色 1 2 2 2 2 6" xfId="10359"/>
    <cellStyle name="适中 4 2 2" xfId="10360"/>
    <cellStyle name="计算 2 4 5" xfId="10361"/>
    <cellStyle name="计算 2 2 5 11" xfId="10362"/>
    <cellStyle name="警告文本 2 3 4 4" xfId="10363"/>
    <cellStyle name="链接单元格 3 2" xfId="10364"/>
    <cellStyle name="注释 2 6 11" xfId="10365"/>
    <cellStyle name="输入 2 2 2 2 2 3 2 2" xfId="10366"/>
    <cellStyle name="60% - 强调文字颜色 4 4" xfId="10367"/>
    <cellStyle name="强调文字颜色 2 2 2 4 3 3" xfId="10368"/>
    <cellStyle name="标题 3 4 2 2 2 2 2" xfId="10369"/>
    <cellStyle name="输出 2 9" xfId="10370"/>
    <cellStyle name="计算 2 2 2 5 5" xfId="10371"/>
    <cellStyle name="解释性文本 4 8" xfId="10372"/>
    <cellStyle name="标题 1 2 5 2 2" xfId="10373"/>
    <cellStyle name="强调文字颜色 4 2 2 3 3 2 2" xfId="10374"/>
    <cellStyle name="输出 2 7 2 3 2" xfId="10375"/>
    <cellStyle name="标题 4 4 5 2" xfId="10376"/>
    <cellStyle name="60% - 强调文字颜色 1 2 2 2 6" xfId="10377"/>
    <cellStyle name="标题 1 2 3 4 3" xfId="10378"/>
    <cellStyle name="输入 2 6 3 5 2 2" xfId="10379"/>
    <cellStyle name="超链接 3 2 2 5 2 2" xfId="10380"/>
    <cellStyle name="注释 2 3 7 2 2" xfId="10381"/>
    <cellStyle name="无色 2 2 2 2" xfId="10382"/>
    <cellStyle name="强调文字颜色 5 2 2 2 2 3 2 3" xfId="10383"/>
    <cellStyle name="解释性文本 2 2 2 2 6 2" xfId="10384"/>
    <cellStyle name="计算 2 2 10 2 2 2" xfId="10385"/>
    <cellStyle name="计算 2 6 2 3 2 2" xfId="10386"/>
    <cellStyle name="适中 2 2 3 2 2 3" xfId="10387"/>
    <cellStyle name="输入 2 4 4 2 3 2" xfId="10388"/>
    <cellStyle name="输出 2 2 3 3 4 2 2" xfId="10389"/>
    <cellStyle name="标题 2 2 2 11" xfId="10390"/>
    <cellStyle name="标题 2 2 3 2 4 2 2 2" xfId="10391"/>
    <cellStyle name="40% - 强调文字颜色 2 2 2 2 2 2 2 3 2" xfId="10392"/>
    <cellStyle name="输入 2 2 4 2 2 6" xfId="10393"/>
    <cellStyle name="强调文字颜色 3 2 2 4 3 3" xfId="10394"/>
    <cellStyle name="注释 2 8 2" xfId="10395"/>
    <cellStyle name="输入 2 2 3 2 2 3 2 2" xfId="10396"/>
    <cellStyle name="标题 2 3 6 2" xfId="10397"/>
    <cellStyle name="注释 2 9 3" xfId="10398"/>
    <cellStyle name="输入 2 2 2 4 4 2" xfId="10399"/>
    <cellStyle name="标题 4 2 2 2 5 2 3" xfId="10400"/>
    <cellStyle name="60% - 强调文字颜色 3 2 3 2 4 2 2" xfId="10401"/>
    <cellStyle name="输入 2 2 4 4 3 2 2" xfId="10402"/>
    <cellStyle name="警告文本 4 2 3" xfId="10403"/>
    <cellStyle name="计算 2 2 8 6" xfId="10404"/>
    <cellStyle name="输入 2 2 3 9 2" xfId="10405"/>
    <cellStyle name="标题 3 4 4" xfId="10406"/>
    <cellStyle name="强调文字颜色 4 2 4 5 2" xfId="10407"/>
    <cellStyle name="20% - 强调文字颜色 1 2 6 3 2 2" xfId="10408"/>
    <cellStyle name="注释 2 2 2 5 2 2" xfId="10409"/>
    <cellStyle name="汇总 2 7 2 8" xfId="10410"/>
    <cellStyle name="输入 2 2 4 2 9 2" xfId="10411"/>
    <cellStyle name="输出 2 3 7 3" xfId="10412"/>
    <cellStyle name="常规 2 2 5 3" xfId="10413"/>
    <cellStyle name="计算 2 5 3 2" xfId="10414"/>
    <cellStyle name="常规 5 2 2 3 4" xfId="10415"/>
    <cellStyle name="汇总 3 9 2" xfId="10416"/>
    <cellStyle name="计算 2 3 9 3" xfId="10417"/>
    <cellStyle name="常规 6 2 3 2 2 2" xfId="10418"/>
    <cellStyle name="常规 5 4 2 6" xfId="10419"/>
    <cellStyle name="常规 5 2 2 2 2 4" xfId="10420"/>
    <cellStyle name="输入 2 2 3 3 3 2 2" xfId="10421"/>
    <cellStyle name="链接单元格 2 2 3 4 3" xfId="10422"/>
    <cellStyle name="计算 2 2 2 7 2 2" xfId="10423"/>
    <cellStyle name="计算 2 7 4 3 3" xfId="10424"/>
    <cellStyle name="汇总 2 2 5 2 6" xfId="10425"/>
    <cellStyle name="输出 2 4 2 3 2 2" xfId="10426"/>
    <cellStyle name="常规 9 2 4 3 2" xfId="10427"/>
    <cellStyle name="20% - 强调文字颜色 4 4 2 3 2 2 2" xfId="10428"/>
    <cellStyle name="40% - 强调文字颜色 5 2 2 4 3 2 2 2" xfId="10429"/>
    <cellStyle name="常规 13 10" xfId="10430"/>
    <cellStyle name="40% - 强调文字颜色 3 2 2 3 2 2" xfId="10431"/>
    <cellStyle name="注释 2 2 2 4 3 2" xfId="10432"/>
    <cellStyle name="汇总 2 2 7 9 2" xfId="10433"/>
    <cellStyle name="输出 2 2 3 2 3" xfId="10434"/>
    <cellStyle name="输出 2 2 3 2 2 2 2 3 2" xfId="10435"/>
    <cellStyle name="注释 2 2 3 3 2 2 2 3" xfId="10436"/>
    <cellStyle name="输入 2 6 3 5" xfId="10437"/>
    <cellStyle name="超链接 3 2 2 5" xfId="10438"/>
    <cellStyle name="标题 2 2 2 4 2 3 2" xfId="10439"/>
    <cellStyle name="输出 2 4 2 2 2 2 2 3" xfId="10440"/>
    <cellStyle name="常规 4 2 2 2 6" xfId="10441"/>
    <cellStyle name="输入 2 6 3 4 2" xfId="10442"/>
    <cellStyle name="超链接 3 2 2 4 2" xfId="10443"/>
    <cellStyle name="输出 2 4 2 2 2 2 2 2 2" xfId="10444"/>
    <cellStyle name="汇总 2 3 2 4 4" xfId="10445"/>
    <cellStyle name="注释 2 3 6 2" xfId="10446"/>
    <cellStyle name="汇总 2 2 2 2 6 2 2" xfId="10447"/>
    <cellStyle name="输出 2 5 2 3 3" xfId="10448"/>
    <cellStyle name="强调文字颜色 1 5 2" xfId="10449"/>
    <cellStyle name="常规 6 2 2 4 3 2 2" xfId="10450"/>
    <cellStyle name="强调文字颜色 2 2 2 2 4 3" xfId="10451"/>
    <cellStyle name="适中 2 4 3 4" xfId="10452"/>
    <cellStyle name="链接单元格 2 2 3 2 2 3" xfId="10453"/>
    <cellStyle name="输入 2 3 3 5 2 2" xfId="10454"/>
    <cellStyle name="输入 2 2 6 12" xfId="10455"/>
    <cellStyle name="计算 2 4 2 2 2" xfId="10456"/>
    <cellStyle name="输出 2 2 6 3 2" xfId="10457"/>
    <cellStyle name="输出 2 2 4 4 6" xfId="10458"/>
    <cellStyle name="20% - 强调文字颜色 2 2 2 4 4 2 2" xfId="10459"/>
    <cellStyle name="60% - 强调文字颜色 1 2 2 2 3 2 2 2 2" xfId="10460"/>
    <cellStyle name="输入 2 2 6 2 3 2 2" xfId="10461"/>
    <cellStyle name="汇总 2 5 4 2 3 3" xfId="10462"/>
    <cellStyle name="适中 2 4 4" xfId="10463"/>
    <cellStyle name="20% - 强调文字颜色 3 2 2 2 5 2" xfId="10464"/>
    <cellStyle name="汇总 2 2 4 3 4 2 2" xfId="10465"/>
    <cellStyle name="计算 2 6 3 6" xfId="10466"/>
    <cellStyle name="输入 2 2 7 4 2" xfId="10467"/>
    <cellStyle name="标题 3 2 2 2 5 2 2" xfId="10468"/>
    <cellStyle name="60% - 强调文字颜色 6 3 3 3" xfId="10469"/>
    <cellStyle name="计算 2 4 2 7" xfId="10470"/>
    <cellStyle name="60% - 强调文字颜色 1 2 2 2 2 3 2" xfId="10471"/>
    <cellStyle name="输入 2 2 5 3 3" xfId="10472"/>
    <cellStyle name="输出 2 2 6 8" xfId="10473"/>
    <cellStyle name="输出 2 2 7 5 2" xfId="10474"/>
    <cellStyle name="60% - 强调文字颜色 5 2 2 2 3 2 2 2 2" xfId="10475"/>
    <cellStyle name="计算 2 4 3 4 2" xfId="10476"/>
    <cellStyle name="计算 2 4 2 3 4 2" xfId="10477"/>
    <cellStyle name="常规 9 2 2 2 2 4" xfId="10478"/>
    <cellStyle name="40% - 强调文字颜色 2 3 3 2 2 2" xfId="10479"/>
    <cellStyle name="60% - 强调文字颜色 3 3 3 3" xfId="10480"/>
    <cellStyle name="计算 2 2 5 3 6 3" xfId="10481"/>
    <cellStyle name="强调文字颜色 1 4 3" xfId="10482"/>
    <cellStyle name="60% - 强调文字颜色 5 3 2 3 2 2" xfId="10483"/>
    <cellStyle name="计算 2 6 9 2 2" xfId="10484"/>
    <cellStyle name="汇总 2 2 7 4 2 2" xfId="10485"/>
    <cellStyle name="计算 2 2 8 2 2" xfId="10486"/>
    <cellStyle name="检查单元格 2 3 3 2 2 2" xfId="10487"/>
    <cellStyle name="超链接 2 2 3" xfId="10488"/>
    <cellStyle name="40% - 强调文字颜色 5 2 3 2 4 2" xfId="10489"/>
    <cellStyle name="强调文字颜色 5 2 6 3 3" xfId="10490"/>
    <cellStyle name="计算 3 3 3 5" xfId="10491"/>
    <cellStyle name="60% - 强调文字颜色 3 3 3 2 2" xfId="10492"/>
    <cellStyle name="计算 2 2 5 3 6 2 2" xfId="10493"/>
    <cellStyle name="常规 9 2 2 2 2 3 2" xfId="10494"/>
    <cellStyle name="输出 2 2 3 3 3" xfId="10495"/>
    <cellStyle name="常规 3 2 2 2 3" xfId="10496"/>
    <cellStyle name="输出 2 2 3 5 2" xfId="10497"/>
    <cellStyle name="超链接 3 2 2 2 5" xfId="10498"/>
    <cellStyle name="输入 2 6 3 2 5" xfId="10499"/>
    <cellStyle name="注释 2 3 4 5" xfId="10500"/>
    <cellStyle name="强调文字颜色 1 3 5" xfId="10501"/>
    <cellStyle name="常规 3 3 2 4 3" xfId="10502"/>
    <cellStyle name="汇总 2 2 6 5 3 2 2" xfId="10503"/>
    <cellStyle name="标题 5 3 2 2 5" xfId="10504"/>
    <cellStyle name="20% - 强调文字颜色 6 3 2 4 2 2" xfId="10505"/>
    <cellStyle name="40% - 强调文字颜色 2 2 2 2 3" xfId="10506"/>
    <cellStyle name="标题 1 2 2 2 2 4 2 2 2" xfId="10507"/>
    <cellStyle name="强调文字颜色 1 3 4" xfId="10508"/>
    <cellStyle name="注释 2 3 4 4" xfId="10509"/>
    <cellStyle name="汇总 2 4 3 2 3 3" xfId="10510"/>
    <cellStyle name="超链接 3 2 2 2 4" xfId="10511"/>
    <cellStyle name="输入 2 6 3 2 4" xfId="10512"/>
    <cellStyle name="汇总 2 3 2 2 6" xfId="10513"/>
    <cellStyle name="输入 2 2 2 4 4 3" xfId="10514"/>
    <cellStyle name="输出 2 2 2 3 4 2" xfId="10515"/>
    <cellStyle name="计算 2 7 9 2" xfId="10516"/>
    <cellStyle name="40% - 强调文字颜色 2 2 3 2 2 3 3 2 2" xfId="10517"/>
    <cellStyle name="汇总 2 4 5 3 2 2" xfId="10518"/>
    <cellStyle name="20% - 强调文字颜色 3 2 2 2 5 2 2" xfId="10519"/>
    <cellStyle name="适中 2 4 4 2" xfId="10520"/>
    <cellStyle name="常规 2 3 2 2 3 3" xfId="10521"/>
    <cellStyle name="计算 2 2 6 3 2 4 2" xfId="10522"/>
    <cellStyle name="链接单元格 3 3 2 2" xfId="10523"/>
    <cellStyle name="输出 2 5 2 2 2 3" xfId="10524"/>
    <cellStyle name="汇总 2 5 2 3 2 3 2" xfId="10525"/>
    <cellStyle name="超链接 3 5 4 3" xfId="10526"/>
    <cellStyle name="输入 2 9 5 3" xfId="10527"/>
    <cellStyle name="强调文字颜色 2 2 2 3 5 2 2" xfId="10528"/>
    <cellStyle name="强调文字颜色 1 2 3 2 2 2 2" xfId="10529"/>
    <cellStyle name="输出 2 4 8 2 2" xfId="10530"/>
    <cellStyle name="常规 2 3 6 2 2" xfId="10531"/>
    <cellStyle name="40% - 强调文字颜色 6 3 3 4 2" xfId="10532"/>
    <cellStyle name="常规 10 4 2 3 3" xfId="10533"/>
    <cellStyle name="强调文字颜色 1 2 6 3 2 2" xfId="10534"/>
    <cellStyle name="常规 5 4 6 2" xfId="10535"/>
    <cellStyle name="输入 2 3 4 3 2" xfId="10536"/>
    <cellStyle name="汇总 2 6 2 2 6 2" xfId="10537"/>
    <cellStyle name="计算 3 3 2 6" xfId="10538"/>
    <cellStyle name="差 2 3 3 2 2 2 2" xfId="10539"/>
    <cellStyle name="标题 3 2 2 4 3" xfId="10540"/>
    <cellStyle name="汇总 2 5 2 4 4 2" xfId="10541"/>
    <cellStyle name="差 3 3 5" xfId="10542"/>
    <cellStyle name="计算 2 2 6 4 4 3" xfId="10543"/>
    <cellStyle name="强调文字颜色 3 2 4 3 3" xfId="10544"/>
    <cellStyle name="计算 2 3 3 3 3 2" xfId="10545"/>
    <cellStyle name="汇总 2 2 5 3 3 4" xfId="10546"/>
    <cellStyle name="计算 2 2 2 2 2 2 5 2 2" xfId="10547"/>
    <cellStyle name="链接单元格 2 3 3 2 2" xfId="10548"/>
    <cellStyle name="汇总 2 5 2 2 2 4 2 2" xfId="10549"/>
    <cellStyle name="计算 2 2 6 2 2 5 2 2" xfId="10550"/>
    <cellStyle name="40% - 强调文字颜色 2 2 3 4 3 2" xfId="10551"/>
    <cellStyle name="解释性文本 2 2 2 2 3 3 2 2" xfId="10552"/>
    <cellStyle name="汇总 2 5 2 2 4 2 2" xfId="10553"/>
    <cellStyle name="计算 2 8 2 2 4" xfId="10554"/>
    <cellStyle name="适中 2 2 4 2 4" xfId="10555"/>
    <cellStyle name="强调文字颜色 6 2 4 4" xfId="10556"/>
    <cellStyle name="解释性文本 2 2 4 3 3" xfId="10557"/>
    <cellStyle name="常规 3 3 2" xfId="10558"/>
    <cellStyle name="输出 3 4 4" xfId="10559"/>
    <cellStyle name="汇总 2 3 2 13" xfId="10560"/>
    <cellStyle name="强调文字颜色 6 2 3 2 5 2" xfId="10561"/>
    <cellStyle name="计算 2 3 4 4 3" xfId="10562"/>
    <cellStyle name="40% - 强调文字颜色 5 2 2 3 3 3" xfId="10563"/>
    <cellStyle name="百分比 2 2 4 3 2" xfId="10564"/>
    <cellStyle name="好 2 3 2 3 3 3" xfId="10565"/>
    <cellStyle name="计算 2 6 2 12" xfId="10566"/>
    <cellStyle name="40% - 强调文字颜色 4 3 6" xfId="10567"/>
    <cellStyle name="标题 4 2 3 2 2 3 2" xfId="10568"/>
    <cellStyle name="标题 3 2 2 2 2 5 2" xfId="10569"/>
    <cellStyle name="输入 2 2 4 7 2" xfId="10570"/>
    <cellStyle name="强调文字颜色 4 2 5 3 2" xfId="10571"/>
    <cellStyle name="标题 4 2 4" xfId="10572"/>
    <cellStyle name="输入 2 2 4 2 13" xfId="10573"/>
    <cellStyle name="超链接 2 3 5 2 2" xfId="10574"/>
    <cellStyle name="计算 2 3 3 2" xfId="10575"/>
    <cellStyle name="计算 2 4 2 3" xfId="10576"/>
    <cellStyle name="输出 2 2 6 4" xfId="10577"/>
    <cellStyle name="常规 4 2 4 2 4" xfId="10578"/>
    <cellStyle name="计算 2 5 4 3 3 2" xfId="10579"/>
    <cellStyle name="20% - 强调文字颜色 3 2 2 2 3 2" xfId="10580"/>
    <cellStyle name="适中 2 2 4" xfId="10581"/>
    <cellStyle name="汇总 2 2 2 2 2 2 5 2 2" xfId="10582"/>
    <cellStyle name="强调文字颜色 6 2 2 3 4 2 3" xfId="10583"/>
    <cellStyle name="标题 2 2 3 2 4 2" xfId="10584"/>
    <cellStyle name="输入 4 2 6 2" xfId="10585"/>
    <cellStyle name="标题 1 2 2 2 4 4" xfId="10586"/>
    <cellStyle name="超链接 2 3 2 2 4" xfId="10587"/>
    <cellStyle name="标题 4 2 2 5 2" xfId="10588"/>
    <cellStyle name="注释 2 6 5 2 2" xfId="10589"/>
    <cellStyle name="计算 2 4 2 3 4 2 2" xfId="10590"/>
    <cellStyle name="输入 2 2 4 2 5 2 2" xfId="10591"/>
    <cellStyle name="汇总 2 2 4 2 2 10" xfId="10592"/>
    <cellStyle name="60% - 强调文字颜色 1 4" xfId="10593"/>
    <cellStyle name="40% - 强调文字颜色 4 4 3 2 2" xfId="10594"/>
    <cellStyle name="强调文字颜色 1 2 3 2 4" xfId="10595"/>
    <cellStyle name="计算 2 2 9 6" xfId="10596"/>
    <cellStyle name="计算 2 7 5 2 3" xfId="10597"/>
    <cellStyle name="汇总 2 2 7 2 2 7" xfId="10598"/>
    <cellStyle name="解释性文本 2 2 3" xfId="10599"/>
    <cellStyle name="计算 2 2 7 2 9" xfId="10600"/>
    <cellStyle name="60% - 强调文字颜色 5 2 6" xfId="10601"/>
    <cellStyle name="注释 2 6 4 3 2" xfId="10602"/>
    <cellStyle name="汇总 2 2 7 3 2 5" xfId="10603"/>
    <cellStyle name="20% - 强调文字颜色 5 2 3 2 2 2 2 2" xfId="10604"/>
    <cellStyle name="汇总 3 3 3 3 3" xfId="10605"/>
    <cellStyle name="汇总 2 2 2 4 2 3" xfId="10606"/>
    <cellStyle name="20% - 强调文字颜色 4 2 2 2 2 4 2 2" xfId="10607"/>
    <cellStyle name="输出 2 4 4 5 2 2" xfId="10608"/>
    <cellStyle name="常规 2 3 2 5 2 2" xfId="10609"/>
    <cellStyle name="汇总 3 3 5 3" xfId="10610"/>
    <cellStyle name="40% - 强调文字颜色 1 2 2 2 2 4 2" xfId="10611"/>
    <cellStyle name="20% - 强调文字颜色 4 2 3 3 5" xfId="10612"/>
    <cellStyle name="计算 4 3 4 3" xfId="10613"/>
    <cellStyle name="汇总 2 4 4 2" xfId="10614"/>
    <cellStyle name="40% - 强调文字颜色 2 2 3 2 2 2 2" xfId="10615"/>
    <cellStyle name="计算 3 3 5 3" xfId="10616"/>
    <cellStyle name="汇总 2 4 4 3 2 2" xfId="10617"/>
    <cellStyle name="40% - 强调文字颜色 1 2 2 2 2 4 3 2 2" xfId="10618"/>
    <cellStyle name="警告文本 2 2 2 2 2 2 2" xfId="10619"/>
    <cellStyle name="超链接 2 2 5 2 2" xfId="10620"/>
    <cellStyle name="标题 5 4 9" xfId="10621"/>
    <cellStyle name="汇总 2 2 4 3 2 6 2" xfId="10622"/>
    <cellStyle name="40% - 强调文字颜色 3 3 4 2 2 2" xfId="10623"/>
    <cellStyle name="汇总 2 3 2 3 3" xfId="10624"/>
    <cellStyle name="计算 4 2 2 4 3" xfId="10625"/>
    <cellStyle name="60% - 强调文字颜色 4 2 6 3" xfId="10626"/>
    <cellStyle name="差 2 2 4 4 2" xfId="10627"/>
    <cellStyle name="常规 6 6 3" xfId="10628"/>
    <cellStyle name="强调文字颜色 1 2 2 3 6" xfId="10629"/>
    <cellStyle name="注释 3 4 2" xfId="10630"/>
    <cellStyle name="输入 2 8 8" xfId="10631"/>
    <cellStyle name="警告文本 2 7 3" xfId="10632"/>
    <cellStyle name="注释 2 2 5 2 6" xfId="10633"/>
    <cellStyle name="汇总 2 11 6" xfId="10634"/>
    <cellStyle name="常规 3 2 5 2 2 2" xfId="10635"/>
    <cellStyle name="常规 6 2 3 2 3" xfId="10636"/>
    <cellStyle name="计算 2 2 2 3 2 3 2" xfId="10637"/>
    <cellStyle name="常规 2 2 9" xfId="10638"/>
    <cellStyle name="常规 6 3 3 2 2 2 2" xfId="10639"/>
    <cellStyle name="计算 2 2 9 3 4" xfId="10640"/>
    <cellStyle name="输出 2 3 2 13" xfId="10641"/>
    <cellStyle name="常规 5 3 2 2 2 4 2" xfId="10642"/>
    <cellStyle name="60% - 强调文字颜色 3 2 3 5 2 2" xfId="10643"/>
    <cellStyle name="标题 4 2 3 2" xfId="10644"/>
    <cellStyle name="强调文字颜色 4 2 2 4 3" xfId="10645"/>
    <cellStyle name="输出 2 2 7 2 4 2" xfId="10646"/>
    <cellStyle name="标题 1 3 5" xfId="10647"/>
    <cellStyle name="输出 2 2 4 2 5 2 2" xfId="10648"/>
    <cellStyle name="60% - 强调文字颜色 6 2 2 6 2 3" xfId="10649"/>
    <cellStyle name="强调文字颜色 5 3 9" xfId="10650"/>
    <cellStyle name="常规 11 2 6 2 2" xfId="10651"/>
    <cellStyle name="输入 2 2 3 3 6 2" xfId="10652"/>
    <cellStyle name="输入 2 6 4 2 3 2" xfId="10653"/>
    <cellStyle name="超链接 3 2 3 2 3 2" xfId="10654"/>
    <cellStyle name="超链接 2 2 2 2 3 4" xfId="10655"/>
    <cellStyle name="计算 2 8 2 3 2 2" xfId="10656"/>
    <cellStyle name="汇总 2 3 3 2 5 2" xfId="10657"/>
    <cellStyle name="计算 2 5 2 2 5 2 2" xfId="10658"/>
    <cellStyle name="强调文字颜色 6 2 2 4 5" xfId="10659"/>
    <cellStyle name="常规 11 2 2 3 3 2 2" xfId="10660"/>
    <cellStyle name="汇总 2 2 4 5 5 3" xfId="10661"/>
    <cellStyle name="注释 3 2 2 6 2 2" xfId="10662"/>
    <cellStyle name="输入 2 5 3 4 2 2" xfId="10663"/>
    <cellStyle name="计算 2 2 3 10 2" xfId="10664"/>
    <cellStyle name="适中 4 5" xfId="10665"/>
    <cellStyle name="输出 2 2 3 4 2 2" xfId="10666"/>
    <cellStyle name="60% - 强调文字颜色 6 3 2 3 2 3" xfId="10667"/>
    <cellStyle name="链接单元格 6" xfId="10668"/>
    <cellStyle name="链接单元格 2 2 3 5 2" xfId="10669"/>
    <cellStyle name="汇总 2 4 4 5 2 2" xfId="10670"/>
    <cellStyle name="标题 2 4 3 2 3" xfId="10671"/>
    <cellStyle name="标题 3 4 2 4 2" xfId="10672"/>
    <cellStyle name="计算 2 2 8 4 4 2" xfId="10673"/>
    <cellStyle name="强调文字颜色 2 2 2 2 3 2 3" xfId="10674"/>
    <cellStyle name="检查单元格 2 2 3 3 2" xfId="10675"/>
    <cellStyle name="注释 2 2 6 5 2 2" xfId="10676"/>
    <cellStyle name="常规 2 2 2 4 2" xfId="10677"/>
    <cellStyle name="输出 2 3 4 4 2" xfId="10678"/>
    <cellStyle name="超链接 2 2 2 2 2 2" xfId="10679"/>
    <cellStyle name="注释 2 5 2 2 2 3 2" xfId="10680"/>
    <cellStyle name="好 2 2 6 2 3" xfId="10681"/>
    <cellStyle name="标题 2 2 3 2 8" xfId="10682"/>
    <cellStyle name="计算 3 2 2 3 4 2" xfId="10683"/>
    <cellStyle name="标题 2 2 2 6 2 2 2" xfId="10684"/>
    <cellStyle name="40% - 强调文字颜色 3 2 5 3 3" xfId="10685"/>
    <cellStyle name="注释 2 2 5 4 4" xfId="10686"/>
    <cellStyle name="汇总 2 2 4 2 2 3 6" xfId="10687"/>
    <cellStyle name="常规 9 5 5" xfId="10688"/>
    <cellStyle name="输入 2 4 3 2" xfId="10689"/>
    <cellStyle name="计算 2 2 2 4 5" xfId="10690"/>
    <cellStyle name="注释 2 4 2 2 3 4" xfId="10691"/>
    <cellStyle name="汇总 2 2 9 5 3" xfId="10692"/>
    <cellStyle name="常规 5 2 8 2" xfId="10693"/>
    <cellStyle name="计算 3 3 2 2 2" xfId="10694"/>
    <cellStyle name="常规 2 2 2 2 2 3 2 2 2" xfId="10695"/>
    <cellStyle name="计算 2 8 3 4" xfId="10696"/>
    <cellStyle name="强调文字颜色 6 3 6" xfId="10697"/>
    <cellStyle name="适中 2 2 5 4" xfId="10698"/>
    <cellStyle name="标题 4 2 5 3 3" xfId="10699"/>
    <cellStyle name="强调文字颜色 4 2 3 5 2 3" xfId="10700"/>
    <cellStyle name="标题 2 4 4 3" xfId="10701"/>
    <cellStyle name="强调文字颜色 1 2 2 2 5 2 2" xfId="10702"/>
    <cellStyle name="输出 2 2 3 2 6" xfId="10703"/>
    <cellStyle name="输入 2 7 7 2 2" xfId="10704"/>
    <cellStyle name="超链接 3 3 6 2 2" xfId="10705"/>
    <cellStyle name="强调文字颜色 4 2 2 3 3 3 2" xfId="10706"/>
    <cellStyle name="标题 1 2 5 3 2" xfId="10707"/>
    <cellStyle name="适中 3 2 2 4" xfId="10708"/>
    <cellStyle name="警告文本 2 4 6 2" xfId="10709"/>
    <cellStyle name="输入 2 5 5 4 2 2" xfId="10710"/>
    <cellStyle name="60% - 强调文字颜色 4 4 2 3 2 2 2" xfId="10711"/>
    <cellStyle name="强调文字颜色 1 2 2 4 3 3" xfId="10712"/>
    <cellStyle name="标题 1 3 3 2 2 3" xfId="10713"/>
    <cellStyle name="标题 2 2 8 2" xfId="10714"/>
    <cellStyle name="计算 2 2 4 2 4 5" xfId="10715"/>
    <cellStyle name="强调文字颜色 2 2 3 4 3 2 2" xfId="10716"/>
    <cellStyle name="计算 2 2 3 2 4 2 2 2" xfId="10717"/>
    <cellStyle name="常规 9 5 2 3" xfId="10718"/>
    <cellStyle name="标题 2 2 2 6 3 3" xfId="10719"/>
    <cellStyle name="输入 2 5 2 4 2 2" xfId="10720"/>
    <cellStyle name="汇总 3 2 3 5 2" xfId="10721"/>
    <cellStyle name="警告文本 2 3 2 5 2 2" xfId="10722"/>
    <cellStyle name="标题 4 2 3 3 3 3" xfId="10723"/>
    <cellStyle name="40% - 强调文字颜色 3 2 2 7 2 2" xfId="10724"/>
    <cellStyle name="百分比 2 2 2 3 2 2" xfId="10725"/>
    <cellStyle name="40% - 强调文字颜色 1 2 2 3 2 2 2 2 2" xfId="10726"/>
    <cellStyle name="标题 1 3" xfId="10727"/>
    <cellStyle name="20% - 强调文字颜色 5 2 2 3 2" xfId="10728"/>
    <cellStyle name="40% - 强调文字颜色 1 2 4 5" xfId="10729"/>
    <cellStyle name="标题 1 2 4 10" xfId="10730"/>
    <cellStyle name="常规 3 3 2 3 2 2 2 2" xfId="10731"/>
    <cellStyle name="汇总 2 6 4 3 2" xfId="10732"/>
    <cellStyle name="40% - 强调文字颜色 2 4 2 2 2 2 2" xfId="10733"/>
    <cellStyle name="60% - 强调文字颜色 2 2 3 3 4" xfId="10734"/>
    <cellStyle name="注释 3 2 6" xfId="10735"/>
    <cellStyle name="输入 2 7 2 4" xfId="10736"/>
    <cellStyle name="标题 3 3 3" xfId="10737"/>
    <cellStyle name="60% - 强调文字颜色 3 2 2 6 2" xfId="10738"/>
    <cellStyle name="计算 2 2 7 5" xfId="10739"/>
    <cellStyle name="输出 2 2 2 2 3 2 3" xfId="10740"/>
    <cellStyle name="好 2 4 2 2 2" xfId="10741"/>
    <cellStyle name="40% - 强调文字颜色 5 3 2 2 2" xfId="10742"/>
    <cellStyle name="强调文字颜色 4 2 2 6 4" xfId="10743"/>
    <cellStyle name="计算 2 7 3 2 5" xfId="10744"/>
    <cellStyle name="强调文字颜色 3 4 2 3" xfId="10745"/>
    <cellStyle name="汇总 5 6" xfId="10746"/>
    <cellStyle name="计算 2 2 2 12" xfId="10747"/>
    <cellStyle name="计算 2 5 2 2 2 8" xfId="10748"/>
    <cellStyle name="警告文本 2 3 2 2 2 2" xfId="10749"/>
    <cellStyle name="20% - 强调文字颜色 2 2 2 5" xfId="10750"/>
    <cellStyle name="计算 2 10 3 3 3" xfId="10751"/>
    <cellStyle name="差 2 2 2 6 2 2" xfId="10752"/>
    <cellStyle name="常规 9 2 2 2 4 2" xfId="10753"/>
    <cellStyle name="40% - 强调文字颜色 1 3 2 2 4 2" xfId="10754"/>
    <cellStyle name="标题 4 2 2 6" xfId="10755"/>
    <cellStyle name="汇总 2 2 7 3 2 2" xfId="10756"/>
    <cellStyle name="汇总 2 2 3 3 3 2 3" xfId="10757"/>
    <cellStyle name="计算 2 2 4 2 11 2 2" xfId="10758"/>
    <cellStyle name="常规 5 6 3 4" xfId="10759"/>
    <cellStyle name="常规 5 2 2 4 3 2" xfId="10760"/>
    <cellStyle name="常规 8 2 4" xfId="10761"/>
    <cellStyle name="常规 6 8 2 2" xfId="10762"/>
    <cellStyle name="输出 2 2 5 3 2 2" xfId="10763"/>
    <cellStyle name="60% - 强调文字颜色 4 3 2 4 2 2" xfId="10764"/>
    <cellStyle name="差 2 4 6 2 2" xfId="10765"/>
    <cellStyle name="60% - 强调文字颜色 6 4 4 3" xfId="10766"/>
    <cellStyle name="汇总 3 2 8 2" xfId="10767"/>
    <cellStyle name="强调文字颜色 2 2 2 5 3 2" xfId="10768"/>
    <cellStyle name="计算 2 2 4 2 2 2 2 4 3" xfId="10769"/>
    <cellStyle name="常规 9 5 3 2 2 2" xfId="10770"/>
    <cellStyle name="输出 2 6 6 2" xfId="10771"/>
    <cellStyle name="汇总 2 2 4 3 2 2 4" xfId="10772"/>
    <cellStyle name="计算 2 2 5 3 2 7" xfId="10773"/>
    <cellStyle name="常规 5 2 3 2 3 3 3" xfId="10774"/>
    <cellStyle name="输出 2 2 5 12" xfId="10775"/>
    <cellStyle name="输入 2 2 2 6" xfId="10776"/>
    <cellStyle name="强调文字颜色 4 2 3 2" xfId="10777"/>
    <cellStyle name="输入 2 2 5 2 4 3" xfId="10778"/>
    <cellStyle name="常规 5 2 4 3 4 2" xfId="10779"/>
    <cellStyle name="输出 2 2 5 3 3" xfId="10780"/>
    <cellStyle name="常规 2 2 4 4" xfId="10781"/>
    <cellStyle name="计算 2 5 2 3" xfId="10782"/>
    <cellStyle name="解释性文本 2 2 7 2" xfId="10783"/>
    <cellStyle name="强调文字颜色 4 2 2 2 2 4 2 2 2" xfId="10784"/>
    <cellStyle name="注释 2 2 6 2 3 2" xfId="10785"/>
    <cellStyle name="强调文字颜色 5 2 3 2 2 2 2 2 2" xfId="10786"/>
    <cellStyle name="好 2 2 3 3 3" xfId="10787"/>
    <cellStyle name="输入 2 6 2 2 3 2" xfId="10788"/>
    <cellStyle name="汇总 2 2 3 3 2 5" xfId="10789"/>
    <cellStyle name="汇总 2 2 14 2 2" xfId="10790"/>
    <cellStyle name="注释 2 2 4 3 2" xfId="10791"/>
    <cellStyle name="20% - 强调文字颜色 4 2 3 2 4 3 2 2" xfId="10792"/>
    <cellStyle name="40% - 强调文字颜色 2 2 2" xfId="10793"/>
    <cellStyle name="输入 2 9 2 3 2" xfId="10794"/>
    <cellStyle name="汇总 2 3 2 2 2 2 3" xfId="10795"/>
    <cellStyle name="计算 2 5 3 2 2 3 3" xfId="10796"/>
    <cellStyle name="60% - 强调文字颜色 3 2 2 4 3 3 2" xfId="10797"/>
    <cellStyle name="强调文字颜色 5 2 3 2 4 3" xfId="10798"/>
    <cellStyle name="输入 2 2 4 5 5 2" xfId="10799"/>
    <cellStyle name="汇总 2 5 6 5" xfId="10800"/>
    <cellStyle name="标题 2 2 6 2 3" xfId="10801"/>
    <cellStyle name="注释 2 2 2 2 2 2 2 2" xfId="10802"/>
    <cellStyle name="常规 4 2 9" xfId="10803"/>
    <cellStyle name="注释 2 4 2 2 2 2 2 2 2" xfId="10804"/>
    <cellStyle name="计算 2 2 2 3 3 2 2 2" xfId="10805"/>
    <cellStyle name="汇总 2 3 6 2 3" xfId="10806"/>
    <cellStyle name="汇总 2 5 4 5" xfId="10807"/>
    <cellStyle name="标题 3 2 2 4 3 3 2" xfId="10808"/>
    <cellStyle name="输入 2 5 2 3 2 2" xfId="10809"/>
    <cellStyle name="标题 2 2 2 5 3 3" xfId="10810"/>
    <cellStyle name="汇总 3 2 2 5 2" xfId="10811"/>
    <cellStyle name="计算 2 2 4 4 3 4 2" xfId="10812"/>
    <cellStyle name="计算 2 5 2 5 7" xfId="10813"/>
    <cellStyle name="汇总 2 2 5 2 2 2 3 2" xfId="10814"/>
    <cellStyle name="计算 2 2 8 2 2 6" xfId="10815"/>
    <cellStyle name="输入 2 2 4 2 3 9" xfId="10816"/>
    <cellStyle name="输出 2 2 3 2 4 2 2" xfId="10817"/>
    <cellStyle name="差 6 2 3" xfId="10818"/>
    <cellStyle name="解释性文本 2 5 4" xfId="10819"/>
    <cellStyle name="适中 2 9 3" xfId="10820"/>
    <cellStyle name="60% - 强调文字颜色 5 2 2 6 3 2" xfId="10821"/>
    <cellStyle name="强调文字颜色 6 2 4 4 2 2" xfId="10822"/>
    <cellStyle name="计算 2 3 2 2 2 2 2 3" xfId="10823"/>
    <cellStyle name="链接单元格 2 6 3 2 2" xfId="10824"/>
    <cellStyle name="60% - 强调文字颜色 4 2 2 5 2 2" xfId="10825"/>
    <cellStyle name="标题 2 2 3 4" xfId="10826"/>
    <cellStyle name="输入 2 7 7 2" xfId="10827"/>
    <cellStyle name="超链接 3 3 6 2" xfId="10828"/>
    <cellStyle name="输入 5" xfId="10829"/>
    <cellStyle name="60% - 强调文字颜色 6 3 5 2 2 2" xfId="10830"/>
    <cellStyle name="输出 2 2 5 2 2 4" xfId="10831"/>
    <cellStyle name="汇总 2 2 6 8 2" xfId="10832"/>
    <cellStyle name="常规 9 3 8" xfId="10833"/>
    <cellStyle name="注释 2 2 2 9 2" xfId="10834"/>
    <cellStyle name="计算 2 2 6 2 5 2 2" xfId="10835"/>
    <cellStyle name="60% - 强调文字颜色 4 2 2 2 2" xfId="10836"/>
    <cellStyle name="计算 2 2 2 4 2 2 2 2" xfId="10837"/>
    <cellStyle name="强调文字颜色 5 2 2 2 4 2 3" xfId="10838"/>
    <cellStyle name="输入 2 5 2 8 2 2" xfId="10839"/>
    <cellStyle name="计算 2 7 2 2 8" xfId="10840"/>
    <cellStyle name="常规 9 3 7 3" xfId="10841"/>
    <cellStyle name="输出 2 4 3 6 2" xfId="10842"/>
    <cellStyle name="40% - 强调文字颜色 3 2 3 2" xfId="10843"/>
    <cellStyle name="适中 2 2 2 2 2 2 2" xfId="10844"/>
    <cellStyle name="汇总 4 2 5 2 2" xfId="10845"/>
    <cellStyle name="标题 2 2 2 4 2" xfId="10846"/>
    <cellStyle name="输入 3 4 4" xfId="10847"/>
    <cellStyle name="常规 10 4 2 2 2" xfId="10848"/>
    <cellStyle name="汇总 2 2 5 2 2 2 4 2" xfId="10849"/>
    <cellStyle name="输出 2 2 3 2 4 3 2" xfId="10850"/>
    <cellStyle name="60% - 强调文字颜色 6 2 2 2 4 3 3" xfId="10851"/>
    <cellStyle name="汇总 2 2 4 2 3 2 3 3" xfId="10852"/>
    <cellStyle name="常规 9 3 7" xfId="10853"/>
    <cellStyle name="常规 8 2 2 2" xfId="10854"/>
    <cellStyle name="常规 12 3 5" xfId="10855"/>
    <cellStyle name="60% - 强调文字颜色 5 2 2 5 2 2 2" xfId="10856"/>
    <cellStyle name="标题 1 2 3 6 2" xfId="10857"/>
    <cellStyle name="检查单元格 2 2 3 5 2 2" xfId="10858"/>
    <cellStyle name="40% - 强调文字颜色 1 2 2 2 2 2 5 2" xfId="10859"/>
    <cellStyle name="汇总 2 4 2 5 2" xfId="10860"/>
    <cellStyle name="输入 2 4 4 3 2 2" xfId="10861"/>
    <cellStyle name="汇总 2 2 9 2 2 2" xfId="10862"/>
    <cellStyle name="注释 2 4 3 6" xfId="10863"/>
    <cellStyle name="常规 9 3 4 2 4" xfId="10864"/>
    <cellStyle name="标题 1 2 3 4 4" xfId="10865"/>
    <cellStyle name="常规 9 3 4 2 3" xfId="10866"/>
    <cellStyle name="60% - 强调文字颜色 5 2 2 2 5 2 2" xfId="10867"/>
    <cellStyle name="常规 9 3 4 2 2 3" xfId="10868"/>
    <cellStyle name="适中 2 7" xfId="10869"/>
    <cellStyle name="输出 2 2 4 4 3 2" xfId="10870"/>
    <cellStyle name="解释性文本 2 3 2 8" xfId="10871"/>
    <cellStyle name="输入 2 2 2 2 4 2" xfId="10872"/>
    <cellStyle name="标题 2 4 2" xfId="10873"/>
    <cellStyle name="20% - 强调文字颜色 5 2 2 4 3 2" xfId="10874"/>
    <cellStyle name="标题 4 4 2 3 3" xfId="10875"/>
    <cellStyle name="汇总 2 4 3 6 2" xfId="10876"/>
    <cellStyle name="汇总 2 3 13" xfId="10877"/>
    <cellStyle name="输入 2 2 5 13" xfId="10878"/>
    <cellStyle name="60% - 强调文字颜色 5 2 6 2" xfId="10879"/>
    <cellStyle name="输出 2 3 2 4" xfId="10880"/>
    <cellStyle name="汇总 2 2 4 2 7" xfId="10881"/>
    <cellStyle name="注释 2 2 2 12" xfId="10882"/>
    <cellStyle name="强调文字颜色 4 2 2 7 3" xfId="10883"/>
    <cellStyle name="检查单元格 2 2 2 2 3 3" xfId="10884"/>
    <cellStyle name="输入 2 6 2 2 5 2" xfId="10885"/>
    <cellStyle name="输出 4 2 8" xfId="10886"/>
    <cellStyle name="注释 2 2 4 5 2" xfId="10887"/>
    <cellStyle name="40% - 强调文字颜色 2 4 2" xfId="10888"/>
    <cellStyle name="输入 2 2 2 2 4" xfId="10889"/>
    <cellStyle name="40% - 强调文字颜色 2 2 3 5" xfId="10890"/>
    <cellStyle name="40% - 强调文字颜色 2 2 3 2 5 2 2 2" xfId="10891"/>
    <cellStyle name="汇总 2 7 4 2 2" xfId="10892"/>
    <cellStyle name="40% - 强调文字颜色 6 2 2 4 4 2" xfId="10893"/>
    <cellStyle name="输入 2 2 5 2 3 2 2 2" xfId="10894"/>
    <cellStyle name="60% - 强调文字颜色 1 2 2 2 2 2 2 2 2 2" xfId="10895"/>
    <cellStyle name="输入 2 2 4 2 2 2 2 4" xfId="10896"/>
    <cellStyle name="60% - 强调文字颜色 3 2 2 4 4 2 2" xfId="10897"/>
    <cellStyle name="计算 2 2 5 7 2 2" xfId="10898"/>
    <cellStyle name="20% - 强调文字颜色 6 2 2 2 2 2 4 2 2" xfId="10899"/>
    <cellStyle name="计算 2 10 3 3" xfId="10900"/>
    <cellStyle name="计算 2 2 4 2 5 3 3" xfId="10901"/>
    <cellStyle name="60% - 强调文字颜色 2 2 2 3 3" xfId="10902"/>
    <cellStyle name="计算 2 2 2 2 2 2 3 3" xfId="10903"/>
    <cellStyle name="60% - 强调文字颜色 3 2 2 4 2 2 2 2" xfId="10904"/>
    <cellStyle name="常规 3 2 4 2 3 3 3" xfId="10905"/>
    <cellStyle name="汇总 2 8 3 3" xfId="10906"/>
    <cellStyle name="40% - 强调文字颜色 6 2 3 3 5" xfId="10907"/>
    <cellStyle name="强调文字颜色 6 2 3 5 3" xfId="10908"/>
    <cellStyle name="计算 2 6 3 2 5 2" xfId="10909"/>
    <cellStyle name="注释 2 4 3 2 7" xfId="10910"/>
    <cellStyle name="标题 4 3 3 2 2 3" xfId="10911"/>
    <cellStyle name="常规 9 3 2 4" xfId="10912"/>
    <cellStyle name="输入 2 3 4 3 3" xfId="10913"/>
    <cellStyle name="常规 9 3 2 3 2 2 2" xfId="10914"/>
    <cellStyle name="汇总 2 6 2 2 6 3" xfId="10915"/>
    <cellStyle name="40% - 强调文字颜色 1 4 2 3 2 2 2" xfId="10916"/>
    <cellStyle name="常规 2 2 4 5 2" xfId="10917"/>
    <cellStyle name="计算 2 5 2 4 2" xfId="10918"/>
    <cellStyle name="注释 2 5 2 3" xfId="10919"/>
    <cellStyle name="20% - 强调文字颜色 6 2 2 2 3 2 2 2 2 2" xfId="10920"/>
    <cellStyle name="计算 2 8 5 4" xfId="10921"/>
    <cellStyle name="超链接 2 8" xfId="10922"/>
    <cellStyle name="计算 2 2 5 2 2 2 7" xfId="10923"/>
    <cellStyle name="汇总 2 2 2 2 2 2 3 3" xfId="10924"/>
    <cellStyle name="标题 2 2 6 3" xfId="10925"/>
    <cellStyle name="输入 2 2 4 2 3 2 3 2" xfId="10926"/>
    <cellStyle name="差 6 2 2" xfId="10927"/>
    <cellStyle name="常规 9 3 2 2 3" xfId="10928"/>
    <cellStyle name="60% - 强调文字颜色 5 2 2 2 3 2 2" xfId="10929"/>
    <cellStyle name="强调文字颜色 3 2 4 8" xfId="10930"/>
    <cellStyle name="强调文字颜色 1 2 3 2 5" xfId="10931"/>
    <cellStyle name="标题 4 4 2" xfId="10932"/>
    <cellStyle name="20% - 强调文字颜色 5 2 2 6 3 2" xfId="10933"/>
    <cellStyle name="40% - 强调文字颜色 6 2 5 4" xfId="10934"/>
    <cellStyle name="60% - 强调文字颜色 2 2 6 3 2" xfId="10935"/>
    <cellStyle name="计算 2 2 5 2 6 3" xfId="10936"/>
    <cellStyle name="60% - 强调文字颜色 3 2 3 3" xfId="10937"/>
    <cellStyle name="输出 2 2 2 4 3" xfId="10938"/>
    <cellStyle name="计算 2 8 8" xfId="10939"/>
    <cellStyle name="汇总 2 2 8 2 5 2" xfId="10940"/>
    <cellStyle name="标题 5 6 3 2" xfId="10941"/>
    <cellStyle name="注释 2 2 5 3 2 3" xfId="10942"/>
    <cellStyle name="输入 2 5 8" xfId="10943"/>
    <cellStyle name="输入 2 6 7 3" xfId="10944"/>
    <cellStyle name="输出 2 4 2 3 2 3" xfId="10945"/>
    <cellStyle name="常规 9 2 4 3 3" xfId="10946"/>
    <cellStyle name="计算 2 2 5 3 3 4 2" xfId="10947"/>
    <cellStyle name="计算 2 3 2 2 2 3 2" xfId="10948"/>
    <cellStyle name="汇总 2 2 5 2 7" xfId="10949"/>
    <cellStyle name="强调文字颜色 2 2 3 7" xfId="10950"/>
    <cellStyle name="检查单元格 2 3 2 3" xfId="10951"/>
    <cellStyle name="注释 2 2 7 4 2" xfId="10952"/>
    <cellStyle name="输入 2 6 4 4 2" xfId="10953"/>
    <cellStyle name="标题 3 2 2 6 2 2 2" xfId="10954"/>
    <cellStyle name="60% - 强调文字颜色 4 4 3 2 2 2" xfId="10955"/>
    <cellStyle name="超链接 3 2 3 4 2" xfId="10956"/>
    <cellStyle name="强调文字颜色 4 2 2 2 4 3" xfId="10957"/>
    <cellStyle name="常规 5 4 2 2 5" xfId="10958"/>
    <cellStyle name="汇总 2 4 13" xfId="10959"/>
    <cellStyle name="标题 2 2 2 2 2 4 2" xfId="10960"/>
    <cellStyle name="60% - 强调文字颜色 4 2 3 2 3" xfId="10961"/>
    <cellStyle name="标题 3 2 3 2 2 2 2" xfId="10962"/>
    <cellStyle name="标题 4 3 2 4" xfId="10963"/>
    <cellStyle name="输入 2 6 2 2 8" xfId="10964"/>
    <cellStyle name="适中 2 3 2 6 2 2" xfId="10965"/>
    <cellStyle name="强调文字颜色 1 2 5 3" xfId="10966"/>
    <cellStyle name="20% - 强调文字颜色 1 2 3 5 2 2" xfId="10967"/>
    <cellStyle name="输出 2 2 2 2 8" xfId="10968"/>
    <cellStyle name="输出 2 2 6 3 2 2 2" xfId="10969"/>
    <cellStyle name="计算 2 4 2 2 2 2 2" xfId="10970"/>
    <cellStyle name="输入 6 2" xfId="10971"/>
    <cellStyle name="输入 2 2 4 3 2 8" xfId="10972"/>
    <cellStyle name="20% - 强调文字颜色 6 2 3 2 3 2 2 2 2" xfId="10973"/>
    <cellStyle name="强调文字颜色 3 2 2 3 2" xfId="10974"/>
    <cellStyle name="计算 2 2 4 2 3 5 3" xfId="10975"/>
    <cellStyle name="标题 2 2 2 2 5 2 3" xfId="10976"/>
    <cellStyle name="输出 2 2 8 4 2" xfId="10977"/>
    <cellStyle name="计算 2 4 4 3 2" xfId="10978"/>
    <cellStyle name="60% - 强调文字颜色 1 2 2 2 3 2 2" xfId="10979"/>
    <cellStyle name="输入 2 2 6 2 3" xfId="10980"/>
    <cellStyle name="输出 2 2 5 4 2 4" xfId="10981"/>
    <cellStyle name="汇总 2 2 8 8 2" xfId="10982"/>
    <cellStyle name="输入 2 2 3 2 3 4" xfId="10983"/>
    <cellStyle name="标题 2 2 2 2 2 2 3 2" xfId="10984"/>
    <cellStyle name="输入 2 11" xfId="10985"/>
    <cellStyle name="输入 2 8 2 3 2" xfId="10986"/>
    <cellStyle name="计算 2 4 3 5 3" xfId="10987"/>
    <cellStyle name="输出 2 2 7 6 3" xfId="10988"/>
    <cellStyle name="输出 2 2 7 9" xfId="10989"/>
    <cellStyle name="计算 2 4 3 8" xfId="10990"/>
    <cellStyle name="输入 2 2 5 4 4" xfId="10991"/>
    <cellStyle name="60% - 强调文字颜色 1 2 2 2 2 4 3" xfId="10992"/>
    <cellStyle name="注释 2 2 6 2 2 4" xfId="10993"/>
    <cellStyle name="40% - 强调文字颜色 5 2 3 5 2" xfId="10994"/>
    <cellStyle name="常规 13 3 3 5" xfId="10995"/>
    <cellStyle name="汇总 2 5 4 8" xfId="10996"/>
    <cellStyle name="常规 9 2 4 2 2 2 2" xfId="10997"/>
    <cellStyle name="常规 9 2 3 4 2 2" xfId="10998"/>
    <cellStyle name="好 2 2 2 2 5" xfId="10999"/>
    <cellStyle name="输出 2 4 2 2 3 2 2" xfId="11000"/>
    <cellStyle name="汇总 2 2 4 3 6 2" xfId="11001"/>
    <cellStyle name="20% - 强调文字颜色 6 2 5 2 3" xfId="11002"/>
    <cellStyle name="常规 3 3 2 2 5" xfId="11003"/>
    <cellStyle name="20% - 强调文字颜色 1 2 2 2 2 2 3 2 2" xfId="11004"/>
    <cellStyle name="汇总 2 3 3 7" xfId="11005"/>
    <cellStyle name="常规 2 2 2 8 2 2" xfId="11006"/>
    <cellStyle name="计算 2 4 4 2 2 2 2" xfId="11007"/>
    <cellStyle name="强调文字颜色 5 2 2" xfId="11008"/>
    <cellStyle name="计算 2 3 2 3 2 3" xfId="11009"/>
    <cellStyle name="汇总 2 2 3 15" xfId="11010"/>
    <cellStyle name="常规 4 7 2 2" xfId="11011"/>
    <cellStyle name="强调文字颜色 6 2 2 2 5 2" xfId="11012"/>
    <cellStyle name="标题 3 2 3 2 2 2 2 2 3" xfId="11013"/>
    <cellStyle name="计算 2 2 4 4 3" xfId="11014"/>
    <cellStyle name="计算 2 2 2 2 6 3" xfId="11015"/>
    <cellStyle name="计算 2 6 4 2 5" xfId="11016"/>
    <cellStyle name="计算 2 4 2 2 6 3" xfId="11017"/>
    <cellStyle name="计算 2 2 6 2 2 2" xfId="11018"/>
    <cellStyle name="输入 2 2 2 2 3 5" xfId="11019"/>
    <cellStyle name="输出 2 2 6 4 2 2" xfId="11020"/>
    <cellStyle name="输入 2 2 4 10 2" xfId="11021"/>
    <cellStyle name="输出 2 3 10" xfId="11022"/>
    <cellStyle name="计算 2 4 2 3 2 2" xfId="11023"/>
    <cellStyle name="输入 2 2 4 2 3 2" xfId="11024"/>
    <cellStyle name="标题 3 3 10" xfId="11025"/>
    <cellStyle name="解释性文本 3 2 6" xfId="11026"/>
    <cellStyle name="常规 11 4 2 4" xfId="11027"/>
    <cellStyle name="计算 2 4 2 3 5 2" xfId="11028"/>
    <cellStyle name="常规 11 3 5 2 2" xfId="11029"/>
    <cellStyle name="输入 2 2 4 2 6 2" xfId="11030"/>
    <cellStyle name="60% - 强调文字颜色 6 2 4 5" xfId="11031"/>
    <cellStyle name="60% - 强调文字颜色 5 3 3 2 2 2" xfId="11032"/>
    <cellStyle name="计算 3 2" xfId="11033"/>
    <cellStyle name="汇总 2 2 5 2 2 2 4 3" xfId="11034"/>
    <cellStyle name="常规 5 4 5 2" xfId="11035"/>
    <cellStyle name="40% - 强调文字颜色 6 3 3 3 2" xfId="11036"/>
    <cellStyle name="20% - 强调文字颜色 2 2 2 2 2 2 3 3 2 2" xfId="11037"/>
    <cellStyle name="链接单元格 2 2 6 3 3" xfId="11038"/>
    <cellStyle name="适中 2 2 4 5 2 2" xfId="11039"/>
    <cellStyle name="强调文字颜色 6 2 7 2 2" xfId="11040"/>
    <cellStyle name="计算 2 8 2 5 2 2" xfId="11041"/>
    <cellStyle name="注释 2 4 2" xfId="11042"/>
    <cellStyle name="计算 2 2 8 3 2 2 3" xfId="11043"/>
    <cellStyle name="警告文本 3 2 2" xfId="11044"/>
    <cellStyle name="百分比 2 2 2 3 3 2" xfId="11045"/>
    <cellStyle name="标题 3 2 3 8" xfId="11046"/>
    <cellStyle name="标题 4 2 5 3 2" xfId="11047"/>
    <cellStyle name="强调文字颜色 6 3 5" xfId="11048"/>
    <cellStyle name="适中 2 2 5 3" xfId="11049"/>
    <cellStyle name="输入 2 2 10 6" xfId="11050"/>
    <cellStyle name="输出 2 8 5" xfId="11051"/>
    <cellStyle name="标题 1 4 2 4 2" xfId="11052"/>
    <cellStyle name="常规 12 2 7" xfId="11053"/>
    <cellStyle name="差 4 2 3 2 3" xfId="11054"/>
    <cellStyle name="差 2 4 4 4" xfId="11055"/>
    <cellStyle name="60% - 强调文字颜色 4 3 2 2 4" xfId="11056"/>
    <cellStyle name="标题 5 3 3 2" xfId="11057"/>
    <cellStyle name="计算 2 2 9 3 2 2" xfId="11058"/>
    <cellStyle name="常规 5 3 2 6 2 2" xfId="11059"/>
    <cellStyle name="40% - 强调文字颜色 1 2 3 3 4" xfId="11060"/>
    <cellStyle name="计算 2 2 5 2 2 4 3" xfId="11061"/>
    <cellStyle name="链接单元格 2 2 2 2 3 2 2 2" xfId="11062"/>
    <cellStyle name="常规 9 2 3 3 2 2 2" xfId="11063"/>
    <cellStyle name="输出 2 4 2 2 2 2 2 2" xfId="11064"/>
    <cellStyle name="40% - 强调文字颜色 1 3 3 3 2 2 2" xfId="11065"/>
    <cellStyle name="超链接 3 2 2 4" xfId="11066"/>
    <cellStyle name="输入 2 6 3 4" xfId="11067"/>
    <cellStyle name="汇总 2 2 7 5 3 2 2" xfId="11068"/>
    <cellStyle name="40% - 强调文字颜色 6 2 2 2 3 2 2 2 2 2" xfId="11069"/>
    <cellStyle name="常规 6 3 2 3 2 2" xfId="11070"/>
    <cellStyle name="常规 7 5 2 2 2" xfId="11071"/>
    <cellStyle name="常规 4 2 3 3 2 2 2" xfId="11072"/>
    <cellStyle name="常规 5 2 8 3" xfId="11073"/>
    <cellStyle name="汇总 2 2 2 2 3 5 2" xfId="11074"/>
    <cellStyle name="适中 2 2 6 3 2 2" xfId="11075"/>
    <cellStyle name="20% - 强调文字颜色 4 2 4 5" xfId="11076"/>
    <cellStyle name="百分比 2 2 2 3 3 2 2" xfId="11077"/>
    <cellStyle name="警告文本 3 2 2 2" xfId="11078"/>
    <cellStyle name="计算 2 2 3" xfId="11079"/>
    <cellStyle name="输入 2 3 2 3 3" xfId="11080"/>
    <cellStyle name="解释性文本 2 2 5 3 2" xfId="11081"/>
    <cellStyle name="强调文字颜色 2 2" xfId="11082"/>
    <cellStyle name="输出 2 3 4 5 2" xfId="11083"/>
    <cellStyle name="常规 2 2 2 5 2" xfId="11084"/>
    <cellStyle name="常规 13 2 2 2 4 3" xfId="11085"/>
    <cellStyle name="40% - 强调文字颜色 1 2 5 2 2 2" xfId="11086"/>
    <cellStyle name="60% - 强调文字颜色 1 2 2 2 3 4" xfId="11087"/>
    <cellStyle name="标题 1 4 4 3" xfId="11088"/>
    <cellStyle name="强调文字颜色 4 2 2 5 2 3" xfId="11089"/>
    <cellStyle name="注释 2 2 2 3 3" xfId="11090"/>
    <cellStyle name="汇总 2 2 12 2 3" xfId="11091"/>
    <cellStyle name="40% - 强调文字颜色 3 2 2 2 2" xfId="11092"/>
    <cellStyle name="适中 2 3 5 2 3" xfId="11093"/>
    <cellStyle name="60% - 强调文字颜色 5 2 2 2 5" xfId="11094"/>
    <cellStyle name="注释 2 2 6 2 7" xfId="11095"/>
    <cellStyle name="好 2 2 3 4 4" xfId="11096"/>
    <cellStyle name="百分比 2 4" xfId="11097"/>
    <cellStyle name="警告文本 2 2 2 5 2 2" xfId="11098"/>
    <cellStyle name="常规 5 3 3 5 3" xfId="11099"/>
    <cellStyle name="汇总 2 3 3 3 2 2 2" xfId="11100"/>
    <cellStyle name="汇总 2 2 6 2 2 3" xfId="11101"/>
    <cellStyle name="常规 4 2 10" xfId="11102"/>
    <cellStyle name="汇总 2 2 3 2 2 2 4" xfId="11103"/>
    <cellStyle name="20% - 强调文字颜色 4 2 2 2 6 2 2 2" xfId="11104"/>
    <cellStyle name="检查单元格 2 2 4" xfId="11105"/>
    <cellStyle name="计算 2 6 2 4 3" xfId="11106"/>
    <cellStyle name="输入 2 5 2 2 3 2" xfId="11107"/>
    <cellStyle name="标题 2 2 2 4 4 3" xfId="11108"/>
    <cellStyle name="标题 4 2 3 2 2 2 3" xfId="11109"/>
    <cellStyle name="输出 2 2 6 8 2" xfId="11110"/>
    <cellStyle name="60% - 强调文字颜色 1 2 2 2 2 3 2 2" xfId="11111"/>
    <cellStyle name="输入 2 2 5 3 3 2" xfId="11112"/>
    <cellStyle name="计算 2 4 2 7 2" xfId="11113"/>
    <cellStyle name="输入 2 2 4 6 3" xfId="11114"/>
    <cellStyle name="计算 2 4 3 4 2 2" xfId="11115"/>
    <cellStyle name="60% - 强调文字颜色 5 2 2 2 3 2 2 2 2 2" xfId="11116"/>
    <cellStyle name="标题 3 2 2 2 2 4 3" xfId="11117"/>
    <cellStyle name="强调文字颜色 4 2 5 2 3" xfId="11118"/>
    <cellStyle name="输出 2 2 7 5 2 2" xfId="11119"/>
    <cellStyle name="标题 5 4 2 2 2 2" xfId="11120"/>
    <cellStyle name="计算 2 2 5 2 3" xfId="11121"/>
    <cellStyle name="常规 10 4 3 3" xfId="11122"/>
    <cellStyle name="汇总 2 2 5 2 2 3 5" xfId="11123"/>
    <cellStyle name="输出 2 2 3 2 5 4" xfId="11124"/>
    <cellStyle name="常规 11 2 2 6" xfId="11125"/>
    <cellStyle name="解释性文本 2 2 3 4 2 2 2" xfId="11126"/>
    <cellStyle name="标题 5 5 2 2 3" xfId="11127"/>
    <cellStyle name="输入 2 2 4 2 8 2 2" xfId="11128"/>
    <cellStyle name="汇总 2 2 4 2 3 5 3" xfId="11129"/>
    <cellStyle name="汇总 2 2 2 10 2 2" xfId="11130"/>
    <cellStyle name="注释 2 2 7 3 2 3" xfId="11131"/>
    <cellStyle name="强调文字颜色 2 2 2 7 3" xfId="11132"/>
    <cellStyle name="计算 2 5 11" xfId="11133"/>
    <cellStyle name="检查单元格 2 6 3" xfId="11134"/>
    <cellStyle name="常规 9 2 3 2" xfId="11135"/>
    <cellStyle name="40% - 强调文字颜色 1 3 3 2" xfId="11136"/>
    <cellStyle name="20% - 强调文字颜色 4 2 5 4" xfId="11137"/>
    <cellStyle name="常规 9 2 3" xfId="11138"/>
    <cellStyle name="注释 2 5 2 4 3" xfId="11139"/>
    <cellStyle name="汇总 4 3 6" xfId="11140"/>
    <cellStyle name="适中 2 2 2 3 3" xfId="11141"/>
    <cellStyle name="计算 2 2 4 7 2 2" xfId="11142"/>
    <cellStyle name="强调文字颜色 5 2 2 3 3 3" xfId="11143"/>
    <cellStyle name="60% - 强调文字颜色 3 2 2 3 4 2 2" xfId="11144"/>
    <cellStyle name="20% - 强调文字颜色 1 2 3 6 2" xfId="11145"/>
    <cellStyle name="计算 2 5 2 11" xfId="11146"/>
    <cellStyle name="常规 9 2 2 3 2" xfId="11147"/>
    <cellStyle name="40% - 强调文字颜色 6 2 2 6 3 2 2" xfId="11148"/>
    <cellStyle name="检查单元格 2 5 3" xfId="11149"/>
    <cellStyle name="常规 9 2 2 2" xfId="11150"/>
    <cellStyle name="40% - 强调文字颜色 1 3 2 2" xfId="11151"/>
    <cellStyle name="注释 2 2 3 2 2 4" xfId="11152"/>
    <cellStyle name="计算 2 2 9 5 3" xfId="11153"/>
    <cellStyle name="输出 2 4 2 2 2 4 3" xfId="11154"/>
    <cellStyle name="标题 5 3 2 7" xfId="11155"/>
    <cellStyle name="60% - 强调文字颜色 4 4 5 2" xfId="11156"/>
    <cellStyle name="标题 3 2 2 8 2" xfId="11157"/>
    <cellStyle name="汇总 2 2 3 4 8" xfId="11158"/>
    <cellStyle name="60% - 强调文字颜色 6 4 4 2 2 2" xfId="11159"/>
    <cellStyle name="汇总 2 2 5 2 3 5" xfId="11160"/>
    <cellStyle name="注释 2 4 3 4 2" xfId="11161"/>
    <cellStyle name="输入 2 2 4 2 2 2 3 2" xfId="11162"/>
    <cellStyle name="常规 5 4 3 2 5" xfId="11163"/>
    <cellStyle name="标题 1 2 6 3" xfId="11164"/>
    <cellStyle name="强调文字颜色 4 2 2 3 4 3" xfId="11165"/>
    <cellStyle name="20% - 强调文字颜色 1 2 2 4 2 3" xfId="11166"/>
    <cellStyle name="输入 2 2 6 4 2 5" xfId="11167"/>
    <cellStyle name="常规 3 3 7 2 3 2 2" xfId="11168"/>
    <cellStyle name="强调文字颜色 4 2 3 2 3 2 2 2" xfId="11169"/>
    <cellStyle name="注释 2 2 4 2 5" xfId="11170"/>
    <cellStyle name="常规 8 2 3 2 2 2" xfId="11171"/>
    <cellStyle name="输入 3 3 2 3" xfId="11172"/>
    <cellStyle name="40% - 强调文字颜色 3 2 2 3 3" xfId="11173"/>
    <cellStyle name="注释 2 2 2 4 4" xfId="11174"/>
    <cellStyle name="计算 2 5 5 3 2" xfId="11175"/>
    <cellStyle name="20% - 强调文字颜色 3 2 3 2 2" xfId="11176"/>
    <cellStyle name="60% - 强调文字颜色 1 2 2 3 4 2 2" xfId="11177"/>
    <cellStyle name="计算 2 2 4 3 4" xfId="11178"/>
    <cellStyle name="输出 2 2 2 13" xfId="11179"/>
    <cellStyle name="注释 2 4 2 4 2 3" xfId="11180"/>
    <cellStyle name="强调文字颜色 6 2 2 2 4 3" xfId="11181"/>
    <cellStyle name="20% - 强调文字颜色 6 4 5" xfId="11182"/>
    <cellStyle name="检查单元格 2 2 8" xfId="11183"/>
    <cellStyle name="40% - 强调文字颜色 3 3 4" xfId="11184"/>
    <cellStyle name="适中 2 2 2 2 3 3" xfId="11185"/>
    <cellStyle name="汇总 4 2 6 3" xfId="11186"/>
    <cellStyle name="常规 8 2 2 2 3" xfId="11187"/>
    <cellStyle name="警告文本 2 6 2 2 2" xfId="11188"/>
    <cellStyle name="强调文字颜色 5 2 2 2 4 3 3" xfId="11189"/>
    <cellStyle name="常规 8 2 2 2 2 2 2 2" xfId="11190"/>
    <cellStyle name="输入 2 3 2 3 2 2" xfId="11191"/>
    <cellStyle name="差 4 2" xfId="11192"/>
    <cellStyle name="计算 2 5 3 3 2 3" xfId="11193"/>
    <cellStyle name="60% - 强调文字颜色 4 2 2 4 5" xfId="11194"/>
    <cellStyle name="60% - 强调文字颜色 6 3 5 2 2" xfId="11195"/>
    <cellStyle name="输入 3 2 5" xfId="11196"/>
    <cellStyle name="40% - 强调文字颜色 1 2 2 2 2 2 4 2 2" xfId="11197"/>
    <cellStyle name="输入 2 5 2 2 2 2 4" xfId="11198"/>
    <cellStyle name="输入 2 7 3 7" xfId="11199"/>
    <cellStyle name="输入 2 6 2 3 2 2 2" xfId="11200"/>
    <cellStyle name="汇总 2 17 3" xfId="11201"/>
    <cellStyle name="强调文字颜色 1 2 3 2 6" xfId="11202"/>
    <cellStyle name="注释 4 3 2" xfId="11203"/>
    <cellStyle name="20% - 强调文字颜色 2 2 2 5 3" xfId="11204"/>
    <cellStyle name="计算 2 2 12" xfId="11205"/>
    <cellStyle name="60% - 强调文字颜色 3 3 2 2" xfId="11206"/>
    <cellStyle name="计算 2 2 5 3 5 2" xfId="11207"/>
    <cellStyle name="计算 2 2 2 3 3 2 2" xfId="11208"/>
    <cellStyle name="计算 2 2 4 2 2 2 2 4" xfId="11209"/>
    <cellStyle name="计算 2 2 5 2 3 2 2 2" xfId="11210"/>
    <cellStyle name="汇总 2 2 10 4 2 2" xfId="11211"/>
    <cellStyle name="20% - 强调文字颜色 5 2 2 2 2 2 5 2" xfId="11212"/>
    <cellStyle name="20% - 强调文字颜色 1 2 4 3 2 2" xfId="11213"/>
    <cellStyle name="强调文字颜色 1 3 3 2 2" xfId="11214"/>
    <cellStyle name="常规 11 2 4" xfId="11215"/>
    <cellStyle name="输入 2 3 2 2 2 2 3" xfId="11216"/>
    <cellStyle name="40% - 强调文字颜色 1 2 3 4 3 2 2" xfId="11217"/>
    <cellStyle name="强调文字颜色 4 2 3 5" xfId="11218"/>
    <cellStyle name="输入 2 2 2 9" xfId="11219"/>
    <cellStyle name="输入 2 2 14" xfId="11220"/>
    <cellStyle name="输出 2 2 2 2 2 5 2" xfId="11221"/>
    <cellStyle name="20% - 强调文字颜色 2 2 3 2 2 4 2 2 2" xfId="11222"/>
    <cellStyle name="差 2 2 2 3 3 2" xfId="11223"/>
    <cellStyle name="汇总 2 2 7 4 7" xfId="11224"/>
    <cellStyle name="好 2 2 3 10" xfId="11225"/>
    <cellStyle name="汇总 2 5 2 10 2" xfId="11226"/>
    <cellStyle name="强调文字颜色 4 2 2 2 5 2 2 2" xfId="11227"/>
    <cellStyle name="标题 2 3 2 3 2 3" xfId="11228"/>
    <cellStyle name="注释 2 5 4 2 3" xfId="11229"/>
    <cellStyle name="标题 3 2 4 2 2 2 3" xfId="11230"/>
    <cellStyle name="标题 1 2 2 2 2 6 3" xfId="11231"/>
    <cellStyle name="60% - 强调文字颜色 5 2 3 2 4" xfId="11232"/>
    <cellStyle name="汇总 2 5 2 4 2" xfId="11233"/>
    <cellStyle name="注释 2 2 7 2 6" xfId="11234"/>
    <cellStyle name="输出 2 6 2 2 2 3" xfId="11235"/>
    <cellStyle name="计算 2 2 7 3 2 4 2" xfId="11236"/>
    <cellStyle name="汇总 2 2 4 2 3 7" xfId="11237"/>
    <cellStyle name="汇总 2 2 5 2 2 2 2 2 2" xfId="11238"/>
    <cellStyle name="强调文字颜色 5 2 6 2 2 2" xfId="11239"/>
    <cellStyle name="20% - 强调文字颜色 3 2 2 2 2 2 4 2 2 2" xfId="11240"/>
    <cellStyle name="60% - 强调文字颜色 4 2 4 4 3 2" xfId="11241"/>
    <cellStyle name="汇总 2 5 6 3 3" xfId="11242"/>
    <cellStyle name="标题 2 2 3 5 3" xfId="11243"/>
    <cellStyle name="标题 5 6" xfId="11244"/>
    <cellStyle name="好 2 2 4 5 2 2" xfId="11245"/>
    <cellStyle name="输入 2 5 9 2" xfId="11246"/>
    <cellStyle name="20% - 强调文字颜色 2 3 3" xfId="11247"/>
    <cellStyle name="计算 2 2 3 2 2 2" xfId="11248"/>
    <cellStyle name="强调文字颜色 2 2 3 2 3" xfId="11249"/>
    <cellStyle name="超链接 2 3 4 2 2 2 2" xfId="11250"/>
    <cellStyle name="标题 5 4 10" xfId="11251"/>
    <cellStyle name="输出 3 3 6" xfId="11252"/>
    <cellStyle name="常规 3 2 4" xfId="11253"/>
    <cellStyle name="20% - 强调文字颜色 4 2 5 5" xfId="11254"/>
    <cellStyle name="警告文本 3 2 3 2" xfId="11255"/>
    <cellStyle name="常规 9 2 4" xfId="11256"/>
    <cellStyle name="输出 2 4 5 2 3 2" xfId="11257"/>
    <cellStyle name="40% - 强调文字颜色 1 3 4" xfId="11258"/>
    <cellStyle name="汇总 2 2 3 2 3 2" xfId="11259"/>
    <cellStyle name="标题 2 2 4 4 2 3" xfId="11260"/>
    <cellStyle name="计算 2 2 5 2 5 2 2" xfId="11261"/>
    <cellStyle name="60% - 强调文字颜色 3 2 2 2 2" xfId="11262"/>
    <cellStyle name="计算 2 2 3 5" xfId="11263"/>
    <cellStyle name="汇总 2 12 3 2 2" xfId="11264"/>
    <cellStyle name="20% - 强调文字颜色 3 2" xfId="11265"/>
    <cellStyle name="计算 2 4 2 3 6" xfId="11266"/>
    <cellStyle name="输入 2 2 4 14" xfId="11267"/>
    <cellStyle name="输出 2 2 3 5 2 2 2 2" xfId="11268"/>
    <cellStyle name="常规 11 3 5 3" xfId="11269"/>
    <cellStyle name="输入 2 2 4 2 7" xfId="11270"/>
    <cellStyle name="常规 5 3 4 2 3" xfId="11271"/>
    <cellStyle name="输出 2 2 3 3" xfId="11272"/>
    <cellStyle name="计算 2 5 2 2 2 5 3" xfId="11273"/>
    <cellStyle name="汇总 5 3 3" xfId="11274"/>
    <cellStyle name="60% - 强调文字颜色 4 2 2 4 3 3 2" xfId="11275"/>
    <cellStyle name="20% - 强调文字颜色 2 3 4" xfId="11276"/>
    <cellStyle name="强调文字颜色 2 2 3 2 4" xfId="11277"/>
    <cellStyle name="计算 2 2 3 2 2 3" xfId="11278"/>
    <cellStyle name="链接单元格 2 3 2 5 2 2" xfId="11279"/>
    <cellStyle name="20% - 强调文字颜色 6 4 2 2" xfId="11280"/>
    <cellStyle name="常规 5 2 2 2 6 2" xfId="11281"/>
    <cellStyle name="计算 2 5 4 3 2 3" xfId="11282"/>
    <cellStyle name="20% - 强调文字颜色 4 2 3 3 2 2 2 2 2" xfId="11283"/>
    <cellStyle name="输出 2 2 3 2 2 2 4 2 2" xfId="11284"/>
    <cellStyle name="常规 5 2 4 3 2 2" xfId="11285"/>
    <cellStyle name="常规 3 7 4 2" xfId="11286"/>
    <cellStyle name="标题 3 2 3 2 7" xfId="11287"/>
    <cellStyle name="汇总 2 6 5 3 2 2" xfId="11288"/>
    <cellStyle name="常规 7 6 3 2 2" xfId="11289"/>
    <cellStyle name="常规 4 2 3 4 3 2 2" xfId="11290"/>
    <cellStyle name="输入 2 2 3 5 2" xfId="11291"/>
    <cellStyle name="60% - 强调文字颜色 3 2 2 3 3" xfId="11292"/>
    <cellStyle name="计算 2 2 4 6" xfId="11293"/>
    <cellStyle name="警告文本 3 2 4 2" xfId="11294"/>
    <cellStyle name="差 2 4 4" xfId="11295"/>
    <cellStyle name="60% - 强调文字颜色 4 3 2 2" xfId="11296"/>
    <cellStyle name="计算 2 2 6 3 5 2" xfId="11297"/>
    <cellStyle name="计算 2 2 2 4 3 2 2" xfId="11298"/>
    <cellStyle name="注释 2 2 5 2 2 6" xfId="11299"/>
    <cellStyle name="注释 2 4 2 2 3 2 2 2" xfId="11300"/>
    <cellStyle name="输出 2 5 3 2 2 2" xfId="11301"/>
    <cellStyle name="输入 2 2 6 3" xfId="11302"/>
    <cellStyle name="汇总 2 6 5 3 2" xfId="11303"/>
    <cellStyle name="常规 7 6 3 2" xfId="11304"/>
    <cellStyle name="汇总 2 6 14" xfId="11305"/>
    <cellStyle name="计算 2 6 3 2 4 3" xfId="11306"/>
    <cellStyle name="强调文字颜色 6 2 3 4 4" xfId="11307"/>
    <cellStyle name="40% - 强调文字颜色 5 2 2 4 3 2 2" xfId="11308"/>
    <cellStyle name="汇总 2 8 2 4" xfId="11309"/>
    <cellStyle name="输入 2 5 3 9" xfId="11310"/>
    <cellStyle name="40% - 强调文字颜色 3 2 2 9 2" xfId="11311"/>
    <cellStyle name="汇总 2 2 2 3 2 2 2" xfId="11312"/>
    <cellStyle name="百分比 2 2 2 5 2" xfId="11313"/>
    <cellStyle name="汇总 3 3 2 3 2 2" xfId="11314"/>
    <cellStyle name="汇总 2 3 4 5 3" xfId="11315"/>
    <cellStyle name="好 3 2 5" xfId="11316"/>
    <cellStyle name="常规 7 5 3 2" xfId="11317"/>
    <cellStyle name="超链接 3 3 3 2 2 3" xfId="11318"/>
    <cellStyle name="输出 2 5 4 3 2" xfId="11319"/>
    <cellStyle name="汇总 2 2 10 3" xfId="11320"/>
    <cellStyle name="适中 2 3 3 3" xfId="11321"/>
    <cellStyle name="常规 12 3 2 3 2" xfId="11322"/>
    <cellStyle name="差 2 2 3" xfId="11323"/>
    <cellStyle name="20% - 强调文字颜色 3 2 10" xfId="11324"/>
    <cellStyle name="输入 5 2" xfId="11325"/>
    <cellStyle name="常规 7 4 3 2 2" xfId="11326"/>
    <cellStyle name="40% - 强调文字颜色 6 2 2 6 3" xfId="11327"/>
    <cellStyle name="常规 4 3 8 3" xfId="11328"/>
    <cellStyle name="链接单元格 2 2 4 3 3" xfId="11329"/>
    <cellStyle name="输出 5 5 2" xfId="11330"/>
    <cellStyle name="输入 2 2 18" xfId="11331"/>
    <cellStyle name="计算 2 2 4 3 2 3 3" xfId="11332"/>
    <cellStyle name="输入 2 2 3 3 9" xfId="11333"/>
    <cellStyle name="60% - 强调文字颜色 2 2 2 2 3 2" xfId="11334"/>
    <cellStyle name="计算 2 10 2 3 2" xfId="11335"/>
    <cellStyle name="计算 2 6 2 4 3 2" xfId="11336"/>
    <cellStyle name="标题 1 3 7" xfId="11337"/>
    <cellStyle name="强调文字颜色 4 2 2 4 5" xfId="11338"/>
    <cellStyle name="计算 2 9 2 5" xfId="11339"/>
    <cellStyle name="解释性文本 2 2 2 2 4 4" xfId="11340"/>
    <cellStyle name="汇总 2 2 4 6 3 2 2" xfId="11341"/>
    <cellStyle name="超链接 2 2 4 3" xfId="11342"/>
    <cellStyle name="强调文字颜色 6 4 2 3 2" xfId="11343"/>
    <cellStyle name="链接单元格 2 4 4" xfId="11344"/>
    <cellStyle name="常规 10 2 2 2 2" xfId="11345"/>
    <cellStyle name="汇总 2 5 2 2 3 5" xfId="11346"/>
    <cellStyle name="常规 5 2 3 3 2 4 2" xfId="11347"/>
    <cellStyle name="链接单元格 4 2 3 2" xfId="11348"/>
    <cellStyle name="40% - 强调文字颜色 3 2 2 2 5 2 2 2" xfId="11349"/>
    <cellStyle name="常规 5 4 3 2 3 2" xfId="11350"/>
    <cellStyle name="常规 7 3 4 2 2 2" xfId="11351"/>
    <cellStyle name="汇总 2 6 3" xfId="11352"/>
    <cellStyle name="40% - 强调文字颜色 1 2 2 2 4 3" xfId="11353"/>
    <cellStyle name="60% - 强调文字颜色 1 2 4 3 2" xfId="11354"/>
    <cellStyle name="汇总 2 2 2 2 7 2 2" xfId="11355"/>
    <cellStyle name="输出 2 5 3 3 3" xfId="11356"/>
    <cellStyle name="常规 11 2 8" xfId="11357"/>
    <cellStyle name="输出 2 4 2 2 8" xfId="11358"/>
    <cellStyle name="40% - 强调文字颜色 1 2 3 2 2 3 3" xfId="11359"/>
    <cellStyle name="超链接 3 2 3 3" xfId="11360"/>
    <cellStyle name="输入 2 6 4 3" xfId="11361"/>
    <cellStyle name="输出 2 2 3 5" xfId="11362"/>
    <cellStyle name="注释 2 2 5 4 3" xfId="11363"/>
    <cellStyle name="40% - 强调文字颜色 3 2 5 3 2" xfId="11364"/>
    <cellStyle name="常规 7 3 3 2 2 2" xfId="11365"/>
    <cellStyle name="60% - 强调文字颜色 6 2 2 4 3 2 3" xfId="11366"/>
    <cellStyle name="汇总 2 5 15" xfId="11367"/>
    <cellStyle name="汇总 2 7 2 2 2 4 2" xfId="11368"/>
    <cellStyle name="常规 7 3 3 2" xfId="11369"/>
    <cellStyle name="强调文字颜色 1 2 2 4 3" xfId="11370"/>
    <cellStyle name="标题 2 2 4 3 3 3" xfId="11371"/>
    <cellStyle name="汇总 2 6 4 2 4 2 2" xfId="11372"/>
    <cellStyle name="20% - 强调文字颜色 5 2 2 2 4 2 2" xfId="11373"/>
    <cellStyle name="注释 7 3" xfId="11374"/>
    <cellStyle name="计算 3 2 2 5" xfId="11375"/>
    <cellStyle name="检查单元格 2 3 2 2 2 2 2" xfId="11376"/>
    <cellStyle name="计算 3 3 3 3" xfId="11377"/>
    <cellStyle name="常规 7 3 2 2 2 2" xfId="11378"/>
    <cellStyle name="常规 7 3 2 2" xfId="11379"/>
    <cellStyle name="常规 7 3 2" xfId="11380"/>
    <cellStyle name="输入 2 9 2 2 3" xfId="11381"/>
    <cellStyle name="常规 4 2 3 4 5" xfId="11382"/>
    <cellStyle name="输入 2 2 4 2" xfId="11383"/>
    <cellStyle name="计算 2 2 4 2 2 3 3 2" xfId="11384"/>
    <cellStyle name="常规 7 2 2 2 3 3 2 2" xfId="11385"/>
    <cellStyle name="常规 5 3 4 4 3" xfId="11386"/>
    <cellStyle name="常规 7 2 2 2" xfId="11387"/>
    <cellStyle name="计算 2 5 6" xfId="11388"/>
    <cellStyle name="适中 4 3 3" xfId="11389"/>
    <cellStyle name="链接单元格 4 3" xfId="11390"/>
    <cellStyle name="20% - 强调文字颜色 5 2 3 5 2 2 2" xfId="11391"/>
    <cellStyle name="常规 7 2 2" xfId="11392"/>
    <cellStyle name="常规 7" xfId="11393"/>
    <cellStyle name="常规 6 9" xfId="11394"/>
    <cellStyle name="标题 4 3 2 4 3" xfId="11395"/>
    <cellStyle name="常规 4 2 2 7" xfId="11396"/>
    <cellStyle name="40% - 强调文字颜色 1 2 3 2 2 5 2" xfId="11397"/>
    <cellStyle name="超链接 3 2 5 2" xfId="11398"/>
    <cellStyle name="输入 2 6 6 2" xfId="11399"/>
    <cellStyle name="输出 2 2 5 4" xfId="11400"/>
    <cellStyle name="强调文字颜色 1 2 2 5 3 2 2" xfId="11401"/>
    <cellStyle name="检查单元格 2 2 4 4 2 2" xfId="11402"/>
    <cellStyle name="汇总 2 12 2 3" xfId="11403"/>
    <cellStyle name="汇总 2 2 4 2 3 2" xfId="11404"/>
    <cellStyle name="60% - 强调文字颜色 6 2 2 2 4" xfId="11405"/>
    <cellStyle name="好 2 2 3 9" xfId="11406"/>
    <cellStyle name="注释 2 2 3 5 7" xfId="11407"/>
    <cellStyle name="检查单元格 3 2 5" xfId="11408"/>
    <cellStyle name="强调文字颜色 3 3 2 3" xfId="11409"/>
    <cellStyle name="输出 2 2 2 2 2 2 3" xfId="11410"/>
    <cellStyle name="输入 2 2 3 3 5 2 2" xfId="11411"/>
    <cellStyle name="计算 2 2 2 9 2 2" xfId="11412"/>
    <cellStyle name="输入 2 2 5 3 6" xfId="11413"/>
    <cellStyle name="计算 2 6 2 2 6 2 2" xfId="11414"/>
    <cellStyle name="40% - 强调文字颜色 2 2 2 7 2" xfId="11415"/>
    <cellStyle name="常规 6 7 3 2" xfId="11416"/>
    <cellStyle name="注释 2 2 3 2 2 2 7" xfId="11417"/>
    <cellStyle name="输出 2 2 5 2 3 2" xfId="11418"/>
    <cellStyle name="常规 5 2 4 3 3 2 2" xfId="11419"/>
    <cellStyle name="常规 7 2 2 3 2 2 2 2" xfId="11420"/>
    <cellStyle name="常规 6 4 4 3" xfId="11421"/>
    <cellStyle name="40% - 强调文字颜色 3 2 3 4 3" xfId="11422"/>
    <cellStyle name="输入 2 15 2" xfId="11423"/>
    <cellStyle name="注释 2 2 3 5 4" xfId="11424"/>
    <cellStyle name="输入 2 7 2 2 3 2 2" xfId="11425"/>
    <cellStyle name="计算 3 2 4 3" xfId="11426"/>
    <cellStyle name="20% - 强调文字颜色 4 2 2 2 5" xfId="11427"/>
    <cellStyle name="汇总 2 2 3 8 3" xfId="11428"/>
    <cellStyle name="计算 2 2 6 2 2 3 2 2" xfId="11429"/>
    <cellStyle name="汇总 2 5 2 2 2 2 2 2" xfId="11430"/>
    <cellStyle name="40% - 强调文字颜色 1 2 2 2 3 4" xfId="11431"/>
    <cellStyle name="40% - 强调文字颜色 2 2 3 2 3 2" xfId="11432"/>
    <cellStyle name="汇总 2 5 4" xfId="11433"/>
    <cellStyle name="检查单元格 2 3 2 3 3 3" xfId="11434"/>
    <cellStyle name="汇总 4 2 5" xfId="11435"/>
    <cellStyle name="适中 2 2 2 2 2" xfId="11436"/>
    <cellStyle name="汇总 2 2 4 3 2 2 4 3" xfId="11437"/>
    <cellStyle name="标题 2 5 2 3" xfId="11438"/>
    <cellStyle name="汇总 2 6 9 3" xfId="11439"/>
    <cellStyle name="常规 24" xfId="11440"/>
    <cellStyle name="常规 19" xfId="11441"/>
    <cellStyle name="常规 11 3 2 3" xfId="11442"/>
    <cellStyle name="标题 5 3 2 3 3 3" xfId="11443"/>
    <cellStyle name="常规 5 6 3 2 2" xfId="11444"/>
    <cellStyle name="强调文字颜色 2 2 2 3 4 4" xfId="11445"/>
    <cellStyle name="汇总 2 2 4 2 4 2 2 3" xfId="11446"/>
    <cellStyle name="60% - 强调文字颜色 6 2 2 3 4 2 3" xfId="11447"/>
    <cellStyle name="常规 6 4 3" xfId="11448"/>
    <cellStyle name="常规 4 2 2 2 3" xfId="11449"/>
    <cellStyle name="注释 2 2 3 2 9" xfId="11450"/>
    <cellStyle name="40% - 强调文字颜色 5 2 7 3" xfId="11451"/>
    <cellStyle name="标题 5 3 2 2 2 3" xfId="11452"/>
    <cellStyle name="60% - 强调文字颜色 5 3 5 2 2 2" xfId="11453"/>
    <cellStyle name="40% - 强调文字颜色 1 2 5 3 2" xfId="11454"/>
    <cellStyle name="解释性文本 2 3 2 2 2 2" xfId="11455"/>
    <cellStyle name="输出 2 2 8 2 4" xfId="11456"/>
    <cellStyle name="输出 2 2 4 3 5 2" xfId="11457"/>
    <cellStyle name="汇总 2 2 5 3 3 3 3" xfId="11458"/>
    <cellStyle name="输出 2 2 4 3 5" xfId="11459"/>
    <cellStyle name="常规 6 3 3 3 2" xfId="11460"/>
    <cellStyle name="常规 6 3 3 3" xfId="11461"/>
    <cellStyle name="常规 11 2 2 4" xfId="11462"/>
    <cellStyle name="20% - 强调文字颜色 2 2 2 4 3" xfId="11463"/>
    <cellStyle name="计算 2 2 2 4 2 3 2 2" xfId="11464"/>
    <cellStyle name="常规 6 3 3 2 3 2" xfId="11465"/>
    <cellStyle name="输出 2 2 7 2 4" xfId="11466"/>
    <cellStyle name="输出 2 2 4 2 5 2" xfId="11467"/>
    <cellStyle name="20% - 强调文字颜色 5 2 4 3 3" xfId="11468"/>
    <cellStyle name="警告文本 2 3 4 2" xfId="11469"/>
    <cellStyle name="输出 2 2 2 2 3 6" xfId="11470"/>
    <cellStyle name="汇总 5 2 3 3" xfId="11471"/>
    <cellStyle name="输出 3 2 2 6 2 2" xfId="11472"/>
    <cellStyle name="强调文字颜色 2 2 5 2 2" xfId="11473"/>
    <cellStyle name="60% - 强调文字颜色 1 2 3 4 3" xfId="11474"/>
    <cellStyle name="计算 2 2 6 2 2 2 4 2" xfId="11475"/>
    <cellStyle name="20% - 强调文字颜色 4 3 2" xfId="11476"/>
    <cellStyle name="输出 2 2 3 5 5" xfId="11477"/>
    <cellStyle name="常规 3 3 2 2 3 2" xfId="11478"/>
    <cellStyle name="60% - 强调文字颜色 6 2 3 2 4 2 3" xfId="11479"/>
    <cellStyle name="注释 3 2 2 4 2" xfId="11480"/>
    <cellStyle name="汇总 2 2 6 6" xfId="11481"/>
    <cellStyle name="常规 6 3 2 4 2 2 2" xfId="11482"/>
    <cellStyle name="输出 2 2 3 4 5 2 2" xfId="11483"/>
    <cellStyle name="超链接 2 2 3 4 2 2" xfId="11484"/>
    <cellStyle name="60% - 强调文字颜色 4 3 3 2 2 2 2" xfId="11485"/>
    <cellStyle name="常规 2 7 2" xfId="11486"/>
    <cellStyle name="输出 2 8 4" xfId="11487"/>
    <cellStyle name="常规 6 3 2 4 2 2" xfId="11488"/>
    <cellStyle name="计算 2 4 2 2 2 7" xfId="11489"/>
    <cellStyle name="输入 2 2 3 8" xfId="11490"/>
    <cellStyle name="20% - 强调文字颜色 2 2 2 2 2 4 2 2" xfId="11491"/>
    <cellStyle name="强调文字颜色 4 2 4 4" xfId="11492"/>
    <cellStyle name="输入 2 2 5 2 2 3 2" xfId="11493"/>
    <cellStyle name="适中 2 3 3 7" xfId="11494"/>
    <cellStyle name="汇总 2 2 10 7" xfId="11495"/>
    <cellStyle name="20% - 强调文字颜色 1 2 4 6" xfId="11496"/>
    <cellStyle name="60% - 强调文字颜色 3 2 2 3 5 2" xfId="11497"/>
    <cellStyle name="计算 2 2 4 8 2" xfId="11498"/>
    <cellStyle name="输出 2 2 3 11" xfId="11499"/>
    <cellStyle name="40% - 强调文字颜色 2 2 3 3 4" xfId="11500"/>
    <cellStyle name="注释 2 4 5 5" xfId="11501"/>
    <cellStyle name="汇总 2 3 9 2 2" xfId="11502"/>
    <cellStyle name="常规 2 2 8" xfId="11503"/>
    <cellStyle name="计算 2 5 2 2 2 2 6" xfId="11504"/>
    <cellStyle name="汇总 2 2 3 3 5 2 2" xfId="11505"/>
    <cellStyle name="常规 6 3 2 4" xfId="11506"/>
    <cellStyle name="常规 6 3 2 3 2 2 2" xfId="11507"/>
    <cellStyle name="输出 2 2 3 3 5 2 2" xfId="11508"/>
    <cellStyle name="注释 2 2 3 2 4 4" xfId="11509"/>
    <cellStyle name="适中 2 2" xfId="11510"/>
    <cellStyle name="60% - 强调文字颜色 4 3 2 5" xfId="11511"/>
    <cellStyle name="汇总 2 2 4 4 2 5 2" xfId="11512"/>
    <cellStyle name="差 2 4 7" xfId="11513"/>
    <cellStyle name="常规 5 2 3 3 5" xfId="11514"/>
    <cellStyle name="计算 2 2 4 3 2 3 2 2" xfId="11515"/>
    <cellStyle name="60% - 强调文字颜色 1 4 2 4 2" xfId="11516"/>
    <cellStyle name="输出 2 2 3 5 2 3" xfId="11517"/>
    <cellStyle name="强调文字颜色 6 2 3 3 2 2" xfId="11518"/>
    <cellStyle name="适中 2 3 2 6 3" xfId="11519"/>
    <cellStyle name="计算 2 2 4 2 2 2 2 2 3" xfId="11520"/>
    <cellStyle name="常规 5 2 2 4 2 4 2" xfId="11521"/>
    <cellStyle name="20% - 强调文字颜色 3 2 7 2 2" xfId="11522"/>
    <cellStyle name="注释 2 3 4 6" xfId="11523"/>
    <cellStyle name="常规 6 2 3 4 2 2 2" xfId="11524"/>
    <cellStyle name="40% - 强调文字颜色 2 2 2 2 5" xfId="11525"/>
    <cellStyle name="标题 1 2 2 2 5 2 2 3" xfId="11526"/>
    <cellStyle name="40% - 强调文字颜色 2 3 3 2 2" xfId="11527"/>
    <cellStyle name="汇总 2 4 2 2 2 2 3" xfId="11528"/>
    <cellStyle name="输入 2 7 4 2 3" xfId="11529"/>
    <cellStyle name="超链接 3 3 3 2 3" xfId="11530"/>
    <cellStyle name="计算 2 9 2 3 2" xfId="11531"/>
    <cellStyle name="汇总 2 4 3 2 5" xfId="11532"/>
    <cellStyle name="适中 2 4 9" xfId="11533"/>
    <cellStyle name="强调文字颜色 1 2 2 2 2 2 3" xfId="11534"/>
    <cellStyle name="常规 5 2 8" xfId="11535"/>
    <cellStyle name="计算 2 5 2 2 2 2 4 2 2" xfId="11536"/>
    <cellStyle name="差 5 3" xfId="11537"/>
    <cellStyle name="输出 5 2 2 2 2" xfId="11538"/>
    <cellStyle name="常规 6 3 2 2 2 2" xfId="11539"/>
    <cellStyle name="输出 2 2 4 2 2 4 2" xfId="11540"/>
    <cellStyle name="60% - 强调文字颜色 6 2 2 3 4 3" xfId="11541"/>
    <cellStyle name="计算 2 2 4 5 2 6" xfId="11542"/>
    <cellStyle name="汇总 2 2 4 2 4 2 3" xfId="11543"/>
    <cellStyle name="适中 2 3 2 2 3 2" xfId="11544"/>
    <cellStyle name="汇总 2 2 2 4" xfId="11545"/>
    <cellStyle name="40% - 强调文字颜色 5 2 2 4 2 2" xfId="11546"/>
    <cellStyle name="注释 2 2 5 7 2" xfId="11547"/>
    <cellStyle name="好 2 3 2 4 2 2" xfId="11548"/>
    <cellStyle name="计算 2 2 3 6" xfId="11549"/>
    <cellStyle name="输入 2 2 3 4 2" xfId="11550"/>
    <cellStyle name="60% - 强调文字颜色 4 2 2 2 4 2 2 2" xfId="11551"/>
    <cellStyle name="60% - 强调文字颜色 3 2 2 2 3" xfId="11552"/>
    <cellStyle name="解释性文本 2 2 3 10" xfId="11553"/>
    <cellStyle name="常规 2 4 3 3" xfId="11554"/>
    <cellStyle name="输出 2 5 5 3" xfId="11555"/>
    <cellStyle name="计算 2 2 9 7" xfId="11556"/>
    <cellStyle name="汇总 2 2 12" xfId="11557"/>
    <cellStyle name="20% - 强调文字颜色 3 2 2 2 4 3" xfId="11558"/>
    <cellStyle name="适中 2 3 5" xfId="11559"/>
    <cellStyle name="警告文本 2 3 2 3 2 3" xfId="11560"/>
    <cellStyle name="输出 2 4 2 2 2 6" xfId="11561"/>
    <cellStyle name="解释性文本 2 2 3 6 3" xfId="11562"/>
    <cellStyle name="常规 4 3 2 2 2 2" xfId="11563"/>
    <cellStyle name="计算 2 3 3 2 7" xfId="11564"/>
    <cellStyle name="60% - 强调文字颜色 6 3 4 2 2" xfId="11565"/>
    <cellStyle name="输入 2 3 2 2 3 3" xfId="11566"/>
    <cellStyle name="强调文字颜色 1 2 3" xfId="11567"/>
    <cellStyle name="40% - 强调文字颜色 4 2 4 6" xfId="11568"/>
    <cellStyle name="输出 2 5 4" xfId="11569"/>
    <cellStyle name="60% - 强调文字颜色 5 2 3 3 2 2 2 2 2" xfId="11570"/>
    <cellStyle name="常规 2 4 2" xfId="11571"/>
    <cellStyle name="40% - 强调文字颜色 3 2 3 2 4 3" xfId="11572"/>
    <cellStyle name="标题 4 2 2 7 3" xfId="11573"/>
    <cellStyle name="标题 3 2 2 3 4 2 2" xfId="11574"/>
    <cellStyle name="注释 2 2 2 2 2 2 2 2 2" xfId="11575"/>
    <cellStyle name="输入 2 4 3 2 5" xfId="11576"/>
    <cellStyle name="常规 5 3 2 2 2 2" xfId="11577"/>
    <cellStyle name="60% - 强调文字颜色 1 2 3 8" xfId="11578"/>
    <cellStyle name="适中 2 5 3 2" xfId="11579"/>
    <cellStyle name="链接单元格 2 4 2 2 3" xfId="11580"/>
    <cellStyle name="20% - 强调文字颜色 1 2 2 4 2" xfId="11581"/>
    <cellStyle name="计算 2 3 2 3 5 2" xfId="11582"/>
    <cellStyle name="60% - 强调文字颜色 3 2 2 5 3" xfId="11583"/>
    <cellStyle name="输入 2 2 3 7 2" xfId="11584"/>
    <cellStyle name="强调文字颜色 4 2 4 3 2" xfId="11585"/>
    <cellStyle name="标题 3 2 4" xfId="11586"/>
    <cellStyle name="计算 2 2 6 6" xfId="11587"/>
    <cellStyle name="60% - 强调文字颜色 4 3 2 2 2 2 2" xfId="11588"/>
    <cellStyle name="差 2 4 4 2 2 2" xfId="11589"/>
    <cellStyle name="60% - 强调文字颜色 6 2 4 3 2" xfId="11590"/>
    <cellStyle name="汇总 2 8 3 2 2 3" xfId="11591"/>
    <cellStyle name="40% - 强调文字颜色 3 2 2 3 3 3" xfId="11592"/>
    <cellStyle name="汇总 2 2 5 3 7 2" xfId="11593"/>
    <cellStyle name="计算 2 5 2 2 2 2 2 3" xfId="11594"/>
    <cellStyle name="汇总 2 4 9 2" xfId="11595"/>
    <cellStyle name="常规 6 2 5 2 2 2" xfId="11596"/>
    <cellStyle name="标题 4 2 3 5 2 3" xfId="11597"/>
    <cellStyle name="输入 2 5 4 7" xfId="11598"/>
    <cellStyle name="解释性文本 2 5 2" xfId="11599"/>
    <cellStyle name="强调文字颜色 2 2 3 2 4 3 2" xfId="11600"/>
    <cellStyle name="计算 2 2 3 2 2 3 3 2" xfId="11601"/>
    <cellStyle name="强调文字颜色 1 2 2 3 3 3 2" xfId="11602"/>
    <cellStyle name="60% - 强调文字颜色 2 2 2 8 2" xfId="11603"/>
    <cellStyle name="60% - 强调文字颜色 3 2 2 3 3 3" xfId="11604"/>
    <cellStyle name="20% - 强调文字颜色 1 2 2 7" xfId="11605"/>
    <cellStyle name="计算 2 2 4 6 3" xfId="11606"/>
    <cellStyle name="好 2 2 7" xfId="11607"/>
    <cellStyle name="输入 2 2 9 3 2 2" xfId="11608"/>
    <cellStyle name="计算 2 8 2 6 2" xfId="11609"/>
    <cellStyle name="60% - 强调文字颜色 4 3 5 2 2 2" xfId="11610"/>
    <cellStyle name="常规 2 2 3 3 2 2" xfId="11611"/>
    <cellStyle name="常规 6 2 3 4" xfId="11612"/>
    <cellStyle name="注释 2 4 2 3 5" xfId="11613"/>
    <cellStyle name="常规 12 6 2 2" xfId="11614"/>
    <cellStyle name="标题 4 2 3 2 7" xfId="11615"/>
    <cellStyle name="输入 2 2 3 2 5 3" xfId="11616"/>
    <cellStyle name="好 2 3 2 5 2" xfId="11617"/>
    <cellStyle name="常规 5 2 2 4 2 4" xfId="11618"/>
    <cellStyle name="20% - 强调文字颜色 3 2 7 2" xfId="11619"/>
    <cellStyle name="计算 2 5 9 3" xfId="11620"/>
    <cellStyle name="常规 6 2 3 4 2 2" xfId="11621"/>
    <cellStyle name="输出 2 4 2 5 2 2" xfId="11622"/>
    <cellStyle name="适中 2 2 2 3 7" xfId="11623"/>
    <cellStyle name="计算 2 2 2 3 6 2 2" xfId="11624"/>
    <cellStyle name="输入 3 2 2 4" xfId="11625"/>
    <cellStyle name="常规 5 2 2 3 5 2" xfId="11626"/>
    <cellStyle name="计算 2 2 4 3 2 2 2 2 2" xfId="11627"/>
    <cellStyle name="强调文字颜色 4 2 2 4 5 2" xfId="11628"/>
    <cellStyle name="汇总 2 2 5 13" xfId="11629"/>
    <cellStyle name="输出 2 6 3 7" xfId="11630"/>
    <cellStyle name="常规 4 3 2 6" xfId="11631"/>
    <cellStyle name="标题 4 3 3 4 2" xfId="11632"/>
    <cellStyle name="常规 3 7 2 2 2" xfId="11633"/>
    <cellStyle name="链接单元格 5" xfId="11634"/>
    <cellStyle name="常规 4 6 3 3 2 2" xfId="11635"/>
    <cellStyle name="计算 2 2 8 5 3" xfId="11636"/>
    <cellStyle name="标题 3 4 3 3" xfId="11637"/>
    <cellStyle name="超链接 3 3 7 3" xfId="11638"/>
    <cellStyle name="输入 2 7 8 3" xfId="11639"/>
    <cellStyle name="60% - 强调文字颜色 6 4 2 2 2 3" xfId="11640"/>
    <cellStyle name="输出 2 3 3 3 2 2" xfId="11641"/>
    <cellStyle name="40% - 强调文字颜色 2 2 2 2 2 4 3 2 2" xfId="11642"/>
    <cellStyle name="计算 5 5 2" xfId="11643"/>
    <cellStyle name="计算 2 5 2 5 6" xfId="11644"/>
    <cellStyle name="常规 8 3 4 3 2" xfId="11645"/>
    <cellStyle name="20% - 强调文字颜色 1 2 2 2 6 2 2 2" xfId="11646"/>
    <cellStyle name="好 2 2 4 4 3" xfId="11647"/>
    <cellStyle name="计算 2 4 4 5 3" xfId="11648"/>
    <cellStyle name="汇总 2 5 2 2 2 2 3 3" xfId="11649"/>
    <cellStyle name="20% - 强调文字颜色 5 2 3" xfId="11650"/>
    <cellStyle name="60% - 强调文字颜色 5 2 3 2 2 2 2 2 2" xfId="11651"/>
    <cellStyle name="40% - 强调文字颜色 2 2 3 2 4 3" xfId="11652"/>
    <cellStyle name="汇总 2 6 5" xfId="11653"/>
    <cellStyle name="60% - 强调文字颜色 4 2 2 2 2 4 2 2 2" xfId="11654"/>
    <cellStyle name="计算 2 5 3 2 2 4 3" xfId="11655"/>
    <cellStyle name="强调文字颜色 5 2 3 2 5 3" xfId="11656"/>
    <cellStyle name="汇总 2 5 5 5 2" xfId="11657"/>
    <cellStyle name="解释性文本 2 2 3 3 4" xfId="11658"/>
    <cellStyle name="计算 2 5 2 6 3 2 2" xfId="11659"/>
    <cellStyle name="汇总 3 3 4 2 2" xfId="11660"/>
    <cellStyle name="常规 4 14" xfId="11661"/>
    <cellStyle name="常规 5 2 3 3 2 5" xfId="11662"/>
    <cellStyle name="输出 2 2 3 3 6 2" xfId="11663"/>
    <cellStyle name="计算 2 3 4 2 4" xfId="11664"/>
    <cellStyle name="强调文字颜色 6 2 3 2 3 3" xfId="11665"/>
    <cellStyle name="20% - 强调文字颜色 6 3 3 2 2 2" xfId="11666"/>
    <cellStyle name="60% - 强调文字颜色 3 2 2 2 3 2 2 2 2 2" xfId="11667"/>
    <cellStyle name="汇总 2 5 2 2 2 5 3" xfId="11668"/>
    <cellStyle name="链接单元格 2 3 4 3" xfId="11669"/>
    <cellStyle name="40% - 强调文字颜色 4 2 2 2 2 3" xfId="11670"/>
    <cellStyle name="20% - 强调文字颜色 1 2 2 2 2 2 4 2" xfId="11671"/>
    <cellStyle name="解释性文本 3 8" xfId="11672"/>
    <cellStyle name="超链接 3 2 3 3 2 2" xfId="11673"/>
    <cellStyle name="输入 2 6 4 3 2 2" xfId="11674"/>
    <cellStyle name="适中 2 2 2 4" xfId="11675"/>
    <cellStyle name="强调文字颜色 4 2 2 2 3 3 2" xfId="11676"/>
    <cellStyle name="注释 2 4 5 2 2" xfId="11677"/>
    <cellStyle name="链接单元格 2 2 2 5 2 3" xfId="11678"/>
    <cellStyle name="强调文字颜色 1 2 2 3 4 2 2 2" xfId="11679"/>
    <cellStyle name="计算 2 9 3 5" xfId="11680"/>
    <cellStyle name="汇总 2 2 9 3 4" xfId="11681"/>
    <cellStyle name="解释性文本 2 14" xfId="11682"/>
    <cellStyle name="常规 6 2 2 2 2 2 2 2 2" xfId="11683"/>
    <cellStyle name="40% - 强调文字颜色 2 3 2 3 2" xfId="11684"/>
    <cellStyle name="解释性文本 2 2" xfId="11685"/>
    <cellStyle name="计算 2 7 9 2 2" xfId="11686"/>
    <cellStyle name="输入 2 7 3 3 3" xfId="11687"/>
    <cellStyle name="超链接 3 3 2 3 3" xfId="11688"/>
    <cellStyle name="汇总 2 4 2 3 5" xfId="11689"/>
    <cellStyle name="注释 3 3 5 3" xfId="11690"/>
    <cellStyle name="汇总 2 4 4 2 4 2" xfId="11691"/>
    <cellStyle name="60% - 强调文字颜色 5 3 3 3 2 2" xfId="11692"/>
    <cellStyle name="常规 6 2 2 2 2 2" xfId="11693"/>
    <cellStyle name="注释 2 3 2 5 2" xfId="11694"/>
    <cellStyle name="差 2" xfId="11695"/>
    <cellStyle name="常规 6 3 2 2 5" xfId="11696"/>
    <cellStyle name="强调文字颜色 3 2 3 5 2 2 2" xfId="11697"/>
    <cellStyle name="计算 2 2 6 6 3" xfId="11698"/>
    <cellStyle name="强调文字颜色 4 2 4 3 2 3" xfId="11699"/>
    <cellStyle name="标题 3 2 4 3" xfId="11700"/>
    <cellStyle name="汇总 2 7 2 7 2" xfId="11701"/>
    <cellStyle name="常规 6" xfId="11702"/>
    <cellStyle name="20% - 强调文字颜色 3 2 2 5 3 2 2" xfId="11703"/>
    <cellStyle name="常规 13 2 2 2 2 3 3" xfId="11704"/>
    <cellStyle name="常规 5 7 2" xfId="11705"/>
    <cellStyle name="常规 5 6 3" xfId="11706"/>
    <cellStyle name="好 4 2 3 2 2" xfId="11707"/>
    <cellStyle name="20% - 强调文字颜色 6 2 7 2" xfId="11708"/>
    <cellStyle name="常规 12 3 2 2" xfId="11709"/>
    <cellStyle name="强调文字颜色 6 2 2 2 2 5 2" xfId="11710"/>
    <cellStyle name="汇总 2 6 2 2 2 6" xfId="11711"/>
    <cellStyle name="40% - 强调文字颜色 4 2 7 3 2 2" xfId="11712"/>
    <cellStyle name="输入 2 5 2 2 2" xfId="11713"/>
    <cellStyle name="强调文字颜色 3 2 3 2 5 2 2" xfId="11714"/>
    <cellStyle name="常规 5 6 2 3 2 2" xfId="11715"/>
    <cellStyle name="常规 5 6 2 3" xfId="11716"/>
    <cellStyle name="好 2 3 3 2 2 2 2" xfId="11717"/>
    <cellStyle name="40% - 强调文字颜色 4 2 2 2 2 4 2" xfId="11718"/>
    <cellStyle name="20% - 强调文字颜色 1 2 2 2 2 2 4 3 2" xfId="11719"/>
    <cellStyle name="40% - 强调文字颜色 2 2 2 3 3 2 2 2" xfId="11720"/>
    <cellStyle name="链接单元格 2 2 2 2 2 2 2" xfId="11721"/>
    <cellStyle name="输入 2 7 2 2 2 3" xfId="11722"/>
    <cellStyle name="20% - 强调文字颜色 6 2 2 2" xfId="11723"/>
    <cellStyle name="链接单元格 2 3 2 3 2 2" xfId="11724"/>
    <cellStyle name="常规 5 2 6 4" xfId="11725"/>
    <cellStyle name="强调文字颜色 6 2 3 4 2 2 2" xfId="11726"/>
    <cellStyle name="强调文字颜色 2 2 6 3" xfId="11727"/>
    <cellStyle name="20% - 强调文字颜色 5 4" xfId="11728"/>
    <cellStyle name="汇总 2 5 2 2 2 2 5" xfId="11729"/>
    <cellStyle name="输入 2 2 4 4 7" xfId="11730"/>
    <cellStyle name="汇总 2 8 2 2 2 2" xfId="11731"/>
    <cellStyle name="40% - 强调文字颜色 6 2 3 2 4 2 2" xfId="11732"/>
    <cellStyle name="20% - 强调文字颜色 3 2 2 2 2 4" xfId="11733"/>
    <cellStyle name="计算 2 5 2 2 10" xfId="11734"/>
    <cellStyle name="20% - 强调文字颜色 4 2 3 2 2 2" xfId="11735"/>
    <cellStyle name="好 5 2 2 3" xfId="11736"/>
    <cellStyle name="60% - 强调文字颜色 6 2 2 4 2 4" xfId="11737"/>
    <cellStyle name="输入 2 5 3 2 3 3" xfId="11738"/>
    <cellStyle name="20% - 强调文字颜色 4 2 2 2 2 2 5 2" xfId="11739"/>
    <cellStyle name="汇总 2 2 2 2 5 3" xfId="11740"/>
    <cellStyle name="输入 2 5 2 8" xfId="11741"/>
    <cellStyle name="输入 2 7 6 2" xfId="11742"/>
    <cellStyle name="超链接 3 3 5 2" xfId="11743"/>
    <cellStyle name="汇总 2 2 10 6" xfId="11744"/>
    <cellStyle name="适中 2 3 3 6" xfId="11745"/>
    <cellStyle name="检查单元格 2 3 3 2 2" xfId="11746"/>
    <cellStyle name="注释 2 8 2 3 2" xfId="11747"/>
    <cellStyle name="40% - 强调文字颜色 5 2 3 2 4" xfId="11748"/>
    <cellStyle name="强调文字颜色 1 2 3 3" xfId="11749"/>
    <cellStyle name="强调文字颜色 5 2 4 4 4" xfId="11750"/>
    <cellStyle name="60% - 强调文字颜色 6 2 2 3 6" xfId="11751"/>
    <cellStyle name="汇总 2 2 4 2 4 4" xfId="11752"/>
    <cellStyle name="20% - 强调文字颜色 1 2 2 2 2 2 2 2" xfId="11753"/>
    <cellStyle name="输入 2 2 4 4 2 6" xfId="11754"/>
    <cellStyle name="40% - 强调文字颜色 2 2 2 2 2 2 4 3 2" xfId="11755"/>
    <cellStyle name="20% - 强调文字颜色 3 2 3 5 2 2" xfId="11756"/>
    <cellStyle name="计算 2 2 11 4" xfId="11757"/>
    <cellStyle name="常规 6 2 3 4 2" xfId="11758"/>
    <cellStyle name="40% - 强调文字颜色 4 2 2 4 2" xfId="11759"/>
    <cellStyle name="注释 3 2 2 5 3" xfId="11760"/>
    <cellStyle name="40% - 强调文字颜色 5 2 2 2 2 3 2 2" xfId="11761"/>
    <cellStyle name="百分比 2 2 3 2 2 2 2" xfId="11762"/>
    <cellStyle name="40% - 强调文字颜色 3 2 3 6 2 2 2" xfId="11763"/>
    <cellStyle name="20% - 强调文字颜色 3 2 2 2 2 2 4 3 2" xfId="11764"/>
    <cellStyle name="强调文字颜色 5 2 6 3 2" xfId="11765"/>
    <cellStyle name="差 6" xfId="11766"/>
    <cellStyle name="适中 2 8" xfId="11767"/>
    <cellStyle name="60% - 强调文字颜色 4 2 4 2 2 2 2 2" xfId="11768"/>
    <cellStyle name="计算 2 6 3 4 2" xfId="11769"/>
    <cellStyle name="汇总 2 5 2 6" xfId="11770"/>
    <cellStyle name="60% - 强调文字颜色 1 2 2 4 2 3 2" xfId="11771"/>
    <cellStyle name="常规 7 2 2 2 4" xfId="11772"/>
    <cellStyle name="20% - 强调文字颜色 3 2 4 3" xfId="11773"/>
    <cellStyle name="60% - 强调文字颜色 4 2 4 6" xfId="11774"/>
    <cellStyle name="常规 10 2 2 6 2" xfId="11775"/>
    <cellStyle name="汇总 2 10 4 3" xfId="11776"/>
    <cellStyle name="注释 2 4 2 3 2" xfId="11777"/>
    <cellStyle name="输入 2 2 7 8" xfId="11778"/>
    <cellStyle name="计算 2 4 2 2 2 4 2 2" xfId="11779"/>
    <cellStyle name="强调文字颜色 2 2 4 5 3" xfId="11780"/>
    <cellStyle name="计算 2 2 3 3 5 2" xfId="11781"/>
    <cellStyle name="60% - 强调文字颜色 1 3 2 2" xfId="11782"/>
    <cellStyle name="常规 3 7 5" xfId="11783"/>
    <cellStyle name="计算 2 2 7 3 4 2 2" xfId="11784"/>
    <cellStyle name="超链接 2 2 4 2 4" xfId="11785"/>
    <cellStyle name="好 2 6 2" xfId="11786"/>
    <cellStyle name="强调文字颜色 3 2 3 3 2 3" xfId="11787"/>
    <cellStyle name="汇总 3 4 2" xfId="11788"/>
    <cellStyle name="常规 8 2 2 3" xfId="11789"/>
    <cellStyle name="计算 2 2 4 3 2 2 4 2 2" xfId="11790"/>
    <cellStyle name="好 2 2 3 5 2" xfId="11791"/>
    <cellStyle name="40% - 强调文字颜色 1 2 2 4" xfId="11792"/>
    <cellStyle name="60% - 强调文字颜色 5 2 2 3 3" xfId="11793"/>
    <cellStyle name="注释 2 2 6 3 5" xfId="11794"/>
    <cellStyle name="输出 2 3 2 7" xfId="11795"/>
    <cellStyle name="解释性文本 2 2 3 5" xfId="11796"/>
    <cellStyle name="60% - 强调文字颜色 5 3 2 2 4 2" xfId="11797"/>
    <cellStyle name="超链接 2 2 2 2 4 2" xfId="11798"/>
    <cellStyle name="20% - 强调文字颜色 3 2 5 2 2 2" xfId="11799"/>
    <cellStyle name="超链接 2 2 4 2 3" xfId="11800"/>
    <cellStyle name="20% - 强调文字颜色 5 2 3 6 2 2" xfId="11801"/>
    <cellStyle name="60% - 强调文字颜色 6 4 5 2" xfId="11802"/>
    <cellStyle name="标题 4 2 5 2 2 3" xfId="11803"/>
    <cellStyle name="40% - 强调文字颜色 5 2 2 3 2 2 2" xfId="11804"/>
    <cellStyle name="适中 2 2 4 3 3" xfId="11805"/>
    <cellStyle name="好 2 3 2 3 2 2 2" xfId="11806"/>
    <cellStyle name="强调文字颜色 6 2 5 3" xfId="11807"/>
    <cellStyle name="常规 9 3 2 3 2" xfId="11808"/>
    <cellStyle name="警告文本 2 2 2 2 4 2 2" xfId="11809"/>
    <cellStyle name="40% - 强调文字颜色 1 4 2 3 2" xfId="11810"/>
    <cellStyle name="常规 5 3 3 2 3" xfId="11811"/>
    <cellStyle name="40% - 强调文字颜色 3 2 3 2 5" xfId="11812"/>
    <cellStyle name="汇总 2 2 3 2 2 9" xfId="11813"/>
    <cellStyle name="汇总 2 6 3 3 2 2 2" xfId="11814"/>
    <cellStyle name="注释 2 2 3 3 6" xfId="11815"/>
    <cellStyle name="常规 5 5 2 2 3 2 2" xfId="11816"/>
    <cellStyle name="输出 3 10" xfId="11817"/>
    <cellStyle name="注释 2 3 3 2 5" xfId="11818"/>
    <cellStyle name="计算 2 2 7 3 2 2 3" xfId="11819"/>
    <cellStyle name="强调文字颜色 3 2 2 2 4 3 2 2" xfId="11820"/>
    <cellStyle name="汇总 2 3 3 4 2" xfId="11821"/>
    <cellStyle name="60% - 强调文字颜色 3 4 2 2 2 2" xfId="11822"/>
    <cellStyle name="40% - 强调文字颜色 4 3 2 4 2 2" xfId="11823"/>
    <cellStyle name="输入 3 5" xfId="11824"/>
    <cellStyle name="计算 3 2 6 2 2" xfId="11825"/>
    <cellStyle name="警告文本 2 2 3 5" xfId="11826"/>
    <cellStyle name="计算 2 2 4 2 4 2 4" xfId="11827"/>
    <cellStyle name="检查单元格 2 3 2 4 2 2" xfId="11828"/>
    <cellStyle name="汇总 3 4 3" xfId="11829"/>
    <cellStyle name="计算 2 9 2 4 2 2" xfId="11830"/>
    <cellStyle name="注释 2 4 6 3" xfId="11831"/>
    <cellStyle name="计算 2 7 4 8" xfId="11832"/>
    <cellStyle name="百分比 2 2 2 2 2 2 2 3" xfId="11833"/>
    <cellStyle name="标题 5 2 4 3" xfId="11834"/>
    <cellStyle name="计算 2 2 4 4 10" xfId="11835"/>
    <cellStyle name="常规 5 3 2 2 3 2" xfId="11836"/>
    <cellStyle name="60% - 强调文字颜色 6 4 3 2 2" xfId="11837"/>
    <cellStyle name="汇总 2 2 2 2 13" xfId="11838"/>
    <cellStyle name="输入 2 2 15 2 2" xfId="11839"/>
    <cellStyle name="汇总 2 2 5 3 3 3" xfId="11840"/>
    <cellStyle name="强调文字颜色 4 2 5 3 3" xfId="11841"/>
    <cellStyle name="标题 3 2 2 2 2 5 3" xfId="11842"/>
    <cellStyle name="标题 4 2 5" xfId="11843"/>
    <cellStyle name="输入 2 2 4 7 3" xfId="11844"/>
    <cellStyle name="60% - 强调文字颜色 1 3 2 2 3 2" xfId="11845"/>
    <cellStyle name="输出 2 2 3 3 7" xfId="11846"/>
    <cellStyle name="计算 2 3 3 4 2 2" xfId="11847"/>
    <cellStyle name="强调文字颜色 3 2 5 2 3" xfId="11848"/>
    <cellStyle name="标题 4 2 2 2 2 2 3" xfId="11849"/>
    <cellStyle name="常规 11 2 2 5 2" xfId="11850"/>
    <cellStyle name="40% - 强调文字颜色 6 2 2 4 2" xfId="11851"/>
    <cellStyle name="强调文字颜色 1 2 5 2 2 2" xfId="11852"/>
    <cellStyle name="常规 4 3 6 2" xfId="11853"/>
    <cellStyle name="常规 11 3 3 5" xfId="11854"/>
    <cellStyle name="注释 2 2 4 2 2 4" xfId="11855"/>
    <cellStyle name="20% - 强调文字颜色 2 2 3" xfId="11856"/>
    <cellStyle name="汇总 2 2 7 7" xfId="11857"/>
    <cellStyle name="计算 5 2 2 2 2" xfId="11858"/>
    <cellStyle name="汇总 2 2 4 2 2 3 4 3" xfId="11859"/>
    <cellStyle name="输出 2 2 9 3 2 2" xfId="11860"/>
    <cellStyle name="汇总 2 2 5 6" xfId="11861"/>
    <cellStyle name="常规 3 3 2 2 2 2" xfId="11862"/>
    <cellStyle name="计算 2 3 2 2 4 2" xfId="11863"/>
    <cellStyle name="注释 3 2 2 3 2" xfId="11864"/>
    <cellStyle name="适中 2 3 6 2" xfId="11865"/>
    <cellStyle name="汇总 2 2 13 2" xfId="11866"/>
    <cellStyle name="注释 2 2 3 3" xfId="11867"/>
    <cellStyle name="计算 2 9 4 2" xfId="11868"/>
    <cellStyle name="强调文字颜色 1 2 3 5 2 3" xfId="11869"/>
    <cellStyle name="计算 2 2 6 10 2" xfId="11870"/>
    <cellStyle name="输入 2 7 4 6" xfId="11871"/>
    <cellStyle name="汇总 2 18 2" xfId="11872"/>
    <cellStyle name="输入 2 5 2 2 2 3 3" xfId="11873"/>
    <cellStyle name="60% - 强调文字颜色 2 2 4 4 2 2 2" xfId="11874"/>
    <cellStyle name="计算 2 5 3 2 2 5" xfId="11875"/>
    <cellStyle name="强调文字颜色 5 2 3 2 6" xfId="11876"/>
    <cellStyle name="常规 5 2 2 2 2 2 2 2" xfId="11877"/>
    <cellStyle name="常规 10 2 3 3 3 2 2" xfId="11878"/>
    <cellStyle name="强调文字颜色 5 2 2 3 4 2" xfId="11879"/>
    <cellStyle name="警告文本 2 2 2 4 3 3" xfId="11880"/>
    <cellStyle name="常规 5 3 2 2 2 3 2" xfId="11881"/>
    <cellStyle name="计算 2 2 9 2 4" xfId="11882"/>
    <cellStyle name="检查单元格 2 2 2 3 2 2" xfId="11883"/>
    <cellStyle name="20% - 强调文字颜色 1 3 2 2 3 2" xfId="11884"/>
    <cellStyle name="强调文字颜色 2 2 2 2 2 2 3 2" xfId="11885"/>
    <cellStyle name="计算 2 2 4 3 2 9" xfId="11886"/>
    <cellStyle name="汇总 2 2 4 2 2 2 6" xfId="11887"/>
    <cellStyle name="常规 5 3 2 2 4 2" xfId="11888"/>
    <cellStyle name="强调文字颜色 3 2 2 3 2 2 2" xfId="11889"/>
    <cellStyle name="输入 4 5" xfId="11890"/>
    <cellStyle name="强调文字颜色 4 2 3 4 2 2 2" xfId="11891"/>
    <cellStyle name="输入 2 2 4 2 3 2 5" xfId="11892"/>
    <cellStyle name="注释 2 7 3 2" xfId="11893"/>
    <cellStyle name="计算 2 5 2 4 2 2 3" xfId="11894"/>
    <cellStyle name="标题 2 3 4 2 2" xfId="11895"/>
    <cellStyle name="常规 11 2 2 3 4 2" xfId="11896"/>
    <cellStyle name="计算 5 2 2 2" xfId="11897"/>
    <cellStyle name="计算 2 5 2 2 6 2" xfId="11898"/>
    <cellStyle name="常规 3 2 4 3 4" xfId="11899"/>
    <cellStyle name="汇总 2 2 2 2 2 3 4 2" xfId="11900"/>
    <cellStyle name="注释 4 3 4" xfId="11901"/>
    <cellStyle name="计算 3 2 7" xfId="11902"/>
    <cellStyle name="汇总 2 4 4 3 3" xfId="11903"/>
    <cellStyle name="常规 2 5 3 2 2 2 2" xfId="11904"/>
    <cellStyle name="40% - 强调文字颜色 3 4 3 2" xfId="11905"/>
    <cellStyle name="适中 2 2 2 2 4 2 2" xfId="11906"/>
    <cellStyle name="常规 5 4 2 2 3 3" xfId="11907"/>
    <cellStyle name="标题 4 2 2 3 3 3 3" xfId="11908"/>
    <cellStyle name="差 4 4 3" xfId="11909"/>
    <cellStyle name="链接单元格 2 2 4 6" xfId="11910"/>
    <cellStyle name="计算 4 2 3 5" xfId="11911"/>
    <cellStyle name="60% - 强调文字颜色 3 4 2 2 2" xfId="11912"/>
    <cellStyle name="计算 2 2 5 4 5 2 2" xfId="11913"/>
    <cellStyle name="汇总 2 3 3 4" xfId="11914"/>
    <cellStyle name="40% - 强调文字颜色 4 3 2 4 2" xfId="11915"/>
    <cellStyle name="强调文字颜色 4 2 2 2 2 3" xfId="11916"/>
    <cellStyle name="超链接 3 2 3 2 2" xfId="11917"/>
    <cellStyle name="输入 2 6 4 2 2" xfId="11918"/>
    <cellStyle name="注释 2 4 4 2" xfId="11919"/>
    <cellStyle name="计算 2 2 8 3 4 2 2" xfId="11920"/>
    <cellStyle name="强调文字颜色 1 2 3 3 5" xfId="11921"/>
    <cellStyle name="标题 4 5 2" xfId="11922"/>
    <cellStyle name="常规 5 2 2 2 2 5" xfId="11923"/>
    <cellStyle name="常规 10 2 2 2 3 4" xfId="11924"/>
    <cellStyle name="强调文字颜色 5 2 2 5 3" xfId="11925"/>
    <cellStyle name="常规 5 2 2 6" xfId="11926"/>
    <cellStyle name="标题 4 4 2 4 2" xfId="11927"/>
    <cellStyle name="输入 2 2 5 2 3 4" xfId="11928"/>
    <cellStyle name="计算 2 2 5 9" xfId="11929"/>
    <cellStyle name="60% - 强调文字颜色 1 2 3 2 3 2 2 2" xfId="11930"/>
    <cellStyle name="汇总 2 5 3 2 6" xfId="11931"/>
    <cellStyle name="常规 9 5 2 3 2" xfId="11932"/>
    <cellStyle name="计算 2 2 3 2 2 3 4" xfId="11933"/>
    <cellStyle name="强调文字颜色 2 2 3 2 4 4" xfId="11934"/>
    <cellStyle name="强调文字颜色 1 2 2 3 3 4" xfId="11935"/>
    <cellStyle name="60% - 强调文字颜色 2 2 2 9" xfId="11936"/>
    <cellStyle name="解释性文本 2 6" xfId="11937"/>
    <cellStyle name="超链接 3 2 2 2 3 2 2" xfId="11938"/>
    <cellStyle name="标题 1 4" xfId="11939"/>
    <cellStyle name="20% - 强调文字颜色 5 2 2 3 3" xfId="11940"/>
    <cellStyle name="40% - 强调文字颜色 1 2 4 6" xfId="11941"/>
    <cellStyle name="汇总 2 3 2 2 5 2 2" xfId="11942"/>
    <cellStyle name="汇总 2 6 4 3 3" xfId="11943"/>
    <cellStyle name="20% - 强调文字颜色 2 2 3 2 3 2 2 2" xfId="11944"/>
    <cellStyle name="汇总 2 2 5 3 6 3" xfId="11945"/>
    <cellStyle name="输出 2 2 4 2 3 2" xfId="11946"/>
    <cellStyle name="常规 5 2 4 2 3 2 2" xfId="11947"/>
    <cellStyle name="常规 5 7 3" xfId="11948"/>
    <cellStyle name="输出 2 2 4 2 3" xfId="11949"/>
    <cellStyle name="常规 5 2 4 2 3 2" xfId="11950"/>
    <cellStyle name="20% - 强调文字颜色 4 2 2 4 2 2 2" xfId="11951"/>
    <cellStyle name="链接单元格 2 3 4 2" xfId="11952"/>
    <cellStyle name="计算 2 2 6 2 2 6 2" xfId="11953"/>
    <cellStyle name="汇总 2 5 2 2 2 5 2" xfId="11954"/>
    <cellStyle name="常规 5 2 3 3 2 3 2 2" xfId="11955"/>
    <cellStyle name="汇总 2 7 4 2 2 3" xfId="11956"/>
    <cellStyle name="输入 4 2 7" xfId="11957"/>
    <cellStyle name="标题 2 2 3 2 5" xfId="11958"/>
    <cellStyle name="20% - 强调文字颜色 5 2 2 2 2 2 4 3 2" xfId="11959"/>
    <cellStyle name="汇总 2 2 3 4 4 2 2" xfId="11960"/>
    <cellStyle name="汇总 2 2 4 2 2 2 4" xfId="11961"/>
    <cellStyle name="计算 2 2 4 3 2 7" xfId="11962"/>
    <cellStyle name="输入 2 2 6 3 3 2 2" xfId="11963"/>
    <cellStyle name="计算 2 5 2 7 2 2" xfId="11964"/>
    <cellStyle name="差 4 3" xfId="11965"/>
    <cellStyle name="常规 6 4 2 2 2 2" xfId="11966"/>
    <cellStyle name="40% - 强调文字颜色 2 4 2 3" xfId="11967"/>
    <cellStyle name="注释 2 2 6 5" xfId="11968"/>
    <cellStyle name="标题 1 4 2 3 3" xfId="11969"/>
    <cellStyle name="输出 2 7 6" xfId="11970"/>
    <cellStyle name="常规 2 4 5" xfId="11971"/>
    <cellStyle name="输出 2 5 7" xfId="11972"/>
    <cellStyle name="计算 2 2 6 3 9" xfId="11973"/>
    <cellStyle name="60% - 强调文字颜色 4 3 6" xfId="11974"/>
    <cellStyle name="警告文本 2 2 3 3" xfId="11975"/>
    <cellStyle name="输入 2 2 6 8 3" xfId="11976"/>
    <cellStyle name="标题 6 3 5" xfId="11977"/>
    <cellStyle name="计算 2 2 4 2 4 2 2" xfId="11978"/>
    <cellStyle name="计算 2 2 6 2 5 3" xfId="11979"/>
    <cellStyle name="汇总 2 5 2 2 5 2" xfId="11980"/>
    <cellStyle name="60% - 强调文字颜色 4 2 2 3" xfId="11981"/>
    <cellStyle name="标题 1 2 11" xfId="11982"/>
    <cellStyle name="计算 2 6 2 2 2 3 2" xfId="11983"/>
    <cellStyle name="输出 2 4 3 2 2 3" xfId="11984"/>
    <cellStyle name="适中 3 12" xfId="11985"/>
    <cellStyle name="计算 2 2 5 4 2 4 2" xfId="11986"/>
    <cellStyle name="常规 9 3 3 3 3" xfId="11987"/>
    <cellStyle name="检查单元格 4 2 4" xfId="11988"/>
    <cellStyle name="计算 2 3 14" xfId="11989"/>
    <cellStyle name="标题 4 2 2 3" xfId="11990"/>
    <cellStyle name="输入 2 8 2 2 3" xfId="11991"/>
    <cellStyle name="标题 4 2 3 6" xfId="11992"/>
    <cellStyle name="解释性文本 2 2 2 5 2 2" xfId="11993"/>
    <cellStyle name="60% - 强调文字颜色 5 3 2 2 3 2 2 2" xfId="11994"/>
    <cellStyle name="链接单元格 2 2 2 3 2" xfId="11995"/>
    <cellStyle name="40% - 强调文字颜色 2 2 2 3 4 2" xfId="11996"/>
    <cellStyle name="常规 2 2 2 2 2 2 2 2 2" xfId="11997"/>
    <cellStyle name="输入 2 2 3 2 2 3" xfId="11998"/>
    <cellStyle name="强调文字颜色 6 2 2 2 5 2 2" xfId="11999"/>
    <cellStyle name="汇总 2 4 3 2 8" xfId="12000"/>
    <cellStyle name="输入 3 2 2 4 2" xfId="12001"/>
    <cellStyle name="输入 6 2 2" xfId="12002"/>
    <cellStyle name="计算 2 4 2 2 3 2 3" xfId="12003"/>
    <cellStyle name="计算 2 4 2 2 2 2 2 2" xfId="12004"/>
    <cellStyle name="注释 5 5 2" xfId="12005"/>
    <cellStyle name="60% - 强调文字颜色 6 3 2 3 3" xfId="12006"/>
    <cellStyle name="标题 2 2 3 2 6 2" xfId="12007"/>
    <cellStyle name="输出 2 2 3 2 2 3 2 3" xfId="12008"/>
    <cellStyle name="汇总 2 2 8 4 2 2 2" xfId="12009"/>
    <cellStyle name="标题 2 2 2 3 2 2 2" xfId="12010"/>
    <cellStyle name="汇总 2 7 2 2 5 2" xfId="12011"/>
    <cellStyle name="输入 3 3 4 2 2" xfId="12012"/>
    <cellStyle name="差 2 5 2 3" xfId="12013"/>
    <cellStyle name="好 2 2 2 2 3 4" xfId="12014"/>
    <cellStyle name="链接单元格 2 3 6 2" xfId="12015"/>
    <cellStyle name="标题 5 2 3 3 2 2 2" xfId="12016"/>
    <cellStyle name="汇总 2 6 2 2 2 5 2" xfId="12017"/>
    <cellStyle name="汇总 2 2 4 2 2 3" xfId="12018"/>
    <cellStyle name="20% - 强调文字颜色 4 2 2 2 4 2 2 2" xfId="12019"/>
    <cellStyle name="计算 2 2 2 3 5 2" xfId="12020"/>
    <cellStyle name="注释 2 6 4 6" xfId="12021"/>
    <cellStyle name="注释 2 4 2 2 2 4 2" xfId="12022"/>
    <cellStyle name="输出 2 2 3 2 2 2 2 2 3" xfId="12023"/>
    <cellStyle name="常规 10 3 6 3" xfId="12024"/>
    <cellStyle name="60% - 强调文字颜色 4 2 3 8" xfId="12025"/>
    <cellStyle name="汇总 2 10 3 5" xfId="12026"/>
    <cellStyle name="计算 2 2 3 4 2 4 3" xfId="12027"/>
    <cellStyle name="输出 2 2 3 2 2 4" xfId="12028"/>
    <cellStyle name="标题 4 2 3 3 3" xfId="12029"/>
    <cellStyle name="强调文字颜色 4 3 6" xfId="12030"/>
    <cellStyle name="汇总 2 2 4 2 4 2 5" xfId="12031"/>
    <cellStyle name="60% - 强调文字颜色 3 4 2 3 2 2" xfId="12032"/>
    <cellStyle name="汇总 2 3 4 4 2" xfId="12033"/>
    <cellStyle name="强调文字颜色 2 3 2 2" xfId="12034"/>
    <cellStyle name="注释 2 4 4 2 2" xfId="12035"/>
    <cellStyle name="强调文字颜色 4 2 2 2 2 3 2" xfId="12036"/>
    <cellStyle name="常规 5 5 2 5 2 2" xfId="12037"/>
    <cellStyle name="常规 5 2 2 3 2 3 2 2" xfId="12038"/>
    <cellStyle name="60% - 强调文字颜色 6 2 7" xfId="12039"/>
    <cellStyle name="20% - 强调文字颜色 1 2 3 2 3 2 2 2 2" xfId="12040"/>
    <cellStyle name="解释性文本 3 2 4" xfId="12041"/>
    <cellStyle name="输出 2 6 2 2 3 2 2" xfId="12042"/>
    <cellStyle name="汇总 5 2 2 2 2" xfId="12043"/>
    <cellStyle name="60% - 强调文字颜色 5 2 2 2 2 2 2 2" xfId="12044"/>
    <cellStyle name="好 2 2 2 6 2" xfId="12045"/>
    <cellStyle name="解释性文本 2 4 9" xfId="12046"/>
    <cellStyle name="20% - 强调文字颜色 3 4 2" xfId="12047"/>
    <cellStyle name="强调文字颜色 5 2 2 4 2 2 2 2" xfId="12048"/>
    <cellStyle name="60% - 强调文字颜色 1 2 2 5 3" xfId="12049"/>
    <cellStyle name="强调文字颜色 2 2 4 3 2" xfId="12050"/>
    <cellStyle name="注释 2 3 2 2 2 2 3" xfId="12051"/>
    <cellStyle name="计算 2 6 2 2 3 3 2 2" xfId="12052"/>
    <cellStyle name="输入 3 2 2 5 2" xfId="12053"/>
    <cellStyle name="计算 2 2 5 2 2 10" xfId="12054"/>
    <cellStyle name="40% - 强调文字颜色 4 3 3 3 2 2" xfId="12055"/>
    <cellStyle name="汇总 2 4 2 4 2" xfId="12056"/>
    <cellStyle name="40% - 强调文字颜色 1 2 2 2 2 2 4 2" xfId="12057"/>
    <cellStyle name="超链接 2 2 2 2 3 2 2 2" xfId="12058"/>
    <cellStyle name="常规 9 5 3 4" xfId="12059"/>
    <cellStyle name="输出 2 4 5 2 3" xfId="12060"/>
    <cellStyle name="40% - 强调文字颜色 5 2 3 2 3 2 2 2" xfId="12061"/>
    <cellStyle name="20% - 强调文字颜色 2 4 3 2 2" xfId="12062"/>
    <cellStyle name="计算 2 2 3 2 3 2 2 2" xfId="12063"/>
    <cellStyle name="计算 2 2 2 2 2 2 2 4" xfId="12064"/>
    <cellStyle name="60% - 强调文字颜色 2 2 2 9 2" xfId="12065"/>
    <cellStyle name="差 2 3 2 3 3 2 2" xfId="12066"/>
    <cellStyle name="常规 4 3 4" xfId="12067"/>
    <cellStyle name="40% - 强调文字颜色 6 2 2 2" xfId="12068"/>
    <cellStyle name="输出 2 13" xfId="12069"/>
    <cellStyle name="好 3 3 2 2" xfId="12070"/>
    <cellStyle name="40% - 强调文字颜色 2 2 5 2" xfId="12071"/>
    <cellStyle name="计算 2 6 2 3 4 3" xfId="12072"/>
    <cellStyle name="常规 4 7" xfId="12073"/>
    <cellStyle name="标题 4 2 2 6 2 2 2" xfId="12074"/>
    <cellStyle name="标题 2 2 2 5 3 2" xfId="12075"/>
    <cellStyle name="警告文本 2 4 2 2 2 2 2" xfId="12076"/>
    <cellStyle name="汇总 2 2 4 2 3 2 8" xfId="12077"/>
    <cellStyle name="强调文字颜色 3 2 3 2 7" xfId="12078"/>
    <cellStyle name="计算 2 5 9 2" xfId="12079"/>
    <cellStyle name="注释 4 2 3 3" xfId="12080"/>
    <cellStyle name="常规 5 6 2 5" xfId="12081"/>
    <cellStyle name="常规 7 2 2 5 2" xfId="12082"/>
    <cellStyle name="常规 5 2 2 4 2 3" xfId="12083"/>
    <cellStyle name="适中 2 2 2 3 6" xfId="12084"/>
    <cellStyle name="常规 5 2 2 2 5" xfId="12085"/>
    <cellStyle name="汇总 3 8 3" xfId="12086"/>
    <cellStyle name="60% - 强调文字颜色 6 2 3 4 3 2 2" xfId="12087"/>
    <cellStyle name="常规 8 2 5" xfId="12088"/>
    <cellStyle name="标题 4 3 4 2 2" xfId="12089"/>
    <cellStyle name="计算 2 8 3 2 4 2" xfId="12090"/>
    <cellStyle name="强调文字颜色 1 2 4 5 3" xfId="12091"/>
    <cellStyle name="强调文字颜色 5 2 2 4 3 2 3" xfId="12092"/>
    <cellStyle name="输出 2 6 2 6 2" xfId="12093"/>
    <cellStyle name="常规 6 2 4" xfId="12094"/>
    <cellStyle name="60% - 强调文字颜色 5 4 3 2 2" xfId="12095"/>
    <cellStyle name="常规 5 4 3 4" xfId="12096"/>
    <cellStyle name="常规 5 2 2 2 3 2" xfId="12097"/>
    <cellStyle name="40% - 强调文字颜色 6 3 2 2 4 2" xfId="12098"/>
    <cellStyle name="常规 5 3 4 4 2" xfId="12099"/>
    <cellStyle name="注释 2 5 2 2 6" xfId="12100"/>
    <cellStyle name="20% - 强调文字颜色 4 2 3 7" xfId="12101"/>
    <cellStyle name="20% - 强调文字颜色 3 2 2 6 3" xfId="12102"/>
    <cellStyle name="链接单元格 2 5 2" xfId="12103"/>
    <cellStyle name="汇总 2 5 2 2 4 3" xfId="12104"/>
    <cellStyle name="解释性文本 2 2 2 2 4 3" xfId="12105"/>
    <cellStyle name="输入 2 6 4 6" xfId="12106"/>
    <cellStyle name="标题 3 2 3 4 2 2 3" xfId="12107"/>
    <cellStyle name="60% - 强调文字颜色 2 2 4 2 2 2 2" xfId="12108"/>
    <cellStyle name="60% - 强调文字颜色 3 3 4 2 2 2" xfId="12109"/>
    <cellStyle name="标题 3 2 3 2 3 2 3" xfId="12110"/>
    <cellStyle name="强调文字颜色 4 2 2 4 4" xfId="12111"/>
    <cellStyle name="标题 1 3 6" xfId="12112"/>
    <cellStyle name="标题 3 4 2 3 3" xfId="12113"/>
    <cellStyle name="解释性文本 2 2 2 2 5 2" xfId="12114"/>
    <cellStyle name="计算 2 2 8 4 3 3" xfId="12115"/>
    <cellStyle name="注释 2 6 4 2 3" xfId="12116"/>
    <cellStyle name="标题 2 3 3 3 2 3" xfId="12117"/>
    <cellStyle name="计算 2 2 5 2 2 2 2 2" xfId="12118"/>
    <cellStyle name="超链接 2 3 2" xfId="12119"/>
    <cellStyle name="强调文字颜色 4 4 2" xfId="12120"/>
    <cellStyle name="链接单元格 2 2 2 2 5 3" xfId="12121"/>
    <cellStyle name="差 2 2 2 2 2 2 2 3" xfId="12122"/>
    <cellStyle name="常规 3 3 2 3" xfId="12123"/>
    <cellStyle name="警告文本 5 2" xfId="12124"/>
    <cellStyle name="百分比 2 2 2 5 3" xfId="12125"/>
    <cellStyle name="汇总 2 2 2 3 2 2 3" xfId="12126"/>
    <cellStyle name="汇总 2 2 10 4" xfId="12127"/>
    <cellStyle name="适中 2 3 3 4" xfId="12128"/>
    <cellStyle name="20% - 强调文字颜色 1 2 4 3" xfId="12129"/>
    <cellStyle name="60% - 强调文字颜色 2 2 2 8" xfId="12130"/>
    <cellStyle name="强调文字颜色 1 2 2 3 3 3" xfId="12131"/>
    <cellStyle name="强调文字颜色 2 2 3 2 4 3" xfId="12132"/>
    <cellStyle name="计算 2 2 3 2 2 3 3" xfId="12133"/>
    <cellStyle name="输出 2 2 4 3 3 2" xfId="12134"/>
    <cellStyle name="解释性文本 2 2 2 8" xfId="12135"/>
    <cellStyle name="链接单元格 2 3 2 4 2 2 2" xfId="12136"/>
    <cellStyle name="20% - 强调文字颜色 6 3 2 2 2" xfId="12137"/>
    <cellStyle name="好 2 3 4 2 2" xfId="12138"/>
    <cellStyle name="计算 2 7 6 3" xfId="12139"/>
    <cellStyle name="20% - 强调文字颜色 3 4 4 2" xfId="12140"/>
    <cellStyle name="计算 2 2 3 3 3 3 2" xfId="12141"/>
    <cellStyle name="汇总 2 12 4 2" xfId="12142"/>
    <cellStyle name="标题 1 2 8 2" xfId="12143"/>
    <cellStyle name="标题 1 3 2 2 2 3" xfId="12144"/>
    <cellStyle name="常规 5 2 2 2 2 3 4" xfId="12145"/>
    <cellStyle name="常规 5 2 11" xfId="12146"/>
    <cellStyle name="常规 6 2 4 3 2" xfId="12147"/>
    <cellStyle name="常规 10 2 2" xfId="12148"/>
    <cellStyle name="警告文本 2 7 2" xfId="12149"/>
    <cellStyle name="注释 2 2 5 2 5" xfId="12150"/>
    <cellStyle name="强调文字颜色 4 2 3 2 3 3 2 2" xfId="12151"/>
    <cellStyle name="计算 2 7 4" xfId="12152"/>
    <cellStyle name="60% - 强调文字颜色 6 2 2 2 2 3 3" xfId="12153"/>
    <cellStyle name="常规 11 2 7" xfId="12154"/>
    <cellStyle name="常规 4 8 3 3" xfId="12155"/>
    <cellStyle name="输出 2 2 3 3 3 3" xfId="12156"/>
    <cellStyle name="输出 2 5 2 2 2 4" xfId="12157"/>
    <cellStyle name="汇总 2 5 2 3 2 3 3" xfId="12158"/>
    <cellStyle name="20% - 强调文字颜色 6 2 3 3 2 2 2 2 2" xfId="12159"/>
    <cellStyle name="注释 2 4 2 7" xfId="12160"/>
    <cellStyle name="标题 1 3 4 2 2 2" xfId="12161"/>
    <cellStyle name="强调文字颜色 4 2 2 4 2 2 2 2" xfId="12162"/>
    <cellStyle name="40% - 强调文字颜色 5 2 6 3 2 2" xfId="12163"/>
    <cellStyle name="常规 4 7 2 2 2" xfId="12164"/>
    <cellStyle name="输出 2 2 3 2 2 2 2" xfId="12165"/>
    <cellStyle name="常规 3 3 7 4 3" xfId="12166"/>
    <cellStyle name="检查单元格 2 2 2 3 2 2 2" xfId="12167"/>
    <cellStyle name="20% - 强调文字颜色 1 3 2 2 3 2 2" xfId="12168"/>
    <cellStyle name="强调文字颜色 5 2 2 3 2" xfId="12169"/>
    <cellStyle name="汇总 2 5 2 2 3 4 3" xfId="12170"/>
    <cellStyle name="链接单元格 2 4 3 3" xfId="12171"/>
    <cellStyle name="常规 4 6 3 3 2" xfId="12172"/>
    <cellStyle name="汇总 2 8 3" xfId="12173"/>
    <cellStyle name="强调文字颜色 6 2 3 5" xfId="12174"/>
    <cellStyle name="汇总 2 2 8 5 4 2" xfId="12175"/>
    <cellStyle name="输出 2 4 2 3 2 3 2" xfId="12176"/>
    <cellStyle name="输入 2 8 3 2 2" xfId="12177"/>
    <cellStyle name="超链接 3 4 2 2 2" xfId="12178"/>
    <cellStyle name="常规 2 2 2 2 2 2 3 2" xfId="12179"/>
    <cellStyle name="60% - 强调文字颜色 5 2 3 2 4 3" xfId="12180"/>
    <cellStyle name="汇总 2 5 2 4 2 3" xfId="12181"/>
    <cellStyle name="计算 2 2 6 4 2 4" xfId="12182"/>
    <cellStyle name="链接单元格 4 3 2" xfId="12183"/>
    <cellStyle name="标题 3 2 2 2 4" xfId="12184"/>
    <cellStyle name="计算 2 2 7 12" xfId="12185"/>
    <cellStyle name="20% - 强调文字颜色 6 2 3 2 2 2" xfId="12186"/>
    <cellStyle name="计算 2 5 2 3 2 8" xfId="12187"/>
    <cellStyle name="20% - 强调文字颜色 5 2 2 2 2 4" xfId="12188"/>
    <cellStyle name="计算 2 2 5 2 2 6 3" xfId="12189"/>
    <cellStyle name="计算 2 2 2 2 2 2 5" xfId="12190"/>
    <cellStyle name="解释性文本 3 5 2" xfId="12191"/>
    <cellStyle name="常规 13 4 2 3 2" xfId="12192"/>
    <cellStyle name="常规 2 2 2 2 5 2 2 2" xfId="12193"/>
    <cellStyle name="适中 2 2 2 2 6 3" xfId="12194"/>
    <cellStyle name="常规 9 2 2 7" xfId="12195"/>
    <cellStyle name="输入 2 5 2 3 4" xfId="12196"/>
    <cellStyle name="汇总 3 2 2 7" xfId="12197"/>
    <cellStyle name="常规 4 5 2 4" xfId="12198"/>
    <cellStyle name="常规 4 4 2 4" xfId="12199"/>
    <cellStyle name="常规 4 4 2 3 2" xfId="12200"/>
    <cellStyle name="好 2 2 2 3 4" xfId="12201"/>
    <cellStyle name="40% - 强调文字颜色 2 2 3 2 2 5 2 2" xfId="12202"/>
    <cellStyle name="汇总 2 4 7 2 2" xfId="12203"/>
    <cellStyle name="输出 2 2 4 2 4" xfId="12204"/>
    <cellStyle name="常规 5 2 4 2 3 3" xfId="12205"/>
    <cellStyle name="好 2 2 2 3 3 2" xfId="12206"/>
    <cellStyle name="计算 2 5 3 2 7" xfId="12207"/>
    <cellStyle name="标题 5 2 2 3 2 2 2 2" xfId="12208"/>
    <cellStyle name="计算 2 2 2 3 2 8" xfId="12209"/>
    <cellStyle name="常规 5 3 3 3 3 2" xfId="12210"/>
    <cellStyle name="常规 4 3 3 6" xfId="12211"/>
    <cellStyle name="常规 4 3 3 5" xfId="12212"/>
    <cellStyle name="40% - 强调文字颜色 3 2 3 3 5" xfId="12213"/>
    <cellStyle name="注释 2 2 3 4 6" xfId="12214"/>
    <cellStyle name="标题 2 2 2 2 2 2 2 2 3" xfId="12215"/>
    <cellStyle name="注释 3 9" xfId="12216"/>
    <cellStyle name="输入 2 2 3 2 2 4 3" xfId="12217"/>
    <cellStyle name="汇总 5 2 2 3" xfId="12218"/>
    <cellStyle name="输出 2 3 2 2 7" xfId="12219"/>
    <cellStyle name="汇总 2 5 5 2 5" xfId="12220"/>
    <cellStyle name="超链接 2 2 3 2" xfId="12221"/>
    <cellStyle name="常规 5 5 2 5 3" xfId="12222"/>
    <cellStyle name="好 2 2 3 2 2" xfId="12223"/>
    <cellStyle name="常规 5 2 2 3 2 3 3" xfId="12224"/>
    <cellStyle name="好 2 4" xfId="12225"/>
    <cellStyle name="汇总 2 2 8 3 4 2 2" xfId="12226"/>
    <cellStyle name="标题 5 7 2 2 2" xfId="12227"/>
    <cellStyle name="常规 11 2 2 2 4 2" xfId="12228"/>
    <cellStyle name="常规 12 3 3 3 2" xfId="12229"/>
    <cellStyle name="40% - 强调文字颜色 4 2 3 2 4 3 2 2" xfId="12230"/>
    <cellStyle name="20% - 强调文字颜色 4 2 2 2 3 3" xfId="12231"/>
    <cellStyle name="常规 5 2 2 2 2 3 3 2" xfId="12232"/>
    <cellStyle name="强调文字颜色 6 3 2 2 2 2" xfId="12233"/>
    <cellStyle name="60% - 强调文字颜色 2 2 3 2 3 3" xfId="12234"/>
    <cellStyle name="计算 2 4 4 6" xfId="12235"/>
    <cellStyle name="输出 2 2 8 7" xfId="12236"/>
    <cellStyle name="输入 2 2 5 5 2" xfId="12237"/>
    <cellStyle name="60% - 强调文字颜色 3 2 4 3 3" xfId="12238"/>
    <cellStyle name="标题 3 2 2 2 3 3 2" xfId="12239"/>
    <cellStyle name="60% - 强调文字颜色 1 2 2 2 3 5" xfId="12240"/>
    <cellStyle name="汇总 2 2 4 5 7" xfId="12241"/>
    <cellStyle name="标题 5 2 2 6 2 2 2" xfId="12242"/>
    <cellStyle name="标题 5 3 6 2" xfId="12243"/>
    <cellStyle name="警告文本 2 5 2 3" xfId="12244"/>
    <cellStyle name="常规 4 3 3 4 2" xfId="12245"/>
    <cellStyle name="常规 4 3 3 4" xfId="12246"/>
    <cellStyle name="汇总 2 2 7 7 3" xfId="12247"/>
    <cellStyle name="常规 4 3 3 2 4 2" xfId="12248"/>
    <cellStyle name="差 4 3 2 3" xfId="12249"/>
    <cellStyle name="常规 4 3 2 5 3" xfId="12250"/>
    <cellStyle name="常规 4 3 2 5 2" xfId="12251"/>
    <cellStyle name="常规 4 3 2 4 2" xfId="12252"/>
    <cellStyle name="常规 4 3 2 3 4" xfId="12253"/>
    <cellStyle name="注释 2 5 3 2 2" xfId="12254"/>
    <cellStyle name="标题 2 3 2 2 2 2" xfId="12255"/>
    <cellStyle name="输入 2 4 3 5 2 2" xfId="12256"/>
    <cellStyle name="好 3 2 4" xfId="12257"/>
    <cellStyle name="汇总 2 3 4 5 2" xfId="12258"/>
    <cellStyle name="汇总 2 7 2 2 3 3" xfId="12259"/>
    <cellStyle name="常规 3 2 4 2 2" xfId="12260"/>
    <cellStyle name="输出 3 3 6 2 2" xfId="12261"/>
    <cellStyle name="常规 4 3 2 3 3 3" xfId="12262"/>
    <cellStyle name="计算 2 4 2 9" xfId="12263"/>
    <cellStyle name="输入 2 2 5 3 5" xfId="12264"/>
    <cellStyle name="汇总 2 2 8 2 4" xfId="12265"/>
    <cellStyle name="标题 5 6 2" xfId="12266"/>
    <cellStyle name="强调文字颜色 3 2 2 3 9" xfId="12267"/>
    <cellStyle name="常规 5 2 2 3 3 5" xfId="12268"/>
    <cellStyle name="输入 2 5 9 2 2" xfId="12269"/>
    <cellStyle name="标题 3 3 2 2 2 3" xfId="12270"/>
    <cellStyle name="常规 5 5 2 3 3 2 2" xfId="12271"/>
    <cellStyle name="注释 2 4 3 2 5" xfId="12272"/>
    <cellStyle name="注释 2 2 3 2 2 2 6" xfId="12273"/>
    <cellStyle name="解释性文本 2 8 4" xfId="12274"/>
    <cellStyle name="强调文字颜色 3 2 2 3 4 2 2 2" xfId="12275"/>
    <cellStyle name="常规 5 2 3 2 2 5" xfId="12276"/>
    <cellStyle name="强调文字颜色 5 2 3 2 4 2 2 2" xfId="12277"/>
    <cellStyle name="20% - 强调文字颜色 6 2 2 2 6" xfId="12278"/>
    <cellStyle name="差 2 3 6 2 2" xfId="12279"/>
    <cellStyle name="标题 1 2 2 2 2 3 4" xfId="12280"/>
    <cellStyle name="汇总 2 3 5 2 3" xfId="12281"/>
    <cellStyle name="60% - 强调文字颜色 2 4 2 2" xfId="12282"/>
    <cellStyle name="计算 2 2 4 4 5 2" xfId="12283"/>
    <cellStyle name="常规 4 2 2 2 5 2 2" xfId="12284"/>
    <cellStyle name="超链接 3 2 2 2 2" xfId="12285"/>
    <cellStyle name="注释 2 6 2 2 2 3" xfId="12286"/>
    <cellStyle name="输入 2 6 3 2 2" xfId="12287"/>
    <cellStyle name="注释 2 3 4 2" xfId="12288"/>
    <cellStyle name="40% - 强调文字颜色 4 2 2 4 3 3" xfId="12289"/>
    <cellStyle name="40% - 强调文字颜色 4 2 2 2" xfId="12290"/>
    <cellStyle name="注释 2 2 3 6 3" xfId="12291"/>
    <cellStyle name="20% - 强调文字颜色 1 2 3 2 2 2 3 2" xfId="12292"/>
    <cellStyle name="40% - 强调文字颜色 3 2 3 5 2" xfId="12293"/>
    <cellStyle name="汇总 2 8 4 2 2 2" xfId="12294"/>
    <cellStyle name="计算 2 5 2 3 5 3" xfId="12295"/>
    <cellStyle name="常规 3 3 7 2 5" xfId="12296"/>
    <cellStyle name="常规 4 3 2 2 3 3" xfId="12297"/>
    <cellStyle name="输入 3 2 2 2 2 2 2" xfId="12298"/>
    <cellStyle name="适中 3 7 2" xfId="12299"/>
    <cellStyle name="汇总 2 6 2 4" xfId="12300"/>
    <cellStyle name="常规 4 2 4 6" xfId="12301"/>
    <cellStyle name="强调文字颜色 5 2 2 2 5 2 2 2" xfId="12302"/>
    <cellStyle name="标题 2 2 4 7" xfId="12303"/>
    <cellStyle name="汇总 2 2 6 2 2 4 3" xfId="12304"/>
    <cellStyle name="输入 4 2" xfId="12305"/>
    <cellStyle name="输入 3 3" xfId="12306"/>
    <cellStyle name="输入 3 2 2" xfId="12307"/>
    <cellStyle name="警告文本 2 6 2" xfId="12308"/>
    <cellStyle name="检查单元格 2 5 2 3" xfId="12309"/>
    <cellStyle name="注释 2 2 9 4 2" xfId="12310"/>
    <cellStyle name="输入 4 2 3 2 2" xfId="12311"/>
    <cellStyle name="输入 2 7 7" xfId="12312"/>
    <cellStyle name="超链接 3 3 6" xfId="12313"/>
    <cellStyle name="注释 2 2 5 3 4 2" xfId="12314"/>
    <cellStyle name="40% - 强调文字颜色 3 2 5 2 3 2" xfId="12315"/>
    <cellStyle name="输出 2 4 2 2" xfId="12316"/>
    <cellStyle name="40% - 强调文字颜色 2 2 2 2 3 3 2" xfId="12317"/>
    <cellStyle name="链接单元格 2 2 4 2 2 3" xfId="12318"/>
    <cellStyle name="汇总 2 2 5 11" xfId="12319"/>
    <cellStyle name="输出 2 6 3 5" xfId="12320"/>
    <cellStyle name="解释性文本 2 3 2 2 2 2 2" xfId="12321"/>
    <cellStyle name="40% - 强调文字颜色 1 2 5 3 2 2" xfId="12322"/>
    <cellStyle name="汇总 2 2 6 4 2 3 2" xfId="12323"/>
    <cellStyle name="汇总 2 2 8 3 2 7" xfId="12324"/>
    <cellStyle name="20% - 强调文字颜色 5 2 3 2 2 2 3 2" xfId="12325"/>
    <cellStyle name="汇总 2 2 2 4 3 3" xfId="12326"/>
    <cellStyle name="20% - 强调文字颜色 4 2 2 2 2 4 3 2" xfId="12327"/>
    <cellStyle name="解释性文本 2 2 2 2 3 4" xfId="12328"/>
    <cellStyle name="常规 4 2 3 2 2 5" xfId="12329"/>
    <cellStyle name="20% - 强调文字颜色 4 2 3 6 2 2 2" xfId="12330"/>
    <cellStyle name="常规 4 3 2 3 5" xfId="12331"/>
    <cellStyle name="超链接 3 3 4 3 2" xfId="12332"/>
    <cellStyle name="强调文字颜色 6 2 3 2 4 2 2 2" xfId="12333"/>
    <cellStyle name="标题 3 5" xfId="12334"/>
    <cellStyle name="超链接 2 6 3 2" xfId="12335"/>
    <cellStyle name="常规 12 3 3 4" xfId="12336"/>
    <cellStyle name="常规 11 2 2 2 5" xfId="12337"/>
    <cellStyle name="常规 10 4 2 3 2 2" xfId="12338"/>
    <cellStyle name="注释 2 2 3 2 2 2 4 2" xfId="12339"/>
    <cellStyle name="输入 2 2 3 3 4" xfId="12340"/>
    <cellStyle name="计算 2 2 2 8" xfId="12341"/>
    <cellStyle name="输出 2 2 5 5 3" xfId="12342"/>
    <cellStyle name="汇总 2 7 5 3 2" xfId="12343"/>
    <cellStyle name="输出 2 5 2 3 4" xfId="12344"/>
    <cellStyle name="20% - 强调文字颜色 5 3 3 3 2" xfId="12345"/>
    <cellStyle name="计算 2 2 9 2 3" xfId="12346"/>
    <cellStyle name="标题 5 7 2 3" xfId="12347"/>
    <cellStyle name="汇总 2 2 8 3 4 3" xfId="12348"/>
    <cellStyle name="强调文字颜色 2 3 4 3" xfId="12349"/>
    <cellStyle name="强调文字颜色 5 2 2 4 3 2 2" xfId="12350"/>
    <cellStyle name="注释 4 2 3 2" xfId="12351"/>
    <cellStyle name="强调文字颜色 3 2 3 2 6" xfId="12352"/>
    <cellStyle name="常规 5 6 2 4" xfId="12353"/>
    <cellStyle name="常规 5 2 2 4 2 2" xfId="12354"/>
    <cellStyle name="强调文字颜色 1 2 4 5 2" xfId="12355"/>
    <cellStyle name="60% - 强调文字颜色 4 2 2 4 2" xfId="12356"/>
    <cellStyle name="链接单元格 2 6 2 2" xfId="12357"/>
    <cellStyle name="强调文字颜色 4 2 2 2 5 2" xfId="12358"/>
    <cellStyle name="常规 5 4 2 3 4" xfId="12359"/>
    <cellStyle name="输入 2 2 2 2 2 2 2 3" xfId="12360"/>
    <cellStyle name="计算 2 3 3 2 3 2 2" xfId="12361"/>
    <cellStyle name="强调文字颜色 3 2 3 3 3 2" xfId="12362"/>
    <cellStyle name="输出 2 6 5 4" xfId="12363"/>
    <cellStyle name="标题 2 4 3 2 2 2" xfId="12364"/>
    <cellStyle name="输入 4 8" xfId="12365"/>
    <cellStyle name="链接单元格 2 2 2 7" xfId="12366"/>
    <cellStyle name="20% - 强调文字颜色 4 2 2 2 2 4 3" xfId="12367"/>
    <cellStyle name="常规 4 2 2 3" xfId="12368"/>
    <cellStyle name="常规 6 5" xfId="12369"/>
    <cellStyle name="汇总 2 2 3 2 7 3" xfId="12370"/>
    <cellStyle name="汇总 2 2 6 2 2 5 2 2" xfId="12371"/>
    <cellStyle name="标题 2 3 2 2 3 2 2 2" xfId="12372"/>
    <cellStyle name="标题 1 2 7 3" xfId="12373"/>
    <cellStyle name="强调文字颜色 4 2 2 3 5 3" xfId="12374"/>
    <cellStyle name="计算 2 2 6 2 5" xfId="12375"/>
    <cellStyle name="60% - 强调文字颜色 4 2 2" xfId="12376"/>
    <cellStyle name="适中 2 6 2 2 2" xfId="12377"/>
    <cellStyle name="计算 2 2 2 4 2 2" xfId="12378"/>
    <cellStyle name="计算 2 5 2 5 4 2" xfId="12379"/>
    <cellStyle name="常规 5 2 2 3" xfId="12380"/>
    <cellStyle name="标题 5 2 3 4 2 3" xfId="12381"/>
    <cellStyle name="20% - 强调文字颜色 4 2 3 2 2 4 3" xfId="12382"/>
    <cellStyle name="差 2 6 3 2 2" xfId="12383"/>
    <cellStyle name="超链接 2 3 2 4 2" xfId="12384"/>
    <cellStyle name="汇总 2 6 2 2 3" xfId="12385"/>
    <cellStyle name="计算 2 5 5 3" xfId="12386"/>
    <cellStyle name="60% - 强调文字颜色 1 2 2 3 4 2" xfId="12387"/>
    <cellStyle name="20% - 强调文字颜色 3 2 3 2" xfId="12388"/>
    <cellStyle name="常规 8 2 2 5" xfId="12389"/>
    <cellStyle name="适中 4 2 3 2" xfId="12390"/>
    <cellStyle name="计算 2 4 6 2" xfId="12391"/>
    <cellStyle name="标题 1 2 3 6 3" xfId="12392"/>
    <cellStyle name="40% - 强调文字颜色 1 2 2 9" xfId="12393"/>
    <cellStyle name="输入 2 5 3 3" xfId="12394"/>
    <cellStyle name="40% - 强调文字颜色 5 2 2 2 2 2 3 3" xfId="12395"/>
    <cellStyle name="计算 2 5 5 2 3 2" xfId="12396"/>
    <cellStyle name="超链接 3 4 4" xfId="12397"/>
    <cellStyle name="输入 2 8 5" xfId="12398"/>
    <cellStyle name="40% - 强调文字颜色 1 2 6 2" xfId="12399"/>
    <cellStyle name="强调文字颜色 1 2 3 2 2 2" xfId="12400"/>
    <cellStyle name="常规 2 3 6 2" xfId="12401"/>
    <cellStyle name="输出 2 4 8 2" xfId="12402"/>
    <cellStyle name="超链接 3 3 2 2 2 2" xfId="12403"/>
    <cellStyle name="输入 2 7 3 2 2 2" xfId="12404"/>
    <cellStyle name="注释 3 3 4 2 2" xfId="12405"/>
    <cellStyle name="强调文字颜色 1 2 2 3 3" xfId="12406"/>
    <cellStyle name="60% - 强调文字颜色 3 2 3 3 6" xfId="12407"/>
    <cellStyle name="输入 2 2 4 5 5" xfId="12408"/>
    <cellStyle name="计算 2 3 4 9" xfId="12409"/>
    <cellStyle name="输入 2 2 5 3 2 4" xfId="12410"/>
    <cellStyle name="标题 2 2 2 2 4 3 2 2" xfId="12411"/>
    <cellStyle name="汇总 7 3" xfId="12412"/>
    <cellStyle name="标题 4 3 2 3 3" xfId="12413"/>
    <cellStyle name="常规 6 4 3 3 2" xfId="12414"/>
    <cellStyle name="警告文本 2 2 4 3 4" xfId="12415"/>
    <cellStyle name="计算 2 10 2 2 2 2" xfId="12416"/>
    <cellStyle name="超链接 3 2 4 3 2 2" xfId="12417"/>
    <cellStyle name="20% - 强调文字颜色 2 4 5" xfId="12418"/>
    <cellStyle name="强调文字颜色 2 2 3 3 5" xfId="12419"/>
    <cellStyle name="计算 2 2 3 2 3 4" xfId="12420"/>
    <cellStyle name="标题 2 2 3 2 2 3" xfId="12421"/>
    <cellStyle name="40% - 强调文字颜色 4 2 3 2 3 2 2 2 2" xfId="12422"/>
    <cellStyle name="输入 4 2 4 3" xfId="12423"/>
    <cellStyle name="汇总 6 3 2" xfId="12424"/>
    <cellStyle name="标题 1 2 2 2 2 5" xfId="12425"/>
    <cellStyle name="常规 6 3 2 2 2 3 2" xfId="12426"/>
    <cellStyle name="输入 2 2 13" xfId="12427"/>
    <cellStyle name="超链接 3 2 4 3 2" xfId="12428"/>
    <cellStyle name="汇总 2 5 2 2 2 4" xfId="12429"/>
    <cellStyle name="计算 2 2 6 2 2 5" xfId="12430"/>
    <cellStyle name="链接单元格 2 3 3" xfId="12431"/>
    <cellStyle name="汇总 2 2 4 2 11" xfId="12432"/>
    <cellStyle name="计算 3 2 2 2 5" xfId="12433"/>
    <cellStyle name="输入 3 9" xfId="12434"/>
    <cellStyle name="链接单元格 2 2 2 6 2" xfId="12435"/>
    <cellStyle name="计算 3 2 2 2 4" xfId="12436"/>
    <cellStyle name="标题 2 3 9" xfId="12437"/>
    <cellStyle name="输入 3 8" xfId="12438"/>
    <cellStyle name="常规 4 2 2" xfId="12439"/>
    <cellStyle name="输出 4 3 4" xfId="12440"/>
    <cellStyle name="60% - 强调文字颜色 6 2 2 2 2 5 2" xfId="12441"/>
    <cellStyle name="计算 2 9 3" xfId="12442"/>
    <cellStyle name="输入 2 4 2 3 2 3" xfId="12443"/>
    <cellStyle name="汇总 2 2 2 5 3" xfId="12444"/>
    <cellStyle name="好 2 2 3 4 3" xfId="12445"/>
    <cellStyle name="60% - 强调文字颜色 5 2 2 2 4" xfId="12446"/>
    <cellStyle name="强调文字颜色 6 2 3 3 7" xfId="12447"/>
    <cellStyle name="解释性文本 5 2" xfId="12448"/>
    <cellStyle name="汇总 2 3 3 6 2" xfId="12449"/>
    <cellStyle name="好 2 3 4" xfId="12450"/>
    <cellStyle name="输出 2 2 3 2 14" xfId="12451"/>
    <cellStyle name="计算 2 2 5 2 4 2" xfId="12452"/>
    <cellStyle name="差 2 4 5 2" xfId="12453"/>
    <cellStyle name="汇总 2 5 2 3 5 2 2" xfId="12454"/>
    <cellStyle name="60% - 强调文字颜色 4 3 2 3 2" xfId="12455"/>
    <cellStyle name="60% - 强调文字颜色 2 2 4" xfId="12456"/>
    <cellStyle name="计算 2 2 4 2 7" xfId="12457"/>
    <cellStyle name="常规 12 4 3" xfId="12458"/>
    <cellStyle name="强调文字颜色 6 2 2 2 3 6" xfId="12459"/>
    <cellStyle name="20% - 强调文字颜色 6 3 8" xfId="12460"/>
    <cellStyle name="输出 2 2 5 6" xfId="12461"/>
    <cellStyle name="常规 6 3 2 3 2" xfId="12462"/>
    <cellStyle name="计算 2 5 2 2 2 2 5 2" xfId="12463"/>
    <cellStyle name="标题 5 4 6 2 2" xfId="12464"/>
    <cellStyle name="常规 8 2 2 3 3" xfId="12465"/>
    <cellStyle name="强调文字颜色 4 2 2 3 8" xfId="12466"/>
    <cellStyle name="计算 2 2 2 4 2 4 2 2" xfId="12467"/>
    <cellStyle name="计算 3 2 3 5 2" xfId="12468"/>
    <cellStyle name="60% - 强调文字颜色 3 3 2 2 2 2" xfId="12469"/>
    <cellStyle name="常规 2 5" xfId="12470"/>
    <cellStyle name="常规 3 3 5 2 2" xfId="12471"/>
    <cellStyle name="好 3 2 2 3 2 2" xfId="12472"/>
    <cellStyle name="40% - 强调文字颜色 4 3 9" xfId="12473"/>
    <cellStyle name="汇总 2 14 2" xfId="12474"/>
    <cellStyle name="计算 2 4 2 11" xfId="12475"/>
    <cellStyle name="计算 2 2 4 2 2 2" xfId="12476"/>
    <cellStyle name="计算 2 4 4 2 5" xfId="12477"/>
    <cellStyle name="强调文字颜色 3 2 3 2 3 3 2 2" xfId="12478"/>
    <cellStyle name="标题 1 2 4 5 2" xfId="12479"/>
    <cellStyle name="计算 2 5 2 3 2 5 2" xfId="12480"/>
    <cellStyle name="标题 3 4 2 4" xfId="12481"/>
    <cellStyle name="计算 2 2 8 4 4" xfId="12482"/>
    <cellStyle name="输出 2 2 5 2 2 5" xfId="12483"/>
    <cellStyle name="汇总 2 2 6 8 3" xfId="12484"/>
    <cellStyle name="60% - 强调文字颜色 6 3 2 3 2 2" xfId="12485"/>
    <cellStyle name="40% - 强调文字颜色 3 2" xfId="12486"/>
    <cellStyle name="输入 3 15" xfId="12487"/>
    <cellStyle name="60% - 强调文字颜色 5 3 2 2 2 2" xfId="12488"/>
    <cellStyle name="输出 2 2 2 2 3 2 2" xfId="12489"/>
    <cellStyle name="计算 2 6 8 2 2" xfId="12490"/>
    <cellStyle name="计算 2 3 2 2 2 9" xfId="12491"/>
    <cellStyle name="注释 2 2 5 3" xfId="12492"/>
    <cellStyle name="汇总 2 2 15 2" xfId="12493"/>
    <cellStyle name="汇总 4 2 2 6" xfId="12494"/>
    <cellStyle name="输入 2 6 2 3 3" xfId="12495"/>
    <cellStyle name="20% - 强调文字颜色 1 2 2 2 4 3 2 2" xfId="12496"/>
    <cellStyle name="强调文字颜色 6 2 5 2 2" xfId="12497"/>
    <cellStyle name="60% - 强调文字颜色 5 2 3 4 3" xfId="12498"/>
    <cellStyle name="适中 2 2 4 3 2 2" xfId="12499"/>
    <cellStyle name="输出 2 2 3 2 2 2 2 3" xfId="12500"/>
    <cellStyle name="标题 3 4 2 3 2 2" xfId="12501"/>
    <cellStyle name="常规 10 3 7" xfId="12502"/>
    <cellStyle name="计算 2 2 8 4 3 2 2" xfId="12503"/>
    <cellStyle name="标题 1 2 6 2 2 3" xfId="12504"/>
    <cellStyle name="注释 2 2 9 3 2 2" xfId="12505"/>
    <cellStyle name="常规 4 2 2 3 2 2" xfId="12506"/>
    <cellStyle name="强调文字颜色 3 3 2 2 4" xfId="12507"/>
    <cellStyle name="40% - 强调文字颜色 6 2 3 2 2 4 3 2" xfId="12508"/>
    <cellStyle name="常规 6 5 2 2" xfId="12509"/>
    <cellStyle name="汇总 2 3 2 4 2 2 2" xfId="12510"/>
    <cellStyle name="标题 1 2 2 2 3 2" xfId="12511"/>
    <cellStyle name="计算 2 2 4 2 3 2 4 2 2" xfId="12512"/>
    <cellStyle name="汇总 2 2 3 9 3" xfId="12513"/>
    <cellStyle name="注释 2 3 2 2 7" xfId="12514"/>
    <cellStyle name="计算 2 3 2 2 2 5 3" xfId="12515"/>
    <cellStyle name="40% - 强调文字颜色 4 2 2 4 4 2 2" xfId="12516"/>
    <cellStyle name="注释 3 2 3 2 3" xfId="12517"/>
    <cellStyle name="20% - 强调文字颜色 5 2 4 4 2 2 2" xfId="12518"/>
    <cellStyle name="汇总 2 2 7 3 2" xfId="12519"/>
    <cellStyle name="常规 5 4 4 5" xfId="12520"/>
    <cellStyle name="计算 2 2 4 2 11 2" xfId="12521"/>
    <cellStyle name="计算 2 3 2 3 3 3" xfId="12522"/>
    <cellStyle name="注释 2 4 3 2 2 2 3" xfId="12523"/>
    <cellStyle name="常规 4 7 3 2" xfId="12524"/>
    <cellStyle name="计算 2 5 2 5 3 2 2" xfId="12525"/>
    <cellStyle name="输出 2 2 2 2 5" xfId="12526"/>
    <cellStyle name="汇总 2 4 5 2 3" xfId="12527"/>
    <cellStyle name="40% - 强调文字颜色 1 3 2 2 3 2" xfId="12528"/>
    <cellStyle name="常规 9 2 2 2 3 2" xfId="12529"/>
    <cellStyle name="标题 1 2 2 2 3 3" xfId="12530"/>
    <cellStyle name="注释 2 2 2 4 2 4" xfId="12531"/>
    <cellStyle name="汇总 2 2 5 3 5 3" xfId="12532"/>
    <cellStyle name="20% - 强调文字颜色 2 2 7 2 2 2" xfId="12533"/>
    <cellStyle name="40% - 强调文字颜色 2 2 7 3" xfId="12534"/>
    <cellStyle name="汇总 2 4 2 2 2 4 2 2" xfId="12535"/>
    <cellStyle name="汇总 2 9" xfId="12536"/>
    <cellStyle name="常规 5 2 4 5 2 2" xfId="12537"/>
    <cellStyle name="输出 2 4 3 2 2 2" xfId="12538"/>
    <cellStyle name="适中 3 11" xfId="12539"/>
    <cellStyle name="常规 9 3 3 3 2" xfId="12540"/>
    <cellStyle name="输出 2 2 2 2 2 2" xfId="12541"/>
    <cellStyle name="常规 7 2 3 3 2" xfId="12542"/>
    <cellStyle name="20% - 强调文字颜色 3 2 2 4 5 2 2" xfId="12543"/>
    <cellStyle name="强调文字颜色 1 2 3 2 5 3" xfId="12544"/>
    <cellStyle name="计算 2 6 7 2" xfId="12545"/>
    <cellStyle name="60% - 强调文字颜色 2 2 2 2 8" xfId="12546"/>
    <cellStyle name="汇总 2 2 3 3 5 3" xfId="12547"/>
    <cellStyle name="20% - 强调文字颜色 2 2 5 2 2 2" xfId="12548"/>
    <cellStyle name="汇总 4 2 3 4 2" xfId="12549"/>
    <cellStyle name="输出 2 7 4 2 2" xfId="12550"/>
    <cellStyle name="常规 2 6 2 2 2" xfId="12551"/>
    <cellStyle name="超链接 2 4 3" xfId="12552"/>
    <cellStyle name="计算 2 2 5 2 2 2 3 3" xfId="12553"/>
    <cellStyle name="解释性文本 2 2 5" xfId="12554"/>
    <cellStyle name="汇总 2 2 4 2 3 6 3" xfId="12555"/>
    <cellStyle name="60% - 强调文字颜色 5 2 8" xfId="12556"/>
    <cellStyle name="计算 2 2 10 2 2 3" xfId="12557"/>
    <cellStyle name="解释性文本 2 2 2 2 6 3" xfId="12558"/>
    <cellStyle name="常规 9 3 4 3 3" xfId="12559"/>
    <cellStyle name="输出 2 4 3 3 2 3" xfId="12560"/>
    <cellStyle name="标题 1 2 3 5 3" xfId="12561"/>
    <cellStyle name="20% - 强调文字颜色 5 2 3 3 5" xfId="12562"/>
    <cellStyle name="40% - 强调文字颜色 1 2 3 2 2 4 2" xfId="12563"/>
    <cellStyle name="输出 2 4 2 3 7" xfId="12564"/>
    <cellStyle name="40% - 强调文字颜色 2 2 4 2 2 2 2" xfId="12565"/>
    <cellStyle name="输入 2 6 5 2" xfId="12566"/>
    <cellStyle name="超链接 3 2 4 2" xfId="12567"/>
    <cellStyle name="20% - 强调文字颜色 3 2 2 4 5" xfId="12568"/>
    <cellStyle name="20% - 强调文字颜色 2 4 2 2 2 2 2" xfId="12569"/>
    <cellStyle name="警告文本 2 3 2 5 3" xfId="12570"/>
    <cellStyle name="输出 2 2 11 3" xfId="12571"/>
    <cellStyle name="常规 3 6 3 2" xfId="12572"/>
    <cellStyle name="60% - 强调文字颜色 4 2 2 2 6" xfId="12573"/>
    <cellStyle name="差 2 7 2 2 2" xfId="12574"/>
    <cellStyle name="标题 5 2 2 5 2 2" xfId="12575"/>
    <cellStyle name="汇总 2 2 2 10 2" xfId="12576"/>
    <cellStyle name="超链接 3 3 3" xfId="12577"/>
    <cellStyle name="计算 2 2 5 2 2 3 2 3" xfId="12578"/>
    <cellStyle name="输入 2 7 4" xfId="12579"/>
    <cellStyle name="汇总 2 2 2 2 2 2 5" xfId="12580"/>
    <cellStyle name="标题 2 3 2 4" xfId="12581"/>
    <cellStyle name="注释 2 5 5" xfId="12582"/>
    <cellStyle name="链接单元格 2 2 2 2 3 3 2 2" xfId="12583"/>
    <cellStyle name="计算 2 2 5 2 3 4 3" xfId="12584"/>
    <cellStyle name="强调文字颜色 4 2 2 2 2" xfId="12585"/>
    <cellStyle name="计算 2 2 4 2 2 2 8" xfId="12586"/>
    <cellStyle name="20% - 强调文字颜色 3 2 2 4 2 2 2" xfId="12587"/>
    <cellStyle name="计算 2 3 7 2" xfId="12588"/>
    <cellStyle name="常规 4 2 4 3" xfId="12589"/>
    <cellStyle name="输出 2 3 3 2 2 2 2" xfId="12590"/>
    <cellStyle name="计算 4 5 2 2" xfId="12591"/>
    <cellStyle name="常规 8 5" xfId="12592"/>
    <cellStyle name="输入 2 2 2 12" xfId="12593"/>
    <cellStyle name="40% - 强调文字颜色 3 2 3 2 2 2 2 2 2 2" xfId="12594"/>
    <cellStyle name="输出 2 2 13 2" xfId="12595"/>
    <cellStyle name="标题 3 2 2 3 6" xfId="12596"/>
    <cellStyle name="汇总 2 2 4 4 3 3 3" xfId="12597"/>
    <cellStyle name="常规 10 2 4 2 2" xfId="12598"/>
    <cellStyle name="强调文字颜色 5 2 2 5 2" xfId="12599"/>
    <cellStyle name="常规 10 2 2 2 3 3" xfId="12600"/>
    <cellStyle name="链接单元格 2 4 5 3" xfId="12601"/>
    <cellStyle name="汇总 2 5 2 7 2 2" xfId="12602"/>
    <cellStyle name="标题 3 2 5 2 3" xfId="12603"/>
    <cellStyle name="链接单元格 2 8" xfId="12604"/>
    <cellStyle name="常规 2 3 2 4 3 2" xfId="12605"/>
    <cellStyle name="汇总 3 2 6 3" xfId="12606"/>
    <cellStyle name="标题 3 2 4 4 2 3" xfId="12607"/>
    <cellStyle name="20% - 强调文字颜色 4 2 2 2 2 2 3 3" xfId="12608"/>
    <cellStyle name="汇总 2 2 2 2 3 4" xfId="12609"/>
    <cellStyle name="好 2 2 2 2 4 2 2" xfId="12610"/>
    <cellStyle name="输出 2 4 5 5" xfId="12611"/>
    <cellStyle name="常规 2 3 3 5" xfId="12612"/>
    <cellStyle name="计算 2 2 11 2 2 2" xfId="12613"/>
    <cellStyle name="标题 5 3 9" xfId="12614"/>
    <cellStyle name="超链接 3 8" xfId="12615"/>
    <cellStyle name="常规 3 5 2 2 2 2" xfId="12616"/>
    <cellStyle name="汇总 2 2 5 2 3 8" xfId="12617"/>
    <cellStyle name="计算 2 2 4 3 2 2 4 2" xfId="12618"/>
    <cellStyle name="注释 2 2 3 2 4 2 2" xfId="12619"/>
    <cellStyle name="输入 2 9 2 4" xfId="12620"/>
    <cellStyle name="计算 2 3 3 3 3 3" xfId="12621"/>
    <cellStyle name="强调文字颜色 3 2 4 3 4" xfId="12622"/>
    <cellStyle name="20% - 强调文字颜色 2 2 3 2 2 2" xfId="12623"/>
    <cellStyle name="输入 2 5 2 3 3 3" xfId="12624"/>
    <cellStyle name="汇总 3 2 2 6 3" xfId="12625"/>
    <cellStyle name="20% - 强调文字颜色 1 2 2 2 2 4" xfId="12626"/>
    <cellStyle name="标题 2 4 4 2 3" xfId="12627"/>
    <cellStyle name="汇总 2 2 5 3 3 5" xfId="12628"/>
    <cellStyle name="注释 2 4 4 4 2" xfId="12629"/>
    <cellStyle name="40% - 强调文字颜色 4 6 2 2 2" xfId="12630"/>
    <cellStyle name="计算 2 7 2 4" xfId="12631"/>
    <cellStyle name="计算 2 2 3 2 6" xfId="12632"/>
    <cellStyle name="20% - 强调文字颜色 1 2 2 4 3 2 2 2" xfId="12633"/>
    <cellStyle name="60% - 强调文字颜色 1 2 3" xfId="12634"/>
    <cellStyle name="适中 2 9 2 2" xfId="12635"/>
    <cellStyle name="标题 3 2 2 4 5" xfId="12636"/>
    <cellStyle name="汇总 2 2 4 4 3 4 2" xfId="12637"/>
    <cellStyle name="汇总 3 2 2 3 3 3" xfId="12638"/>
    <cellStyle name="20% - 强调文字颜色 4 2 3 2 2 3 3 2" xfId="12639"/>
    <cellStyle name="标题 4 2 4 5 2 2" xfId="12640"/>
    <cellStyle name="计算 2 5 2 2 4" xfId="12641"/>
    <cellStyle name="常规 11 2 2 3 2" xfId="12642"/>
    <cellStyle name="强调文字颜色 6 2 2 3 8" xfId="12643"/>
    <cellStyle name="常规 3 5 2 2 2" xfId="12644"/>
    <cellStyle name="输出 2 4 2 2 2 2" xfId="12645"/>
    <cellStyle name="常规 9 2 3 3 2" xfId="12646"/>
    <cellStyle name="60% - 强调文字颜色 4 2 2 2 8" xfId="12647"/>
    <cellStyle name="40% - 强调文字颜色 1 3 3 3 2" xfId="12648"/>
    <cellStyle name="计算 2 2 9 3" xfId="12649"/>
    <cellStyle name="常规 5 3 2 6" xfId="12650"/>
    <cellStyle name="注释 2 2 9 2 2 2" xfId="12651"/>
    <cellStyle name="常规 10 4 5 3" xfId="12652"/>
    <cellStyle name="60% - 强调文字颜色 1 4 2 3 2 2 2" xfId="12653"/>
    <cellStyle name="常规 3 3 9" xfId="12654"/>
    <cellStyle name="20% - 强调文字颜色 2 2 2 4 4 2" xfId="12655"/>
    <cellStyle name="常规 3 3 7 2 3 3" xfId="12656"/>
    <cellStyle name="常规 3 3 7 2 3" xfId="12657"/>
    <cellStyle name="计算 2 8 3 2 2 2" xfId="12658"/>
    <cellStyle name="适中 2 2 5 2 2 2" xfId="12659"/>
    <cellStyle name="20% - 强调文字颜色 6 2 2 2 2 2 5" xfId="12660"/>
    <cellStyle name="40% - 强调文字颜色 3 2 2 3 3 2 2 2" xfId="12661"/>
    <cellStyle name="输入 2 2 2 5" xfId="12662"/>
    <cellStyle name="输入 2 2 5 2 4 2" xfId="12663"/>
    <cellStyle name="60% - 强调文字颜色 1 2 2 2 2 2 3 2" xfId="12664"/>
    <cellStyle name="输出 2 2 5 9 2" xfId="12665"/>
    <cellStyle name="标题 3 2 5" xfId="12666"/>
    <cellStyle name="输入 2 2 3 7 3" xfId="12667"/>
    <cellStyle name="计算 2 2 6 7" xfId="12668"/>
    <cellStyle name="计算 2 4 3 3 3 2" xfId="12669"/>
    <cellStyle name="强调文字颜色 4 2 4 3 3" xfId="12670"/>
    <cellStyle name="40% - 强调文字颜色 5 4 2 2" xfId="12671"/>
    <cellStyle name="常规 3 3 7 2" xfId="12672"/>
    <cellStyle name="输出 2 3 8 3" xfId="12673"/>
    <cellStyle name="常规 2 2 6 3" xfId="12674"/>
    <cellStyle name="计算 2 5 4 2" xfId="12675"/>
    <cellStyle name="60% - 强调文字颜色 5 3 4 2" xfId="12676"/>
    <cellStyle name="60% - 强调文字颜色 2 4 4 2 2" xfId="12677"/>
    <cellStyle name="常规 10 3 2 3" xfId="12678"/>
    <cellStyle name="常规 5 2 3 4 2 5" xfId="12679"/>
    <cellStyle name="20% - 强调文字颜色 4 2 7 3" xfId="12680"/>
    <cellStyle name="强调文字颜色 2 2 2 2 3 2 2" xfId="12681"/>
    <cellStyle name="20% - 强调文字颜色 1 3 3 2 2" xfId="12682"/>
    <cellStyle name="常规 3 3 3 5" xfId="12683"/>
    <cellStyle name="输入 2 6" xfId="12684"/>
    <cellStyle name="常规 3 3 3 4 3 2" xfId="12685"/>
    <cellStyle name="标题 3 2 3 3 2 2 2" xfId="12686"/>
    <cellStyle name="超链接 2 2 3 5" xfId="12687"/>
    <cellStyle name="注释 3 3 6 2" xfId="12688"/>
    <cellStyle name="超链接 3 5 3 3" xfId="12689"/>
    <cellStyle name="输入 2 9 4 3" xfId="12690"/>
    <cellStyle name="常规 3 3 3 3 3 2" xfId="12691"/>
    <cellStyle name="强调文字颜色 1 2 2 4 2 3" xfId="12692"/>
    <cellStyle name="计算 2 16 3" xfId="12693"/>
    <cellStyle name="汇总 2 2 4 5 5 2 2" xfId="12694"/>
    <cellStyle name="超链接 3 4 4 3" xfId="12695"/>
    <cellStyle name="输入 2 8 5 3" xfId="12696"/>
    <cellStyle name="常规 3 3 3 3 2 2 2" xfId="12697"/>
    <cellStyle name="标题 2 3 2 2 4" xfId="12698"/>
    <cellStyle name="注释 2 5 3 4" xfId="12699"/>
    <cellStyle name="输入 2 2 2 2 3 2 3" xfId="12700"/>
    <cellStyle name="输入 2 8 2 2 4" xfId="12701"/>
    <cellStyle name="适中 2 3 4 2 3" xfId="12702"/>
    <cellStyle name="汇总 2 2 11 2 3" xfId="12703"/>
    <cellStyle name="输出 2 5 3 3 2 2" xfId="12704"/>
    <cellStyle name="输入 2 3 6 3" xfId="12705"/>
    <cellStyle name="20% - 强调文字颜色 4 2 4 4" xfId="12706"/>
    <cellStyle name="60% - 强调文字颜色 2 2 2 2 2 3 3 2" xfId="12707"/>
    <cellStyle name="强调文字颜色 6 2 3 2 5 3" xfId="12708"/>
    <cellStyle name="汇总 2 3 2 14" xfId="12709"/>
    <cellStyle name="计算 2 9 2 2 3" xfId="12710"/>
    <cellStyle name="汇总 2 2 22" xfId="12711"/>
    <cellStyle name="汇总 2 2 17" xfId="12712"/>
    <cellStyle name="常规 2 2 3 2 2 2" xfId="12713"/>
    <cellStyle name="40% - 强调文字颜色 3 2 3 2 2 4 2 2 2" xfId="12714"/>
    <cellStyle name="计算 2 2 6 4 5 2" xfId="12715"/>
    <cellStyle name="标题 3 2 2 5 2" xfId="12716"/>
    <cellStyle name="60% - 强调文字颜色 4 4 2 2" xfId="12717"/>
    <cellStyle name="输出 2 6 3 6" xfId="12718"/>
    <cellStyle name="汇总 2 2 5 12" xfId="12719"/>
    <cellStyle name="常规 14 4" xfId="12720"/>
    <cellStyle name="汇总 2 2 2 2 2 2 3 2 2" xfId="12721"/>
    <cellStyle name="强调文字颜色 6 2 2 3 2 2 3" xfId="12722"/>
    <cellStyle name="差 2 2 2 4 2 2 2" xfId="12723"/>
    <cellStyle name="20% - 强调文字颜色 1 2 2 4 4" xfId="12724"/>
    <cellStyle name="常规 6 2 2 3 2 2 2 2" xfId="12725"/>
    <cellStyle name="汇总 2 6 2 6 3" xfId="12726"/>
    <cellStyle name="20% - 强调文字颜色 3 2 2 3 5" xfId="12727"/>
    <cellStyle name="警告文本 2 3 2 4 3" xfId="12728"/>
    <cellStyle name="标题 2 2 2 7 2" xfId="12729"/>
    <cellStyle name="60% - 强调文字颜色 1 3 5 2 2" xfId="12730"/>
    <cellStyle name="常规 11 2 2 2 3 2 2" xfId="12731"/>
    <cellStyle name="常规 9 3 5 2" xfId="12732"/>
    <cellStyle name="40% - 强调文字颜色 3 2 2 2 2 2 4 3" xfId="12733"/>
    <cellStyle name="解释性文本 2 3 2 2 3" xfId="12734"/>
    <cellStyle name="40% - 强调文字颜色 1 2 5 4" xfId="12735"/>
    <cellStyle name="标题 2 6 3" xfId="12736"/>
    <cellStyle name="注释 2 2 7 10" xfId="12737"/>
    <cellStyle name="计算 2 7 4 3 2" xfId="12738"/>
    <cellStyle name="汇总 2 2 5 2 5" xfId="12739"/>
    <cellStyle name="强调文字颜色 2 2 4 3 2 2 2" xfId="12740"/>
    <cellStyle name="20% - 强调文字颜色 3 4 2 2 2" xfId="12741"/>
    <cellStyle name="60% - 强调文字颜色 1 2 2 5 3 2 2" xfId="12742"/>
    <cellStyle name="常规 5 2 3 8" xfId="12743"/>
    <cellStyle name="汇总 2 9 2 2" xfId="12744"/>
    <cellStyle name="汇总 2 2 2 4 2 3 3" xfId="12745"/>
    <cellStyle name="20% - 强调文字颜色 6 2 3 2 4" xfId="12746"/>
    <cellStyle name="20% - 强调文字颜色 1 2 2 6 2 2 2" xfId="12747"/>
    <cellStyle name="输出 2 2 4 2 2 8" xfId="12748"/>
    <cellStyle name="汇总 2 2 8 6 2" xfId="12749"/>
    <cellStyle name="60% - 强调文字颜色 2 2 2 2 4 3" xfId="12750"/>
    <cellStyle name="40% - 强调文字颜色 4 2 2 3 2" xfId="12751"/>
    <cellStyle name="注释 3 2 2 4 3" xfId="12752"/>
    <cellStyle name="40% - 强调文字颜色 5 2 3 4 3 2 2" xfId="12753"/>
    <cellStyle name="汇总 2 2 6 7" xfId="12754"/>
    <cellStyle name="常规 3 3 2 2 3 3" xfId="12755"/>
    <cellStyle name="输出 2 4 2 9 2" xfId="12756"/>
    <cellStyle name="计算 2 10 2 3 3" xfId="12757"/>
    <cellStyle name="60% - 强调文字颜色 2 2 2 2 3 3" xfId="12758"/>
    <cellStyle name="差 2 2 2 5 2 2" xfId="12759"/>
    <cellStyle name="警告文本 2 2 7 3" xfId="12760"/>
    <cellStyle name="计算 2 2 2 2 9" xfId="12761"/>
    <cellStyle name="40% - 强调文字颜色 2 2 2 2 4 2 2 2" xfId="12762"/>
    <cellStyle name="40% - 强调文字颜色 6 2 4 2 2 2 2 2" xfId="12763"/>
    <cellStyle name="计算 2 5 2 6 3 3" xfId="12764"/>
    <cellStyle name="40% - 强调文字颜色 5 2 3 2 2 4 2 2" xfId="12765"/>
    <cellStyle name="输入 3 7 2 2" xfId="12766"/>
    <cellStyle name="60% - 强调文字颜色 5 2 2 2 2 3 3 2 2" xfId="12767"/>
    <cellStyle name="标题 3 2 2 6 4" xfId="12768"/>
    <cellStyle name="20% - 强调文字颜色 2 2 2 3 2" xfId="12769"/>
    <cellStyle name="40% - 强调文字颜色 4 2 3 4 3 2 2" xfId="12770"/>
    <cellStyle name="注释 4 2 2 2 3" xfId="12771"/>
    <cellStyle name="注释 2 2 2 7" xfId="12772"/>
    <cellStyle name="计算 3 2 2 2 3 2 2" xfId="12773"/>
    <cellStyle name="汇总 2 2 6 4 2" xfId="12774"/>
    <cellStyle name="40% - 强调文字颜色 4 2 2 4 3 3 2" xfId="12775"/>
    <cellStyle name="注释 3 2 2 3 3" xfId="12776"/>
    <cellStyle name="40% - 强调文字颜色 4 2 2 2 2" xfId="12777"/>
    <cellStyle name="计算 2 3 2 2 4 3" xfId="12778"/>
    <cellStyle name="20% - 强调文字颜色 2 2 2 4 3 2" xfId="12779"/>
    <cellStyle name="常规 3 2 9" xfId="12780"/>
    <cellStyle name="注释 2 2 7 4 4" xfId="12781"/>
    <cellStyle name="检查单元格 2 3 2 5" xfId="12782"/>
    <cellStyle name="60% - 强调文字颜色 5 2 3 4 2" xfId="12783"/>
    <cellStyle name="汇总 2 7 2 3 4 2" xfId="12784"/>
    <cellStyle name="计算 2 2 6 2 5 2" xfId="12785"/>
    <cellStyle name="60% - 强调文字颜色 4 2 2 2" xfId="12786"/>
    <cellStyle name="计算 2 2 2 4 2 2 2" xfId="12787"/>
    <cellStyle name="汇总 2 2 3 2 9" xfId="12788"/>
    <cellStyle name="标题 5 2 2 2 2 2 2 2" xfId="12789"/>
    <cellStyle name="20% - 强调文字颜色 4 5 2 2" xfId="12790"/>
    <cellStyle name="强调文字颜色 6 2 3 2 3 3 3" xfId="12791"/>
    <cellStyle name="常规 3 2 4 2 2 2" xfId="12792"/>
    <cellStyle name="计算 2 3 4 2 4 3" xfId="12793"/>
    <cellStyle name="强调文字颜色 6 2 2 2 3 3 2" xfId="12794"/>
    <cellStyle name="计算 2 2 4 2 4 2" xfId="12795"/>
    <cellStyle name="汇总 2 3 11" xfId="12796"/>
    <cellStyle name="适中 2 8 4" xfId="12797"/>
    <cellStyle name="计算 2 2 3 2 2 2 2 2" xfId="12798"/>
    <cellStyle name="20% - 强调文字颜色 2 3 3 2 2" xfId="12799"/>
    <cellStyle name="汇总 2 2 4 12" xfId="12800"/>
    <cellStyle name="强调文字颜色 2 2 3 2 3 2 2" xfId="12801"/>
    <cellStyle name="40% - 强调文字颜色 4 2 3 4 2" xfId="12802"/>
    <cellStyle name="20% - 强调文字颜色 1 2 3 3 2 2 2 2" xfId="12803"/>
    <cellStyle name="20% - 强调文字颜色 4 2 2 4 2 2 2 2" xfId="12804"/>
    <cellStyle name="汇总 2 4 2 2 2 3" xfId="12805"/>
    <cellStyle name="汇总 2 2 4 4 3 4" xfId="12806"/>
    <cellStyle name="标题 5 2 2 2 6 2 2" xfId="12807"/>
    <cellStyle name="汇总 2 7 3" xfId="12808"/>
    <cellStyle name="强调文字颜色 6 2 2 5" xfId="12809"/>
    <cellStyle name="标题 5 3 2 3 2 2" xfId="12810"/>
    <cellStyle name="注释 2 2 4 2 8" xfId="12811"/>
    <cellStyle name="常规 2 4 3 2 2 2" xfId="12812"/>
    <cellStyle name="计算 2 2 2 4 5 2" xfId="12813"/>
    <cellStyle name="标题 3 2 3 5" xfId="12814"/>
    <cellStyle name="强调文字颜色 3 2 3 4 3 2 2" xfId="12815"/>
    <cellStyle name="60% - 强调文字颜色 4 5 2" xfId="12816"/>
    <cellStyle name="计算 2 2 6 5 5" xfId="12817"/>
    <cellStyle name="强调文字颜色 2 2 2 2 2 2 2 3" xfId="12818"/>
    <cellStyle name="输入 2 6 2 3 3 2" xfId="12819"/>
    <cellStyle name="40% - 强调文字颜色 3 2 2" xfId="12820"/>
    <cellStyle name="注释 2 2 5 3 2" xfId="12821"/>
    <cellStyle name="汇总 2 2 15 2 2" xfId="12822"/>
    <cellStyle name="汇总 2 2 3 4 2 5" xfId="12823"/>
    <cellStyle name="常规 3 2 2 4 3 2" xfId="12824"/>
    <cellStyle name="好 5 2" xfId="12825"/>
    <cellStyle name="差 2 3 2 5 2" xfId="12826"/>
    <cellStyle name="60% - 强调文字颜色 6 2 2 2 6 2 3" xfId="12827"/>
    <cellStyle name="计算 2 2 10 2 6" xfId="12828"/>
    <cellStyle name="20% - 强调文字颜色 3 2 2 2 2 3 2 2 2" xfId="12829"/>
    <cellStyle name="差 2 4 6 3" xfId="12830"/>
    <cellStyle name="强调文字颜色 2 2 2 4 5 2" xfId="12831"/>
    <cellStyle name="强调文字颜色 1 2 3 3 2 2" xfId="12832"/>
    <cellStyle name="输出 2 5 8 2" xfId="12833"/>
    <cellStyle name="常规 2 4 6 2" xfId="12834"/>
    <cellStyle name="40% - 强调文字颜色 6 2 2 2 2 4 3" xfId="12835"/>
    <cellStyle name="强调文字颜色 3 4 2 2" xfId="12836"/>
    <cellStyle name="常规 3 2 2 3 2" xfId="12837"/>
    <cellStyle name="40% - 强调文字颜色 4 2 3 2 2 3 3" xfId="12838"/>
    <cellStyle name="输出 2 2 9 2 5" xfId="12839"/>
    <cellStyle name="强调文字颜色 6 2 3 5 2 2 2" xfId="12840"/>
    <cellStyle name="标题 4 2 2 2 3 3" xfId="12841"/>
    <cellStyle name="注释 2 10 2" xfId="12842"/>
    <cellStyle name="强调文字颜色 3 2 6 3" xfId="12843"/>
    <cellStyle name="注释 2 2 4 2" xfId="12844"/>
    <cellStyle name="输入 2 6 2 2 2" xfId="12845"/>
    <cellStyle name="差 2 3 2 8" xfId="12846"/>
    <cellStyle name="20% - 强调文字颜色 4 2 2 2 2 3 2 2 2" xfId="12847"/>
    <cellStyle name="汇总 2 2 4 10 3" xfId="12848"/>
    <cellStyle name="汇总 2 2 2 3 2 3 2" xfId="12849"/>
    <cellStyle name="汇总 2 7 3 8" xfId="12850"/>
    <cellStyle name="汇总 2 2 4 2 2 3 5" xfId="12851"/>
    <cellStyle name="输出 4 2 3 2" xfId="12852"/>
    <cellStyle name="20% - 强调文字颜色 6 2 2 9" xfId="12853"/>
    <cellStyle name="20% - 强调文字颜色 3 2 2 2 3 2 2" xfId="12854"/>
    <cellStyle name="适中 2 2 4 2" xfId="12855"/>
    <cellStyle name="强调文字颜色 6 2 4" xfId="12856"/>
    <cellStyle name="计算 2 5 4 3 3 2 2" xfId="12857"/>
    <cellStyle name="40% - 强调文字颜色 5 2 3 2 2 4 3" xfId="12858"/>
    <cellStyle name="汇总 2 2 5 5 2 3" xfId="12859"/>
    <cellStyle name="20% - 强调文字颜色 6 2 2 3 3" xfId="12860"/>
    <cellStyle name="输入 2 5 2 13" xfId="12861"/>
    <cellStyle name="计算 2 2 2 4 6" xfId="12862"/>
    <cellStyle name="汇总 2 16 3" xfId="12863"/>
    <cellStyle name="输入 2 7 2 7" xfId="12864"/>
    <cellStyle name="适中 2 3 4 3" xfId="12865"/>
    <cellStyle name="汇总 2 2 11 3" xfId="12866"/>
    <cellStyle name="输入 2" xfId="12867"/>
    <cellStyle name="常规 2 8" xfId="12868"/>
    <cellStyle name="超链接 2 2 3 4 3" xfId="12869"/>
    <cellStyle name="注释 3 2 9" xfId="12870"/>
    <cellStyle name="40% - 强调文字颜色 5 2 4 4 2 2" xfId="12871"/>
    <cellStyle name="20% - 强调文字颜色 4 2 2 2 6" xfId="12872"/>
    <cellStyle name="计算 3 2 4 4" xfId="12873"/>
    <cellStyle name="警告文本 2 2 3 2 2 2 3" xfId="12874"/>
    <cellStyle name="警告文本 2 3 5 2 2 2" xfId="12875"/>
    <cellStyle name="强调文字颜色 4 2 4 3" xfId="12876"/>
    <cellStyle name="强调文字颜色 5 2 2 6 2 2 2" xfId="12877"/>
    <cellStyle name="输入 2 2 3 7" xfId="12878"/>
    <cellStyle name="注释 2 2 3 3 2 3 3" xfId="12879"/>
    <cellStyle name="常规 6 3 2 4 2" xfId="12880"/>
    <cellStyle name="输出 2 2 3 4 5" xfId="12881"/>
    <cellStyle name="好 3 2 2 2" xfId="12882"/>
    <cellStyle name="链接单元格 2 2 2 2 7" xfId="12883"/>
    <cellStyle name="常规 3 3 4" xfId="12884"/>
    <cellStyle name="差 2 3 2 3 2 2 2" xfId="12885"/>
    <cellStyle name="常规 9 5 3 2 2" xfId="12886"/>
    <cellStyle name="强调文字颜色 2 2 2 5 3" xfId="12887"/>
    <cellStyle name="标题 3 2 2 3 4 2" xfId="12888"/>
    <cellStyle name="差 2 2 5 2 2 2" xfId="12889"/>
    <cellStyle name="超链接 2 3 4 4" xfId="12890"/>
    <cellStyle name="计算 2 2 5" xfId="12891"/>
    <cellStyle name="输出 8 2 2" xfId="12892"/>
    <cellStyle name="20% - 强调文字颜色 3 2 2 2 2 4 3 2" xfId="12893"/>
    <cellStyle name="警告文本 2 2 2 4 3 2 2" xfId="12894"/>
    <cellStyle name="注释 2 4 3 4" xfId="12895"/>
    <cellStyle name="汇总 2 4 3 3 2 3" xfId="12896"/>
    <cellStyle name="计算 2 2 6 3" xfId="12897"/>
    <cellStyle name="60% - 强调文字颜色 2 2 5 3 2" xfId="12898"/>
    <cellStyle name="60% - 强调文字颜色 3 4 5 2" xfId="12899"/>
    <cellStyle name="标题 2 2 3 7" xfId="12900"/>
    <cellStyle name="60% - 强调文字颜色 1 3 6 2" xfId="12901"/>
    <cellStyle name="超链接 3 7 2" xfId="12902"/>
    <cellStyle name="强调文字颜色 6 2 2 3 3 2 3" xfId="12903"/>
    <cellStyle name="汇总 2 2 2 2 2 2 4 2 2" xfId="12904"/>
    <cellStyle name="警告文本 2 5 3 2" xfId="12905"/>
    <cellStyle name="计算 2 2 4 2 2 3" xfId="12906"/>
    <cellStyle name="计算 2 4 2 12" xfId="12907"/>
    <cellStyle name="计算 2 4 4 2 6" xfId="12908"/>
    <cellStyle name="差 2 2 5" xfId="12909"/>
    <cellStyle name="汇总 2 5 2 3 3 2" xfId="12910"/>
    <cellStyle name="计算 2 2 6 3 3 3" xfId="12911"/>
    <cellStyle name="常规 3 6 3" xfId="12912"/>
    <cellStyle name="标题 5 2 2 5 2" xfId="12913"/>
    <cellStyle name="差 2 7 2 2" xfId="12914"/>
    <cellStyle name="汇总 2 2 2 4 2 3 2" xfId="12915"/>
    <cellStyle name="20% - 强调文字颜色 4 2 2 2 2 4 2 2 2" xfId="12916"/>
    <cellStyle name="60% - 强调文字颜色 1 2 2 2 5 2 2" xfId="12917"/>
    <cellStyle name="输入 2 2 8 2 3" xfId="12918"/>
    <cellStyle name="计算 2 2 5 2 2 7" xfId="12919"/>
    <cellStyle name="输出 2 5 6 2" xfId="12920"/>
    <cellStyle name="常规 2 4 4 2" xfId="12921"/>
    <cellStyle name="常规 5 2 3 2 2 3 3" xfId="12922"/>
    <cellStyle name="标题 1 4 2 3 2 2" xfId="12923"/>
    <cellStyle name="60% - 强调文字颜色 5 2 2 2 3 6" xfId="12924"/>
    <cellStyle name="输出 2 7 5 2" xfId="12925"/>
    <cellStyle name="60% - 强调文字颜色 6 2 3 2 3 4" xfId="12926"/>
    <cellStyle name="常规 2 6 3 2" xfId="12927"/>
    <cellStyle name="常规 2 4 3 3 2" xfId="12928"/>
    <cellStyle name="汇总 2 5 2 3 3 2 2" xfId="12929"/>
    <cellStyle name="汇总 2 5 2 3 7" xfId="12930"/>
    <cellStyle name="差 2 2 5 2" xfId="12931"/>
    <cellStyle name="汇总 2 8 3 4 2 2" xfId="12932"/>
    <cellStyle name="标题 6 3 2 2 3" xfId="12933"/>
    <cellStyle name="输出 2 8 6" xfId="12934"/>
    <cellStyle name="输出 2 2 2 3 3 3" xfId="12935"/>
    <cellStyle name="计算 2 7 8 3" xfId="12936"/>
    <cellStyle name="强调文字颜色 4 4 3" xfId="12937"/>
    <cellStyle name="常规 3 3 2 4" xfId="12938"/>
    <cellStyle name="常规 2 4 3" xfId="12939"/>
    <cellStyle name="输出 2 5 5" xfId="12940"/>
    <cellStyle name="输入 2 5 5 8" xfId="12941"/>
    <cellStyle name="输出 2 2 5 5 5" xfId="12942"/>
    <cellStyle name="输入 2 2 3 3 6" xfId="12943"/>
    <cellStyle name="常规 11 2 6 2" xfId="12944"/>
    <cellStyle name="汇总 2 5 4 3 4 2" xfId="12945"/>
    <cellStyle name="计算 2 2 8 3 4 3" xfId="12946"/>
    <cellStyle name="汇总 3 3 5 2 2" xfId="12947"/>
    <cellStyle name="计算 2 6 2 2 2" xfId="12948"/>
    <cellStyle name="常规 2 3 4 3 2" xfId="12949"/>
    <cellStyle name="汇总 2 6 3 2 4 3" xfId="12950"/>
    <cellStyle name="标题 1 2 3 2 2 3 3" xfId="12951"/>
    <cellStyle name="输出 2 4 5 6" xfId="12952"/>
    <cellStyle name="常规 2 3 3 6" xfId="12953"/>
    <cellStyle name="解释性文本 4 4" xfId="12954"/>
    <cellStyle name="警告文本 2 6 3 2" xfId="12955"/>
    <cellStyle name="计算 2 2 4 3 2 3" xfId="12956"/>
    <cellStyle name="输出 2 8 2 2 2 2" xfId="12957"/>
    <cellStyle name="好 2 4 3 3 2" xfId="12958"/>
    <cellStyle name="注释 2 2 5 10 2" xfId="12959"/>
    <cellStyle name="60% - 强调文字颜色 5 2 2 8" xfId="12960"/>
    <cellStyle name="汇总 2 2 6 10 2" xfId="12961"/>
    <cellStyle name="计算 2 8 4 3 2" xfId="12962"/>
    <cellStyle name="差 2 4 3 3 2" xfId="12963"/>
    <cellStyle name="汇总 2 4 2 3 3" xfId="12964"/>
    <cellStyle name="40% - 强调文字颜色 1 2 2 2 2 2 3 3" xfId="12965"/>
    <cellStyle name="60% - 强调文字颜色 5 3 8" xfId="12966"/>
    <cellStyle name="差 2 2 3 2 2 2 2" xfId="12967"/>
    <cellStyle name="60% - 强调文字颜色 2 3 2 2 3 2 2" xfId="12968"/>
    <cellStyle name="标题 5 2 2 3 4" xfId="12969"/>
    <cellStyle name="输出 2 4 5 3 2" xfId="12970"/>
    <cellStyle name="常规 2 3 3 3 2" xfId="12971"/>
    <cellStyle name="常规 9 5 4 3" xfId="12972"/>
    <cellStyle name="输入 2 2 3 2 2 2" xfId="12973"/>
    <cellStyle name="适中 2 2 5 3 2 2" xfId="12974"/>
    <cellStyle name="强调文字颜色 1 2 5 3 3" xfId="12975"/>
    <cellStyle name="40% - 强调文字颜色 6 2 3 5" xfId="12976"/>
    <cellStyle name="60% - 强调文字颜色 2 2 4 4" xfId="12977"/>
    <cellStyle name="计算 2 2 5 3 9" xfId="12978"/>
    <cellStyle name="60% - 强调文字颜色 3 3 6" xfId="12979"/>
    <cellStyle name="警告文本 3 2 2 4" xfId="12980"/>
    <cellStyle name="20% - 强调文字颜色 4 2 4 7" xfId="12981"/>
    <cellStyle name="输出 2 4 5" xfId="12982"/>
    <cellStyle name="常规 2 3 3" xfId="12983"/>
    <cellStyle name="标题 5 3 3 7" xfId="12984"/>
    <cellStyle name="标题 3 2 2 9 2" xfId="12985"/>
    <cellStyle name="输入 2 2 2 8" xfId="12986"/>
    <cellStyle name="强调文字颜色 4 2 3 4" xfId="12987"/>
    <cellStyle name="计算 2 2 4 2 2 2 2 3" xfId="12988"/>
    <cellStyle name="20% - 强调文字颜色 2 2 3 2 5" xfId="12989"/>
    <cellStyle name="40% - 强调文字颜色 3 2 2 2 2 2 4 2" xfId="12990"/>
    <cellStyle name="常规 12 2 2 2 5" xfId="12991"/>
    <cellStyle name="解释性文本 2 3 2 7" xfId="12992"/>
    <cellStyle name="常规 5 3 2 2 3 5" xfId="12993"/>
    <cellStyle name="解释性文本 2 3 2 4 2" xfId="12994"/>
    <cellStyle name="40% - 强调文字颜色 1 2 7 3" xfId="12995"/>
    <cellStyle name="60% - 强调文字颜色 5 2 2 8 2" xfId="12996"/>
    <cellStyle name="40% - 强调文字颜色 3 3 2 5" xfId="12997"/>
    <cellStyle name="适中 3 7" xfId="12998"/>
    <cellStyle name="输入 3 2 2 2 2 2" xfId="12999"/>
    <cellStyle name="常规 2 3 3 2 2 2" xfId="13000"/>
    <cellStyle name="40% - 强调文字颜色 1 2 4" xfId="13001"/>
    <cellStyle name="常规 9 5 3 3 2" xfId="13002"/>
    <cellStyle name="输出 2 4 5 2 2 2" xfId="13003"/>
    <cellStyle name="40% - 强调文字颜色 3 2 2 2 4 2 2" xfId="13004"/>
    <cellStyle name="常规 5 4 2 2 3" xfId="13005"/>
    <cellStyle name="汇总 2 5 2 2 3 4 2" xfId="13006"/>
    <cellStyle name="链接单元格 2 4 3 2" xfId="13007"/>
    <cellStyle name="40% - 强调文字颜色 2 2 4 4 3" xfId="13008"/>
    <cellStyle name="常规 10 4 2 3" xfId="13009"/>
    <cellStyle name="汇总 2 2 5 2 2 2 5" xfId="13010"/>
    <cellStyle name="60% - 强调文字颜色 1 2 3 2 3 3 2 2" xfId="13011"/>
    <cellStyle name="汇总 2 5 4 2 6" xfId="13012"/>
    <cellStyle name="强调文字颜色 2 2 2 6 3" xfId="13013"/>
    <cellStyle name="60% - 强调文字颜色 6 3 4 2 3" xfId="13014"/>
    <cellStyle name="强调文字颜色 2 2 2 4 2" xfId="13015"/>
    <cellStyle name="20% - 强调文字颜色 1 5 2" xfId="13016"/>
    <cellStyle name="计算 2 6 2 2 10" xfId="13017"/>
    <cellStyle name="计算 2 7 7 3" xfId="13018"/>
    <cellStyle name="计算 2 2 3 3 3 4 2" xfId="13019"/>
    <cellStyle name="输出 2 2 2 3 2 3" xfId="13020"/>
    <cellStyle name="20% - 强调文字颜色 3 4 5 2" xfId="13021"/>
    <cellStyle name="强调文字颜色 4 3 3" xfId="13022"/>
    <cellStyle name="链接单元格 2 2 2 2 4 4" xfId="13023"/>
    <cellStyle name="40% - 强调文字颜色 1 2 5 4 2 2" xfId="13024"/>
    <cellStyle name="60% - 强调文字颜色 4 2 2 2 3" xfId="13025"/>
    <cellStyle name="60% - 强调文字颜色 4 2 2 3 4 2 2 2" xfId="13026"/>
    <cellStyle name="强调文字颜色 3 2 4 4 4" xfId="13027"/>
    <cellStyle name="常规 10 2 4 2 2 2" xfId="13028"/>
    <cellStyle name="40% - 强调文字颜色 4 4 2 3" xfId="13029"/>
    <cellStyle name="计算 2 2 3 2 12" xfId="13030"/>
    <cellStyle name="常规 6 4 4 2 2 2" xfId="13031"/>
    <cellStyle name="20% - 强调文字颜色 2 2 10 2" xfId="13032"/>
    <cellStyle name="输出 2 2 5 2 2 4 2" xfId="13033"/>
    <cellStyle name="汇总 2 2 6 8 2 2" xfId="13034"/>
    <cellStyle name="40% - 强调文字颜色 6 2 3 3 3 2 2" xfId="13035"/>
    <cellStyle name="标题 5" xfId="13036"/>
    <cellStyle name="汇总 2 7 2 2 5" xfId="13037"/>
    <cellStyle name="输入 3 3 4 2" xfId="13038"/>
    <cellStyle name="差 2 6 2 2" xfId="13039"/>
    <cellStyle name="计算 2 2 4 11" xfId="13040"/>
    <cellStyle name="60% - 强调文字颜色 3 2 2 2 3 2" xfId="13041"/>
    <cellStyle name="输入 2 2 3 4 2 2" xfId="13042"/>
    <cellStyle name="计算 2 2 3 6 2" xfId="13043"/>
    <cellStyle name="标题 2 3 3 3 2" xfId="13044"/>
    <cellStyle name="注释 2 6 4 2" xfId="13045"/>
    <cellStyle name="标题 1 3 4 3" xfId="13046"/>
    <cellStyle name="强调文字颜色 4 2 2 4 2 3" xfId="13047"/>
    <cellStyle name="20% - 强调文字颜色 2 2 5 3 2 2" xfId="13048"/>
    <cellStyle name="汇总 2 2 3 4 5 3" xfId="13049"/>
    <cellStyle name="汇总 2 5 4 2 5" xfId="13050"/>
    <cellStyle name="强调文字颜色 2 2 2 6 2" xfId="13051"/>
    <cellStyle name="常规 7 2 4 3 2" xfId="13052"/>
    <cellStyle name="输出 2 2 2 3 2 2" xfId="13053"/>
    <cellStyle name="常规 5 2 3 3 3 2" xfId="13054"/>
    <cellStyle name="注释 2 2 3 2 3 3 3" xfId="13055"/>
    <cellStyle name="计算 3" xfId="13056"/>
    <cellStyle name="标题 3 2 2 2 4 2 2" xfId="13057"/>
    <cellStyle name="输入 2 2 6 4 2" xfId="13058"/>
    <cellStyle name="汇总 2 5 2 4 2 3 2 2" xfId="13059"/>
    <cellStyle name="计算 2 5 3 6" xfId="13060"/>
    <cellStyle name="汇总 2 2 4 5 2 4 3" xfId="13061"/>
    <cellStyle name="注释 2 4 2 5 4" xfId="13062"/>
    <cellStyle name="40% - 强调文字颜色 5 2 2 3 4 3 2" xfId="13063"/>
    <cellStyle name="输出 2 2 4 2 2 2 5" xfId="13064"/>
    <cellStyle name="常规 13 4 2" xfId="13065"/>
    <cellStyle name="输出 2 2 4 3 2 2 3" xfId="13066"/>
    <cellStyle name="强调文字颜色 6 2 4 5 2" xfId="13067"/>
    <cellStyle name="汇总 2 9 3 2" xfId="13068"/>
    <cellStyle name="适中 4 9" xfId="13069"/>
    <cellStyle name="输出 2 2 3 4 2 6" xfId="13070"/>
    <cellStyle name="计算 2 2 5 2 2 3" xfId="13071"/>
    <cellStyle name="标题 4 3 3 3 2 2" xfId="13072"/>
    <cellStyle name="注释 2 4 4 2 6" xfId="13073"/>
    <cellStyle name="标题 4 2 5 4" xfId="13074"/>
    <cellStyle name="计算 7 2 2" xfId="13075"/>
    <cellStyle name="计算 2 5 4 2 6" xfId="13076"/>
    <cellStyle name="常规 2 3 2 2 2 2 2 2 2" xfId="13077"/>
    <cellStyle name="输入 2 2 4 2 3 2 2 2 2" xfId="13078"/>
    <cellStyle name="20% - 强调文字颜色 6 2 3 2 4 2 2 2" xfId="13079"/>
    <cellStyle name="链接单元格 2 2 2 2 3 3 3" xfId="13080"/>
    <cellStyle name="强调文字颜色 4 2 2 3" xfId="13081"/>
    <cellStyle name="检查单元格 2 4 4 2" xfId="13082"/>
    <cellStyle name="注释 2 7 4" xfId="13083"/>
    <cellStyle name="强调文字颜色 4 2 3 4 2 3" xfId="13084"/>
    <cellStyle name="标题 2 3 4 3" xfId="13085"/>
    <cellStyle name="输入 2 7 6 2 2" xfId="13086"/>
    <cellStyle name="输出 2 2 2 2 6" xfId="13087"/>
    <cellStyle name="超链接 3 3 5 2 2" xfId="13088"/>
    <cellStyle name="常规 3 7 6" xfId="13089"/>
    <cellStyle name="60% - 强调文字颜色 3 3 2 2 2" xfId="13090"/>
    <cellStyle name="计算 3 2 3 5" xfId="13091"/>
    <cellStyle name="计算 2 2 5 3 5 2 2" xfId="13092"/>
    <cellStyle name="解释性文本 2 4 4" xfId="13093"/>
    <cellStyle name="计算 2 2 5 2 2 2 5 2" xfId="13094"/>
    <cellStyle name="超链接 2 6 2" xfId="13095"/>
    <cellStyle name="注释 2 2 2 2 3 2 3" xfId="13096"/>
    <cellStyle name="计算 2 2 4 4 3 3 2" xfId="13097"/>
    <cellStyle name="计算 2 5 2 4 7" xfId="13098"/>
    <cellStyle name="计算 5 4 3" xfId="13099"/>
    <cellStyle name="汇总 2 3 2 6 2" xfId="13100"/>
    <cellStyle name="适中 2 2 2 3 2 3" xfId="13101"/>
    <cellStyle name="40% - 强调文字颜色 4 2 4" xfId="13102"/>
    <cellStyle name="40% - 强调文字颜色 2 2 2 3 4 3" xfId="13103"/>
    <cellStyle name="输出 3 5 2" xfId="13104"/>
    <cellStyle name="60% - 强调文字颜色 4 2 2 2 2 3 3 2 2" xfId="13105"/>
    <cellStyle name="链接单元格 2 2 2 3 3" xfId="13106"/>
    <cellStyle name="计算 2 8 2 2 4 2" xfId="13107"/>
    <cellStyle name="汇总 2 5 2 12" xfId="13108"/>
    <cellStyle name="输出 2 6 4 3 2" xfId="13109"/>
    <cellStyle name="差 2 3 3 2" xfId="13110"/>
    <cellStyle name="常规 6 4 2 3" xfId="13111"/>
    <cellStyle name="输出 2 3 2 2 2 7" xfId="13112"/>
    <cellStyle name="常规 4 2 2 2 2 3" xfId="13113"/>
    <cellStyle name="汇总 2 2 8 3 2 5" xfId="13114"/>
    <cellStyle name="标题 2 2 2 2 9" xfId="13115"/>
    <cellStyle name="计算 3 2 2 2 4 3" xfId="13116"/>
    <cellStyle name="输入 3 8 3" xfId="13117"/>
    <cellStyle name="常规 3 3 3 2 2 2" xfId="13118"/>
    <cellStyle name="输出 2 2 3 2 6 2 2" xfId="13119"/>
    <cellStyle name="计算 2 3 3 2 4 2" xfId="13120"/>
    <cellStyle name="强调文字颜色 3 2 3 4 3" xfId="13121"/>
    <cellStyle name="汇总 2 2 5 2 4 4" xfId="13122"/>
    <cellStyle name="计算 2 8 7 3" xfId="13123"/>
    <cellStyle name="输出 2 2 2 4 2 3" xfId="13124"/>
    <cellStyle name="超链接 2 2 4 2 2 2 2" xfId="13125"/>
    <cellStyle name="强调文字颜色 5 3 3" xfId="13126"/>
    <cellStyle name="注释 2 5 4 3 2 2" xfId="13127"/>
    <cellStyle name="40% - 强调文字颜色 3 4 2 3 2" xfId="13128"/>
    <cellStyle name="注释 2 4 2 4 3" xfId="13129"/>
    <cellStyle name="计算 2 5 2 2 3" xfId="13130"/>
    <cellStyle name="常规 2 2 4 3 3" xfId="13131"/>
    <cellStyle name="标题 4 2 2 2 3 4" xfId="13132"/>
    <cellStyle name="强调文字颜色 3 2 6 4" xfId="13133"/>
    <cellStyle name="注释 2 10 3" xfId="13134"/>
    <cellStyle name="60% - 强调文字颜色 4 2 2 2 2 2 2 2" xfId="13135"/>
    <cellStyle name="常规 3 4 3 2" xfId="13136"/>
    <cellStyle name="链接单元格 2 2 5" xfId="13137"/>
    <cellStyle name="常规 2 2 4 3 2 2" xfId="13138"/>
    <cellStyle name="计算 2 5 2 2 2 2" xfId="13139"/>
    <cellStyle name="20% - 强调文字颜色 5 2 2 7 2 2" xfId="13140"/>
    <cellStyle name="标题 5 3 2" xfId="13141"/>
    <cellStyle name="60% - 强调文字颜色 3 2 3 2 4" xfId="13142"/>
    <cellStyle name="标题 3 2 2 2 2 2 3" xfId="13143"/>
    <cellStyle name="输入 2 2 4 4 3" xfId="13144"/>
    <cellStyle name="计算 2 3 3 7" xfId="13145"/>
    <cellStyle name="标题 1 2 3 2 2 2 3" xfId="13146"/>
    <cellStyle name="注释 2 2 2 5" xfId="13147"/>
    <cellStyle name="汇总 2 2 12 4" xfId="13148"/>
    <cellStyle name="常规 6 2 2 2 3 3 2" xfId="13149"/>
    <cellStyle name="汇总 2 2 2 3 2 4 3" xfId="13150"/>
    <cellStyle name="常规 3 3 3 4 2 2" xfId="13151"/>
    <cellStyle name="计算 2 2 3 2 2 2 5 2" xfId="13152"/>
    <cellStyle name="差 2 2 2 3 3" xfId="13153"/>
    <cellStyle name="标题 4 2 10" xfId="13154"/>
    <cellStyle name="60% - 强调文字颜色 6 2 5 3 2 2" xfId="13155"/>
    <cellStyle name="60% - 强调文字颜色 4 3 2 2 3 2 2 2" xfId="13156"/>
    <cellStyle name="汇总 2 2 3 13" xfId="13157"/>
    <cellStyle name="计算 2 2 4 5 8" xfId="13158"/>
    <cellStyle name="汇总 2 6 2 2 6" xfId="13159"/>
    <cellStyle name="输入 2 3 4 3" xfId="13160"/>
    <cellStyle name="解释性文本 2 2 2 2 4" xfId="13161"/>
    <cellStyle name="汇总 2 5 4 4 2" xfId="13162"/>
    <cellStyle name="汇总 2 2 16 2" xfId="13163"/>
    <cellStyle name="注释 2 2 6 3" xfId="13164"/>
    <cellStyle name="计算 2 9 2 2 2 2" xfId="13165"/>
    <cellStyle name="标题 1 2 2 2 4 2 2" xfId="13166"/>
    <cellStyle name="40% - 强调文字颜色 5 2 3 2 5 2 2 2" xfId="13167"/>
    <cellStyle name="输入 2 6 2 4 3" xfId="13168"/>
    <cellStyle name="60% - 强调文字颜色 5 3 2 2 3 2" xfId="13169"/>
    <cellStyle name="解释性文本 2 2 2 5" xfId="13170"/>
    <cellStyle name="输出 2 3 6 3" xfId="13171"/>
    <cellStyle name="计算 2 5 2 2" xfId="13172"/>
    <cellStyle name="常规 2 2 4 3" xfId="13173"/>
    <cellStyle name="警告文本 2 3 2 2 2" xfId="13174"/>
    <cellStyle name="汇总 2 8 4 6" xfId="13175"/>
    <cellStyle name="60% - 强调文字颜色 6 2 2 4 3" xfId="13176"/>
    <cellStyle name="汇总 2 2 11 2 2 2" xfId="13177"/>
    <cellStyle name="适中 2 3 4 2 2 2" xfId="13178"/>
    <cellStyle name="强调文字颜色 1 3 8" xfId="13179"/>
    <cellStyle name="常规 2 2 4 2 3" xfId="13180"/>
    <cellStyle name="计算 2 2 4 4 2 4" xfId="13181"/>
    <cellStyle name="差 2 3 8" xfId="13182"/>
    <cellStyle name="汇总 2 2 4 4 2 4 3" xfId="13183"/>
    <cellStyle name="常规 10 2 3 3 2" xfId="13184"/>
    <cellStyle name="输入 2 10 3" xfId="13185"/>
    <cellStyle name="常规 2 2 3 4 2 2 2" xfId="13186"/>
    <cellStyle name="标题 1 2 3 2 2 2 2" xfId="13187"/>
    <cellStyle name="注释 3 3 9" xfId="13188"/>
    <cellStyle name="注释 2 2 2 4" xfId="13189"/>
    <cellStyle name="适中 2 3 5 3" xfId="13190"/>
    <cellStyle name="汇总 2 2 12 3" xfId="13191"/>
    <cellStyle name="汇总 2 2 4 11 3" xfId="13192"/>
    <cellStyle name="汇总 2 2 2 3 2 4 2" xfId="13193"/>
    <cellStyle name="输入 2 5 3 7" xfId="13194"/>
    <cellStyle name="汇总 4 2 2 3 2 2" xfId="13195"/>
    <cellStyle name="差 2 2 8 2" xfId="13196"/>
    <cellStyle name="常规 10 2 3 2 2 2" xfId="13197"/>
    <cellStyle name="常规 2 2 3 3 3 2" xfId="13198"/>
    <cellStyle name="常规 2 2 3 3 2 2 2" xfId="13199"/>
    <cellStyle name="常规 2 2 3 2 2 2 2" xfId="13200"/>
    <cellStyle name="汇总 2 2 3 9" xfId="13201"/>
    <cellStyle name="常规 4 6 2 4" xfId="13202"/>
    <cellStyle name="注释 3 2 3 2" xfId="13203"/>
    <cellStyle name="计算 2 3 2 2 2 5" xfId="13204"/>
    <cellStyle name="输出 2 6 7 2 2" xfId="13205"/>
    <cellStyle name="输出 2 4 2 3 5 3" xfId="13206"/>
    <cellStyle name="警告文本 2 2 4 3 2" xfId="13207"/>
    <cellStyle name="注释 2 2 8 6" xfId="13208"/>
    <cellStyle name="计算 2 2 4 2 4 3 2 2" xfId="13209"/>
    <cellStyle name="常规 6 2" xfId="13210"/>
    <cellStyle name="标题 5 2 5 2 3" xfId="13211"/>
    <cellStyle name="注释 2 2 3 3 2 2 3 2" xfId="13212"/>
    <cellStyle name="计算 2 4 2 2 5 2 2" xfId="13213"/>
    <cellStyle name="常规 2 2 2 3 5" xfId="13214"/>
    <cellStyle name="40% - 强调文字颜色 3 2 2 3 4 2" xfId="13215"/>
    <cellStyle name="常规 2 2 2 3 2 2 2 2 2" xfId="13216"/>
    <cellStyle name="注释 2 2 2 4 5" xfId="13217"/>
    <cellStyle name="40% - 强调文字颜色 3 2 2 3 4" xfId="13218"/>
    <cellStyle name="强调文字颜色 5 2 2 4 4 2 2" xfId="13219"/>
    <cellStyle name="常规 2 2 2 3 2 2 2 2" xfId="13220"/>
    <cellStyle name="标题 5 2 2 2 7" xfId="13221"/>
    <cellStyle name="强调文字颜色 3 2 3 2 2 4" xfId="13222"/>
    <cellStyle name="计算 2 2 5 6 2" xfId="13223"/>
    <cellStyle name="强调文字颜色 4 2 4 2 2 2" xfId="13224"/>
    <cellStyle name="强调文字颜色 2 2 2 2 2 6" xfId="13225"/>
    <cellStyle name="输入 2 2 3 6 2 2" xfId="13226"/>
    <cellStyle name="60% - 强调文字颜色 3 2 2 4 3 2" xfId="13227"/>
    <cellStyle name="计算 2 2 3 3" xfId="13228"/>
    <cellStyle name="超链接 2 3 4 2 3" xfId="13229"/>
    <cellStyle name="输出 4" xfId="13230"/>
    <cellStyle name="强调文字颜色 3 2 4 3 2 2" xfId="13231"/>
    <cellStyle name="60% - 强调文字颜色 2 2 2 5 3 2" xfId="13232"/>
    <cellStyle name="常规 3 2 2 4 5" xfId="13233"/>
    <cellStyle name="差 2 3 2 7" xfId="13234"/>
    <cellStyle name="汇总 2 2 4 3 3 4 3" xfId="13235"/>
    <cellStyle name="计算 2 2 5 4" xfId="13236"/>
    <cellStyle name="链接单元格 2 2 3 4 2" xfId="13237"/>
    <cellStyle name="汇总 2 4 3 2 2 3" xfId="13238"/>
    <cellStyle name="20% - 强调文字颜色 4 2 2 4 3 2 2 2" xfId="13239"/>
    <cellStyle name="适中 2 4 6 3" xfId="13240"/>
    <cellStyle name="注释 2 3 3 4" xfId="13241"/>
    <cellStyle name="常规 5 2 5 2 3 2" xfId="13242"/>
    <cellStyle name="输出 2 3 4 2 3" xfId="13243"/>
    <cellStyle name="常规 2 2 2 2 3" xfId="13244"/>
    <cellStyle name="汇总 2 2 2 3 2 3 2 2" xfId="13245"/>
    <cellStyle name="20% - 强调文字颜色 4 2 2 2 2 3 2 2 2 2" xfId="13246"/>
    <cellStyle name="解释性文本 2 13" xfId="13247"/>
    <cellStyle name="标题 3 3 3 3 2" xfId="13248"/>
    <cellStyle name="计算 2 2 7 5 3 2" xfId="13249"/>
    <cellStyle name="注释 2 8 5 2" xfId="13250"/>
    <cellStyle name="标题 2 2 4 4 4" xfId="13251"/>
    <cellStyle name="适中 2 3 3 2 2" xfId="13252"/>
    <cellStyle name="汇总 2 2 10 2 2" xfId="13253"/>
    <cellStyle name="60% - 强调文字颜色 2 4 2" xfId="13254"/>
    <cellStyle name="计算 2 2 4 4 5" xfId="13255"/>
    <cellStyle name="20% - 强调文字颜色 5 4 2 3 2 2 2" xfId="13256"/>
    <cellStyle name="适中 2 2 3 4 3" xfId="13257"/>
    <cellStyle name="常规 4 5" xfId="13258"/>
    <cellStyle name="60% - 强调文字颜色 3 3 2 2 4 2" xfId="13259"/>
    <cellStyle name="差 2 2 2 2 3 4" xfId="13260"/>
    <cellStyle name="输出 4 3 2 3" xfId="13261"/>
    <cellStyle name="计算 2 5 2 4 4 3" xfId="13262"/>
    <cellStyle name="40% - 强调文字颜色 5 2 3 2 2 2 3 2" xfId="13263"/>
    <cellStyle name="汇总 2 9 6 2" xfId="13264"/>
    <cellStyle name="输入 2 2 2 2 2 3" xfId="13265"/>
    <cellStyle name="标题 4 2 2 2 3 5" xfId="13266"/>
    <cellStyle name="注释 2 10 4" xfId="13267"/>
    <cellStyle name="40% - 强调文字颜色 4 2 2 6 2 2" xfId="13268"/>
    <cellStyle name="差 2 3 2 4" xfId="13269"/>
    <cellStyle name="解释性文本 3 2 5 2 2" xfId="13270"/>
    <cellStyle name="输入 3 3 2 2 3" xfId="13271"/>
    <cellStyle name="强调文字颜色 3 4 3 2" xfId="13272"/>
    <cellStyle name="输出 2 2 2 2 3 3 2" xfId="13273"/>
    <cellStyle name="差 2 2 3 9" xfId="13274"/>
    <cellStyle name="60% - 强调文字颜色 5 2 2 2 2 2 2" xfId="13275"/>
    <cellStyle name="计算 2 8" xfId="13276"/>
    <cellStyle name="计算 2 2 4 2 11 3" xfId="13277"/>
    <cellStyle name="汇总 2 2 7 3 3" xfId="13278"/>
    <cellStyle name="标题 1 2 2 3 5 2 2" xfId="13279"/>
    <cellStyle name="检查单元格 2 4 5" xfId="13280"/>
    <cellStyle name="计算 2 2 4 2 4 7" xfId="13281"/>
    <cellStyle name="强调文字颜色 1 2 2 3 2 2" xfId="13282"/>
    <cellStyle name="计算 3 11" xfId="13283"/>
    <cellStyle name="输入 2 2 5 2 2 2 6" xfId="13284"/>
    <cellStyle name="计算 2 2 7 5 2 3" xfId="13285"/>
    <cellStyle name="汇总 2 5 3 5 2 2" xfId="13286"/>
    <cellStyle name="标题 3 3 3 2 3" xfId="13287"/>
    <cellStyle name="强调文字颜色 4 2 3 8" xfId="13288"/>
    <cellStyle name="注释 2 2 6 4 5" xfId="13289"/>
    <cellStyle name="检查单元格 2 2 2 6" xfId="13290"/>
    <cellStyle name="适中 2 2 4 2 2 2" xfId="13291"/>
    <cellStyle name="60% - 强调文字颜色 5 2 2 4 3" xfId="13292"/>
    <cellStyle name="20% - 强调文字颜色 3 2 2 2 3 2 2 2 2" xfId="13293"/>
    <cellStyle name="强调文字颜色 6 2 4 2 2" xfId="13294"/>
    <cellStyle name="汇总 2 3 3" xfId="13295"/>
    <cellStyle name="强调文字颜色 2 2 2 3 2 2 2 2" xfId="13296"/>
    <cellStyle name="20% - 强调文字颜色 1 4 2 2 2 2" xfId="13297"/>
    <cellStyle name="计算 2 7 2 4 2 2" xfId="13298"/>
    <cellStyle name="汇总 2 2 3 3 5 2" xfId="13299"/>
    <cellStyle name="汇总 2 2 17 2" xfId="13300"/>
    <cellStyle name="注释 2 2 7 3" xfId="13301"/>
    <cellStyle name="输入 2 6 2 5 3" xfId="13302"/>
    <cellStyle name="常规 3 2 4 3 3 3" xfId="13303"/>
    <cellStyle name="40% - 强调文字颜色 3 2 2 2 2 4 2 2" xfId="13304"/>
    <cellStyle name="强调文字颜色 4 3 2 2 3" xfId="13305"/>
    <cellStyle name="输出 2 4 2 3 2 5" xfId="13306"/>
    <cellStyle name="输出 2 2 8 2 2 2" xfId="13307"/>
    <cellStyle name="20% - 强调文字颜色 3 2 3 2 2 3 3" xfId="13308"/>
    <cellStyle name="20% - 强调文字颜色 6 2 4 6" xfId="13309"/>
    <cellStyle name="标题 5 2 4 3 2" xfId="13310"/>
    <cellStyle name="警告文本 2 3 2 4 2 2" xfId="13311"/>
    <cellStyle name="适中 3 3 4" xfId="13312"/>
    <cellStyle name="汇总 2 7 11" xfId="13313"/>
    <cellStyle name="20% - 强调文字颜色 3 2 2 3 4 2" xfId="13314"/>
    <cellStyle name="计算 2 2 3 2 2 3 4 2" xfId="13315"/>
    <cellStyle name="计算 2 2 3 2 4 5" xfId="13316"/>
    <cellStyle name="汇总 2 2 2 2 2 4 3" xfId="13317"/>
    <cellStyle name="解释性文本 3 3 3" xfId="13318"/>
    <cellStyle name="超链接 2 7 2" xfId="13319"/>
    <cellStyle name="常规 13 9" xfId="13320"/>
    <cellStyle name="常规 13 6 2" xfId="13321"/>
    <cellStyle name="差 3 2 4 2 2" xfId="13322"/>
    <cellStyle name="汇总 2 6 2 2 7 2" xfId="13323"/>
    <cellStyle name="输入 2 3 4 4 2" xfId="13324"/>
    <cellStyle name="标题 3 2 2 3 2 2 2" xfId="13325"/>
    <cellStyle name="20% - 强调文字颜色 2 2 2 2 2 2 4" xfId="13326"/>
    <cellStyle name="标题 4 2 2 2 2 3 2 2 3" xfId="13327"/>
    <cellStyle name="计算 2 6 2 2 2 8" xfId="13328"/>
    <cellStyle name="链接单元格 2 2 4 3" xfId="13329"/>
    <cellStyle name="常规 13 5 2" xfId="13330"/>
    <cellStyle name="汇总 2 2 10 2 3" xfId="13331"/>
    <cellStyle name="适中 2 3 3 2 3" xfId="13332"/>
    <cellStyle name="常规 13 5" xfId="13333"/>
    <cellStyle name="好 2 2 4 3" xfId="13334"/>
    <cellStyle name="常规 13 4 4" xfId="13335"/>
    <cellStyle name="常规 13 4 2 5" xfId="13336"/>
    <cellStyle name="40% - 强调文字颜色 2 2 2 4 3 2 2" xfId="13337"/>
    <cellStyle name="汇总 2 2 7 3 8" xfId="13338"/>
    <cellStyle name="差 2 2 2 3 2 3" xfId="13339"/>
    <cellStyle name="常规 13 4 2 3 2 2" xfId="13340"/>
    <cellStyle name="常规 2 2 2 2 5 2 2" xfId="13341"/>
    <cellStyle name="常规 13 4 2 3" xfId="13342"/>
    <cellStyle name="常规 13 4 2 2" xfId="13343"/>
    <cellStyle name="60% - 强调文字颜色 6 2 4 2 2 2 3" xfId="13344"/>
    <cellStyle name="超链接 2 2 2 2 3 3" xfId="13345"/>
    <cellStyle name="适中 2 4 3 2 2 2" xfId="13346"/>
    <cellStyle name="汇总 2 2 5 2 2 2 4" xfId="13347"/>
    <cellStyle name="常规 10 4 2 2" xfId="13348"/>
    <cellStyle name="输出 2 2 3 2 4 3" xfId="13349"/>
    <cellStyle name="40% - 强调文字颜色 4 2 5 4 2 2" xfId="13350"/>
    <cellStyle name="计算 2 2 2 2 2 4 2" xfId="13351"/>
    <cellStyle name="输入 2 4 6 2" xfId="13352"/>
    <cellStyle name="20% - 强调文字颜色 4 2 4 3 2 2" xfId="13353"/>
    <cellStyle name="注释 2 5 2 3 2 2 2" xfId="13354"/>
    <cellStyle name="计算 2 2 2 3 3 4" xfId="13355"/>
    <cellStyle name="注释 2 6 2 8" xfId="13356"/>
    <cellStyle name="注释 2 4 2 2 2 2 4" xfId="13357"/>
    <cellStyle name="汇总 2 3 2 2 2 2 2 2 2" xfId="13358"/>
    <cellStyle name="输出 2 2 3 7 2" xfId="13359"/>
    <cellStyle name="汇总 4 2 3 2 2" xfId="13360"/>
    <cellStyle name="好 2 2 2 3" xfId="13361"/>
    <cellStyle name="40% - 强调文字颜色 5 2 4 3 3 2" xfId="13362"/>
    <cellStyle name="差 2 3 2 2 2 2 3" xfId="13363"/>
    <cellStyle name="超链接 3 2 3 4 2 2" xfId="13364"/>
    <cellStyle name="输入 2 6 4 4 2 2" xfId="13365"/>
    <cellStyle name="常规 13 4" xfId="13366"/>
    <cellStyle name="输入 2 2 7 2 3 2 2" xfId="13367"/>
    <cellStyle name="汇总 2 9 4 3" xfId="13368"/>
    <cellStyle name="标题 5 2 2 2 3 2 2 3" xfId="13369"/>
    <cellStyle name="汇总 3 4 2 2" xfId="13370"/>
    <cellStyle name="计算 2 5 2 3 6 3" xfId="13371"/>
    <cellStyle name="40% - 强调文字颜色 1 2 2 3 2 2 2" xfId="13372"/>
    <cellStyle name="常规 8 4 2 2" xfId="13373"/>
    <cellStyle name="常规 2 2 2 2 2 6" xfId="13374"/>
    <cellStyle name="常规 4 2 4 2 2 2" xfId="13375"/>
    <cellStyle name="链接单元格 4 2 3" xfId="13376"/>
    <cellStyle name="60% - 强调文字颜色 4 2 2 2 3 6" xfId="13377"/>
    <cellStyle name="20% - 强调文字颜色 6 2 2 2 5" xfId="13378"/>
    <cellStyle name="注释 2 4 6 2 2" xfId="13379"/>
    <cellStyle name="输出 2 6 4 3" xfId="13380"/>
    <cellStyle name="解释性文本 2 3 2 5 3" xfId="13381"/>
    <cellStyle name="标题 5 2" xfId="13382"/>
    <cellStyle name="输入 2 5 2 2 3 2 3" xfId="13383"/>
    <cellStyle name="常规 3 3 2 2 3 2 2 2" xfId="13384"/>
    <cellStyle name="60% - 强调文字颜色 2 3 2 3 2" xfId="13385"/>
    <cellStyle name="计算 2 7 12" xfId="13386"/>
    <cellStyle name="常规 13 3 3 2 2" xfId="13387"/>
    <cellStyle name="好 2 2 3 2 2 2" xfId="13388"/>
    <cellStyle name="20% - 强调文字颜色 1 3 5 2 2 2" xfId="13389"/>
    <cellStyle name="强调文字颜色 2 2 2 2 5 2 2 2" xfId="13390"/>
    <cellStyle name="强调文字颜色 6 2 2 2 2 4 3 2" xfId="13391"/>
    <cellStyle name="20% - 强调文字颜色 6 2 6 3 2" xfId="13392"/>
    <cellStyle name="汇总 2 2 5 9 2 2" xfId="13393"/>
    <cellStyle name="解释性文本 6 2" xfId="13394"/>
    <cellStyle name="标题 6 11" xfId="13395"/>
    <cellStyle name="常规 13 3 2 4" xfId="13396"/>
    <cellStyle name="超链接 3 6 2 2" xfId="13397"/>
    <cellStyle name="计算 2 2 4 2 2 2 2" xfId="13398"/>
    <cellStyle name="计算 2 4 4 2 5 2" xfId="13399"/>
    <cellStyle name="强调文字颜色 4 2 3 2 4 2 2" xfId="13400"/>
    <cellStyle name="常规 5 5 2 2 4 2" xfId="13401"/>
    <cellStyle name="汇总 2 2 5 3 3 3 2 2" xfId="13402"/>
    <cellStyle name="适中 3 10" xfId="13403"/>
    <cellStyle name="汇总 2 5 2 4 2 3 3" xfId="13404"/>
    <cellStyle name="输入 2 2 6 5" xfId="13405"/>
    <cellStyle name="标题 3 2 2 2 4 3" xfId="13406"/>
    <cellStyle name="60% - 强调文字颜色 2 2 2 5 3 2 2" xfId="13407"/>
    <cellStyle name="输出 4 2" xfId="13408"/>
    <cellStyle name="强调文字颜色 3 2 4 3 2 2 2" xfId="13409"/>
    <cellStyle name="强调文字颜色 5 2 3 2 5 2" xfId="13410"/>
    <cellStyle name="计算 2 5 3 2 2 4 2" xfId="13411"/>
    <cellStyle name="计算 2 6 3 3" xfId="13412"/>
    <cellStyle name="60% - 强调文字颜色 2 2 4 5 2 2" xfId="13413"/>
    <cellStyle name="链接单元格 2 4 9" xfId="13414"/>
    <cellStyle name="标题 2 4 5" xfId="13415"/>
    <cellStyle name="强调文字颜色 4 2 3 5 3" xfId="13416"/>
    <cellStyle name="输入 2 2 2 9 3" xfId="13417"/>
    <cellStyle name="计算 2 4 3 2 5 2" xfId="13418"/>
    <cellStyle name="强调文字颜色 5 2 2 2 4 2 2" xfId="13419"/>
    <cellStyle name="计算 2 7 2 2 7" xfId="13420"/>
    <cellStyle name="标题 3 2 4 2 2 2 2" xfId="13421"/>
    <cellStyle name="标题 1 2 2 2 2 6 2" xfId="13422"/>
    <cellStyle name="60% - 强调文字颜色 5 2 3 2 3" xfId="13423"/>
    <cellStyle name="强调文字颜色 5 2 2 2 2 3 2 2" xfId="13424"/>
    <cellStyle name="20% - 强调文字颜色 1 2 2 5 2 2 2" xfId="13425"/>
    <cellStyle name="输入 2 4 9" xfId="13426"/>
    <cellStyle name="好 2 2 4 4 2" xfId="13427"/>
    <cellStyle name="汇总 2 2 8 2 4 3" xfId="13428"/>
    <cellStyle name="标题 5 6 2 3" xfId="13429"/>
    <cellStyle name="常规 9 3 2 3 3" xfId="13430"/>
    <cellStyle name="警告文本 2 2 2 2 4 2 3" xfId="13431"/>
    <cellStyle name="60% - 强调文字颜色 5 2 2 2 3 3 2" xfId="13432"/>
    <cellStyle name="强调文字颜色 1 3 2 5" xfId="13433"/>
    <cellStyle name="20% - 强调文字颜色 5 2 3 2 2 5 2 2" xfId="13434"/>
    <cellStyle name="常规 2 2 2 3 3 2" xfId="13435"/>
    <cellStyle name="常规 13 2 2 2 2 4 2" xfId="13436"/>
    <cellStyle name="常规 13 2 2 2 2 4" xfId="13437"/>
    <cellStyle name="常规 2 2 2 3 3" xfId="13438"/>
    <cellStyle name="输出 2 3 4 3 3" xfId="13439"/>
    <cellStyle name="常规 5 2 5 2 4 2" xfId="13440"/>
    <cellStyle name="计算 2 2 5 2 3 2 3" xfId="13441"/>
    <cellStyle name="强调文字颜色 5 2 3 4 2 2 2" xfId="13442"/>
    <cellStyle name="输入 2 11 5" xfId="13443"/>
    <cellStyle name="常规 12 7" xfId="13444"/>
    <cellStyle name="60% - 强调文字颜色 6 2 2 2 3 6" xfId="13445"/>
    <cellStyle name="标题 2 4 2 3 2 2" xfId="13446"/>
    <cellStyle name="常规 12 5 2" xfId="13447"/>
    <cellStyle name="常规 12 5" xfId="13448"/>
    <cellStyle name="20% - 强调文字颜色 6 2 3 2 4 2 2" xfId="13449"/>
    <cellStyle name="检查单元格 2 4 4" xfId="13450"/>
    <cellStyle name="40% - 强调文字颜色 6 2 2 2 2 2 2 2" xfId="13451"/>
    <cellStyle name="计算 3 4 4" xfId="13452"/>
    <cellStyle name="强调文字颜色 1 2 6 3 3" xfId="13453"/>
    <cellStyle name="常规 5 4 7" xfId="13454"/>
    <cellStyle name="强调文字颜色 6 2 2 2 3 5" xfId="13455"/>
    <cellStyle name="常规 12 4 2" xfId="13456"/>
    <cellStyle name="40% - 强调文字颜色 5 2 2 3 3 3 2" xfId="13457"/>
    <cellStyle name="百分比 2 2 4 3 2 2" xfId="13458"/>
    <cellStyle name="60% - 强调文字颜色 6 2 2 2 2 6" xfId="13459"/>
    <cellStyle name="输出 2 2 3 5 5 2" xfId="13460"/>
    <cellStyle name="差 2 2 2 3 5" xfId="13461"/>
    <cellStyle name="输入 2 2 13 2 2" xfId="13462"/>
    <cellStyle name="输出 2 4 7 3" xfId="13463"/>
    <cellStyle name="60% - 强调文字颜色 6 2 2 2 2 2 2 2" xfId="13464"/>
    <cellStyle name="常规 2 3 5 3" xfId="13465"/>
    <cellStyle name="计算 2 6 3 2" xfId="13466"/>
    <cellStyle name="标题 2 2 4 5 3" xfId="13467"/>
    <cellStyle name="常规 10 2 2 2 4 2" xfId="13468"/>
    <cellStyle name="链接单元格 2 4 6 2" xfId="13469"/>
    <cellStyle name="计算 2 9 2 7" xfId="13470"/>
    <cellStyle name="标题 1 3 9" xfId="13471"/>
    <cellStyle name="汇总 4 4 3 2" xfId="13472"/>
    <cellStyle name="输出 2 4 3 7" xfId="13473"/>
    <cellStyle name="汇总 2 3 2 2 2 4 2 2" xfId="13474"/>
    <cellStyle name="常规 6 2 2 2 3 2 2" xfId="13475"/>
    <cellStyle name="汇总 2 2 2 3 2 3 3" xfId="13476"/>
    <cellStyle name="警告文本 6 2" xfId="13477"/>
    <cellStyle name="计算 2 3 11" xfId="13478"/>
    <cellStyle name="常规 6 2 2 2 2" xfId="13479"/>
    <cellStyle name="解释性文本 2 8 2 3" xfId="13480"/>
    <cellStyle name="60% - 强调文字颜色 3 2 2 6 3 2 2" xfId="13481"/>
    <cellStyle name="标题 3 3 4 2 2" xfId="13482"/>
    <cellStyle name="强调文字颜色 4 2 4 4 2 2 2" xfId="13483"/>
    <cellStyle name="计算 2 2 7 6 2 2" xfId="13484"/>
    <cellStyle name="40% - 强调文字颜色 4 2 2 2 3 3 2" xfId="13485"/>
    <cellStyle name="20% - 强调文字颜色 1 2 2 2 2 2 5 2 2" xfId="13486"/>
    <cellStyle name="常规 5 3 3 3 3 3" xfId="13487"/>
    <cellStyle name="计算 2 8 2" xfId="13488"/>
    <cellStyle name="20% - 强调文字颜色 1 2 7 3 2 2" xfId="13489"/>
    <cellStyle name="输出 4 2 3" xfId="13490"/>
    <cellStyle name="输入 2 4 3 9" xfId="13491"/>
    <cellStyle name="汇总 3 3 2 2 2 2" xfId="13492"/>
    <cellStyle name="输入 3" xfId="13493"/>
    <cellStyle name="常规 2 9" xfId="13494"/>
    <cellStyle name="60% - 强调文字颜色 5 3 4 2 2 2" xfId="13495"/>
    <cellStyle name="40% - 强调文字颜色 2 2 6 3 2 2" xfId="13496"/>
    <cellStyle name="输入 2 7 2 8" xfId="13497"/>
    <cellStyle name="常规 12 3 3 4 2" xfId="13498"/>
    <cellStyle name="链接单元格 2 2 2 2 6 3" xfId="13499"/>
    <cellStyle name="强调文字颜色 4 5 2" xfId="13500"/>
    <cellStyle name="常规 5 2 2 2 4" xfId="13501"/>
    <cellStyle name="汇总 3 8 2" xfId="13502"/>
    <cellStyle name="汇总 2 5 3 7" xfId="13503"/>
    <cellStyle name="标题 3 2 2 6 3 2" xfId="13504"/>
    <cellStyle name="超链接 3 2 4 4" xfId="13505"/>
    <cellStyle name="计算 2 10 2 3" xfId="13506"/>
    <cellStyle name="60% - 强调文字颜色 2 2 2 2 3" xfId="13507"/>
    <cellStyle name="计算 2 2 4 2 5 2 3" xfId="13508"/>
    <cellStyle name="输出 5 5" xfId="13509"/>
    <cellStyle name="差 2 2 2 2 3 2 3" xfId="13510"/>
    <cellStyle name="输出 2 12" xfId="13511"/>
    <cellStyle name="常规 4 3 3" xfId="13512"/>
    <cellStyle name="40% - 强调文字颜色 4 2 4 4 3 2" xfId="13513"/>
    <cellStyle name="注释 2 2 5 2 2 2 2 2" xfId="13514"/>
    <cellStyle name="计算 2 2 2 2 2 2 2 3" xfId="13515"/>
    <cellStyle name="计算 2 2 2 8 2 2" xfId="13516"/>
    <cellStyle name="链接单元格 2 2 4 4 3" xfId="13517"/>
    <cellStyle name="输入 2 2 3 3 4 2 2" xfId="13518"/>
    <cellStyle name="常规 12 3 3 3 2 2" xfId="13519"/>
    <cellStyle name="标题 1 2 2 3 3 3" xfId="13520"/>
    <cellStyle name="强调文字颜色 3 2 2 6" xfId="13521"/>
    <cellStyle name="强调文字颜色 5 2 2 2 2 3 3 2" xfId="13522"/>
    <cellStyle name="好 2 2 4 5 2" xfId="13523"/>
    <cellStyle name="输入 2 5 9" xfId="13524"/>
    <cellStyle name="标题 5 6 3 3" xfId="13525"/>
    <cellStyle name="汇总 2 2 8 2 5 3" xfId="13526"/>
    <cellStyle name="注释 2 2 5 3 2 4" xfId="13527"/>
    <cellStyle name="百分比 2 2 2 2" xfId="13528"/>
    <cellStyle name="强调文字颜色 6 2 3 6 2" xfId="13529"/>
    <cellStyle name="40% - 强调文字颜色 3 2 2 6" xfId="13530"/>
    <cellStyle name="汇总 2 8 4 2" xfId="13531"/>
    <cellStyle name="常规 10 3 2 3 5" xfId="13532"/>
    <cellStyle name="解释性文本 3 13" xfId="13533"/>
    <cellStyle name="强调文字颜色 2 2 6 3 2 2" xfId="13534"/>
    <cellStyle name="20% - 强调文字颜色 5 4 2 2" xfId="13535"/>
    <cellStyle name="汇总 2 2 6 14" xfId="13536"/>
    <cellStyle name="计算 2 8 4 7" xfId="13537"/>
    <cellStyle name="注释 3 3 2 3 2" xfId="13538"/>
    <cellStyle name="计算 2 2 2 2 2 9" xfId="13539"/>
    <cellStyle name="常规 5 3 3 2 3 3" xfId="13540"/>
    <cellStyle name="标题 3 2 8 2" xfId="13541"/>
    <cellStyle name="计算 2 2 9 2 3 2 2" xfId="13542"/>
    <cellStyle name="汇总 2 2 7 2 2 6" xfId="13543"/>
    <cellStyle name="注释 2 6 3 3 3" xfId="13544"/>
    <cellStyle name="输入 2 6 2 8" xfId="13545"/>
    <cellStyle name="常规 12 3 2 4 2" xfId="13546"/>
    <cellStyle name="超链接 2 6 2 2 2" xfId="13547"/>
    <cellStyle name="40% - 强调文字颜色 2 2 6 2 2 2" xfId="13548"/>
    <cellStyle name="60% - 强调文字颜色 6 2 2 5 2 2 2" xfId="13549"/>
    <cellStyle name="标题 5 3 5 2 3" xfId="13550"/>
    <cellStyle name="汇总 2 4 4 6 2" xfId="13551"/>
    <cellStyle name="输入 2 7 2 2 2 2 2" xfId="13552"/>
    <cellStyle name="常规 12 2 5" xfId="13553"/>
    <cellStyle name="强调文字颜色 4 2 2 5 2 2" xfId="13554"/>
    <cellStyle name="标题 1 4 4 2" xfId="13555"/>
    <cellStyle name="汇总 2 2 12 2 2" xfId="13556"/>
    <cellStyle name="注释 5 6" xfId="13557"/>
    <cellStyle name="20% - 强调文字颜色 3 2 2 2 4 3 2 2" xfId="13558"/>
    <cellStyle name="适中 2 3 5 2 2" xfId="13559"/>
    <cellStyle name="注释 2 2 2 3 2" xfId="13560"/>
    <cellStyle name="输入 2 2 2 2 4 2 2" xfId="13561"/>
    <cellStyle name="输出 2 2 4 4 3 2 2" xfId="13562"/>
    <cellStyle name="输入 2 8 3 2 3" xfId="13563"/>
    <cellStyle name="超链接 3 4 2 2 3" xfId="13564"/>
    <cellStyle name="汇总 2 5 2 2 5" xfId="13565"/>
    <cellStyle name="40% - 强调文字颜色 2 4 2 2 2" xfId="13566"/>
    <cellStyle name="标题 2 2 2 2 4 4" xfId="13567"/>
    <cellStyle name="标题 3 2 3 2 4 2" xfId="13568"/>
    <cellStyle name="输出 2 5 4 2 2 3" xfId="13569"/>
    <cellStyle name="常规 6 5 3 2" xfId="13570"/>
    <cellStyle name="标题 4 2 2 10" xfId="13571"/>
    <cellStyle name="输入 2 14 2 2" xfId="13572"/>
    <cellStyle name="40% - 强调文字颜色 3 2 3 3 3 2" xfId="13573"/>
    <cellStyle name="链接单元格 2 2 2 2 4" xfId="13574"/>
    <cellStyle name="注释 2 2 3 4 4 2" xfId="13575"/>
    <cellStyle name="输出 3 4 3" xfId="13576"/>
    <cellStyle name="汇总 2 5 3 2 2 3 2 2" xfId="13577"/>
    <cellStyle name="输出 2 2 3 3 5" xfId="13578"/>
    <cellStyle name="汇总 2 2 5 2 2 9" xfId="13579"/>
    <cellStyle name="链接单元格 2 2 2 3 2 2" xfId="13580"/>
    <cellStyle name="注释 2 4 2 4 6" xfId="13581"/>
    <cellStyle name="强调文字颜色 3 2 2 4 5" xfId="13582"/>
    <cellStyle name="常规 6 2 3 2 3 2 2" xfId="13583"/>
    <cellStyle name="汇总 2 2 7 2 3 2" xfId="13584"/>
    <cellStyle name="汇总 2 2 3 3 2 3 3" xfId="13585"/>
    <cellStyle name="解释性文本 2 2 2 2 4 3 2" xfId="13586"/>
    <cellStyle name="超链接 2 2 4 2 2" xfId="13587"/>
    <cellStyle name="汇总 2 4 3 3 5" xfId="13588"/>
    <cellStyle name="计算 2 9 2 4 2" xfId="13589"/>
    <cellStyle name="标题 1 3 6 2" xfId="13590"/>
    <cellStyle name="强调文字颜色 4 2 2 4 4 2" xfId="13591"/>
    <cellStyle name="40% - 强调文字颜色 2 3 2 4 2" xfId="13592"/>
    <cellStyle name="解释性文本 3 2" xfId="13593"/>
    <cellStyle name="常规 6 4 3 2 2 2" xfId="13594"/>
    <cellStyle name="40% - 强调文字颜色 3 4 2 3" xfId="13595"/>
    <cellStyle name="40% - 强调文字颜色 5 2 2 6 3 2" xfId="13596"/>
    <cellStyle name="输入 2 2 3 2 4 3" xfId="13597"/>
    <cellStyle name="40% - 强调文字颜色 3 2 2 3 6" xfId="13598"/>
    <cellStyle name="注释 2 2 2 4 7" xfId="13599"/>
    <cellStyle name="常规 12 2 2 2 4 2" xfId="13600"/>
    <cellStyle name="汇总 2 2 2 3" xfId="13601"/>
    <cellStyle name="汇总 2 2 2 3 3 2 3" xfId="13602"/>
    <cellStyle name="40% - 强调文字颜色 6 2 3 2 5 2" xfId="13603"/>
    <cellStyle name="汇总 2 8 2 3 2" xfId="13604"/>
    <cellStyle name="注释 2 7 6 2 2" xfId="13605"/>
    <cellStyle name="常规 2 3 5 3 2" xfId="13606"/>
    <cellStyle name="60% - 强调文字颜色 6 2 2 2 2 2 2 2 2" xfId="13607"/>
    <cellStyle name="计算 2 6 3 2 2" xfId="13608"/>
    <cellStyle name="计算 2 2 2 3 2 5" xfId="13609"/>
    <cellStyle name="标题 5 4 3 2" xfId="13610"/>
    <cellStyle name="标题 5 2 2 3 3 2" xfId="13611"/>
    <cellStyle name="警告文本 2 6" xfId="13612"/>
    <cellStyle name="计算 2 5 2 2 3 3 2" xfId="13613"/>
    <cellStyle name="汇总 2 4 2 2 2 8" xfId="13614"/>
    <cellStyle name="注释 2 7 2 3 2" xfId="13615"/>
    <cellStyle name="警告文本 2 2 6 2 3" xfId="13616"/>
    <cellStyle name="40% - 强调文字颜色 4 2 7 2 2 2" xfId="13617"/>
    <cellStyle name="常规 5 2 3 3 2 3 3" xfId="13618"/>
    <cellStyle name="好 3 2 3 2 2" xfId="13619"/>
    <cellStyle name="汇总 2 5 2 2 2 6" xfId="13620"/>
    <cellStyle name="链接单元格 2 3 5" xfId="13621"/>
    <cellStyle name="常规 3 4 4 2" xfId="13622"/>
    <cellStyle name="计算 2 2 6 2 2 7" xfId="13623"/>
    <cellStyle name="计算 2 5 2 2 3 2" xfId="13624"/>
    <cellStyle name="常规 2 2 4 3 3 2" xfId="13625"/>
    <cellStyle name="汇总 2 8 9" xfId="13626"/>
    <cellStyle name="常规 11 5 2" xfId="13627"/>
    <cellStyle name="常规 11 5" xfId="13628"/>
    <cellStyle name="汇总 2 5 2 3 2 8" xfId="13629"/>
    <cellStyle name="标题 5 3 2 4 3 2" xfId="13630"/>
    <cellStyle name="60% - 强调文字颜色 6 3 2 2 3 2 2" xfId="13631"/>
    <cellStyle name="标题 3 2 2 2 2 2 2" xfId="13632"/>
    <cellStyle name="60% - 强调文字颜色 3 2 3 2 3" xfId="13633"/>
    <cellStyle name="计算 2 3 3 6" xfId="13634"/>
    <cellStyle name="输入 2 2 4 4 2" xfId="13635"/>
    <cellStyle name="60% - 强调文字颜色 4 2 2 2 4 3 2 2" xfId="13636"/>
    <cellStyle name="计算 2 2 6 4 2 2 2 2" xfId="13637"/>
    <cellStyle name="标题 3 2 2 4 3 2 2" xfId="13638"/>
    <cellStyle name="汇总 2 5 3 5" xfId="13639"/>
    <cellStyle name="40% - 强调文字颜色 5 2 2 3 4 2" xfId="13640"/>
    <cellStyle name="40% - 强调文字颜色 4 4 5" xfId="13641"/>
    <cellStyle name="20% - 强调文字颜色 2 2 2 2" xfId="13642"/>
    <cellStyle name="计算 2 4 2 2 6 2 2" xfId="13643"/>
    <cellStyle name="计算 2 6 4 2 4 2" xfId="13644"/>
    <cellStyle name="60% - 强调文字颜色 2 2 2 2 5 2 2 2" xfId="13645"/>
    <cellStyle name="计算 2 2 3 2 4 3 3" xfId="13646"/>
    <cellStyle name="20% - 强调文字颜色 2 2 2" xfId="13647"/>
    <cellStyle name="计算 2 4 2 2 6 2" xfId="13648"/>
    <cellStyle name="计算 2 6 4 2 4" xfId="13649"/>
    <cellStyle name="计算 2 3 2 2 6 2" xfId="13650"/>
    <cellStyle name="强调文字颜色 1 2 2 2 2 3 4" xfId="13651"/>
    <cellStyle name="强调文字颜色 2 5 2 2" xfId="13652"/>
    <cellStyle name="强调文字颜色 4 2 2 2 4 3 2" xfId="13653"/>
    <cellStyle name="适中 2 3 2 4" xfId="13654"/>
    <cellStyle name="输入 2 6 8 2 2" xfId="13655"/>
    <cellStyle name="常规 5 2 3 2 3 5" xfId="13656"/>
    <cellStyle name="注释 2 8 4 2" xfId="13657"/>
    <cellStyle name="40% - 强调文字颜色 3 2 5 2 2 2 2" xfId="13658"/>
    <cellStyle name="注释 2 2 5 3 3 2 2" xfId="13659"/>
    <cellStyle name="输出 2 2 2 5 2 2" xfId="13660"/>
    <cellStyle name="计算 2 9 7 2" xfId="13661"/>
    <cellStyle name="强调文字颜色 6 3 2" xfId="13662"/>
    <cellStyle name="汇总 2 4 4" xfId="13663"/>
    <cellStyle name="检查单元格 2 3 2 3 2 3" xfId="13664"/>
    <cellStyle name="40% - 强调文字颜色 2 2 3 2 2 2" xfId="13665"/>
    <cellStyle name="汇总 2 6 4 2 2 3" xfId="13666"/>
    <cellStyle name="计算 2 2 7 11" xfId="13667"/>
    <cellStyle name="常规 5 2 3 2 2 3 2 2" xfId="13668"/>
    <cellStyle name="计算 2 5 2 3 2 7" xfId="13669"/>
    <cellStyle name="20% - 强调文字颜色 5 2 2 2 2 3" xfId="13670"/>
    <cellStyle name="计算 2 2 5 2 2 6 2" xfId="13671"/>
    <cellStyle name="汇总 3 2 3 2" xfId="13672"/>
    <cellStyle name="60% - 强调文字颜色 5 2 2 2 2 2 3 2" xfId="13673"/>
    <cellStyle name="解释性文本 2 2 6 2 2" xfId="13674"/>
    <cellStyle name="输入 2 3 3 2 3" xfId="13675"/>
    <cellStyle name="常规 2 2 3 4 2" xfId="13676"/>
    <cellStyle name="40% - 强调文字颜色 4 2 6 3 2 2" xfId="13677"/>
    <cellStyle name="20% - 强调文字颜色 1 2 2 3 5" xfId="13678"/>
    <cellStyle name="标题 5 3 2 3 3 2" xfId="13679"/>
    <cellStyle name="注释 2 2 4 3 8" xfId="13680"/>
    <cellStyle name="输出 2 2 12" xfId="13681"/>
    <cellStyle name="常规 5 2 3 3 4 3" xfId="13682"/>
    <cellStyle name="汇总 2 6 9" xfId="13683"/>
    <cellStyle name="常规 11 3 2" xfId="13684"/>
    <cellStyle name="40% - 强调文字颜色 4 2 6 3 2" xfId="13685"/>
    <cellStyle name="汇总 2 2 4 4 6 2" xfId="13686"/>
    <cellStyle name="差 2 2 2 5 2" xfId="13687"/>
    <cellStyle name="强调文字颜色 3 3 3 3 2" xfId="13688"/>
    <cellStyle name="20% - 强调文字颜色 3 2 3 2 2 3 3 2" xfId="13689"/>
    <cellStyle name="警告文本 2 3 2 4 2 2 2" xfId="13690"/>
    <cellStyle name="汇总 2 2 6 2 3 3" xfId="13691"/>
    <cellStyle name="汇总 2 2 3 2 2 3 4" xfId="13692"/>
    <cellStyle name="计算 2 2 5 3 3" xfId="13693"/>
    <cellStyle name="强调文字颜色 6 2 2 3 4 2" xfId="13694"/>
    <cellStyle name="输出 2 7 2 2 4" xfId="13695"/>
    <cellStyle name="60% - 强调文字颜色 3 2 2 2 2 4 2 2 2" xfId="13696"/>
    <cellStyle name="注释 2 5 2 3 2" xfId="13697"/>
    <cellStyle name="常规 5 3 2 2 2 3 3" xfId="13698"/>
    <cellStyle name="计算 2 2 9 2 5" xfId="13699"/>
    <cellStyle name="计算 2 5 2 4 3 3" xfId="13700"/>
    <cellStyle name="40% - 强调文字颜色 5 2 3 2 2 2 2 2" xfId="13701"/>
    <cellStyle name="计算 2 8 6 2" xfId="13702"/>
    <cellStyle name="60% - 强调文字颜色 5 2 2 2 6 2 2 2" xfId="13703"/>
    <cellStyle name="汇总 3 5 3 3" xfId="13704"/>
    <cellStyle name="注释 4 2 5" xfId="13705"/>
    <cellStyle name="常规 5 2 2 4 4" xfId="13706"/>
    <cellStyle name="计算 2 5 5 5 2 2" xfId="13707"/>
    <cellStyle name="20% - 强调文字颜色 3 2 3 4 2 2" xfId="13708"/>
    <cellStyle name="输入 2 8 2 3" xfId="13709"/>
    <cellStyle name="强调文字颜色 1 2 4 7" xfId="13710"/>
    <cellStyle name="强调文字颜色 6 2 2 2 4 3 2" xfId="13711"/>
    <cellStyle name="60% - 强调文字颜色 6 2 4 9" xfId="13712"/>
    <cellStyle name="20% - 强调文字颜色 6 4 5 2" xfId="13713"/>
    <cellStyle name="输出 2 2 5 3 2 3" xfId="13714"/>
    <cellStyle name="计算 2 2 4 3 4 2" xfId="13715"/>
    <cellStyle name="20% - 强调文字颜色 6 2 2 4 3 2 2 2" xfId="13716"/>
    <cellStyle name="40% - 强调文字颜色 3 4 4" xfId="13717"/>
    <cellStyle name="适中 2 2 2 2 4 3" xfId="13718"/>
    <cellStyle name="检查单元格 2 3 8" xfId="13719"/>
    <cellStyle name="注释 2 2 9 5" xfId="13720"/>
    <cellStyle name="标题 3 2 3 3 2 2 3" xfId="13721"/>
    <cellStyle name="标题 4 2 2 6 2 2" xfId="13722"/>
    <cellStyle name="汇总 2 2 4 5 2" xfId="13723"/>
    <cellStyle name="输入 2 4 2 5 2 2" xfId="13724"/>
    <cellStyle name="常规 5 13" xfId="13725"/>
    <cellStyle name="链接单元格 2 3 2 2 2 3" xfId="13726"/>
    <cellStyle name="常规 11 2 5" xfId="13727"/>
    <cellStyle name="强调文字颜色 6 2 2 4 5 2" xfId="13728"/>
    <cellStyle name="计算 2 2 6 4 3" xfId="13729"/>
    <cellStyle name="标题 3 2 2 3" xfId="13730"/>
    <cellStyle name="60% - 强调文字颜色 5 2 3 3 5" xfId="13731"/>
    <cellStyle name="好 2 2 2 2 2 5" xfId="13732"/>
    <cellStyle name="链接单元格 2 3 5 3" xfId="13733"/>
    <cellStyle name="计算 2 5 2 2 3 2 3" xfId="13734"/>
    <cellStyle name="强调文字颜色 4 2 3 2 3 2 2" xfId="13735"/>
    <cellStyle name="40% - 强调文字颜色 2 2 3 2 2 2 2 2 2 2" xfId="13736"/>
    <cellStyle name="汇总 2 4 4 2 2 2 2" xfId="13737"/>
    <cellStyle name="强调文字颜色 1 2 2 7" xfId="13738"/>
    <cellStyle name="输入 2 5 7 3" xfId="13739"/>
    <cellStyle name="计算 2 2 5 3 2 4" xfId="13740"/>
    <cellStyle name="注释 2 2 4 2 2 2 2 2 2" xfId="13741"/>
    <cellStyle name="计算 2 2 2 2 14" xfId="13742"/>
    <cellStyle name="常规 4 5 3 3 2" xfId="13743"/>
    <cellStyle name="注释 2 10 5" xfId="13744"/>
    <cellStyle name="警告文本 2 2 2 2 2 3 2" xfId="13745"/>
    <cellStyle name="标题 4 2 2 2 3 6" xfId="13746"/>
    <cellStyle name="注释 2 4 3 2 3" xfId="13747"/>
    <cellStyle name="常规 5 2 3 4 6" xfId="13748"/>
    <cellStyle name="常规 5 4 2 2 3 2 2" xfId="13749"/>
    <cellStyle name="20% - 强调文字颜色 3 3 3 4" xfId="13750"/>
    <cellStyle name="标题 4 2 2 2 2 2 3 2" xfId="13751"/>
    <cellStyle name="超链接 3 3 2 2 3" xfId="13752"/>
    <cellStyle name="输入 2 7 3 2 3" xfId="13753"/>
    <cellStyle name="汇总 2 4 2 2 5" xfId="13754"/>
    <cellStyle name="注释 3 3 4 3" xfId="13755"/>
    <cellStyle name="汇总 2 4 4 2 3 2" xfId="13756"/>
    <cellStyle name="计算 2 6 12" xfId="13757"/>
    <cellStyle name="标题 3 2 3 3 5" xfId="13758"/>
    <cellStyle name="输入 3 6" xfId="13759"/>
    <cellStyle name="常规 11 2 2 5 2 2" xfId="13760"/>
    <cellStyle name="标题 1 2 3 2 3 3 3" xfId="13761"/>
    <cellStyle name="20% - 强调文字颜色 1 2 2 2 4" xfId="13762"/>
    <cellStyle name="注释 2 2 5 4 2 3" xfId="13763"/>
    <cellStyle name="汇总 2 2 8 3 5 2" xfId="13764"/>
    <cellStyle name="输出 2 2 3 4 3" xfId="13765"/>
    <cellStyle name="好 2 3 2 5 2 2" xfId="13766"/>
    <cellStyle name="注释 4 2 2" xfId="13767"/>
    <cellStyle name="输入 2 5 2 3 2 2 3" xfId="13768"/>
    <cellStyle name="20% - 强调文字颜色 4 2 3 2 2 5 2 2" xfId="13769"/>
    <cellStyle name="输出 2 2 3 2 2 7" xfId="13770"/>
    <cellStyle name="强调文字颜色 5 2 3 3 2" xfId="13771"/>
    <cellStyle name="链接单元格 2 5 3 3" xfId="13772"/>
    <cellStyle name="计算 2 2 5 3 4 2 2" xfId="13773"/>
    <cellStyle name="强调文字颜色 1 2 2 2 3 3" xfId="13774"/>
    <cellStyle name="输入 2 7 5 3" xfId="13775"/>
    <cellStyle name="超链接 3 3 4 3" xfId="13776"/>
    <cellStyle name="链接单元格 3 10" xfId="13777"/>
    <cellStyle name="常规 5 2 8 2 2" xfId="13778"/>
    <cellStyle name="解释性文本 2 3 5 2 2" xfId="13779"/>
    <cellStyle name="输入 2 4 2 2 3" xfId="13780"/>
    <cellStyle name="常规 2 3 2 4 2" xfId="13781"/>
    <cellStyle name="输出 2 4 4 4 2" xfId="13782"/>
    <cellStyle name="注释 4 5 2" xfId="13783"/>
    <cellStyle name="注释 2 2 7 5 2 2" xfId="13784"/>
    <cellStyle name="强调文字颜色 2 2 2 3 3 2 3" xfId="13785"/>
    <cellStyle name="检查单元格 2 3 3 3 2" xfId="13786"/>
    <cellStyle name="计算 2 2 4 2 2 5 2 2" xfId="13787"/>
    <cellStyle name="40% - 强调文字颜色 4 2 2 3 3" xfId="13788"/>
    <cellStyle name="60% - 强调文字颜色 4 2 3 2 6" xfId="13789"/>
    <cellStyle name="标题 5 2 2 6 2 2" xfId="13790"/>
    <cellStyle name="链接单元格 2 3 2 2 2 2 2" xfId="13791"/>
    <cellStyle name="标题 2 2 2 4 6" xfId="13792"/>
    <cellStyle name="标题 5 7 2 2" xfId="13793"/>
    <cellStyle name="汇总 2 2 8 3 4 2" xfId="13794"/>
    <cellStyle name="常规 11 2 2 2 4" xfId="13795"/>
    <cellStyle name="常规 12 3 3 3" xfId="13796"/>
    <cellStyle name="注释 2 2 5 2 2 2" xfId="13797"/>
    <cellStyle name="40% - 强调文字颜色 3 3 6 2" xfId="13798"/>
    <cellStyle name="强调文字颜色 5 2 3 2 3 2 3" xfId="13799"/>
    <cellStyle name="好 2 2 4 6" xfId="13800"/>
    <cellStyle name="40% - 强调文字颜色 4 2 6 2 2" xfId="13801"/>
    <cellStyle name="常规 11 2 2" xfId="13802"/>
    <cellStyle name="汇总 2 5 9" xfId="13803"/>
    <cellStyle name="常规 6 2 5 3 2" xfId="13804"/>
    <cellStyle name="计算 2 8 4 2 3" xfId="13805"/>
    <cellStyle name="适中 2 2 6 2 3" xfId="13806"/>
    <cellStyle name="汇总 2 2 2 2 2 6" xfId="13807"/>
    <cellStyle name="60% - 强调文字颜色 2 2 3 8" xfId="13808"/>
    <cellStyle name="强调文字颜色 1 2 2 3 4 3" xfId="13809"/>
    <cellStyle name="解释性文本 3 5" xfId="13810"/>
    <cellStyle name="标题 5 2 6 2 2" xfId="13811"/>
    <cellStyle name="60% - 强调文字颜色 3 2 3 6 2 2" xfId="13812"/>
    <cellStyle name="标题 4 3 3 2" xfId="13813"/>
    <cellStyle name="常规 6 3 3 2 3 2 2" xfId="13814"/>
    <cellStyle name="60% - 强调文字颜色 6 2 2 5 2 2" xfId="13815"/>
    <cellStyle name="20% - 强调文字颜色 2 2 2 2 2 2 2 3 2" xfId="13816"/>
    <cellStyle name="强调文字颜色 4 3 8" xfId="13817"/>
    <cellStyle name="标题 4 2 3 3 5" xfId="13818"/>
    <cellStyle name="汇总 2 4 2 8 2" xfId="13819"/>
    <cellStyle name="计算 2 2 3 2 2" xfId="13820"/>
    <cellStyle name="超链接 2 3 4 2 2 2" xfId="13821"/>
    <cellStyle name="计算 2 7 2 2 2 3 2" xfId="13822"/>
    <cellStyle name="60% - 强调文字颜色 6 3 5 2 3" xfId="13823"/>
    <cellStyle name="20% - 强调文字颜色 2 5 2" xfId="13824"/>
    <cellStyle name="强调文字颜色 2 2 3 4 2" xfId="13825"/>
    <cellStyle name="强调文字颜色 4 2 2 2 2 4 3" xfId="13826"/>
    <cellStyle name="强调文字颜色 5 2 3 2 2 2 3" xfId="13827"/>
    <cellStyle name="40% - 强调文字颜色 3 2 6 2" xfId="13828"/>
    <cellStyle name="汇总 2 4 5" xfId="13829"/>
    <cellStyle name="40% - 强调文字颜色 2 2 3 2 2 3" xfId="13830"/>
    <cellStyle name="20% - 强调文字颜色 4 3 4 2 2 2" xfId="13831"/>
    <cellStyle name="汇总 2 2 5 3 2 6" xfId="13832"/>
    <cellStyle name="注释 2 4 4 3 3" xfId="13833"/>
    <cellStyle name="40% - 强调文字颜色 3 4 4 2 2" xfId="13834"/>
    <cellStyle name="汇总 3 2 3 3" xfId="13835"/>
    <cellStyle name="汇总 2 2 2 2 2 6 2" xfId="13836"/>
    <cellStyle name="汇总 2 2 4 2 6 2 3" xfId="13837"/>
    <cellStyle name="计算 2 5 2 15" xfId="13838"/>
    <cellStyle name="40% - 强调文字颜色 2 2 4 4 2 2 2" xfId="13839"/>
    <cellStyle name="百分比 2 3 4 4" xfId="13840"/>
    <cellStyle name="差 2 4 2 2 2 3" xfId="13841"/>
    <cellStyle name="20% - 强调文字颜色 3 2 2 3 3 2 2 2" xfId="13842"/>
    <cellStyle name="输入 2 7" xfId="13843"/>
    <cellStyle name="差 2 4 2 2 2 2 2" xfId="13844"/>
    <cellStyle name="百分比 2 3 4 3 2" xfId="13845"/>
    <cellStyle name="常规 10 6 2" xfId="13846"/>
    <cellStyle name="常规 10 2 3 2 2" xfId="13847"/>
    <cellStyle name="汇总 2 2 4 4 2 3 3" xfId="13848"/>
    <cellStyle name="汇总 2 5 2 3 3 5" xfId="13849"/>
    <cellStyle name="差 2 2 8" xfId="13850"/>
    <cellStyle name="输入 2 5 2 2 2 5" xfId="13851"/>
    <cellStyle name="标题 4 2 4 4 3 2" xfId="13852"/>
    <cellStyle name="汇总 3 2 2 2 4 3" xfId="13853"/>
    <cellStyle name="常规 2 2 3 3 3" xfId="13854"/>
    <cellStyle name="常规 5 2 5 3 4 2" xfId="13855"/>
    <cellStyle name="计算 2 2 5 2 4 2 3" xfId="13856"/>
    <cellStyle name="输入 2 2 2 4 2" xfId="13857"/>
    <cellStyle name="输入 2 2 6 2 4 3" xfId="13858"/>
    <cellStyle name="常规 6 3 5" xfId="13859"/>
    <cellStyle name="40% - 强调文字颜色 6 4 2 3" xfId="13860"/>
    <cellStyle name="链接单元格 2 2 4 5 2" xfId="13861"/>
    <cellStyle name="输入 2 2 6 13" xfId="13862"/>
    <cellStyle name="强调文字颜色 2 2 2 2 4 4" xfId="13863"/>
    <cellStyle name="常规 5 6 2 2 2" xfId="13864"/>
    <cellStyle name="强调文字颜色 3 2 3 2 4 2" xfId="13865"/>
    <cellStyle name="适中 2 4 3 5" xfId="13866"/>
    <cellStyle name="计算 2 3 2 4 3 3" xfId="13867"/>
    <cellStyle name="超链接 2 3 3 3" xfId="13868"/>
    <cellStyle name="60% - 强调文字颜色 5 2 2 3 4 2 2 2" xfId="13869"/>
    <cellStyle name="注释 2 6 3 2 5" xfId="13870"/>
    <cellStyle name="好 2 2 3 2 2 2 2" xfId="13871"/>
    <cellStyle name="超链接 3 2 3 3 3 2" xfId="13872"/>
    <cellStyle name="常规 10 5 2 3 3" xfId="13873"/>
    <cellStyle name="标题 3 5 2 2 2 2" xfId="13874"/>
    <cellStyle name="警告文本 2 3 4 3" xfId="13875"/>
    <cellStyle name="计算 2 2 2 2 2 2 3 2" xfId="13876"/>
    <cellStyle name="常规 3 2 4 2 3 3 2" xfId="13877"/>
    <cellStyle name="40% - 强调文字颜色 3 2 2 2 2 3 2 2 2" xfId="13878"/>
    <cellStyle name="常规 10 5 2 3 2 2" xfId="13879"/>
    <cellStyle name="常规 7 2" xfId="13880"/>
    <cellStyle name="标题 5 2 5 3 3" xfId="13881"/>
    <cellStyle name="40% - 强调文字颜色 5 2 2 2 5 2 2" xfId="13882"/>
    <cellStyle name="强调文字颜色 5 2 2 4 2 2" xfId="13883"/>
    <cellStyle name="常规 10 2 2 2 2 3 2" xfId="13884"/>
    <cellStyle name="链接单元格 2 4 4 3 2" xfId="13885"/>
    <cellStyle name="20% - 强调文字颜色 2 2 4 4 3" xfId="13886"/>
    <cellStyle name="汇总 2 2 2 2 3 2 2 2" xfId="13887"/>
    <cellStyle name="输入 2 2 8 2 2 3" xfId="13888"/>
    <cellStyle name="强调文字颜色 2 2 2 4 3 3 2" xfId="13889"/>
    <cellStyle name="好 3 10" xfId="13890"/>
    <cellStyle name="常规 10 5 2 3 2" xfId="13891"/>
    <cellStyle name="常规 10 2 4 3" xfId="13892"/>
    <cellStyle name="输出 2 2 14" xfId="13893"/>
    <cellStyle name="汇总 3 9 3" xfId="13894"/>
    <cellStyle name="常规 5 2 2 3 5" xfId="13895"/>
    <cellStyle name="40% - 强调文字颜色 4 2 5 5 2 2" xfId="13896"/>
    <cellStyle name="20% - 强调文字颜色 1 2 2 2 2 4 3 2 2" xfId="13897"/>
    <cellStyle name="汇总 2 6 2 2 5 2" xfId="13898"/>
    <cellStyle name="输入 2 3 4 2 2" xfId="13899"/>
    <cellStyle name="注释 2 6 2 2" xfId="13900"/>
    <cellStyle name="常规 11 3 2 4" xfId="13901"/>
    <cellStyle name="常规 25" xfId="13902"/>
    <cellStyle name="注释 2 2 2 2 2 2 3 2" xfId="13903"/>
    <cellStyle name="输出 2 2 7" xfId="13904"/>
    <cellStyle name="计算 2 2 2 2 4 2 2" xfId="13905"/>
    <cellStyle name="强调文字颜色 3 3 3 3" xfId="13906"/>
    <cellStyle name="差 2 2 2 5" xfId="13907"/>
    <cellStyle name="汇总 2 2 2 14" xfId="13908"/>
    <cellStyle name="警告文本 2 4 5 3" xfId="13909"/>
    <cellStyle name="标题 5 2 9 2" xfId="13910"/>
    <cellStyle name="20% - 强调文字颜色 3 2 2 2 6 2 2 2" xfId="13911"/>
    <cellStyle name="注释 3 3 6" xfId="13912"/>
    <cellStyle name="超链接 3 3 2 4" xfId="13913"/>
    <cellStyle name="输入 2 7 3 4" xfId="13914"/>
    <cellStyle name="常规 10 5 2 2 2" xfId="13915"/>
    <cellStyle name="超链接 2 2 3 3 3 2" xfId="13916"/>
    <cellStyle name="常规 2 2 2 2 2 4" xfId="13917"/>
    <cellStyle name="计算 2 2 4 5 2 4 3" xfId="13918"/>
    <cellStyle name="40% - 强调文字颜色 4 2 5 5 2" xfId="13919"/>
    <cellStyle name="常规 10 5 2" xfId="13920"/>
    <cellStyle name="标题 9 2 2" xfId="13921"/>
    <cellStyle name="输入 2 3 4" xfId="13922"/>
    <cellStyle name="常规 10 5" xfId="13923"/>
    <cellStyle name="40% - 强调文字颜色 4 2 5 5" xfId="13924"/>
    <cellStyle name="常规 5 2 4 2 2 2" xfId="13925"/>
    <cellStyle name="注释 2 8 8" xfId="13926"/>
    <cellStyle name="汇总 2 2 3 2 2 5 2 2" xfId="13927"/>
    <cellStyle name="注释 2 2 3 3 2 2 2" xfId="13928"/>
    <cellStyle name="注释 2 2 3 2 3 2 4" xfId="13929"/>
    <cellStyle name="汇总 2 2 4 2 2 6 2 2" xfId="13930"/>
    <cellStyle name="40% - 强调文字颜色 3 3 3 2 2 2 2" xfId="13931"/>
    <cellStyle name="60% - 强调文字颜色 4 2 7 2" xfId="13932"/>
    <cellStyle name="常规 10 4" xfId="13933"/>
    <cellStyle name="汇总 2 3 5 3 2" xfId="13934"/>
    <cellStyle name="输入 2 5 2 8 3" xfId="13935"/>
    <cellStyle name="常规 8 2 2 2 2 2 2" xfId="13936"/>
    <cellStyle name="输入 2 3 2 3 2" xfId="13937"/>
    <cellStyle name="常规 10 3 3 2" xfId="13938"/>
    <cellStyle name="40% - 强调文字颜色 4 2 5 3 3 2" xfId="13939"/>
    <cellStyle name="输入 2 3 2 3" xfId="13940"/>
    <cellStyle name="常规 8 2 2 2 2 2" xfId="13941"/>
    <cellStyle name="警告文本 2 2 2 2 3 4" xfId="13942"/>
    <cellStyle name="40% - 强调文字颜色 4 5 2" xfId="13943"/>
    <cellStyle name="汇总 2 7 6 3 2" xfId="13944"/>
    <cellStyle name="强调文字颜色 4 2 2 2 2 3 3 2" xfId="13945"/>
    <cellStyle name="汇总 2 2 6 4 2 5" xfId="13946"/>
    <cellStyle name="常规 4 3 2 2 3 2" xfId="13947"/>
    <cellStyle name="20% - 强调文字颜色 1 2 2 2 4 2" xfId="13948"/>
    <cellStyle name="链接单元格 2 2 4 5 3" xfId="13949"/>
    <cellStyle name="40% - 强调文字颜色 4 2 2 2 5 2" xfId="13950"/>
    <cellStyle name="40% - 强调文字颜色 1 2 4 4 2 2 2" xfId="13951"/>
    <cellStyle name="汇总 2 2 4 2 9 3" xfId="13952"/>
    <cellStyle name="标题 1 2 2 2 2" xfId="13953"/>
    <cellStyle name="强调文字颜色 1 2 2 2 2 3 3 2" xfId="13954"/>
    <cellStyle name="汇总 2 7 8 2 2" xfId="13955"/>
    <cellStyle name="常规 5 2 3 4 2 2" xfId="13956"/>
    <cellStyle name="常规 10 3 2 3 3 3" xfId="13957"/>
    <cellStyle name="强调文字颜色 6 2 3 5 2" xfId="13958"/>
    <cellStyle name="60% - 强调文字颜色 5 2 2 2 2 6" xfId="13959"/>
    <cellStyle name="常规 2 6 2 2" xfId="13960"/>
    <cellStyle name="60% - 强调文字颜色 6 2 3 2 2 4" xfId="13961"/>
    <cellStyle name="输出 2 7 4 2" xfId="13962"/>
    <cellStyle name="常规 10 3 2 2 5" xfId="13963"/>
    <cellStyle name="汇总 2 8 3 2" xfId="13964"/>
    <cellStyle name="40% - 强调文字颜色 6 2 3 3 4" xfId="13965"/>
    <cellStyle name="标题 4 3 3 2 2 2" xfId="13966"/>
    <cellStyle name="注释 2 4 3 2 6" xfId="13967"/>
    <cellStyle name="输出 2 2 3 3 2 6" xfId="13968"/>
    <cellStyle name="好 2 2 5 2" xfId="13969"/>
    <cellStyle name="标题 1 3 3 3 3" xfId="13970"/>
    <cellStyle name="常规 5 2 5 5 2" xfId="13971"/>
    <cellStyle name="链接单元格 2 2 6 3" xfId="13972"/>
    <cellStyle name="60% - 强调文字颜色 6 2 2 3 3 2 2" xfId="13973"/>
    <cellStyle name="注释 2 2 3 2 10" xfId="13974"/>
    <cellStyle name="常规 9 4 3" xfId="13975"/>
    <cellStyle name="标题 5 2 2 5 2 2 3" xfId="13976"/>
    <cellStyle name="计算 2 2 6 4 4 2" xfId="13977"/>
    <cellStyle name="标题 3 2 2 4 2" xfId="13978"/>
    <cellStyle name="差 3 3 4" xfId="13979"/>
    <cellStyle name="40% - 强调文字颜色 4 2 5 3 2" xfId="13980"/>
    <cellStyle name="常规 10 3 2" xfId="13981"/>
    <cellStyle name="常规 10 2 6 2" xfId="13982"/>
    <cellStyle name="强调文字颜色 3 2 2 2 2 4 2" xfId="13983"/>
    <cellStyle name="输入 2 3 6 2 2" xfId="13984"/>
    <cellStyle name="标题 4 2 2 5 3" xfId="13985"/>
    <cellStyle name="20% - 强调文字颜色 6 2 2 2 5 2 2 2" xfId="13986"/>
    <cellStyle name="强调文字颜色 4 2 3 2 3 2 3" xfId="13987"/>
    <cellStyle name="计算 2 6 2 3 3 2 2" xfId="13988"/>
    <cellStyle name="常规 5 2 5 3 2" xfId="13989"/>
    <cellStyle name="60% - 强调文字颜色 1 2 2 8 2" xfId="13990"/>
    <cellStyle name="适中 2 5 2 2 2" xfId="13991"/>
    <cellStyle name="注释 3 2 2 5 2 2" xfId="13992"/>
    <cellStyle name="20% - 强调文字颜色 2 2 6 3 2 2" xfId="13993"/>
    <cellStyle name="汇总 2 2 4 4 5 3" xfId="13994"/>
    <cellStyle name="汇总 2 2 7 6 2" xfId="13995"/>
    <cellStyle name="注释 2 4 5" xfId="13996"/>
    <cellStyle name="标题 5 4 3 2 2 2" xfId="13997"/>
    <cellStyle name="计算 2 6 3 2 3 2 2" xfId="13998"/>
    <cellStyle name="输入 2 2 5 2 2 2 2 3" xfId="13999"/>
    <cellStyle name="强调文字颜色 6 2 3 3 3 2" xfId="14000"/>
    <cellStyle name="计算 2 5 2 12" xfId="14001"/>
    <cellStyle name="20% - 强调文字颜色 6 2 2 3 4 2 2 2" xfId="14002"/>
    <cellStyle name="强调文字颜色 5 2 2 3 3 4" xfId="14003"/>
    <cellStyle name="计算 2 3 5 2 3" xfId="14004"/>
    <cellStyle name="20% - 强调文字颜色 1 2 2 2 3 2 2 2 2" xfId="14005"/>
    <cellStyle name="计算 2 2 7 4 2 2" xfId="14006"/>
    <cellStyle name="60% - 强调文字颜色 4 2 3 2 4 3" xfId="14007"/>
    <cellStyle name="标题 3 3 2 2 2" xfId="14008"/>
    <cellStyle name="输入 2 6 7 2 2" xfId="14009"/>
    <cellStyle name="常规 10 2 4 2 3 3" xfId="14010"/>
    <cellStyle name="汇总 2 3 2 3 2 3" xfId="14011"/>
    <cellStyle name="60% - 强调文字颜色 4 2 2 4 4 2" xfId="14012"/>
    <cellStyle name="强调文字颜色 3 2 2 2 3 6" xfId="14013"/>
    <cellStyle name="计算 2 5 3 3 2 2 2" xfId="14014"/>
    <cellStyle name="强调文字颜色 4 2 3 2 3 4" xfId="14015"/>
    <cellStyle name="60% - 强调文字颜色 1 2 2 3 2 2 2 2 2" xfId="14016"/>
    <cellStyle name="计算 2 7 2 2 2 2 2 2" xfId="14017"/>
    <cellStyle name="常规 10 2 4 2 3 2" xfId="14018"/>
    <cellStyle name="差 2 4 2 3" xfId="14019"/>
    <cellStyle name="输入 3 3 3 2 2" xfId="14020"/>
    <cellStyle name="常规 10 2 3 3 2 2" xfId="14021"/>
    <cellStyle name="20% - 强调文字颜色 3 2 5 3 3" xfId="14022"/>
    <cellStyle name="常规 10 2 3 2 3 2 2" xfId="14023"/>
    <cellStyle name="40% - 强调文字颜色 4 2 5 2 3" xfId="14024"/>
    <cellStyle name="标题 1 2 4 3 3 3" xfId="14025"/>
    <cellStyle name="汇总 2 5 4 2 4 2 2" xfId="14026"/>
    <cellStyle name="超链接 3 3 4 2 4" xfId="14027"/>
    <cellStyle name="计算 2 9 3 3 3" xfId="14028"/>
    <cellStyle name="汇总 2 4 4 2 6" xfId="14029"/>
    <cellStyle name="常规 10 2 2 7" xfId="14030"/>
    <cellStyle name="输入 2 2 15 2" xfId="14031"/>
    <cellStyle name="输出 2 6 10" xfId="14032"/>
    <cellStyle name="常规 10 2 2 3 2 2" xfId="14033"/>
    <cellStyle name="输入 3 4 2 2 2" xfId="14034"/>
    <cellStyle name="输入 2 4 2 5" xfId="14035"/>
    <cellStyle name="差 3 3 2 3" xfId="14036"/>
    <cellStyle name="输入 2 5 2 3 2 4" xfId="14037"/>
    <cellStyle name="汇总 3 2 2 3 2 2 2" xfId="14038"/>
    <cellStyle name="汇总 3 2 2 3 4 2" xfId="14039"/>
    <cellStyle name="20% - 强调文字颜色 2 2 2 3 5" xfId="14040"/>
    <cellStyle name="60% - 强调文字颜色 6 2 2 2 3 7" xfId="14041"/>
    <cellStyle name="标题 2 4 2 3 2 3" xfId="14042"/>
    <cellStyle name="标题 1 2 7 2 2 2" xfId="14043"/>
    <cellStyle name="常规 5 3 3 3 5" xfId="14044"/>
    <cellStyle name="输出 2 4 2 2 5 3" xfId="14045"/>
    <cellStyle name="20% - 强调文字颜色 5 2 3 2 3 3" xfId="14046"/>
    <cellStyle name="输出 2 6 6 2 2" xfId="14047"/>
    <cellStyle name="汇总 2 2 4 3 2 2 4 2" xfId="14048"/>
    <cellStyle name="汇总 4 2 4" xfId="14049"/>
    <cellStyle name="差 2 2 2 2 4" xfId="14050"/>
    <cellStyle name="汇总 2 2 4 2 3 2 4 2" xfId="14051"/>
    <cellStyle name="输入 2 2 4 2 2 5 2" xfId="14052"/>
    <cellStyle name="注释 3 2 2 2 4" xfId="14053"/>
    <cellStyle name="输入 2 5 5 6" xfId="14054"/>
    <cellStyle name="警告文本 2 3 2 3 3 2" xfId="14055"/>
    <cellStyle name="标题 3 2 2 3 4 2 2 2" xfId="14056"/>
    <cellStyle name="计算 2 2 7" xfId="14057"/>
    <cellStyle name="汇总 2 2 4 8" xfId="14058"/>
    <cellStyle name="输出 2 4 2 3 6 2" xfId="14059"/>
    <cellStyle name="常规 9 3 5" xfId="14060"/>
    <cellStyle name="计算 2 2 2 2 2 2 2 2 2" xfId="14061"/>
    <cellStyle name="差 2 2 2 2 3 2 2 2" xfId="14062"/>
    <cellStyle name="输出 2 11 2" xfId="14063"/>
    <cellStyle name="20% - 强调文字颜色 3 2 3 2 4" xfId="14064"/>
    <cellStyle name="计算 2 2 4 3 2 2 2 2" xfId="14065"/>
    <cellStyle name="警告文本 2 3 3 3 2" xfId="14066"/>
    <cellStyle name="适中 2 2 2 3 4" xfId="14067"/>
    <cellStyle name="百分比 2 2 2 4 2 2" xfId="14068"/>
    <cellStyle name="标题 4 2 3 4 3 3" xfId="14069"/>
    <cellStyle name="汇总 2 4 8" xfId="14070"/>
    <cellStyle name="40% - 强调文字颜色 4 2 5 2 2 2" xfId="14071"/>
    <cellStyle name="注释 2 2 4 2 6" xfId="14072"/>
    <cellStyle name="40% - 强调文字颜色 4 2 3 2 2 4 2 2 2" xfId="14073"/>
    <cellStyle name="注释 3 12" xfId="14074"/>
    <cellStyle name="输入 2 6 2 2 2 6" xfId="14075"/>
    <cellStyle name="40% - 强调文字颜色 5 2 3 2 4 3 2" xfId="14076"/>
    <cellStyle name="常规 5 2 3 3 2 4" xfId="14077"/>
    <cellStyle name="常规 10 2 2 2" xfId="14078"/>
    <cellStyle name="常规 6 2 4 3 2 2" xfId="14079"/>
    <cellStyle name="输入 2 2 4 2 3 2 4" xfId="14080"/>
    <cellStyle name="差 6 3" xfId="14081"/>
    <cellStyle name="计算 2 5 2 4 2 2 2" xfId="14082"/>
    <cellStyle name="常规 6 3 2 2 3 2" xfId="14083"/>
    <cellStyle name="计算 3 2 9" xfId="14084"/>
    <cellStyle name="计算 4 2 6 2" xfId="14085"/>
    <cellStyle name="输出 2 2 2 4 2 2 2 2" xfId="14086"/>
    <cellStyle name="链接单元格 2 6 4" xfId="14087"/>
    <cellStyle name="60% - 强调文字颜色 4 2 2 6" xfId="14088"/>
    <cellStyle name="常规 10 2 2 4 2" xfId="14089"/>
    <cellStyle name="计算 2 2 4 2 3 3 2 2 2" xfId="14090"/>
    <cellStyle name="汇总 2 10 2 3" xfId="14091"/>
    <cellStyle name="输出 2 2 4 2 2 5" xfId="14092"/>
    <cellStyle name="计算 2 2 5 2 12" xfId="14093"/>
    <cellStyle name="差 5 2 2 2 2" xfId="14094"/>
    <cellStyle name="40% - 强调文字颜色 5 2 3 2 2 5 2 2" xfId="14095"/>
    <cellStyle name="汇总 2 2 3 3 2 2" xfId="14096"/>
    <cellStyle name="40% - 强调文字颜色 4 2 2 9" xfId="14097"/>
    <cellStyle name="差 4 3 3" xfId="14098"/>
    <cellStyle name="差 4 3 2 2" xfId="14099"/>
    <cellStyle name="40% - 强调文字颜色 4 2 2 8 2" xfId="14100"/>
    <cellStyle name="40% - 强调文字颜色 4 2 2 8" xfId="14101"/>
    <cellStyle name="差 4 3 2" xfId="14102"/>
    <cellStyle name="差 4 2 2 3" xfId="14103"/>
    <cellStyle name="差 4" xfId="14104"/>
    <cellStyle name="差 3 8" xfId="14105"/>
    <cellStyle name="差 3 7" xfId="14106"/>
    <cellStyle name="标题 1 2 3 2 5 2 2" xfId="14107"/>
    <cellStyle name="强调文字颜色 1 3 2 2 2 2" xfId="14108"/>
    <cellStyle name="常规 10 2 4 2" xfId="14109"/>
    <cellStyle name="输出 2 2 13" xfId="14110"/>
    <cellStyle name="20% - 强调文字颜色 5 2 4 2" xfId="14111"/>
    <cellStyle name="汇总 2 6 6 2" xfId="14112"/>
    <cellStyle name="差 2 4 3 2" xfId="14113"/>
    <cellStyle name="20% - 强调文字颜色 6 2 2 2 3 2 2 2" xfId="14114"/>
    <cellStyle name="超链接 3 5 3 2 2 2" xfId="14115"/>
    <cellStyle name="汇总 3 2 3 5" xfId="14116"/>
    <cellStyle name="差 3 4 2 2 2" xfId="14117"/>
    <cellStyle name="输入 2 5 2 4 2" xfId="14118"/>
    <cellStyle name="输入 2 2 4 2 3 4 3" xfId="14119"/>
    <cellStyle name="输出 2 8 3 2 2" xfId="14120"/>
    <cellStyle name="警告文本 2 3 6" xfId="14121"/>
    <cellStyle name="好 2 5 3 3" xfId="14122"/>
    <cellStyle name="差 3 3 3 3" xfId="14123"/>
    <cellStyle name="输入 2 4 3 5" xfId="14124"/>
    <cellStyle name="强调文字颜色 4 2 2 2" xfId="14125"/>
    <cellStyle name="链接单元格 2 2 2 2 3 3 2" xfId="14126"/>
    <cellStyle name="输出 3 3 4" xfId="14127"/>
    <cellStyle name="常规 3 2 2" xfId="14128"/>
    <cellStyle name="输出 2 2 5 2 2 2 3" xfId="14129"/>
    <cellStyle name="常规 2 2 3 2 2 2 2 2" xfId="14130"/>
    <cellStyle name="汇总 2 2 4 2 3 3 5" xfId="14131"/>
    <cellStyle name="标题 4 2 2 4 3" xfId="14132"/>
    <cellStyle name="汇总 2 6 2 4 4 2" xfId="14133"/>
    <cellStyle name="汇总 2 6 4 4 3" xfId="14134"/>
    <cellStyle name="解释性文本 2 3 2 2 5" xfId="14135"/>
    <cellStyle name="超链接 3 2 2 2 3 3 2" xfId="14136"/>
    <cellStyle name="20% - 强调文字颜色 5 2 2 4 3" xfId="14137"/>
    <cellStyle name="标题 2 4" xfId="14138"/>
    <cellStyle name="输入 2 5 5 3" xfId="14139"/>
    <cellStyle name="计算 2 2 5 3 2 2 2" xfId="14140"/>
    <cellStyle name="检查单元格 2 6 2 3" xfId="14141"/>
    <cellStyle name="计算 2 5 5 2 5 2" xfId="14142"/>
    <cellStyle name="汇总 2 2 8 2 2 4" xfId="14143"/>
    <cellStyle name="好 2 2 4 2 3" xfId="14144"/>
    <cellStyle name="标题 2 2 9 2" xfId="14145"/>
    <cellStyle name="常规 5 2 4 3 3 2" xfId="14146"/>
    <cellStyle name="输出 2 2 5 2 3" xfId="14147"/>
    <cellStyle name="计算 2 2 5 8" xfId="14148"/>
    <cellStyle name="60% - 强调文字颜色 3 2 2 4 5" xfId="14149"/>
    <cellStyle name="计算 2 4 3 3 2 3" xfId="14150"/>
    <cellStyle name="输入 2 2 5 2 3 3" xfId="14151"/>
    <cellStyle name="输出 2 2 5 8 3" xfId="14152"/>
    <cellStyle name="常规 6 7 3" xfId="14153"/>
    <cellStyle name="60% - 强调文字颜色 1 2 7 2 2 2" xfId="14154"/>
    <cellStyle name="Porcentaje 2 2" xfId="14155"/>
    <cellStyle name="计算 3 2 2 3 2 2" xfId="14156"/>
    <cellStyle name="输入 4 6 2" xfId="14157"/>
    <cellStyle name="计算 2 6 2 2 3 4" xfId="14158"/>
    <cellStyle name="常规 10 3 2 2" xfId="14159"/>
    <cellStyle name="20% - 强调文字颜色 4 2 7 2" xfId="14160"/>
    <cellStyle name="常规 5 2 3 4 2 4" xfId="14161"/>
    <cellStyle name="40% - 强调文字颜色 4 2 5 3 2 2" xfId="14162"/>
    <cellStyle name="40% - 强调文字颜色 2 2 2 2 2 4 2 2 2" xfId="14163"/>
    <cellStyle name="输出 2 3 3 2 2 2" xfId="14164"/>
    <cellStyle name="计算 4 5 2" xfId="14165"/>
    <cellStyle name="常规 8 3 3 3 2" xfId="14166"/>
    <cellStyle name="差 3 2 2 3" xfId="14167"/>
    <cellStyle name="输入 2 3 2 5" xfId="14168"/>
    <cellStyle name="注释 2 2 5 4 2 4" xfId="14169"/>
    <cellStyle name="20% - 强调文字颜色 1 2 2 2 5" xfId="14170"/>
    <cellStyle name="输出 2 2 3 4 4" xfId="14171"/>
    <cellStyle name="计算 2 2 3 12" xfId="14172"/>
    <cellStyle name="汇总 2 2 2 4 6" xfId="14173"/>
    <cellStyle name="标题 5 2 2 6 2 3" xfId="14174"/>
    <cellStyle name="链接单元格 2 3 2 2 2 2 3" xfId="14175"/>
    <cellStyle name="常规 2 2 2 6 2" xfId="14176"/>
    <cellStyle name="差 3 2 2 2 3" xfId="14177"/>
    <cellStyle name="强调文字颜色 3 2" xfId="14178"/>
    <cellStyle name="输入 2 3 2 4 3" xfId="14179"/>
    <cellStyle name="输出 2 2 5 4 2 3" xfId="14180"/>
    <cellStyle name="输入 2 3 2 2 2 3 2 2" xfId="14181"/>
    <cellStyle name="60% - 强调文字颜色 1 2 3 6 2 2" xfId="14182"/>
    <cellStyle name="60% - 强调文字颜色 3 3 2" xfId="14183"/>
    <cellStyle name="计算 2 2 5 3 5" xfId="14184"/>
    <cellStyle name="20% - 强调文字颜色 1 5 2 2 2" xfId="14185"/>
    <cellStyle name="强调文字颜色 2 2 2 4 2 2 2" xfId="14186"/>
    <cellStyle name="标题 9 2 3" xfId="14187"/>
    <cellStyle name="链接单元格 2 3 2 2 3 2" xfId="14188"/>
    <cellStyle name="计算 2 2 3 2 2 7" xfId="14189"/>
    <cellStyle name="20% - 强调文字颜色 2 3 8" xfId="14190"/>
    <cellStyle name="差 3 2 2 2 2 2 2" xfId="14191"/>
    <cellStyle name="计算 2 2 2 3 3 2" xfId="14192"/>
    <cellStyle name="注释 2 4 2 2 2 2 2" xfId="14193"/>
    <cellStyle name="注释 2 6 2 6" xfId="14194"/>
    <cellStyle name="注释 4 2 6 2 2" xfId="14195"/>
    <cellStyle name="强调文字颜色 6 2 2 3 4 4" xfId="14196"/>
    <cellStyle name="60% - 强调文字颜色 3 2 3 7" xfId="14197"/>
    <cellStyle name="标题 7 2 3" xfId="14198"/>
    <cellStyle name="20% - 强调文字颜色 1 2 2 2 2 3" xfId="14199"/>
    <cellStyle name="输入 2 5 2 3 3 2" xfId="14200"/>
    <cellStyle name="汇总 3 2 2 6 2" xfId="14201"/>
    <cellStyle name="标题 2 2 2 2 5 2 2 3" xfId="14202"/>
    <cellStyle name="输入 2 2 6 2 2 5" xfId="14203"/>
    <cellStyle name="汇总 2 2 3 2 2 2 2 2" xfId="14204"/>
    <cellStyle name="链接单元格 2 2 4 3 4" xfId="14205"/>
    <cellStyle name="输入 2 2 19" xfId="14206"/>
    <cellStyle name="输出 5 5 3" xfId="14207"/>
    <cellStyle name="差 3 2 2 2 2" xfId="14208"/>
    <cellStyle name="输入 2 3 2 4 2" xfId="14209"/>
    <cellStyle name="注释 2 2 5 4 6" xfId="14210"/>
    <cellStyle name="60% - 强调文字颜色 6 2 2 2 2 2 2 2 2 2" xfId="14211"/>
    <cellStyle name="常规 2 3 5 3 2 2" xfId="14212"/>
    <cellStyle name="强调文字颜色 6 2 3 2 3" xfId="14213"/>
    <cellStyle name="计算 2 6 3 2 2 2" xfId="14214"/>
    <cellStyle name="注释 3 5 2 2" xfId="14215"/>
    <cellStyle name="40% - 强调文字颜色 4 2 3 2 2 2 2 2 2" xfId="14216"/>
    <cellStyle name="汇总 2 2 2 2" xfId="14217"/>
    <cellStyle name="汇总 8" xfId="14218"/>
    <cellStyle name="差 2 6 2 2 3" xfId="14219"/>
    <cellStyle name="计算 2 2 4 11 2" xfId="14220"/>
    <cellStyle name="差 2 6 2 2 2" xfId="14221"/>
    <cellStyle name="常规 11 2 2 3 4" xfId="14222"/>
    <cellStyle name="计算 2 5 2 2 6" xfId="14223"/>
    <cellStyle name="计算 5 2 2" xfId="14224"/>
    <cellStyle name="计算 2 2 4 3 4 2 2" xfId="14225"/>
    <cellStyle name="强调文字颜色 6 2 2 2 4 3 2 2" xfId="14226"/>
    <cellStyle name="检查单元格 2 2 2 7" xfId="14227"/>
    <cellStyle name="60% - 强调文字颜色 1 2 2 4 2 2 2 2" xfId="14228"/>
    <cellStyle name="计算 2 6 3 3 2 2" xfId="14229"/>
    <cellStyle name="适中 2 2 4 2 2 3" xfId="14230"/>
    <cellStyle name="60% - 强调文字颜色 5 2 2 4 4" xfId="14231"/>
    <cellStyle name="强调文字颜色 6 2 4 2 3" xfId="14232"/>
    <cellStyle name="标题 2 2 3 2 3" xfId="14233"/>
    <cellStyle name="汇总 2 4 2 5 2 2" xfId="14234"/>
    <cellStyle name="强调文字颜色 3 2 2 4 5 3" xfId="14235"/>
    <cellStyle name="汇总 4 2 2" xfId="14236"/>
    <cellStyle name="常规 12 4 2 3 2" xfId="14237"/>
    <cellStyle name="汇总 2 4 3 3 3" xfId="14238"/>
    <cellStyle name="汇总 2 5 2 2 3" xfId="14239"/>
    <cellStyle name="解释性文本 3 2 2 3" xfId="14240"/>
    <cellStyle name="60% - 强调文字颜色 4 3 2 2 3 2" xfId="14241"/>
    <cellStyle name="60% - 强调文字颜色 6 2 5 3" xfId="14242"/>
    <cellStyle name="差 2 4 4 3 2" xfId="14243"/>
    <cellStyle name="差 4 2 3 2 2 2" xfId="14244"/>
    <cellStyle name="40% - 强调文字颜色 4 4 2 3 2" xfId="14245"/>
    <cellStyle name="常规 5 2 3 3 4 2 2" xfId="14246"/>
    <cellStyle name="输入 2 2 4 2 4 3 2" xfId="14247"/>
    <cellStyle name="常规 6 2 2 2 5" xfId="14248"/>
    <cellStyle name="强调文字颜色 6 3 2 2 4" xfId="14249"/>
    <cellStyle name="强调文字颜色 1 2 3 2 2 2 2 3" xfId="14250"/>
    <cellStyle name="常规 4 5 2 3 2 2" xfId="14251"/>
    <cellStyle name="标题 2 2 3 5 2" xfId="14252"/>
    <cellStyle name="40% - 强调文字颜色 2 2 2 2 7 2" xfId="14253"/>
    <cellStyle name="常规 9 4 2 2 2 2" xfId="14254"/>
    <cellStyle name="40% - 强调文字颜色 1 5 2 2 2 2" xfId="14255"/>
    <cellStyle name="标题 3 2 2 3 3 3 2" xfId="14256"/>
    <cellStyle name="Normal 6 2 2" xfId="14257"/>
    <cellStyle name="计算 2 2 7 3 2 3" xfId="14258"/>
    <cellStyle name="汇总 2 5 3 3 2 2" xfId="14259"/>
    <cellStyle name="注释 2 2 6 3 2 2" xfId="14260"/>
    <cellStyle name="汇总 2 4 2 2 3 2" xfId="14261"/>
    <cellStyle name="40% - 强调文字颜色 1 2 2 2 2 2 2 3 2" xfId="14262"/>
    <cellStyle name="Normal 5 3 2" xfId="14263"/>
    <cellStyle name="计算 2 2 7 2 3 3" xfId="14264"/>
    <cellStyle name="汇总 2 5 3 2 3 2" xfId="14265"/>
    <cellStyle name="常规 5 4 3 2 3 3" xfId="14266"/>
    <cellStyle name="汇总 2 4 10 2 2" xfId="14267"/>
    <cellStyle name="强调文字颜色 4 2 2 6 3" xfId="14268"/>
    <cellStyle name="计算 2 7 3 2 4" xfId="14269"/>
    <cellStyle name="注释 2 3 2 2 2 3 2" xfId="14270"/>
    <cellStyle name="60% - 强调文字颜色 1 2 2 6 2" xfId="14271"/>
    <cellStyle name="强调文字颜色 3 2 4 2 3" xfId="14272"/>
    <cellStyle name="计算 2 3 3 3 2 2" xfId="14273"/>
    <cellStyle name="60% - 强调文字颜色 2 2 2 4 4" xfId="14274"/>
    <cellStyle name="强调文字颜色 6 2 2 3 4" xfId="14275"/>
    <cellStyle name="警告文本 2 2 2 2 6 3" xfId="14276"/>
    <cellStyle name="输出 2 4 3 3 3" xfId="14277"/>
    <cellStyle name="常规 9 3 4 4" xfId="14278"/>
    <cellStyle name="计算 2 2 10 2 4 2" xfId="14279"/>
    <cellStyle name="60% - 强调文字颜色 6 4 3 3" xfId="14280"/>
    <cellStyle name="标题 3 2 2 2 6 2 2" xfId="14281"/>
    <cellStyle name="计算 2 7 3 6" xfId="14282"/>
    <cellStyle name="输入 2 2 8 4 2" xfId="14283"/>
    <cellStyle name="常规 5 3 2 2 4" xfId="14284"/>
    <cellStyle name="常规 4 4 2 2 4" xfId="14285"/>
    <cellStyle name="注释 2 13" xfId="14286"/>
    <cellStyle name="差 2 4 3" xfId="14287"/>
    <cellStyle name="20% - 强调文字颜色 6 2 2 2 3 2 2" xfId="14288"/>
    <cellStyle name="输出 5" xfId="14289"/>
    <cellStyle name="强调文字颜色 3 2 4 3 2 3" xfId="14290"/>
    <cellStyle name="计算 3 3 3 2" xfId="14291"/>
    <cellStyle name="强调文字颜色 1 2 2 2 2 4 2" xfId="14292"/>
    <cellStyle name="强调文字颜色 2 2 3 2 2 2 2" xfId="14293"/>
    <cellStyle name="20% - 强调文字颜色 2 3 2 2 2" xfId="14294"/>
    <cellStyle name="60% - 强调文字颜色 5 4 2 4" xfId="14295"/>
    <cellStyle name="超链接 2 3 4 2 4" xfId="14296"/>
    <cellStyle name="计算 2 2 3 4" xfId="14297"/>
    <cellStyle name="强调文字颜色 3 2 3 2 2 5" xfId="14298"/>
    <cellStyle name="计算 2 2 5 6 3" xfId="14299"/>
    <cellStyle name="强调文字颜色 4 2 4 2 2 3" xfId="14300"/>
    <cellStyle name="60% - 强调文字颜色 3 2 2 4 3 3" xfId="14301"/>
    <cellStyle name="强调文字颜色 2 2 2 2 2 7" xfId="14302"/>
    <cellStyle name="注释 2 3 2 10" xfId="14303"/>
    <cellStyle name="汇总 2 2 9 2 5" xfId="14304"/>
    <cellStyle name="计算 2 2 4 4 3 2" xfId="14305"/>
    <cellStyle name="强调文字颜色 1 2 2 3 2 2 2" xfId="14306"/>
    <cellStyle name="解释性文本 2 2 2 2 5 3" xfId="14307"/>
    <cellStyle name="常规 2 2 2 2 2 3 3 2" xfId="14308"/>
    <cellStyle name="输入 2 8 4 2 2" xfId="14309"/>
    <cellStyle name="超链接 3 4 3 2 2" xfId="14310"/>
    <cellStyle name="强调文字颜色 1 2 2 3 4 3 2" xfId="14311"/>
    <cellStyle name="60% - 强调文字颜色 6 4 2 2" xfId="14312"/>
    <cellStyle name="常规 5 4 4 3 2" xfId="14313"/>
    <cellStyle name="强调文字颜色 3 3 2 4 2" xfId="14314"/>
    <cellStyle name="汇总 2 2 4 2 2 3 3 3" xfId="14315"/>
    <cellStyle name="60% - 强调文字颜色 4 2 10" xfId="14316"/>
    <cellStyle name="解释性文本 4 2 3 2" xfId="14317"/>
    <cellStyle name="常规 4 6" xfId="14318"/>
    <cellStyle name="常规 2 2 3 3 2" xfId="14319"/>
    <cellStyle name="注释 2 2 12 3" xfId="14320"/>
    <cellStyle name="40% - 强调文字颜色 3 2 3 2 2 4 3 2" xfId="14321"/>
    <cellStyle name="差 2 4 10" xfId="14322"/>
    <cellStyle name="60% - 强调文字颜色 6 2 2 4 2 2 2" xfId="14323"/>
    <cellStyle name="20% - 强调文字颜色 1 2 2 4 5 2" xfId="14324"/>
    <cellStyle name="汇总 2 2 3 11 2" xfId="14325"/>
    <cellStyle name="常规 12 2 6" xfId="14326"/>
    <cellStyle name="解释性文本 3 2 3" xfId="14327"/>
    <cellStyle name="60% - 强调文字颜色 6 2 6" xfId="14328"/>
    <cellStyle name="计算 2 2 8 2 9" xfId="14329"/>
    <cellStyle name="解释性文本 2 4 2 2 2 2 2" xfId="14330"/>
    <cellStyle name="40% - 强调文字颜色 2 2 5 3 2 2" xfId="14331"/>
    <cellStyle name="汇总 2 2 2 2 2 3 3" xfId="14332"/>
    <cellStyle name="汇总 2 8 2 3" xfId="14333"/>
    <cellStyle name="常规 4 4 4 5" xfId="14334"/>
    <cellStyle name="40% - 强调文字颜色 6 2 3 2 5" xfId="14335"/>
    <cellStyle name="强调文字颜色 1 2 4 4 2 2" xfId="14336"/>
    <cellStyle name="常规 10 2 3 3 3" xfId="14337"/>
    <cellStyle name="差 2 3 9" xfId="14338"/>
    <cellStyle name="注释 4 2 2 2 2" xfId="14339"/>
    <cellStyle name="注释 2 2 2 6" xfId="14340"/>
    <cellStyle name="汇总 2 2 12 5" xfId="14341"/>
    <cellStyle name="20% - 强调文字颜色 6 2 3 2 3 2" xfId="14342"/>
    <cellStyle name="20% - 强调文字颜色 6 4 3 2" xfId="14343"/>
    <cellStyle name="注释 2 3 3 2 3 2" xfId="14344"/>
    <cellStyle name="计算 2 2 4 2 6 5" xfId="14345"/>
    <cellStyle name="60% - 强调文字颜色 3 2 7" xfId="14346"/>
    <cellStyle name="60% - 强调文字颜色 2 2 3 5" xfId="14347"/>
    <cellStyle name="常规 5 4 2 4" xfId="14348"/>
    <cellStyle name="常规 5 2 2 2 2 2" xfId="14349"/>
    <cellStyle name="汇总 4 7" xfId="14350"/>
    <cellStyle name="强调文字颜色 1 2 5 4" xfId="14351"/>
    <cellStyle name="强调文字颜色 3 2 4 9" xfId="14352"/>
    <cellStyle name="汇总 2 2 4 2 4 2 7" xfId="14353"/>
    <cellStyle name="输入 2 7 2 2 2 2" xfId="14354"/>
    <cellStyle name="注释 3 2 4 2 2" xfId="14355"/>
    <cellStyle name="汇总 2 4 4 6" xfId="14356"/>
    <cellStyle name="标题 3 2 2 4 2 3 3" xfId="14357"/>
    <cellStyle name="计算 2 6 2 6 2" xfId="14358"/>
    <cellStyle name="输入 2 2 7 3 2 2" xfId="14359"/>
    <cellStyle name="60% - 强调文字颜色 5 2 2 3 3 2 2 2" xfId="14360"/>
    <cellStyle name="输出 2 2 3 2 8" xfId="14361"/>
    <cellStyle name="输出 2 7 2 6" xfId="14362"/>
    <cellStyle name="汇总 2 2 4 2 4 2 6" xfId="14363"/>
    <cellStyle name="强调文字颜色 3 2 2 3 4 2 2" xfId="14364"/>
    <cellStyle name="差 2 3 6 2" xfId="14365"/>
    <cellStyle name="差 2 3 5 3" xfId="14366"/>
    <cellStyle name="汇总 2 5 3 3 3" xfId="14367"/>
    <cellStyle name="输入 2 2 6 2 2 4" xfId="14368"/>
    <cellStyle name="标题 2 2 2 2 5 2 2 2" xfId="14369"/>
    <cellStyle name="20% - 强调文字颜色 1 2 2 2 2 2" xfId="14370"/>
    <cellStyle name="强调文字颜色 6 2 2 2 2 5" xfId="14371"/>
    <cellStyle name="常规 12 3 2" xfId="14372"/>
    <cellStyle name="40% - 强调文字颜色 4 2 7 3 2" xfId="14373"/>
    <cellStyle name="标题 5 3 3 3 3" xfId="14374"/>
    <cellStyle name="40% - 强调文字颜色 6 3 8" xfId="14375"/>
    <cellStyle name="标题 3 4 5" xfId="14376"/>
    <cellStyle name="计算 2 2 8 7" xfId="14377"/>
    <cellStyle name="强调文字颜色 4 2 4 5 3" xfId="14378"/>
    <cellStyle name="汇总 2 3 4 2 3" xfId="14379"/>
    <cellStyle name="注释 2 6 2 4 2 2" xfId="14380"/>
    <cellStyle name="汇总 2 5 2 3 4 2 2" xfId="14381"/>
    <cellStyle name="差 2 3 5 2" xfId="14382"/>
    <cellStyle name="强调文字颜色 5 3 3 2" xfId="14383"/>
    <cellStyle name="常规 6 2 3 3 3" xfId="14384"/>
    <cellStyle name="计算 2 2 2 3 2 4 2" xfId="14385"/>
    <cellStyle name="40% - 强调文字颜色 1 2 5 2 3" xfId="14386"/>
    <cellStyle name="解释性文本 4 2 2 2" xfId="14387"/>
    <cellStyle name="常规 3 6" xfId="14388"/>
    <cellStyle name="汇总 2 2 5 3 3 2 3" xfId="14389"/>
    <cellStyle name="计算 2 2 6 3 4 2" xfId="14390"/>
    <cellStyle name="差 2 3 4" xfId="14391"/>
    <cellStyle name="20% - 强调文字颜色 6 4 4 2 2" xfId="14392"/>
    <cellStyle name="差 2 3 3 5" xfId="14393"/>
    <cellStyle name="汇总 2 6 3 3 2 3" xfId="14394"/>
    <cellStyle name="40% - 强调文字颜色 2 2 2 7 2 2" xfId="14395"/>
    <cellStyle name="标题 3 2 3 3 3 3" xfId="14396"/>
    <cellStyle name="注释 2 5 2 10" xfId="14397"/>
    <cellStyle name="输入 2 2 2 9 2" xfId="14398"/>
    <cellStyle name="标题 2 4 4" xfId="14399"/>
    <cellStyle name="强调文字颜色 4 2 3 5 2" xfId="14400"/>
    <cellStyle name="常规 10 2 3 3 4" xfId="14401"/>
    <cellStyle name="强调文字颜色 1 2 4 4 2 3" xfId="14402"/>
    <cellStyle name="输入 2 6 2 10" xfId="14403"/>
    <cellStyle name="汇总 2 5 6 4 2" xfId="14404"/>
    <cellStyle name="解释性文本 2 2 4 2 4" xfId="14405"/>
    <cellStyle name="常规 2 4 4 3" xfId="14406"/>
    <cellStyle name="计算 2 2 5 2 2 8" xfId="14407"/>
    <cellStyle name="计算 2 7 2 2" xfId="14408"/>
    <cellStyle name="输出 2 5 6 3" xfId="14409"/>
    <cellStyle name="计算 2 5 2 3 3 5" xfId="14410"/>
    <cellStyle name="60% - 强调文字颜色 3 2 2 2 4 3 2" xfId="14411"/>
    <cellStyle name="好 2 4 2 2 3" xfId="14412"/>
    <cellStyle name="汇总 2 7 2 3 2 2 2" xfId="14413"/>
    <cellStyle name="强调文字颜色 1 2 6 4" xfId="14414"/>
    <cellStyle name="40% - 强调文字颜色 6 2 2 2 5 2 2 2" xfId="14415"/>
    <cellStyle name="常规 5 2 2 2 2 6" xfId="14416"/>
    <cellStyle name="常规 7 2 4 2 2 2" xfId="14417"/>
    <cellStyle name="标题 4 5 3" xfId="14418"/>
    <cellStyle name="计算 2 7 6 2 2" xfId="14419"/>
    <cellStyle name="强调文字颜色 2 2 2 5 4" xfId="14420"/>
    <cellStyle name="好 2 4 4 3 2" xfId="14421"/>
    <cellStyle name="40% - 强调文字颜色 4 2 8 2" xfId="14422"/>
    <cellStyle name="输出 2 6 7" xfId="14423"/>
    <cellStyle name="标题 4 2 2 5 3 2 2" xfId="14424"/>
    <cellStyle name="强调文字颜色 4 2 4" xfId="14425"/>
    <cellStyle name="40% - 强调文字颜色 4 2 7 3" xfId="14426"/>
    <cellStyle name="输入 2 5 2" xfId="14427"/>
    <cellStyle name="40% - 强调文字颜色 4 2 7 2" xfId="14428"/>
    <cellStyle name="常规 6 2 3 3 2" xfId="14429"/>
    <cellStyle name="汇总 4 9" xfId="14430"/>
    <cellStyle name="输入 2 2 5 4 4 3" xfId="14431"/>
    <cellStyle name="输出 2 4 3 10" xfId="14432"/>
    <cellStyle name="40% - 强调文字颜色 5 2 2 2 2 5 2" xfId="14433"/>
    <cellStyle name="警告文本 2 2 4 4 2" xfId="14434"/>
    <cellStyle name="适中 2 2 2 2 4 4" xfId="14435"/>
    <cellStyle name="40% - 强调文字颜色 3 4 5" xfId="14436"/>
    <cellStyle name="Millares 2" xfId="14437"/>
    <cellStyle name="常规 3 3 5" xfId="14438"/>
    <cellStyle name="差 2 3 2 3 2 2 3" xfId="14439"/>
    <cellStyle name="好 3 2 2 3" xfId="14440"/>
    <cellStyle name="链接单元格 2 2 2 2 8" xfId="14441"/>
    <cellStyle name="40% - 强调文字颜色 5 2 5 3 3 2" xfId="14442"/>
    <cellStyle name="计算 2 11 2 3" xfId="14443"/>
    <cellStyle name="计算 2 2 6 3 2 2 2 2" xfId="14444"/>
    <cellStyle name="60% - 强调文字颜色 3 2 4 3" xfId="14445"/>
    <cellStyle name="计算 2 2 4 2 6 2 3" xfId="14446"/>
    <cellStyle name="60% - 强调文字颜色 2 2 3 2 3" xfId="14447"/>
    <cellStyle name="计算 2 2 5 2 7 3" xfId="14448"/>
    <cellStyle name="差 2 2 6 2 2 2" xfId="14449"/>
    <cellStyle name="超链接 3 3 4 4" xfId="14450"/>
    <cellStyle name="输入 2 7 5 4" xfId="14451"/>
    <cellStyle name="汇总 3 4 3 2" xfId="14452"/>
    <cellStyle name="检查单元格 2 3 2 4 2 2 2" xfId="14453"/>
    <cellStyle name="计算 2 2 6 2 2 5 3" xfId="14454"/>
    <cellStyle name="汇总 2 5 2 2 2 4 3" xfId="14455"/>
    <cellStyle name="链接单元格 2 3 3 3" xfId="14456"/>
    <cellStyle name="输出 2 6 4 2 2 2" xfId="14457"/>
    <cellStyle name="常规 2 5 2 2 2 2" xfId="14458"/>
    <cellStyle name="注释 2 5 3 4 3" xfId="14459"/>
    <cellStyle name="计算 2 5 3 10" xfId="14460"/>
    <cellStyle name="常规 3 3 7 3 2" xfId="14461"/>
    <cellStyle name="计算 2 6 2 3 3" xfId="14462"/>
    <cellStyle name="输入 2 4 4 2 4" xfId="14463"/>
    <cellStyle name="20% - 强调文字颜色 6 2 2 2 5 2" xfId="14464"/>
    <cellStyle name="标题 5 2 3 3 2 2" xfId="14465"/>
    <cellStyle name="差 2 2 4 6" xfId="14466"/>
    <cellStyle name="强调文字颜色 1 2 3 5 2 2 2" xfId="14467"/>
    <cellStyle name="汇总 2 2 8 4" xfId="14468"/>
    <cellStyle name="40% - 强调文字颜色 6 4 5" xfId="14469"/>
    <cellStyle name="汇总 2 2 2 2 2 2 2 3 3" xfId="14470"/>
    <cellStyle name="输入 2 2 6 2 7" xfId="14471"/>
    <cellStyle name="20% - 强调文字颜色 2 2 2 2 2 2" xfId="14472"/>
    <cellStyle name="60% - 强调文字颜色 4 4 2 4 2" xfId="14473"/>
    <cellStyle name="差 2 3" xfId="14474"/>
    <cellStyle name="差 2 2 9 2" xfId="14475"/>
    <cellStyle name="常规 10 2 3 2 3 2" xfId="14476"/>
    <cellStyle name="计算 2 2 11 2 3" xfId="14477"/>
    <cellStyle name="超链接 2 2 5 2" xfId="14478"/>
    <cellStyle name="60% - 强调文字颜色 4 2 3 2 2 2 2" xfId="14479"/>
    <cellStyle name="汇总 2 9 5" xfId="14480"/>
    <cellStyle name="标题 5 2 2 2 3 2 3" xfId="14481"/>
    <cellStyle name="60% - 强调文字颜色 3 2 2 2 2 4 2" xfId="14482"/>
    <cellStyle name="超链接 2 3 3" xfId="14483"/>
    <cellStyle name="计算 2 2 5 2 2 2 2 3" xfId="14484"/>
    <cellStyle name="注释 2 6 4 2 4" xfId="14485"/>
    <cellStyle name="适中 2 3 3 5" xfId="14486"/>
    <cellStyle name="汇总 2 2 10 5" xfId="14487"/>
    <cellStyle name="计算 2 2 5 2 3 3 2 2" xfId="14488"/>
    <cellStyle name="标题 1 4 6" xfId="14489"/>
    <cellStyle name="强调文字颜色 4 2 2 5 4" xfId="14490"/>
    <cellStyle name="计算 2 9 3 4" xfId="14491"/>
    <cellStyle name="强调文字颜色 3 2 2 3 4 3" xfId="14492"/>
    <cellStyle name="输入 2 2 3 2 2 2 3 2" xfId="14493"/>
    <cellStyle name="40% - 强调文字颜色 3 2 2 3 5 2 2" xfId="14494"/>
    <cellStyle name="差 2 3 7" xfId="14495"/>
    <cellStyle name="汇总 2 2 4 4 2 4 2" xfId="14496"/>
    <cellStyle name="计算 2 2 4 4 2 3" xfId="14497"/>
    <cellStyle name="汇总 2 5 2 4 3 2" xfId="14498"/>
    <cellStyle name="标题 3 2 2 3 3" xfId="14499"/>
    <cellStyle name="计算 2 2 6 4 3 3" xfId="14500"/>
    <cellStyle name="差 3 2 5" xfId="14501"/>
    <cellStyle name="注释 2 13 2" xfId="14502"/>
    <cellStyle name="常规 4 4 2 2 4 2" xfId="14503"/>
    <cellStyle name="标题 4 2 2 2 6 3" xfId="14504"/>
    <cellStyle name="常规 2 3 2 4" xfId="14505"/>
    <cellStyle name="差 2 2 3 2 2 2 2 2" xfId="14506"/>
    <cellStyle name="60% - 强调文字颜色 2 3 2 2 3 2 2 2" xfId="14507"/>
    <cellStyle name="输出 2 4 4 4" xfId="14508"/>
    <cellStyle name="汇总 2 5 2 3 3 3 3" xfId="14509"/>
    <cellStyle name="强调文字颜色 5 3 2 2 2" xfId="14510"/>
    <cellStyle name="汇总 2 5 2 4 8" xfId="14511"/>
    <cellStyle name="差 2 2 6 3" xfId="14512"/>
    <cellStyle name="注释 2 5 2 7" xfId="14513"/>
    <cellStyle name="计算 2 2 2 2 3 3" xfId="14514"/>
    <cellStyle name="输出 2 2 3 2 3 2 2" xfId="14515"/>
    <cellStyle name="强调文字颜色 1 2 2 4 2 4" xfId="14516"/>
    <cellStyle name="20% - 强调文字颜色 2 5 2 2" xfId="14517"/>
    <cellStyle name="强调文字颜色 2 2 3 4 2 2" xfId="14518"/>
    <cellStyle name="输出 3 2 2 2 3 2" xfId="14519"/>
    <cellStyle name="计算 2 2 3 2 2 5 3" xfId="14520"/>
    <cellStyle name="计算 2 2" xfId="14521"/>
    <cellStyle name="输入 2 8 7 3" xfId="14522"/>
    <cellStyle name="计算 2 2 9 4 3" xfId="14523"/>
    <cellStyle name="标题 3 5 2 3" xfId="14524"/>
    <cellStyle name="强调文字颜色 1 2 2 3 5 3" xfId="14525"/>
    <cellStyle name="60% - 强调文字颜色 2 2 4 8" xfId="14526"/>
    <cellStyle name="汇总 2 4 2 3 7" xfId="14527"/>
    <cellStyle name="汇总 2 5 2 2 3 2 2" xfId="14528"/>
    <cellStyle name="常规 9 2 3 3 3 2" xfId="14529"/>
    <cellStyle name="计算 2 2 5 3 2 4 2 2" xfId="14530"/>
    <cellStyle name="输出 2 4 2 2 2 3 2" xfId="14531"/>
    <cellStyle name="标题 3 2 2 3 2" xfId="14532"/>
    <cellStyle name="差 3 2 4" xfId="14533"/>
    <cellStyle name="计算 2 2 6 4 3 2" xfId="14534"/>
    <cellStyle name="标题 5 2 3 2 3" xfId="14535"/>
    <cellStyle name="汇总 2 7 2 5 2 2" xfId="14536"/>
    <cellStyle name="输出 2 2 2 8 3" xfId="14537"/>
    <cellStyle name="输出 2 10 2 2 2" xfId="14538"/>
    <cellStyle name="强调文字颜色 6 2 2 4 2 3 2" xfId="14539"/>
    <cellStyle name="40% - 强调文字颜色 6 2 2 2 4 3 2" xfId="14540"/>
    <cellStyle name="汇总 2 7 2 2 3 2" xfId="14541"/>
    <cellStyle name="60% - 强调文字颜色 2 2 4 7" xfId="14542"/>
    <cellStyle name="强调文字颜色 1 2 2 3 5 2" xfId="14543"/>
    <cellStyle name="60% - 强调文字颜色 3 3 9" xfId="14544"/>
    <cellStyle name="计算 2 2 3 2 2 2 4 2 2" xfId="14545"/>
    <cellStyle name="标题 3 5 2 2" xfId="14546"/>
    <cellStyle name="计算 2 2 9 4 2" xfId="14547"/>
    <cellStyle name="输入 2 8 7 2" xfId="14548"/>
    <cellStyle name="汇总 2 3 2 4 3" xfId="14549"/>
    <cellStyle name="60% - 强调文字颜色 3 6 2 2 2" xfId="14550"/>
    <cellStyle name="注释 2 6 2 2 4 2" xfId="14551"/>
    <cellStyle name="差 2 2 4 5 2" xfId="14552"/>
    <cellStyle name="注释 2 2 3 2 3 2 5" xfId="14553"/>
    <cellStyle name="计算 2 2 4 2 3 2 5" xfId="14554"/>
    <cellStyle name="强调文字颜色 6 2 4 4 3" xfId="14555"/>
    <cellStyle name="计算 2 6 3 3 4 2" xfId="14556"/>
    <cellStyle name="汇总 2 9 2 3" xfId="14557"/>
    <cellStyle name="差 2 2 2 5 2 2 3" xfId="14558"/>
    <cellStyle name="60% - 强调文字颜色 6 2 3 4 2 2" xfId="14559"/>
    <cellStyle name="输出 2 2 3 2 2 8" xfId="14560"/>
    <cellStyle name="输出 2 4 5 4 3" xfId="14561"/>
    <cellStyle name="解释性文本 4 2 3" xfId="14562"/>
    <cellStyle name="汇总 2 3 3 2 7" xfId="14563"/>
    <cellStyle name="警告文本 2 3 4 3 2" xfId="14564"/>
    <cellStyle name="计算 2 2 2 2 2 2 3 2 2" xfId="14565"/>
    <cellStyle name="汇总 2 3 8 2 2" xfId="14566"/>
    <cellStyle name="20% - 强调文字颜色 1 2 2 3 2 2 2 2" xfId="14567"/>
    <cellStyle name="60% - 强调文字颜色 4 2 3 2 2" xfId="14568"/>
    <cellStyle name="输出 2 2 2 2 9" xfId="14569"/>
    <cellStyle name="输入 2 2 3 3 2 3" xfId="14570"/>
    <cellStyle name="计算 2 2 2 6 3" xfId="14571"/>
    <cellStyle name="注释 2 4 2 2 5 2" xfId="14572"/>
    <cellStyle name="输出 3 7" xfId="14573"/>
    <cellStyle name="输出 2 5 2 7 2" xfId="14574"/>
    <cellStyle name="20% - 强调文字颜色 3 3 2 2 2 2 2 2" xfId="14575"/>
    <cellStyle name="60% - 强调文字颜色 5 2 2 3 2 2 2 2 2" xfId="14576"/>
    <cellStyle name="汇总 2 2 4 2 2 6 3" xfId="14577"/>
    <cellStyle name="60% - 强调文字颜色 4 2 8" xfId="14578"/>
    <cellStyle name="超链接 3 3 2 4 3" xfId="14579"/>
    <cellStyle name="汇总 2 5 2 2 11" xfId="14580"/>
    <cellStyle name="40% - 强调文字颜色 6 2 2 4 5 2 2" xfId="14581"/>
    <cellStyle name="40% - 强调文字颜色 2 2 4 5 2" xfId="14582"/>
    <cellStyle name="汇总 2 7 4 3 2 2" xfId="14583"/>
    <cellStyle name="输入 2 2 2 3 4 2" xfId="14584"/>
    <cellStyle name="注释 2 2 2 4 2 2 3" xfId="14585"/>
    <cellStyle name="40% - 强调文字颜色 2 5 2 2" xfId="14586"/>
    <cellStyle name="强调文字颜色 6 2 2 6 3 2 2" xfId="14587"/>
    <cellStyle name="输出 2 2 3 4 6 2" xfId="14588"/>
    <cellStyle name="20% - 强调文字颜色 2 2 2 4 3 2 2 2" xfId="14589"/>
    <cellStyle name="超链接 3 6 4" xfId="14590"/>
    <cellStyle name="40% - 强调文字颜色 1 2 8 2" xfId="14591"/>
    <cellStyle name="40% - 强调文字颜色 6 2 2 3 2 2 2 2" xfId="14592"/>
    <cellStyle name="常规 9 3 2 2 4" xfId="14593"/>
    <cellStyle name="标题 5 3 6 2 3" xfId="14594"/>
    <cellStyle name="常规 15 2 2" xfId="14595"/>
    <cellStyle name="百分比 2 6 2" xfId="14596"/>
    <cellStyle name="40% - 强调文字颜色 6 3 5" xfId="14597"/>
    <cellStyle name="汇总 2 2 2 2 2 2 2 2 3" xfId="14598"/>
    <cellStyle name="常规 2 3 3 3" xfId="14599"/>
    <cellStyle name="输出 2 4 5 3" xfId="14600"/>
    <cellStyle name="计算 2 2 5 3 2 3 3" xfId="14601"/>
    <cellStyle name="常规 9 2 3 2 4" xfId="14602"/>
    <cellStyle name="60% - 强调文字颜色 2 3 2 2 3 2" xfId="14603"/>
    <cellStyle name="差 2 2 3 2 2 2" xfId="14604"/>
    <cellStyle name="常规 8 3 5 2 2" xfId="14605"/>
    <cellStyle name="差 2 2 3 6 2" xfId="14606"/>
    <cellStyle name="汇总 2 2 2 6 3" xfId="14607"/>
    <cellStyle name="计算 2 6" xfId="14608"/>
    <cellStyle name="标题 1 2 2 2 6 2 2" xfId="14609"/>
    <cellStyle name="20% - 强调文字颜色 3 2 2 3 5 2 2" xfId="14610"/>
    <cellStyle name="强调文字颜色 1 2 2 2 5 3" xfId="14611"/>
    <cellStyle name="计算 2 5 2 12 2" xfId="14612"/>
    <cellStyle name="汇总 2 10 5" xfId="14613"/>
    <cellStyle name="汇总 2 6 2 2 3 2 3" xfId="14614"/>
    <cellStyle name="输入 2 4 2" xfId="14615"/>
    <cellStyle name="常规 11 3" xfId="14616"/>
    <cellStyle name="差 2 2 3 5 2" xfId="14617"/>
    <cellStyle name="20% - 强调文字颜色 6 4 3 2 2 2" xfId="14618"/>
    <cellStyle name="常规 4 3 2 3" xfId="14619"/>
    <cellStyle name="输入 2 2 6 2 2 4 2" xfId="14620"/>
    <cellStyle name="输出 2 11 3" xfId="14621"/>
    <cellStyle name="差 2 2 2 2 3 2 2 3" xfId="14622"/>
    <cellStyle name="检查单元格 2 3 2 4 3" xfId="14623"/>
    <cellStyle name="计算 2 2 3 2 8 2" xfId="14624"/>
    <cellStyle name="60% - 强调文字颜色 1 2 5 2" xfId="14625"/>
    <cellStyle name="常规 28" xfId="14626"/>
    <cellStyle name="计算 2 2 8 3 3 2 2" xfId="14627"/>
    <cellStyle name="标题 1 2 5 2 2 3" xfId="14628"/>
    <cellStyle name="强调文字颜色 1 2 2 3 5" xfId="14629"/>
    <cellStyle name="注释 2 6 2 5" xfId="14630"/>
    <cellStyle name="差 2 2 3 4 2 2" xfId="14631"/>
    <cellStyle name="输出 2 2 17" xfId="14632"/>
    <cellStyle name="汇总 2 2 2 4 3" xfId="14633"/>
    <cellStyle name="汇总 3 3 3 4" xfId="14634"/>
    <cellStyle name="60% - 强调文字颜色 3 5 2 2 2" xfId="14635"/>
    <cellStyle name="40% - 强调文字颜色 4 4 2 4 2" xfId="14636"/>
    <cellStyle name="20% - 强调文字颜色 1 4 2 3" xfId="14637"/>
    <cellStyle name="强调文字颜色 2 2 2 3 2 3" xfId="14638"/>
    <cellStyle name="汇总 2 2 7 5 2 2 2" xfId="14639"/>
    <cellStyle name="20% - 强调文字颜色 6 4 2 3 2 2" xfId="14640"/>
    <cellStyle name="20% - 强调文字颜色 6 2 2 3 7" xfId="14641"/>
    <cellStyle name="常规 3 3 2 2 4 3 2" xfId="14642"/>
    <cellStyle name="汇总 2 2 7 7 2" xfId="14643"/>
    <cellStyle name="强调文字颜色 6 2 2 2 4 2 3" xfId="14644"/>
    <cellStyle name="输入 2 4 4 6" xfId="14645"/>
    <cellStyle name="标题 3 2 2 4 2 4" xfId="14646"/>
    <cellStyle name="标题 1 3 2 3 3" xfId="14647"/>
    <cellStyle name="20% - 强调文字颜色 3 4 4 2 2" xfId="14648"/>
    <cellStyle name="计算 2 2 3 3 3 3 2 2" xfId="14649"/>
    <cellStyle name="汇总 2 2 2 3 4 2" xfId="14650"/>
    <cellStyle name="输出 2 10 2 2" xfId="14651"/>
    <cellStyle name="强调文字颜色 6 2 2 4 2 3" xfId="14652"/>
    <cellStyle name="警告文本 2 3 3 2 2 2" xfId="14653"/>
    <cellStyle name="常规 10 3 2 3 2 2" xfId="14654"/>
    <cellStyle name="20% - 强调文字颜色 4 2 7 3 2 2" xfId="14655"/>
    <cellStyle name="标题 3 2 5 3 3" xfId="14656"/>
    <cellStyle name="60% - 强调文字颜色 5 6 2 2 2" xfId="14657"/>
    <cellStyle name="汇总 2 3 2 3 3 3" xfId="14658"/>
    <cellStyle name="输出 2 3 3 2 2 3" xfId="14659"/>
    <cellStyle name="计算 2 2 4 4 2 4 2" xfId="14660"/>
    <cellStyle name="计算 4 5 3" xfId="14661"/>
    <cellStyle name="40% - 强调文字颜色 1 2 2 2 2 2 2" xfId="14662"/>
    <cellStyle name="适中 2 2 2 2 6 2 2" xfId="14663"/>
    <cellStyle name="强调文字颜色 5 2 3 3 7" xfId="14664"/>
    <cellStyle name="常规 9 4 3 3" xfId="14665"/>
    <cellStyle name="常规 2 3 2 2 2" xfId="14666"/>
    <cellStyle name="输出 2 4 4 2 2" xfId="14667"/>
    <cellStyle name="常规 3 2 4 2 3 5" xfId="14668"/>
    <cellStyle name="适中 2 4 3 4 2" xfId="14669"/>
    <cellStyle name="标题 1 3 2 5" xfId="14670"/>
    <cellStyle name="强调文字颜色 2 2 2 2 4 3 2" xfId="14671"/>
    <cellStyle name="常规 5 2 4 5 2" xfId="14672"/>
    <cellStyle name="60% - 强调文字颜色 6 2 2 3 2 2 2" xfId="14673"/>
    <cellStyle name="常规 2 2 2 7 2" xfId="14674"/>
    <cellStyle name="输出 2 4 2 2 2 2 4" xfId="14675"/>
    <cellStyle name="汇总 2 7 5 2 2 2" xfId="14676"/>
    <cellStyle name="20% - 强调文字颜色 5 3 3 2 2 2" xfId="14677"/>
    <cellStyle name="输出 2 5 2 2 4 2" xfId="14678"/>
    <cellStyle name="60% - 强调文字颜色 3 2 2 2 2 2 2 2 2 2" xfId="14679"/>
    <cellStyle name="注释 2 9 2 5" xfId="14680"/>
    <cellStyle name="20% - 强调文字颜色 1 2 4 4 3" xfId="14681"/>
    <cellStyle name="差 2 2 2 6" xfId="14682"/>
    <cellStyle name="强调文字颜色 3 3 3 4" xfId="14683"/>
    <cellStyle name="注释 2 2 4 2 2 2 3 2" xfId="14684"/>
    <cellStyle name="警告文本 2 3 2 4 2 3" xfId="14685"/>
    <cellStyle name="输出 2 4 2 3 2 6" xfId="14686"/>
    <cellStyle name="常规 4 3 2 3 2 2" xfId="14687"/>
    <cellStyle name="强调文字颜色 4 3 2 2 4" xfId="14688"/>
    <cellStyle name="输入 2 6 5 3" xfId="14689"/>
    <cellStyle name="超链接 3 2 4 3" xfId="14690"/>
    <cellStyle name="输出 2 4 2 3 8" xfId="14691"/>
    <cellStyle name="40% - 强调文字颜色 1 2 3 2 2 4 3" xfId="14692"/>
    <cellStyle name="计算 2 2 5 3 3 2 2" xfId="14693"/>
    <cellStyle name="检查单元格 2 7 2 3" xfId="14694"/>
    <cellStyle name="强调文字颜色 6 2 2 3 4 2 2 2" xfId="14695"/>
    <cellStyle name="输入 2 8 6 3" xfId="14696"/>
    <cellStyle name="输入 2 4 2 2 9" xfId="14697"/>
    <cellStyle name="计算 3 2 2 6" xfId="14698"/>
    <cellStyle name="输入 2 3 3 3 2" xfId="14699"/>
    <cellStyle name="输出 2 3 2 8" xfId="14700"/>
    <cellStyle name="警告文本 2 3 2 3 3" xfId="14701"/>
    <cellStyle name="60% - 强调文字颜色 4 2 4 4 2 2" xfId="14702"/>
    <cellStyle name="计算 2 3 4 2 2 2" xfId="14703"/>
    <cellStyle name="差 2 2 2 4 3" xfId="14704"/>
    <cellStyle name="20% - 强调文字颜色 3 2 2 2 4" xfId="14705"/>
    <cellStyle name="计算 2 5 4 3 4" xfId="14706"/>
    <cellStyle name="警告文本 2 3 2 3 2" xfId="14707"/>
    <cellStyle name="汇总 2 2 8 3 7" xfId="14708"/>
    <cellStyle name="差 2 2 2 4 2 2" xfId="14709"/>
    <cellStyle name="汇总 5 2 4 3" xfId="14710"/>
    <cellStyle name="警告文本 2 4 5 2" xfId="14711"/>
    <cellStyle name="40% - 强调文字颜色 5 4 4 2 2" xfId="14712"/>
    <cellStyle name="汇总 2 2 2 13" xfId="14713"/>
    <cellStyle name="常规 5 3 2 2 2 2 2" xfId="14714"/>
    <cellStyle name="计算 2 5 2 10" xfId="14715"/>
    <cellStyle name="强调文字颜色 5 2 2 3 3 2" xfId="14716"/>
    <cellStyle name="标题 4 4 2 2 2 2" xfId="14717"/>
    <cellStyle name="60% - 强调文字颜色 5 2 2 10" xfId="14718"/>
    <cellStyle name="警告文本 2 2 2 4 2 3" xfId="14719"/>
    <cellStyle name="注释 2 3 7 3" xfId="14720"/>
    <cellStyle name="计算 2 6 2 2 2 6" xfId="14721"/>
    <cellStyle name="40% - 强调文字颜色 2 2 2 5 2" xfId="14722"/>
    <cellStyle name="40% - 强调文字颜色 6 2 2 4 3 2 2" xfId="14723"/>
    <cellStyle name="40% - 强调文字颜色 6 2 9 2" xfId="14724"/>
    <cellStyle name="检查单元格 2 3 2 3 4" xfId="14725"/>
    <cellStyle name="60% - 强调文字颜色 1 2 4 3" xfId="14726"/>
    <cellStyle name="计算 2 2 3 2 7 3" xfId="14727"/>
    <cellStyle name="60% - 强调文字颜色 4 2 3 3 4" xfId="14728"/>
    <cellStyle name="标题 3 2 3 2 2 3 3" xfId="14729"/>
    <cellStyle name="差 2 2 2 3 2 2 2 2" xfId="14730"/>
    <cellStyle name="注释 2 2 4 2 2" xfId="14731"/>
    <cellStyle name="输入 2 6 2 2 2 2" xfId="14732"/>
    <cellStyle name="汇总 2 2 6 4 2 6" xfId="14733"/>
    <cellStyle name="强调文字颜色 4 2 2 2 2 3 3 3" xfId="14734"/>
    <cellStyle name="汇总 2 5 3 2 4 2 2" xfId="14735"/>
    <cellStyle name="超链接 2 2 2" xfId="14736"/>
    <cellStyle name="汇总 2 2 3 2 2 3 3" xfId="14737"/>
    <cellStyle name="汇总 2 2 6 2 3 2" xfId="14738"/>
    <cellStyle name="常规 5 3 2 2 3 2 2" xfId="14739"/>
    <cellStyle name="汇总 2 4 3 9" xfId="14740"/>
    <cellStyle name="60% - 强调文字颜色 6 4 3 2 2 2" xfId="14741"/>
    <cellStyle name="40% - 强调文字颜色 2 2 2 4 2" xfId="14742"/>
    <cellStyle name="40% - 强调文字颜色 5 4 3 2 2" xfId="14743"/>
    <cellStyle name="差 3 3 3 2 3" xfId="14744"/>
    <cellStyle name="汇总 2 3 3 6" xfId="14745"/>
    <cellStyle name="输入 2 4 3 4 3" xfId="14746"/>
    <cellStyle name="输出 2 4 2 4 2 2 2" xfId="14747"/>
    <cellStyle name="输出 2 2 2 2 2 2 6" xfId="14748"/>
    <cellStyle name="计算 2 2 4 5 4 2" xfId="14749"/>
    <cellStyle name="40% - 强调文字颜色 3 2 2 2 6 2" xfId="14750"/>
    <cellStyle name="标题 1 3 5 2 2" xfId="14751"/>
    <cellStyle name="强调文字颜色 4 2 2 4 3 2 2" xfId="14752"/>
    <cellStyle name="计算 2 2 2 2 2 2 3" xfId="14753"/>
    <cellStyle name="输出 2 3 2 2 2 2 2 2" xfId="14754"/>
    <cellStyle name="计算 2 2 8 3" xfId="14755"/>
    <cellStyle name="汇总 2 2 3 5 3 3" xfId="14756"/>
    <cellStyle name="汇总 4 3" xfId="14757"/>
    <cellStyle name="常规 12 4 2 4" xfId="14758"/>
    <cellStyle name="超链接 2 7 2 2" xfId="14759"/>
    <cellStyle name="注释 2 7 2 3 3" xfId="14760"/>
    <cellStyle name="20% - 强调文字颜色 4 2 2 2 2 4 2" xfId="14761"/>
    <cellStyle name="60% - 强调文字颜色 4 2 4 5 2 2" xfId="14762"/>
    <cellStyle name="计算 2 2 4 3 2 2 2 3" xfId="14763"/>
    <cellStyle name="20% - 强调文字颜色 3 2 3 2 5" xfId="14764"/>
    <cellStyle name="输入 3 10" xfId="14765"/>
    <cellStyle name="计算 2 5 10 2 2" xfId="14766"/>
    <cellStyle name="常规 5 2 2 3 6" xfId="14767"/>
    <cellStyle name="20% - 强调文字颜色 6 5 2" xfId="14768"/>
    <cellStyle name="链接单元格 2 3 2 6 2" xfId="14769"/>
    <cellStyle name="标题 5 2 2 2 4 2 2" xfId="14770"/>
    <cellStyle name="差 2 2 2 2 6" xfId="14771"/>
    <cellStyle name="汇总 2 2 6 3 3 2" xfId="14772"/>
    <cellStyle name="汇总 2 2 3 2 3 3 3" xfId="14773"/>
    <cellStyle name="40% - 强调文字颜色 2 2 4 5" xfId="14774"/>
    <cellStyle name="40% - 强调文字颜色 6 2 2 4 5 2" xfId="14775"/>
    <cellStyle name="汇总 2 7 4 3 2" xfId="14776"/>
    <cellStyle name="计算 2 2 8 2 3" xfId="14777"/>
    <cellStyle name="强调文字颜色 6 2 2 6 3 2" xfId="14778"/>
    <cellStyle name="常规 13 4 3 3 2 2" xfId="14779"/>
    <cellStyle name="40% - 强调文字颜色 2 2 2 5 3 2 2" xfId="14780"/>
    <cellStyle name="差 2 2 3 3 2 3" xfId="14781"/>
    <cellStyle name="链接单元格 2 2 4 2 2 2" xfId="14782"/>
    <cellStyle name="20% - 强调文字颜色 1 2 3 2" xfId="14783"/>
    <cellStyle name="汇总 2 2 7 4 2 3" xfId="14784"/>
    <cellStyle name="标题 3 2 5 2" xfId="14785"/>
    <cellStyle name="计算 2 4 3 3 3 2 2" xfId="14786"/>
    <cellStyle name="计算 2 2 6 7 2" xfId="14787"/>
    <cellStyle name="强调文字颜色 4 2 4 3 3 2" xfId="14788"/>
    <cellStyle name="标题 3 4 4 2 2 2" xfId="14789"/>
    <cellStyle name="60% - 强调文字颜色 6 2 3 8" xfId="14790"/>
    <cellStyle name="标题 2 2 3 2 4 4" xfId="14791"/>
    <cellStyle name="注释 2 2 3 2 2 9" xfId="14792"/>
    <cellStyle name="计算 2 2 8 8 2 2" xfId="14793"/>
    <cellStyle name="常规 6 2 2 3 3" xfId="14794"/>
    <cellStyle name="汇总 3 3 3 2" xfId="14795"/>
    <cellStyle name="20% - 强调文字颜色 1 4 2 3 2 2 2" xfId="14796"/>
    <cellStyle name="常规 6 2 2 2 2 2 2 2" xfId="14797"/>
    <cellStyle name="差 2 2 2" xfId="14798"/>
    <cellStyle name="输入 2 2 2 3 4 3" xfId="14799"/>
    <cellStyle name="输入 2 2 8 6 2 2" xfId="14800"/>
    <cellStyle name="汇总 2 2 6 5 5" xfId="14801"/>
    <cellStyle name="输出 2 17" xfId="14802"/>
    <cellStyle name="好 2 4 3 2 2 2" xfId="14803"/>
    <cellStyle name="适中 2 5 2 2" xfId="14804"/>
    <cellStyle name="注释 2 3 2 2 2 5" xfId="14805"/>
    <cellStyle name="60% - 强调文字颜色 1 2 2 8" xfId="14806"/>
    <cellStyle name="20% - 强调文字颜色 2 2 6 3 2" xfId="14807"/>
    <cellStyle name="注释 3 2 2 5 2" xfId="14808"/>
    <cellStyle name="输出 2 2 3 4 8" xfId="14809"/>
    <cellStyle name="常规 2 2 2 2 4 3 2" xfId="14810"/>
    <cellStyle name="汇总 2 2 4 2 4 2 3 2 2" xfId="14811"/>
    <cellStyle name="常规 13 3 3 3" xfId="14812"/>
    <cellStyle name="20% - 强调文字颜色 6 2 2 2 3 5" xfId="14813"/>
    <cellStyle name="注释 2 3 2 5 2 2" xfId="14814"/>
    <cellStyle name="差 2 2" xfId="14815"/>
    <cellStyle name="常规 6 2 2 2 2 2 2" xfId="14816"/>
    <cellStyle name="解释性文本 2 7 2 3" xfId="14817"/>
    <cellStyle name="标题 9 2" xfId="14818"/>
    <cellStyle name="常规 9 4 3 4" xfId="14819"/>
    <cellStyle name="常规 2 3 2 2 3" xfId="14820"/>
    <cellStyle name="输出 2 4 4 2 3" xfId="14821"/>
    <cellStyle name="汇总 2 5 2 4 2 4" xfId="14822"/>
    <cellStyle name="计算 2 2 6 4 2 5" xfId="14823"/>
    <cellStyle name="标题 3 2 2 2 5" xfId="14824"/>
    <cellStyle name="汇总 2 2 4 4 3 2 2" xfId="14825"/>
    <cellStyle name="输出 2 2 10 2 2" xfId="14826"/>
    <cellStyle name="常规 16 2 2" xfId="14827"/>
    <cellStyle name="标题 8" xfId="14828"/>
    <cellStyle name="40% - 强调文字颜色 1 2 3 3 3 2 2" xfId="14829"/>
    <cellStyle name="40% - 强调文字颜色 2 2 2 4 2 2" xfId="14830"/>
    <cellStyle name="20% - 强调文字颜色 5 2 3 4 3 2" xfId="14831"/>
    <cellStyle name="警告文本 2 2 5 2 2" xfId="14832"/>
    <cellStyle name="60% - 强调文字颜色 6 2 2 2 2 4 2 3" xfId="14833"/>
    <cellStyle name="计算 2 8 3 3" xfId="14834"/>
    <cellStyle name="60% - 强调文字颜色 1 2 2 6 2 2" xfId="14835"/>
    <cellStyle name="注释 2 3 2 2 2 3 2 2" xfId="14836"/>
    <cellStyle name="输出 4 2 4 3" xfId="14837"/>
    <cellStyle name="常规 7 3" xfId="14838"/>
    <cellStyle name="差 2 2 2 2 6 2" xfId="14839"/>
    <cellStyle name="20% - 强调文字颜色 2 2 2 3 4 2 2" xfId="14840"/>
    <cellStyle name="20% - 强调文字颜色 6 2 2 2 3 4" xfId="14841"/>
    <cellStyle name="常规 18 3" xfId="14842"/>
    <cellStyle name="常规 13 3 3 2" xfId="14843"/>
    <cellStyle name="计算 2 2 6 4 2 7" xfId="14844"/>
    <cellStyle name="输出 2 2 12 3" xfId="14845"/>
    <cellStyle name="汇总 2 5 2 4 2 6" xfId="14846"/>
    <cellStyle name="标题 3 2 2 2 7" xfId="14847"/>
    <cellStyle name="标题 3 3 6 2" xfId="14848"/>
    <cellStyle name="计算 2 2 7 8 2" xfId="14849"/>
    <cellStyle name="输入 2 10 3 3" xfId="14850"/>
    <cellStyle name="超链接 2 4 4 2 2" xfId="14851"/>
    <cellStyle name="汇总 2 2 2 10 3" xfId="14852"/>
    <cellStyle name="强调文字颜色 2 2 4 6" xfId="14853"/>
    <cellStyle name="输入 3 8 2 2" xfId="14854"/>
    <cellStyle name="计算 3 2 2 2 4 2 2" xfId="14855"/>
    <cellStyle name="汇总 2 2 8 3 2 4 2" xfId="14856"/>
    <cellStyle name="常规 10 2 2 2 3 2 2" xfId="14857"/>
    <cellStyle name="链接单元格 2 4 5 2 2" xfId="14858"/>
    <cellStyle name="标题 2 2 4 4 3 2" xfId="14859"/>
    <cellStyle name="20% - 强调文字颜色 2 2 5 3 3" xfId="14860"/>
    <cellStyle name="标题 5 5 2 2 2" xfId="14861"/>
    <cellStyle name="标题 5 2 2 4 2 2 2" xfId="14862"/>
    <cellStyle name="60% - 强调文字颜色 1 3 2 3" xfId="14863"/>
    <cellStyle name="计算 2 2 3 3 5 3" xfId="14864"/>
    <cellStyle name="输入 2 4 7" xfId="14865"/>
    <cellStyle name="常规 12 4 4" xfId="14866"/>
    <cellStyle name="强调文字颜色 6 2 2 2 3 7" xfId="14867"/>
    <cellStyle name="40% - 强调文字颜色 2 3 2 4" xfId="14868"/>
    <cellStyle name="解释性文本 3" xfId="14869"/>
    <cellStyle name="输出 2 4 2 7 2 2" xfId="14870"/>
    <cellStyle name="60% - 强调文字颜色 1 2 3 2 4 3" xfId="14871"/>
    <cellStyle name="标题 4 2 2 2 2 2 5" xfId="14872"/>
    <cellStyle name="计算 3 6" xfId="14873"/>
    <cellStyle name="输出 2 2 3 2 2 3 2 2 2" xfId="14874"/>
    <cellStyle name="汇总 2 8 5 2" xfId="14875"/>
    <cellStyle name="60% - 强调文字颜色 5 2 2 9" xfId="14876"/>
    <cellStyle name="汇总 2 5 8" xfId="14877"/>
    <cellStyle name="40% - 强调文字颜色 4 2 5 2 3 2" xfId="14878"/>
    <cellStyle name="常规 10 2 3 2" xfId="14879"/>
    <cellStyle name="汇总 2 5 2 3 2 3 2 2" xfId="14880"/>
    <cellStyle name="输出 2 5 2 2 2 3 2" xfId="14881"/>
    <cellStyle name="注释 2 4 2 6 2" xfId="14882"/>
    <cellStyle name="注释 2 2 2 2 2 6" xfId="14883"/>
    <cellStyle name="计算 2 5 4 4" xfId="14884"/>
    <cellStyle name="60% - 强调文字颜色 1 2 2 3 3 3" xfId="14885"/>
    <cellStyle name="20% - 强调文字颜色 3 2 2 3" xfId="14886"/>
    <cellStyle name="标题 4 2 3 4 2 2 3" xfId="14887"/>
    <cellStyle name="60% - 强调文字颜色 1 2 2 2 4 3 2 2" xfId="14888"/>
    <cellStyle name="计算 2 6 2 7 2" xfId="14889"/>
    <cellStyle name="输入 2 2 7 3 3 2" xfId="14890"/>
    <cellStyle name="计算 2 2 2 2 3 7" xfId="14891"/>
    <cellStyle name="强调文字颜色 5 5" xfId="14892"/>
    <cellStyle name="输出 2 2 2 4 4" xfId="14893"/>
    <cellStyle name="汇总 2 8 2 2 4 2" xfId="14894"/>
    <cellStyle name="标题 6 2 4 2 3" xfId="14895"/>
    <cellStyle name="40% - 强调文字颜色 6 2 5 2 3 2" xfId="14896"/>
    <cellStyle name="汇总 2 2 4 2 2 3 3 2" xfId="14897"/>
    <cellStyle name="常规 10 4 3 2" xfId="14898"/>
    <cellStyle name="汇总 2 2 5 2 2 3 4" xfId="14899"/>
    <cellStyle name="输出 2 2 3 2 5 3" xfId="14900"/>
    <cellStyle name="差 2 3 2 2 2 2 2" xfId="14901"/>
    <cellStyle name="汇总 2 4 2 9" xfId="14902"/>
    <cellStyle name="计算 2 6 2 4 5" xfId="14903"/>
    <cellStyle name="解释性文本 2 3 2 2 2 2 2 2" xfId="14904"/>
    <cellStyle name="40% - 强调文字颜色 1 2 5 3 2 2 2" xfId="14905"/>
    <cellStyle name="40% - 强调文字颜色 2 4 2 3 2 2" xfId="14906"/>
    <cellStyle name="链接单元格 2 9" xfId="14907"/>
    <cellStyle name="计算 2 2 7 5 3" xfId="14908"/>
    <cellStyle name="标题 3 3 3 3" xfId="14909"/>
    <cellStyle name="汇总 2 7 3 6 2" xfId="14910"/>
    <cellStyle name="汇总 2 2 8 2 6" xfId="14911"/>
    <cellStyle name="标题 5 6 4" xfId="14912"/>
    <cellStyle name="输入 2 4 2 2 5 3" xfId="14913"/>
    <cellStyle name="计算 2 2 4 2 2" xfId="14914"/>
    <cellStyle name="超链接 2 3 4 3 2 2" xfId="14915"/>
    <cellStyle name="强调文字颜色 3 2 3 2 3 3 2" xfId="14916"/>
    <cellStyle name="标题 1 2 4 5" xfId="14917"/>
    <cellStyle name="强调文字颜色 5 2 3 3 2 3" xfId="14918"/>
    <cellStyle name="标题 5 4 5 2 2" xfId="14919"/>
    <cellStyle name="标题 5 4 5 2" xfId="14920"/>
    <cellStyle name="强调文字颜色 4 2 2 6 2 2" xfId="14921"/>
    <cellStyle name="计算 2 7 3 2 3 2" xfId="14922"/>
    <cellStyle name="汇总 2 2 2 3 2 3" xfId="14923"/>
    <cellStyle name="百分比 2 2 2 6" xfId="14924"/>
    <cellStyle name="20% - 强调文字颜色 4 2 2 2 2 3 2 2" xfId="14925"/>
    <cellStyle name="检查单元格 4 2 3 2" xfId="14926"/>
    <cellStyle name="适中 2 4 2 2 3" xfId="14927"/>
    <cellStyle name="检查单元格 2 2 3 2 2" xfId="14928"/>
    <cellStyle name="注释 2 6 5 5" xfId="14929"/>
    <cellStyle name="20% - 强调文字颜色 4 3 3" xfId="14930"/>
    <cellStyle name="计算 2 2 3 4 2 2" xfId="14931"/>
    <cellStyle name="强调文字颜色 2 2 5 2 3" xfId="14932"/>
    <cellStyle name="标题 5 3 4 2 3" xfId="14933"/>
    <cellStyle name="常规 13 8" xfId="14934"/>
    <cellStyle name="40% - 强调文字颜色 4 2 8 2 2" xfId="14935"/>
    <cellStyle name="注释 2 4 2 3 4" xfId="14936"/>
    <cellStyle name="60% - 强调文字颜色 2 3 2 4" xfId="14937"/>
    <cellStyle name="20% - 强调文字颜色 2 5 2 2 2 2" xfId="14938"/>
    <cellStyle name="标题 5 3 2 4 2 2 2" xfId="14939"/>
    <cellStyle name="强调文字颜色 1 4 4" xfId="14940"/>
    <cellStyle name="标题 5 2 8 2" xfId="14941"/>
    <cellStyle name="警告文本 2 4 4 3" xfId="14942"/>
    <cellStyle name="计算 2 2 2 4 2" xfId="14943"/>
    <cellStyle name="标题 3 2 2 6 3 2 2" xfId="14944"/>
    <cellStyle name="计算 2 2 2 3 3" xfId="14945"/>
    <cellStyle name="注释 4 2 6 2" xfId="14946"/>
    <cellStyle name="注释 2 4 2 2 2 2" xfId="14947"/>
    <cellStyle name="常规 7 2 2 2 4 3 2" xfId="14948"/>
    <cellStyle name="20% - 强调文字颜色 3 2 4 3 3 2" xfId="14949"/>
    <cellStyle name="注释 2 4 2 3 2 3 2" xfId="14950"/>
    <cellStyle name="计算 2 2 3 3 4 2" xfId="14951"/>
    <cellStyle name="强调文字颜色 2 2 4 4 3" xfId="14952"/>
    <cellStyle name="20% - 强调文字颜色 1 2 2 2 2 4 2 2" xfId="14953"/>
    <cellStyle name="标题 5 2 6 3 3" xfId="14954"/>
    <cellStyle name="40% - 强调文字颜色 5 2 2 2 6 2 2" xfId="14955"/>
    <cellStyle name="标题 4 3 3 2 2" xfId="14956"/>
    <cellStyle name="60% - 强调文字颜色 3 2 3 6 2 2 2" xfId="14957"/>
    <cellStyle name="输出 2 2 3 4 6" xfId="14958"/>
    <cellStyle name="20% - 强调文字颜色 2 2 2 4 3 2 2" xfId="14959"/>
    <cellStyle name="常规 2 2 2 2 2 4 3" xfId="14960"/>
    <cellStyle name="超链接 3 4 4 2" xfId="14961"/>
    <cellStyle name="输入 2 8 5 2" xfId="14962"/>
    <cellStyle name="注释 2 5 3 3" xfId="14963"/>
    <cellStyle name="汇总 2 4 3 4 2 2" xfId="14964"/>
    <cellStyle name="标题 2 3 2 2 3" xfId="14965"/>
    <cellStyle name="40% - 强调文字颜色 1 2 6 2 2" xfId="14966"/>
    <cellStyle name="60% - 强调文字颜色 2 2 2 7" xfId="14967"/>
    <cellStyle name="强调文字颜色 1 2 2 3 3 2" xfId="14968"/>
    <cellStyle name="计算 2 2 4 2 5 7" xfId="14969"/>
    <cellStyle name="常规 6 3 2 4 3" xfId="14970"/>
    <cellStyle name="标题 5 2 6 2 2 2" xfId="14971"/>
    <cellStyle name="强调文字颜色 6 2 5 4" xfId="14972"/>
    <cellStyle name="适中 2 2 4 3 4" xfId="14973"/>
    <cellStyle name="20% - 强调文字颜色 1 2 2 3 5 2" xfId="14974"/>
    <cellStyle name="汇总 2 5 4 6 3" xfId="14975"/>
    <cellStyle name="40% - 强调文字颜色 3 2 6 3 2 2" xfId="14976"/>
    <cellStyle name="强调文字颜色 2 2 2 2 2 3 3" xfId="14977"/>
    <cellStyle name="检查单元格 2 2 2 4 2" xfId="14978"/>
    <cellStyle name="标题 5 2 5 3 2 2" xfId="14979"/>
    <cellStyle name="计算 2 11 3 2" xfId="14980"/>
    <cellStyle name="计算 2 2 5 2 8 2" xfId="14981"/>
    <cellStyle name="60% - 强调文字颜色 3 2 5 2" xfId="14982"/>
    <cellStyle name="60% - 强调文字颜色 2 2 3 3 2" xfId="14983"/>
    <cellStyle name="计算 2 2 4 2 6 3 2" xfId="14984"/>
    <cellStyle name="汇总 3 4 4 2" xfId="14985"/>
    <cellStyle name="40% - 强调文字颜色 2 2 3 3 2 2 2" xfId="14986"/>
    <cellStyle name="20% - 强调文字颜色 6 2 8 2 2" xfId="14987"/>
    <cellStyle name="常规 12 3 3 2 2" xfId="14988"/>
    <cellStyle name="常规 11 2 2 2 3 2" xfId="14989"/>
    <cellStyle name="注释 2 2 3 2 4 2 2 2" xfId="14990"/>
    <cellStyle name="链接单元格 2 6 3" xfId="14991"/>
    <cellStyle name="60% - 强调文字颜色 4 2 2 5" xfId="14992"/>
    <cellStyle name="汇总 2 10 2 2" xfId="14993"/>
    <cellStyle name="60% - 强调文字颜色 4 2 2 2 2 5" xfId="14994"/>
    <cellStyle name="60% - 强调文字颜色 5 2 3 2 2 3" xfId="14995"/>
    <cellStyle name="汇总 2 12 2 2 2" xfId="14996"/>
    <cellStyle name="输入 2 2 2 2 2 4 3" xfId="14997"/>
    <cellStyle name="计算 2 13 2" xfId="14998"/>
    <cellStyle name="计算 2 2 5 4 7" xfId="14999"/>
    <cellStyle name="60% - 强调文字颜色 2 2 5 2" xfId="15000"/>
    <cellStyle name="计算 2 2 4 2 8 2" xfId="15001"/>
    <cellStyle name="60% - 强调文字颜色 3 4 4" xfId="15002"/>
    <cellStyle name="强调文字颜色 6 2 2 2 2 4" xfId="15003"/>
    <cellStyle name="链接单元格 2 2 3 2 2 2 3" xfId="15004"/>
    <cellStyle name="计算 2 2 2 2 2 5 2" xfId="15005"/>
    <cellStyle name="强调文字颜色 5 2 2 2 2 3 3 2 2" xfId="15006"/>
    <cellStyle name="强调文字颜色 3 2 2 6 2" xfId="15007"/>
    <cellStyle name="20% - 强调文字颜色 1 6 2 2 2" xfId="15008"/>
    <cellStyle name="强调文字颜色 2 2 2 5 2 2 2" xfId="15009"/>
    <cellStyle name="标题 1 3 2 2 3" xfId="15010"/>
    <cellStyle name="60% - 强调文字颜色 3 4 2 2 2 2 2" xfId="15011"/>
    <cellStyle name="汇总 2 3 3 4 2 2" xfId="15012"/>
    <cellStyle name="标题 3 2 2 4 4 2" xfId="15013"/>
    <cellStyle name="超链接 3 2 3 3 2 2 2" xfId="15014"/>
    <cellStyle name="汇总 2 2 6 4 2 3" xfId="15015"/>
    <cellStyle name="40% - 强调文字颜色 5 2 2 2 4 3 2" xfId="15016"/>
    <cellStyle name="输入 2 5 2 2 2 6" xfId="15017"/>
    <cellStyle name="计算 2 2 4 2 4 2 4 2" xfId="15018"/>
    <cellStyle name="适中 2 2 2 5" xfId="15019"/>
    <cellStyle name="输入 2 2 4 2 4 6" xfId="15020"/>
    <cellStyle name="计算 2 2 8 2 3 3" xfId="15021"/>
    <cellStyle name="汇总 2 5 4 2 3 2" xfId="15022"/>
    <cellStyle name="强调文字颜色 5 2 3 2 5" xfId="15023"/>
    <cellStyle name="计算 2 5 3 2 2 4" xfId="15024"/>
    <cellStyle name="60% - 强调文字颜色 3 4 3" xfId="15025"/>
    <cellStyle name="计算 2 2 5 4 6" xfId="15026"/>
    <cellStyle name="输出 2 2 5 2 2 3 2 2" xfId="15027"/>
    <cellStyle name="20% - 强调文字颜色 6 3 5 2 2 2" xfId="15028"/>
    <cellStyle name="标题 3 2 2 2 6 3" xfId="15029"/>
    <cellStyle name="输入 2 2 8 5" xfId="15030"/>
    <cellStyle name="汇总 2 2 10 2 5" xfId="15031"/>
    <cellStyle name="20% - 强调文字颜色 5 2 2 2 2 3 2 2" xfId="15032"/>
    <cellStyle name="输入 2 2 2 2 2 2 5" xfId="15033"/>
    <cellStyle name="输出 2 4 3 4 2" xfId="15034"/>
    <cellStyle name="常规 9 3 5 3" xfId="15035"/>
    <cellStyle name="解释性文本 2 3 4 2 2" xfId="15036"/>
    <cellStyle name="输出 2 4 3 4" xfId="15037"/>
    <cellStyle name="解释性文本 2 3 4 2" xfId="15038"/>
    <cellStyle name="警告文本 2 2 2 2 7" xfId="15039"/>
    <cellStyle name="20% - 强调文字颜色 5 4 2 3 2" xfId="15040"/>
    <cellStyle name="注释 2 2 7 4 2 2" xfId="15041"/>
    <cellStyle name="检查单元格 2 3 2 3 2" xfId="15042"/>
    <cellStyle name="强调文字颜色 2 2 2 3 2 2 3" xfId="15043"/>
    <cellStyle name="常规 10 2 2 2 6" xfId="15044"/>
    <cellStyle name="链接单元格 2 4 8" xfId="15045"/>
    <cellStyle name="20% - 强调文字颜色 4 2 3 2 2 5 2" xfId="15046"/>
    <cellStyle name="标题 5 2 3 4 3 2" xfId="15047"/>
    <cellStyle name="40% - 强调文字颜色 6 4 2 3 2 2 2" xfId="15048"/>
    <cellStyle name="常规 6 3 5 2 2 2" xfId="15049"/>
    <cellStyle name="计算 2 5 2 4 2 7" xfId="15050"/>
    <cellStyle name="标题 1 3 3" xfId="15051"/>
    <cellStyle name="40% - 强调文字颜色 1 2 3 4 2 2 2" xfId="15052"/>
    <cellStyle name="百分比 2 3 2 4" xfId="15053"/>
    <cellStyle name="40% - 强调文字颜色 2 2 3 3 2 2" xfId="15054"/>
    <cellStyle name="汇总 3 4 4" xfId="15055"/>
    <cellStyle name="检查单元格 2 3 2 4 2 3" xfId="15056"/>
    <cellStyle name="输出 4 2 2 4" xfId="15057"/>
    <cellStyle name="适中 2 2 3 4" xfId="15058"/>
    <cellStyle name="20% - 强调文字颜色 4 2 3 2 2 4 2 2" xfId="15059"/>
    <cellStyle name="20% - 强调文字颜色 5 2 4 2 2 2 2 2" xfId="15060"/>
    <cellStyle name="标题 6 4 2" xfId="15061"/>
    <cellStyle name="汇总 2 5 3 11" xfId="15062"/>
    <cellStyle name="检查单元格 2 2 2 2 2 3" xfId="15063"/>
    <cellStyle name="输入 2 6 2 2 4 2" xfId="15064"/>
    <cellStyle name="汇总 2 2 4 3 3" xfId="15065"/>
    <cellStyle name="计算 4 2 3 3 3" xfId="15066"/>
    <cellStyle name="汇总 2 3 3 2 3" xfId="15067"/>
    <cellStyle name="差 2 2 5 3 2" xfId="15068"/>
    <cellStyle name="标题 5 2 2 8" xfId="15069"/>
    <cellStyle name="40% - 强调文字颜色 3 2 4 3 3 2" xfId="15070"/>
    <cellStyle name="链接单元格 2 3 2 2 4" xfId="15071"/>
    <cellStyle name="注释 2 2 4 4 4 2" xfId="15072"/>
    <cellStyle name="标题 5 9" xfId="15073"/>
    <cellStyle name="常规 9 2 2 3 3" xfId="15074"/>
    <cellStyle name="计算 3 3" xfId="15075"/>
    <cellStyle name="链接单元格 2 2 6 3 2" xfId="15076"/>
    <cellStyle name="40% - 强调文字颜色 2 2 3 2 4" xfId="15077"/>
    <cellStyle name="注释 2 4 4 5" xfId="15078"/>
    <cellStyle name="计算 2 2 5 4 4 2" xfId="15079"/>
    <cellStyle name="标题 5 2 2 4 2 2 3" xfId="15080"/>
    <cellStyle name="超链接 2 3 2 2 2 2" xfId="15081"/>
    <cellStyle name="常规 3 7 4 3" xfId="15082"/>
    <cellStyle name="输入 2 3 9 2" xfId="15083"/>
    <cellStyle name="好 2 2 4 3 2 2" xfId="15084"/>
    <cellStyle name="标题 3 3 2 2 3" xfId="15085"/>
    <cellStyle name="汇总 2 5 3 4 2 2" xfId="15086"/>
    <cellStyle name="计算 2 2 7 4 2 3" xfId="15087"/>
    <cellStyle name="40% - 强调文字颜色 2 2 6 2 2" xfId="15088"/>
    <cellStyle name="注释 2 7 4 3" xfId="15089"/>
    <cellStyle name="标题 5 2 2 4 2 3" xfId="15090"/>
    <cellStyle name="60% - 强调文字颜色 1 2 2 4 2" xfId="15091"/>
    <cellStyle name="解释性文本 2 3 8" xfId="15092"/>
    <cellStyle name="好 2 2 4 4 2 2" xfId="15093"/>
    <cellStyle name="输入 2 4 9 2" xfId="15094"/>
    <cellStyle name="解释性文本 2 2 4 2 2" xfId="15095"/>
    <cellStyle name="60% - 强调文字颜色 5 2 7 2 2" xfId="15096"/>
    <cellStyle name="输出 2 3 3 4 2" xfId="15097"/>
    <cellStyle name="计算 2 2 4 9 2 2" xfId="15098"/>
    <cellStyle name="强调文字颜色 5 2 2 5 3 3" xfId="15099"/>
    <cellStyle name="常规 10 2 2 2 3 2" xfId="15100"/>
    <cellStyle name="链接单元格 2 4 5 2" xfId="15101"/>
    <cellStyle name="标题 2 2 4 4 3" xfId="15102"/>
    <cellStyle name="解释性文本 2 3 7" xfId="15103"/>
    <cellStyle name="标题 5 5 2 2" xfId="15104"/>
    <cellStyle name="标题 5 2 2 4 2 2" xfId="15105"/>
    <cellStyle name="计算 2 5 2 2 4 2 2" xfId="15106"/>
    <cellStyle name="输入 2 2 5 5" xfId="15107"/>
    <cellStyle name="汇总 2 5 2 4 2 2 3" xfId="15108"/>
    <cellStyle name="标题 3 2 2 2 3 3" xfId="15109"/>
    <cellStyle name="计算 2 2 6 4 2 3 3" xfId="15110"/>
    <cellStyle name="20% - 强调文字颜色 4 2 7 2 2 2" xfId="15111"/>
    <cellStyle name="超链接 3 3 5 3" xfId="15112"/>
    <cellStyle name="输入 2 7 6 3" xfId="15113"/>
    <cellStyle name="标题 6 6" xfId="15114"/>
    <cellStyle name="汇总 6 2 2 2" xfId="15115"/>
    <cellStyle name="强调文字颜色 1 2 2 2 4 3" xfId="15116"/>
    <cellStyle name="20% - 强调文字颜色 5 2 2 3 4 3 2" xfId="15117"/>
    <cellStyle name="计算 2 7 3 2 2 2" xfId="15118"/>
    <cellStyle name="20% - 强调文字颜色 2 2 5 2 3 2" xfId="15119"/>
    <cellStyle name="汇总 2 2 3 3 6 3" xfId="15120"/>
    <cellStyle name="输出 2 2 2 2 3 2" xfId="15121"/>
    <cellStyle name="60% - 强调文字颜色 2 2 2 3 8" xfId="15122"/>
    <cellStyle name="计算 2 6 8 2" xfId="15123"/>
    <cellStyle name="注释 4 3 2 3" xfId="15124"/>
    <cellStyle name="输入 3 2 3 3" xfId="15125"/>
    <cellStyle name="输入 2 5 2 2 2 2 2 3" xfId="15126"/>
    <cellStyle name="计算 2 2 3 2 3" xfId="15127"/>
    <cellStyle name="标题 5 10" xfId="15128"/>
    <cellStyle name="40% - 强调文字颜色 2 2 2 7" xfId="15129"/>
    <cellStyle name="计算 2 6 2 2 6 2" xfId="15130"/>
    <cellStyle name="计算 2 2 7 2 4 2 2" xfId="15131"/>
    <cellStyle name="强调文字颜色 4 2 2 2 2 3 2 3" xfId="15132"/>
    <cellStyle name="标题 4 4 4 3" xfId="15133"/>
    <cellStyle name="输出 2 2 2 2 6 3" xfId="15134"/>
    <cellStyle name="计算 2 2 3 2 5" xfId="15135"/>
    <cellStyle name="60% - 强调文字颜色 1 2 2" xfId="15136"/>
    <cellStyle name="输出 2 5 2 8" xfId="15137"/>
    <cellStyle name="输入 2 2 5 2 2 3 2 2" xfId="15138"/>
    <cellStyle name="强调文字颜色 5 2 2 4 3 3" xfId="15139"/>
    <cellStyle name="60% - 强调文字颜色 3 2 2 3 5 2 2" xfId="15140"/>
    <cellStyle name="计算 2 2 4 8 2 2" xfId="15141"/>
    <cellStyle name="标题 4 4 2 3 2 3" xfId="15142"/>
    <cellStyle name="强调文字颜色 1 2 2 3 8" xfId="15143"/>
    <cellStyle name="标题 3 2 7 2 2 2" xfId="15144"/>
    <cellStyle name="注释 3 4 4" xfId="15145"/>
    <cellStyle name="汇总 2 2 5 2 2 7 2" xfId="15146"/>
    <cellStyle name="60% - 强调文字颜色 2 2 2 2 2 5" xfId="15147"/>
    <cellStyle name="计算 2 2 4 3 2 2 6" xfId="15148"/>
    <cellStyle name="标题 4 4 2 3" xfId="15149"/>
    <cellStyle name="计算 2 2 3 2 2 2 4 3" xfId="15150"/>
    <cellStyle name="标题 4 3 3 3 2 3" xfId="15151"/>
    <cellStyle name="强调文字颜色 6 2 4 5 3" xfId="15152"/>
    <cellStyle name="常规 13 4 5 2 2" xfId="15153"/>
    <cellStyle name="汇总 2 9 3 3" xfId="15154"/>
    <cellStyle name="标题 2 2 2 4 5" xfId="15155"/>
    <cellStyle name="标题 4 2 2 3 4 3" xfId="15156"/>
    <cellStyle name="强调文字颜色 5 3 2 2 4" xfId="15157"/>
    <cellStyle name="40% - 强调文字颜色 4 2 3 2 2 2 2 2 2 2" xfId="15158"/>
    <cellStyle name="标题 4 3 3 5" xfId="15159"/>
    <cellStyle name="40% - 强调文字颜色 3 2 2 2 2 2 3 2" xfId="15160"/>
    <cellStyle name="强调文字颜色 1 2 2 3 3 2 2" xfId="15161"/>
    <cellStyle name="60% - 强调文字颜色 2 2 2 7 2" xfId="15162"/>
    <cellStyle name="强调文字颜色 3 2 3 5 3" xfId="15163"/>
    <cellStyle name="计算 2 3 3 2 5 2" xfId="15164"/>
    <cellStyle name="40% - 强调文字颜色 3 2 4 3 2 2 2" xfId="15165"/>
    <cellStyle name="注释 2 2 4 4 3 2 2" xfId="15166"/>
    <cellStyle name="适中 2 2 6 3 3" xfId="15167"/>
    <cellStyle name="汇总 2 2 2 2 3 6" xfId="15168"/>
    <cellStyle name="40% - 强调文字颜色 5 2 2 3 4 2 2" xfId="15169"/>
    <cellStyle name="强调文字颜色 1 2 2 3 2 3" xfId="15170"/>
    <cellStyle name="计算 2 2 4 2 4 8" xfId="15171"/>
    <cellStyle name="输入 2 8 4 3" xfId="15172"/>
    <cellStyle name="超链接 3 4 3 3" xfId="15173"/>
    <cellStyle name="注释 2 2 6 2" xfId="15174"/>
    <cellStyle name="汇总 4 2 3 5" xfId="15175"/>
    <cellStyle name="输入 2 6 2 4 2" xfId="15176"/>
    <cellStyle name="差 3 5 2 2 2" xfId="15177"/>
    <cellStyle name="标题 4 3 2 5" xfId="15178"/>
    <cellStyle name="强调文字颜色 1 2 3 5 3" xfId="15179"/>
    <cellStyle name="输出 2 7 9" xfId="15180"/>
    <cellStyle name="注释 2 3 3 2 6" xfId="15181"/>
    <cellStyle name="标题 4 3 2 2 2 2" xfId="15182"/>
    <cellStyle name="输出 3 11" xfId="15183"/>
    <cellStyle name="强调文字颜色 2 3 2 2 4" xfId="15184"/>
    <cellStyle name="警告文本 2 4 3 2" xfId="15185"/>
    <cellStyle name="输出 2 2 2 3 2 6" xfId="15186"/>
    <cellStyle name="输入 2 2 8 8 2" xfId="15187"/>
    <cellStyle name="20% - 强调文字颜色 6 4 2 4 2" xfId="15188"/>
    <cellStyle name="汇总 2 2 7 5 3 2" xfId="15189"/>
    <cellStyle name="差 3 5 3" xfId="15190"/>
    <cellStyle name="40% - 强调文字颜色 1 3 3 3 2 2" xfId="15191"/>
    <cellStyle name="输出 2 4 2 2 2 2 2" xfId="15192"/>
    <cellStyle name="常规 9 2 3 3 2 2" xfId="15193"/>
    <cellStyle name="输出 2 9 3 3" xfId="15194"/>
    <cellStyle name="计算 2 2 3 4 3 3" xfId="15195"/>
    <cellStyle name="20% - 强调文字颜色 4 4 4" xfId="15196"/>
    <cellStyle name="注释 2 2 4 2 7 2" xfId="15197"/>
    <cellStyle name="40% - 强调文字颜色 5 2 2 2 3 2 2" xfId="15198"/>
    <cellStyle name="标题 4 2 4 3 2 3" xfId="15199"/>
    <cellStyle name="汇总 2 7 3 3 3" xfId="15200"/>
    <cellStyle name="汇总 2 3 2 3 4 2 2" xfId="15201"/>
    <cellStyle name="计算 2 2 7 2 4" xfId="15202"/>
    <cellStyle name="标题 1 2 5 2" xfId="15203"/>
    <cellStyle name="强调文字颜色 4 2 2 3 3 2" xfId="15204"/>
    <cellStyle name="输出 2 2 7 2 3 2 2" xfId="15205"/>
    <cellStyle name="标题 3 4 2 2 2 2" xfId="15206"/>
    <cellStyle name="计算 2 2 8 4 2 2 2" xfId="15207"/>
    <cellStyle name="强调文字颜色 1 2 2 2 5 2 2 2" xfId="15208"/>
    <cellStyle name="计算 2 8 2 2 2 3" xfId="15209"/>
    <cellStyle name="警告文本 2 3 2 3 2 2 2" xfId="15210"/>
    <cellStyle name="注释 2 2 3 2 3 3" xfId="15211"/>
    <cellStyle name="计算 2 2 9 6 2" xfId="15212"/>
    <cellStyle name="注释 3 2 2 7" xfId="15213"/>
    <cellStyle name="强调文字颜色 3 2 4 4 2 3" xfId="15214"/>
    <cellStyle name="计算 3 4 3 2" xfId="15215"/>
    <cellStyle name="输出 3 2 7 3" xfId="15216"/>
    <cellStyle name="输入 3 2 9" xfId="15217"/>
    <cellStyle name="好 2 2 5 2 2" xfId="15218"/>
    <cellStyle name="标题 2 2 2 2 7" xfId="15219"/>
    <cellStyle name="汇总 2 2 8 3 2 3" xfId="15220"/>
    <cellStyle name="40% - 强调文字颜色 6 2 2 2 2 4 3 2" xfId="15221"/>
    <cellStyle name="强调文字颜色 3 4 2 2 2" xfId="15222"/>
    <cellStyle name="标题 4 2 5 3" xfId="15223"/>
    <cellStyle name="计算 2 5 6 2 2" xfId="15224"/>
    <cellStyle name="常规 7 2 2 2 2 2" xfId="15225"/>
    <cellStyle name="标题 4 2 4 4 4" xfId="15226"/>
    <cellStyle name="输出 2 6 2 4 3" xfId="15227"/>
    <cellStyle name="输入 2 7 2 2 3" xfId="15228"/>
    <cellStyle name="标题 4 2 3 5 2 2" xfId="15229"/>
    <cellStyle name="标题 4 2 3 5" xfId="15230"/>
    <cellStyle name="超链接 3 5 3" xfId="15231"/>
    <cellStyle name="输入 2 9 4" xfId="15232"/>
    <cellStyle name="注释 2 2 6 5 2" xfId="15233"/>
    <cellStyle name="检查单元格 2 2 3 3" xfId="15234"/>
    <cellStyle name="汇总 2 3 3 3 2 3" xfId="15235"/>
    <cellStyle name="差 2 2 3 10" xfId="15236"/>
    <cellStyle name="常规 5 2 3 3 2 3 2" xfId="15237"/>
    <cellStyle name="链接单元格 2 3 4" xfId="15238"/>
    <cellStyle name="汇总 2 5 2 2 2 5" xfId="15239"/>
    <cellStyle name="计算 2 2 6 2 2 6" xfId="15240"/>
    <cellStyle name="输入 2 2 4 2 2 4 2" xfId="15241"/>
    <cellStyle name="标题 2 2 2 2 3 2 2 2 2" xfId="15242"/>
    <cellStyle name="适中 2 2 2 4 4" xfId="15243"/>
    <cellStyle name="标题 3 2 2 5 3 2" xfId="15244"/>
    <cellStyle name="60% - 强调文字颜色 4 4 2 3 2" xfId="15245"/>
    <cellStyle name="输入 2 5 5 4" xfId="15246"/>
    <cellStyle name="适中 2 4 3 3 3" xfId="15247"/>
    <cellStyle name="汇总 2 2 4 2 4 8" xfId="15248"/>
    <cellStyle name="差 2 3 2 2 3" xfId="15249"/>
    <cellStyle name="40% - 强调文字颜色 5 2" xfId="15250"/>
    <cellStyle name="汇总 2 2 3 2 2 2 2 3" xfId="15251"/>
    <cellStyle name="输入 2 2 6 2 2 6" xfId="15252"/>
    <cellStyle name="输出 2 3 3 2 3 2" xfId="15253"/>
    <cellStyle name="计算 4 6 2" xfId="15254"/>
    <cellStyle name="百分比 2 3 3 3" xfId="15255"/>
    <cellStyle name="标题 1 2 2 6 2 3" xfId="15256"/>
    <cellStyle name="差 3 2 3 3" xfId="15257"/>
    <cellStyle name="输入 2 3 3 5" xfId="15258"/>
    <cellStyle name="注释 2 2 16" xfId="15259"/>
    <cellStyle name="注释 2 7 2 2 4" xfId="15260"/>
    <cellStyle name="20% - 强调文字颜色 4 2 2 2 2 3 3" xfId="15261"/>
    <cellStyle name="标题 3 2 4 5 2" xfId="15262"/>
    <cellStyle name="60% - 强调文字颜色 4 6 2 2" xfId="15263"/>
    <cellStyle name="强调文字颜色 2 3 3 4" xfId="15264"/>
    <cellStyle name="标题 4 2 3 3 2" xfId="15265"/>
    <cellStyle name="汇总 2 2 4 2 4 2 4" xfId="15266"/>
    <cellStyle name="60% - 强调文字颜色 6 2 2 3 4 4" xfId="15267"/>
    <cellStyle name="输出 2 2 4 2 2 4 3" xfId="15268"/>
    <cellStyle name="汇总 2 10 3 2 2" xfId="15269"/>
    <cellStyle name="汇总 2 7 2 2" xfId="15270"/>
    <cellStyle name="常规 4 3 4 4" xfId="15271"/>
    <cellStyle name="40% - 强调文字颜色 6 2 2 2 4" xfId="15272"/>
    <cellStyle name="40% - 强调文字颜色 1 2 2 2 5 2 2" xfId="15273"/>
    <cellStyle name="强调文字颜色 6 2 2 4 2" xfId="15274"/>
    <cellStyle name="输入 2 2 2 11" xfId="15275"/>
    <cellStyle name="常规 8 4" xfId="15276"/>
    <cellStyle name="常规 4 2 4 2" xfId="15277"/>
    <cellStyle name="标题 3 2 2 3 5" xfId="15278"/>
    <cellStyle name="汇总 2 2 4 4 3 3 2" xfId="15279"/>
    <cellStyle name="输出 2 2 7 2 3 3" xfId="15280"/>
    <cellStyle name="标题 1 2 6" xfId="15281"/>
    <cellStyle name="强调文字颜色 4 2 2 3 4" xfId="15282"/>
    <cellStyle name="40% - 强调文字颜色 2 2 3 4 2 2" xfId="15283"/>
    <cellStyle name="汇总 4 4 4" xfId="15284"/>
    <cellStyle name="60% - 强调文字颜色 6 3 3 4" xfId="15285"/>
    <cellStyle name="强调文字颜色 3 2 2 2 2 3" xfId="15286"/>
    <cellStyle name="计算 2 2 4 5 2 4" xfId="15287"/>
    <cellStyle name="输入 2 9 8" xfId="15288"/>
    <cellStyle name="60% - 强调文字颜色 3 3 2 4 2 2 2" xfId="15289"/>
    <cellStyle name="超链接 2" xfId="15290"/>
    <cellStyle name="标题 6 2 5" xfId="15291"/>
    <cellStyle name="输入 2 2 6 7 3" xfId="15292"/>
    <cellStyle name="输入 2 2 5 4 2 3 2" xfId="15293"/>
    <cellStyle name="20% - 强调文字颜色 5 2 2 2 2 2 2 2 2" xfId="15294"/>
    <cellStyle name="差 6 2" xfId="15295"/>
    <cellStyle name="计算 2 3 2 2 2 2 5" xfId="15296"/>
    <cellStyle name="输入 2 2 4 2 3 2 3" xfId="15297"/>
    <cellStyle name="常规 10 2 4 2 4 2" xfId="15298"/>
    <cellStyle name="输入 4 2 2" xfId="15299"/>
    <cellStyle name="常规 4 2 4 3 4 2" xfId="15300"/>
    <cellStyle name="常规 2 2 2 2 3 2 2 2 2" xfId="15301"/>
    <cellStyle name="注释 2 2 12 2" xfId="15302"/>
    <cellStyle name="输出 3 6 2 2" xfId="15303"/>
    <cellStyle name="常规 6 3 2 2 2 3" xfId="15304"/>
    <cellStyle name="60% - 强调文字颜色 3 2 2 2 2 5 2 2" xfId="15305"/>
    <cellStyle name="注释 3 2 8 2" xfId="15306"/>
    <cellStyle name="60% - 强调文字颜色 1 5 2 2 2" xfId="15307"/>
    <cellStyle name="20% - 强调文字颜色 3 2 3 2 2 2" xfId="15308"/>
    <cellStyle name="60% - 强调文字颜色 1 2 2 3 4 2 2 2" xfId="15309"/>
    <cellStyle name="计算 2 5 5 3 2 2" xfId="15310"/>
    <cellStyle name="20% - 强调文字颜色 2 2 2 2 2 4" xfId="15311"/>
    <cellStyle name="汇总 2 4 2 2 2 7" xfId="15312"/>
    <cellStyle name="常规 8 2 2 5 2 2" xfId="15313"/>
    <cellStyle name="注释 2 2 5" xfId="15314"/>
    <cellStyle name="输入 2 6 2 3" xfId="15315"/>
    <cellStyle name="20% - 强调文字颜色 5 2 2 4 3 3" xfId="15316"/>
    <cellStyle name="强调文字颜色 1 2 3 3 2 2 2" xfId="15317"/>
    <cellStyle name="标题 2 4 3" xfId="15318"/>
    <cellStyle name="强调文字颜色 5 2 2 3 5 2 2" xfId="15319"/>
    <cellStyle name="计算 2 8 3 2 7" xfId="15320"/>
    <cellStyle name="输入 2 2 2 2 3 4" xfId="15321"/>
    <cellStyle name="计算 2 9 2 4" xfId="15322"/>
    <cellStyle name="标题 5 2 4 4 2" xfId="15323"/>
    <cellStyle name="40% - 强调文字颜色 6 2 3 2 2 2 2 2 2 2" xfId="15324"/>
    <cellStyle name="Normal 2 2 3" xfId="15325"/>
    <cellStyle name="20% - 强调文字颜色 3 2 3 2 2 4 3" xfId="15326"/>
    <cellStyle name="标题 7 5 2" xfId="15327"/>
    <cellStyle name="汇总 2 2 5 2 12" xfId="15328"/>
    <cellStyle name="差 2 2 7 3" xfId="15329"/>
    <cellStyle name="强调文字颜色 5 3 2 3 2" xfId="15330"/>
    <cellStyle name="检查单元格 3" xfId="15331"/>
    <cellStyle name="计算 2 7 2" xfId="15332"/>
    <cellStyle name="标题 4 3 4 2 3" xfId="15333"/>
    <cellStyle name="20% - 强调文字颜色 3 3 2 4 2 2 2" xfId="15334"/>
    <cellStyle name="汇总 2 6 3 6 2 2" xfId="15335"/>
    <cellStyle name="输出 2 2 6 10" xfId="15336"/>
    <cellStyle name="60% - 强调文字颜色 2 2 2 2 2 2 3" xfId="15337"/>
    <cellStyle name="注释 2 6 2" xfId="15338"/>
    <cellStyle name="汇总 2 2 7 8 3" xfId="15339"/>
    <cellStyle name="输出 2 2 5 3 2 5" xfId="15340"/>
    <cellStyle name="解释性文本 2 3 4" xfId="15341"/>
    <cellStyle name="汇总 2 2 4 2 3 7 2" xfId="15342"/>
    <cellStyle name="60% - 强调文字颜色 5 3 7" xfId="15343"/>
    <cellStyle name="差 2 3 2 2 2 2 2 3" xfId="15344"/>
    <cellStyle name="常规 8 2 2 4 2 2" xfId="15345"/>
    <cellStyle name="计算 2 5 5 2 2 2" xfId="15346"/>
    <cellStyle name="输入 2 5 2 3" xfId="15347"/>
    <cellStyle name="40% - 强调文字颜色 5 2 2 2 2 2 2 3" xfId="15348"/>
    <cellStyle name="强调文字颜色 5 2 5 3 3" xfId="15349"/>
    <cellStyle name="标题 4 2 2 4 2 4" xfId="15350"/>
    <cellStyle name="标题 5 2 3 4 2 2" xfId="15351"/>
    <cellStyle name="标题 4 2 2 3 4" xfId="15352"/>
    <cellStyle name="汇总 2 6 2 4 3 3" xfId="15353"/>
    <cellStyle name="输出 2 3 8 2 2" xfId="15354"/>
    <cellStyle name="常规 2 2 6 2 2" xfId="15355"/>
    <cellStyle name="强调文字颜色 3 3 7" xfId="15356"/>
    <cellStyle name="汇总 2 2 4 2 3 2 6" xfId="15357"/>
    <cellStyle name="计算 3 2 2 3 5" xfId="15358"/>
    <cellStyle name="标题 2 4 2 2 2 2 2" xfId="15359"/>
    <cellStyle name="超链接 2 2 2 2 3" xfId="15360"/>
    <cellStyle name="注释 2 5 2 2 2 4" xfId="15361"/>
    <cellStyle name="强调文字颜色 3 2 2 3 3 2 2" xfId="15362"/>
    <cellStyle name="差 2 2 6 2" xfId="15363"/>
    <cellStyle name="输出 2 5 2 3 2 3" xfId="15364"/>
    <cellStyle name="汇总 2 5 2 3 3 3 2" xfId="15365"/>
    <cellStyle name="汇总 2 5 2 4 7" xfId="15366"/>
    <cellStyle name="注释 4 2 5 2 2" xfId="15367"/>
    <cellStyle name="注释 2 5 2 6" xfId="15368"/>
    <cellStyle name="计算 2 2 2 2 3 2" xfId="15369"/>
    <cellStyle name="常规 5 2 2 4 4 2 2" xfId="15370"/>
    <cellStyle name="常规 3 2 7" xfId="15371"/>
    <cellStyle name="输出 3 3 9" xfId="15372"/>
    <cellStyle name="40% - 强调文字颜色 6 2 6 3 2 2" xfId="15373"/>
    <cellStyle name="60% - 强调文字颜色 6 2 3 2 5" xfId="15374"/>
    <cellStyle name="汇总 2 2 4 3 3 3" xfId="15375"/>
    <cellStyle name="计算 2 6 2 2 2 3 2 2" xfId="15376"/>
    <cellStyle name="输出 2 4 3 2 2 3 2" xfId="15377"/>
    <cellStyle name="计算 2 2 5 4 2 4 2 2" xfId="15378"/>
    <cellStyle name="汇总 2 2 4 2 3 2 4" xfId="15379"/>
    <cellStyle name="计算 2 2 4 4 2 7" xfId="15380"/>
    <cellStyle name="60% - 强调文字颜色 6 2 2 2 4 4" xfId="15381"/>
    <cellStyle name="标题 4 2 2 3 2" xfId="15382"/>
    <cellStyle name="强调文字颜色 3 3 5" xfId="15383"/>
    <cellStyle name="20% - 强调文字颜色 5 2 2 2 2 2 3" xfId="15384"/>
    <cellStyle name="标题 2 2 4 6 2" xfId="15385"/>
    <cellStyle name="输出 2 2 3 2 3 6 2" xfId="15386"/>
    <cellStyle name="输出 2 2 2 2 2 5" xfId="15387"/>
    <cellStyle name="标题 4 2 2 2 8" xfId="15388"/>
    <cellStyle name="标题 4 2 2 2 6 2 3" xfId="15389"/>
    <cellStyle name="标题 3 4 2 3 2" xfId="15390"/>
    <cellStyle name="计算 2 2 8 4 3 2" xfId="15391"/>
    <cellStyle name="标题 4 2 2 2 5 2 2" xfId="15392"/>
    <cellStyle name="解释性文本 2 10" xfId="15393"/>
    <cellStyle name="常规 6 6 2 2 2" xfId="15394"/>
    <cellStyle name="强调文字颜色 1 2 2 5 3" xfId="15395"/>
    <cellStyle name="40% - 强调文字颜色 4 2 8" xfId="15396"/>
    <cellStyle name="40% - 强调文字颜色 6 2 2 3 5 2 2" xfId="15397"/>
    <cellStyle name="汇总 2 7 3 3 2 2" xfId="15398"/>
    <cellStyle name="标题 4 2 2 5 3 2" xfId="15399"/>
    <cellStyle name="输入 2 2 9 5" xfId="15400"/>
    <cellStyle name="强调文字颜色 6 2 2 5 3 2 2" xfId="15401"/>
    <cellStyle name="计算 2 2 7 2 3 2" xfId="15402"/>
    <cellStyle name="输入 2 7 12" xfId="15403"/>
    <cellStyle name="汇总 2 2 2 4 2 2 2 2" xfId="15404"/>
    <cellStyle name="输出 2 4 4 2 6" xfId="15405"/>
    <cellStyle name="常规 2 2 2 2 2 3 2" xfId="15406"/>
    <cellStyle name="计算 2 2 4 5 2 4 2 2" xfId="15407"/>
    <cellStyle name="汇总 2 2 6 3 4 3" xfId="15408"/>
    <cellStyle name="输出 2 4 8" xfId="15409"/>
    <cellStyle name="强调文字颜色 1 2 3 2 2" xfId="15410"/>
    <cellStyle name="常规 2 3 6" xfId="15411"/>
    <cellStyle name="输入 2 2 3 2 4 2" xfId="15412"/>
    <cellStyle name="输出 2 2 5 4 3 2" xfId="15413"/>
    <cellStyle name="标题 4 2 2 3 3 2 3" xfId="15414"/>
    <cellStyle name="汇总 2 2 3 3 3 5" xfId="15415"/>
    <cellStyle name="注释 2 2 4 4 2" xfId="15416"/>
    <cellStyle name="40% - 强调文字颜色 5 2 2 2 2 4 3 2 2" xfId="15417"/>
    <cellStyle name="标题 5 3 4 4" xfId="15418"/>
    <cellStyle name="汇总 2 2 6 16" xfId="15419"/>
    <cellStyle name="常规 6 3 2 2 2" xfId="15420"/>
    <cellStyle name="常规 6 2 3 2 2" xfId="15421"/>
    <cellStyle name="输入 2 2 5 4 3 3" xfId="15422"/>
    <cellStyle name="汇总 2 2 3 5" xfId="15423"/>
    <cellStyle name="输入 2 4 2 4 2" xfId="15424"/>
    <cellStyle name="差 3 3 2 2 2" xfId="15425"/>
    <cellStyle name="计算 3 3 2 4 2 2" xfId="15426"/>
    <cellStyle name="强调文字颜色 4 4 3 2" xfId="15427"/>
    <cellStyle name="输入 2 4 2 6" xfId="15428"/>
    <cellStyle name="40% - 强调文字颜色 2 2 2 4" xfId="15429"/>
    <cellStyle name="计算 2 6 9 3" xfId="15430"/>
    <cellStyle name="常规 6 2 3 5 2 2" xfId="15431"/>
    <cellStyle name="输出 2 2 2 2 4 3" xfId="15432"/>
    <cellStyle name="输出 2 4 2 6 2 2" xfId="15433"/>
    <cellStyle name="强调文字颜色 6 2 3" xfId="15434"/>
    <cellStyle name="计算 2 2 2 2 2 2 6 2" xfId="15435"/>
    <cellStyle name="汇总 2 2 7 5 2 2" xfId="15436"/>
    <cellStyle name="20% - 强调文字颜色 6 4 2 3 2" xfId="15437"/>
    <cellStyle name="注释 2 2 9 4" xfId="15438"/>
    <cellStyle name="20% - 强调文字颜色 5 2 2 2 2 5 2" xfId="15439"/>
    <cellStyle name="常规 8 2 5 2 2" xfId="15440"/>
    <cellStyle name="输入 2 2 5 3 7" xfId="15441"/>
    <cellStyle name="标题 1 2 2 2 3 2 3" xfId="15442"/>
    <cellStyle name="检查单元格 2 2 2 2 3 2 2 2" xfId="15443"/>
    <cellStyle name="强调文字颜色 3 2 2 6 2 2 2" xfId="15444"/>
    <cellStyle name="计算 2 2 4 2 3 8" xfId="15445"/>
    <cellStyle name="计算 2 5 2 3 3 4 2" xfId="15446"/>
    <cellStyle name="20% - 强调文字颜色 5 2 7 2 2 2" xfId="15447"/>
    <cellStyle name="常规 9 2 2 5 3" xfId="15448"/>
    <cellStyle name="汇总 2 2 3 4 7" xfId="15449"/>
    <cellStyle name="强调文字颜色 5 2 2 3 2 2 2 2 2" xfId="15450"/>
    <cellStyle name="强调文字颜色 1 2 4 3 2 2" xfId="15451"/>
    <cellStyle name="常规 10 2 2 3 3" xfId="15452"/>
    <cellStyle name="强调文字颜色 6 2 2 2 2 4 2 3" xfId="15453"/>
    <cellStyle name="注释 2 3 3 3 3" xfId="15454"/>
    <cellStyle name="40% - 强调文字颜色 3 3 3 2 2" xfId="15455"/>
    <cellStyle name="适中 2 2 2 2 3 2 2 2" xfId="15456"/>
    <cellStyle name="汇总 2 2 4 2 2 6" xfId="15457"/>
    <cellStyle name="汇总 2 5 2 8" xfId="15458"/>
    <cellStyle name="差 3 2 4 2 2 2" xfId="15459"/>
    <cellStyle name="输入 2 3 4 4 2 2" xfId="15460"/>
    <cellStyle name="标题 3 2 2 3 2 2 2 2" xfId="15461"/>
    <cellStyle name="标题 4 2 2 3 3 2 2 2" xfId="15462"/>
    <cellStyle name="计算 4 2 5" xfId="15463"/>
    <cellStyle name="注释 2 2 4 10" xfId="15464"/>
    <cellStyle name="输出 2 6 7 2" xfId="15465"/>
    <cellStyle name="汇总 3 8" xfId="15466"/>
    <cellStyle name="输入 2 2 4 2 9 2 2" xfId="15467"/>
    <cellStyle name="40% - 强调文字颜色 2 2 8 2" xfId="15468"/>
    <cellStyle name="40% - 强调文字颜色 6 2 2 3 3 2 2 2" xfId="15469"/>
    <cellStyle name="标题 4 2 2 3 3 2 2" xfId="15470"/>
    <cellStyle name="标题 5 2 3 8" xfId="15471"/>
    <cellStyle name="输入 2 2 15 3" xfId="15472"/>
    <cellStyle name="常规 10 2 2 8" xfId="15473"/>
    <cellStyle name="百分比 2 5" xfId="15474"/>
    <cellStyle name="警告文本 2 2 2 5 2 3" xfId="15475"/>
    <cellStyle name="链接单元格 2 2 2 2 2 2 2 2" xfId="15476"/>
    <cellStyle name="常规 10 2 2 2 2 4 2" xfId="15477"/>
    <cellStyle name="强调文字颜色 5 2 2 4 3 2" xfId="15478"/>
    <cellStyle name="注释 4 2 3" xfId="15479"/>
    <cellStyle name="40% - 强调文字颜色 5 2 3 2 2 3 3 2 2" xfId="15480"/>
    <cellStyle name="常规 5 2 2 4 2" xfId="15481"/>
    <cellStyle name="强调文字颜色 1 2 4 5" xfId="15482"/>
    <cellStyle name="60% - 强调文字颜色 4 2 3 3 5" xfId="15483"/>
    <cellStyle name="60% - 强调文字颜色 1 2 4 4" xfId="15484"/>
    <cellStyle name="标题 4 2 2 2 2 5 3" xfId="15485"/>
    <cellStyle name="40% - 强调文字颜色 2 3 5 2" xfId="15486"/>
    <cellStyle name="好 2 3 4 2" xfId="15487"/>
    <cellStyle name="标题 1 3 4 2 3" xfId="15488"/>
    <cellStyle name="汇总 2 3 3 6 2 2" xfId="15489"/>
    <cellStyle name="强调文字颜色 4 2 2 4 2 2 3" xfId="15490"/>
    <cellStyle name="计算 2 4 13" xfId="15491"/>
    <cellStyle name="20% - 强调文字颜色 1 3 5" xfId="15492"/>
    <cellStyle name="标题 4 2 7 2" xfId="15493"/>
    <cellStyle name="强调文字颜色 2 2 2 2 5" xfId="15494"/>
    <cellStyle name="40% - 强调文字颜色 2 3 4 2" xfId="15495"/>
    <cellStyle name="标题 4 2 2 2 2 4 3" xfId="15496"/>
    <cellStyle name="标题 5 2 3 2 2 2 3" xfId="15497"/>
    <cellStyle name="输出 2 2 3 2 8 2 2" xfId="15498"/>
    <cellStyle name="常规 6 3 2 2 5 2 2" xfId="15499"/>
    <cellStyle name="强调文字颜色 1 2 2 2 2 2 3 2" xfId="15500"/>
    <cellStyle name="标题 1 2 10" xfId="15501"/>
    <cellStyle name="20% - 强调文字颜色 2 2 3 2 3 3 2" xfId="15502"/>
    <cellStyle name="检查单元格 4 2 3" xfId="15503"/>
    <cellStyle name="计算 2 3 13" xfId="15504"/>
    <cellStyle name="标题 4 2 2 2" xfId="15505"/>
    <cellStyle name="20% - 强调文字颜色 4 2 2 2 5 2" xfId="15506"/>
    <cellStyle name="计算 3 2 4 3 2" xfId="15507"/>
    <cellStyle name="常规 5 2 2 3 2" xfId="15508"/>
    <cellStyle name="强调文字颜色 6 2 2 3 2 2 2 2" xfId="15509"/>
    <cellStyle name="常规 14 3 2" xfId="15510"/>
    <cellStyle name="40% - 强调文字颜色 5 2 2 3 5 2 2" xfId="15511"/>
    <cellStyle name="计算 2 2 4 5 2" xfId="15512"/>
    <cellStyle name="60% - 强调文字颜色 3 2 2 3 2 2" xfId="15513"/>
    <cellStyle name="计算 2 2 2 2 3 5 2" xfId="15514"/>
    <cellStyle name="计算 2 2 6 4 2" xfId="15515"/>
    <cellStyle name="标题 3 2 2 2" xfId="15516"/>
    <cellStyle name="汇总 2 6 4 6 2" xfId="15517"/>
    <cellStyle name="解释性文本 2 3 2 4 4" xfId="15518"/>
    <cellStyle name="20% - 强调文字颜色 5 2 2 6 2" xfId="15519"/>
    <cellStyle name="标题 4 3" xfId="15520"/>
    <cellStyle name="标题 2 2 3 3 3" xfId="15521"/>
    <cellStyle name="标题 3 4 4 3" xfId="15522"/>
    <cellStyle name="计算 2 2 8 6 3" xfId="15523"/>
    <cellStyle name="20% - 强调文字颜色 2 2 4 3 3" xfId="15524"/>
    <cellStyle name="常规 10 2 2 2 2 2 2" xfId="15525"/>
    <cellStyle name="链接单元格 2 4 4 2 2" xfId="15526"/>
    <cellStyle name="强调文字颜色 1 2 2 6" xfId="15527"/>
    <cellStyle name="40% - 强调文字颜色 2 4 2 3 2" xfId="15528"/>
    <cellStyle name="常规 2 2 2 4 3" xfId="15529"/>
    <cellStyle name="输出 2 3 4 4 3" xfId="15530"/>
    <cellStyle name="输入 2 3 2 2 4" xfId="15531"/>
    <cellStyle name="解释性文本 2 2 5 2 3" xfId="15532"/>
    <cellStyle name="强调文字颜色 1 3" xfId="15533"/>
    <cellStyle name="注释 2 3 4" xfId="15534"/>
    <cellStyle name="计算 2 2 2 3 3 3 2" xfId="15535"/>
    <cellStyle name="注释 2 4 2 2 2 2 3 2" xfId="15536"/>
    <cellStyle name="注释 2 2 4 2 3 6" xfId="15537"/>
    <cellStyle name="常规 2 3 2 2 2 2" xfId="15538"/>
    <cellStyle name="输出 2 4 4 2 2 2" xfId="15539"/>
    <cellStyle name="常规 9 4 3 3 2" xfId="15540"/>
    <cellStyle name="标题 1 3 2 5 2" xfId="15541"/>
    <cellStyle name="强调文字颜色 2 2 2 2 4 3 2 2" xfId="15542"/>
    <cellStyle name="标题 3 2 2 4 4 3" xfId="15543"/>
    <cellStyle name="强调文字颜色 1 2 4 3 2 2 2" xfId="15544"/>
    <cellStyle name="输出 2 2 2 2 2 7" xfId="15545"/>
    <cellStyle name="警告文本 2 3 3 3" xfId="15546"/>
    <cellStyle name="计算 2 4 2 2 2 4 3" xfId="15547"/>
    <cellStyle name="输入 5 4 2" xfId="15548"/>
    <cellStyle name="60% - 强调文字颜色 4 2 4 3 3" xfId="15549"/>
    <cellStyle name="标题 3 2 3 2 3 3 2" xfId="15550"/>
    <cellStyle name="40% - 强调文字颜色 2 2 2 6 2 2 2" xfId="15551"/>
    <cellStyle name="差 2 2 4 2 2 3" xfId="15552"/>
    <cellStyle name="60% - 强调文字颜色 4 2 2 2 5 2" xfId="15553"/>
    <cellStyle name="差 3 2 3" xfId="15554"/>
    <cellStyle name="60% - 强调文字颜色 2 2 2 2 2" xfId="15555"/>
    <cellStyle name="计算 2 2 4 2 5 2 2" xfId="15556"/>
    <cellStyle name="计算 2 10 2 2" xfId="15557"/>
    <cellStyle name="计算 2 2 2 2 2 2 2 2" xfId="15558"/>
    <cellStyle name="常规 2 2 2 2 2 5" xfId="15559"/>
    <cellStyle name="汇总 2 6 3 2 5 2" xfId="15560"/>
    <cellStyle name="输入 2 4 4 2 2" xfId="15561"/>
    <cellStyle name="20% - 强调文字颜色 2 5 2 2 2" xfId="15562"/>
    <cellStyle name="强调文字颜色 2 2 3 4 2 2 2" xfId="15563"/>
    <cellStyle name="计算 2 2 6 4 2 2" xfId="15564"/>
    <cellStyle name="标题 3 2 2 2 2" xfId="15565"/>
    <cellStyle name="60% - 强调文字颜色 4 2 2 2 4 3" xfId="15566"/>
    <cellStyle name="计算 2 2 7 7 3" xfId="15567"/>
    <cellStyle name="标题 3 3 5 3" xfId="15568"/>
    <cellStyle name="输入 2 10 2 4" xfId="15569"/>
    <cellStyle name="Normal 2 2 2 2 2" xfId="15570"/>
    <cellStyle name="20% - 强调文字颜色 6 2 5 5 2 2" xfId="15571"/>
    <cellStyle name="20% - 强调文字颜色 3 2 3 2 2 4 2 2 2" xfId="15572"/>
    <cellStyle name="注释 2 2 5 12" xfId="15573"/>
    <cellStyle name="常规 4 2 3 2 4 3" xfId="15574"/>
    <cellStyle name="警告文本 2 2 3 3 2" xfId="15575"/>
    <cellStyle name="计算 2 2 4 2 4 2 2 2" xfId="15576"/>
    <cellStyle name="计算 2 2 7 5 4 2" xfId="15577"/>
    <cellStyle name="标题 3 3 3 4 2" xfId="15578"/>
    <cellStyle name="强调文字颜色 3 2 2 4" xfId="15579"/>
    <cellStyle name="汇总 2 2 4 6 2 2" xfId="15580"/>
    <cellStyle name="注释 3 2 2 2 2 2 2" xfId="15581"/>
    <cellStyle name="强调文字颜色 6 2 2 2 4 4" xfId="15582"/>
    <cellStyle name="20% - 强调文字颜色 1 2 5 5 2" xfId="15583"/>
    <cellStyle name="强调文字颜色 5 2 2 5 2 3" xfId="15584"/>
    <cellStyle name="常规 10 2 2 2 3 3 3" xfId="15585"/>
    <cellStyle name="强调文字颜色 6 4" xfId="15586"/>
    <cellStyle name="注释 2 8 5" xfId="15587"/>
    <cellStyle name="输入 2 6 8 3" xfId="15588"/>
    <cellStyle name="输入 3 6 2 2" xfId="15589"/>
    <cellStyle name="20% - 强调文字颜色 2 2 2 2 2 2 4 3 2" xfId="15590"/>
    <cellStyle name="强调文字颜色 6 3 8" xfId="15591"/>
    <cellStyle name="40% - 强调文字颜色 4 2 3 4 2 2 2" xfId="15592"/>
    <cellStyle name="计算 3 2 2 2 2 2 2" xfId="15593"/>
    <cellStyle name="汇总 4 2 6 2 2" xfId="15594"/>
    <cellStyle name="链接单元格 2 2 3 8" xfId="15595"/>
    <cellStyle name="40% - 强调文字颜色 3 3 3 2" xfId="15596"/>
    <cellStyle name="适中 2 2 2 2 3 2 2" xfId="15597"/>
    <cellStyle name="检查单元格 2 2 7 2" xfId="15598"/>
    <cellStyle name="注释 2 2 8 4 2" xfId="15599"/>
    <cellStyle name="检查单元格 2 4 2 3" xfId="15600"/>
    <cellStyle name="40% - 强调文字颜色 4 2 2 2 2 3 2 2 2" xfId="15601"/>
    <cellStyle name="输入 5 2 2 3" xfId="15602"/>
    <cellStyle name="20% - 强调文字颜色 1 4" xfId="15603"/>
    <cellStyle name="20% - 强调文字颜色 6 2 3 2 2 2 2 2" xfId="15604"/>
    <cellStyle name="强调文字颜色 2 2 2 3" xfId="15605"/>
    <cellStyle name="20% - 强调文字颜色 5 2 2 2 2 4 2 2" xfId="15606"/>
    <cellStyle name="输出 3 2 2 3 3" xfId="15607"/>
    <cellStyle name="计算 2 3 2 4 3 2 2" xfId="15608"/>
    <cellStyle name="注释 2 2 4 2 2 8" xfId="15609"/>
    <cellStyle name="输入 2 5 2 3 2 2 2 2" xfId="15610"/>
    <cellStyle name="40% - 强调文字颜色 2 2 4 2 2 2 2 2" xfId="15611"/>
    <cellStyle name="超链接 3 2 4 2 2" xfId="15612"/>
    <cellStyle name="输入 2 6 5 2 2" xfId="15613"/>
    <cellStyle name="注释 2 5 4 2" xfId="15614"/>
    <cellStyle name="标题 2 3 2 3 2" xfId="15615"/>
    <cellStyle name="标题 3 3 2 4 2 3" xfId="15616"/>
    <cellStyle name="标题 3 3 2 2 5" xfId="15617"/>
    <cellStyle name="汇总 2 2 4 5 3 2 2" xfId="15618"/>
    <cellStyle name="注释 2 7 4 5" xfId="15619"/>
    <cellStyle name="强调文字颜色 6 3 2 3 2" xfId="15620"/>
    <cellStyle name="20% - 强调文字颜色 1 3 2 2 3" xfId="15621"/>
    <cellStyle name="强调文字颜色 2 2 2 2 2 2 3" xfId="15622"/>
    <cellStyle name="检查单元格 2 2 2 3 2" xfId="15623"/>
    <cellStyle name="注释 2 2 6 4 2 2" xfId="15624"/>
    <cellStyle name="汇总 2 9 2" xfId="15625"/>
    <cellStyle name="常规 7 3 4 3 2" xfId="15626"/>
    <cellStyle name="输出 2 2 3 3 2 2" xfId="15627"/>
    <cellStyle name="计算 2 2 6 9 3" xfId="15628"/>
    <cellStyle name="标题 3 2 7 3" xfId="15629"/>
    <cellStyle name="计算 2 2 8 6 2 2" xfId="15630"/>
    <cellStyle name="标题 3 4 4 2 2" xfId="15631"/>
    <cellStyle name="汇总 2 4 2 2 2 3 2" xfId="15632"/>
    <cellStyle name="60% - 强调文字颜色 5 2 2 2 7" xfId="15633"/>
    <cellStyle name="汇总 2 2 3 4 2 5 2" xfId="15634"/>
    <cellStyle name="注释 2 2 5 3 2 2" xfId="15635"/>
    <cellStyle name="输入 2 5 7" xfId="15636"/>
    <cellStyle name="强调文字颜色 5 3" xfId="15637"/>
    <cellStyle name="计算 2 4 4 2 2 3" xfId="15638"/>
    <cellStyle name="输出 2 2 2 4 2" xfId="15639"/>
    <cellStyle name="计算 2 8 7" xfId="15640"/>
    <cellStyle name="输入 2 2 4 2 7 3" xfId="15641"/>
    <cellStyle name="20% - 强调文字颜色 2 2 9 2" xfId="15642"/>
    <cellStyle name="60% - 强调文字颜色 6 2 3 2 4 4" xfId="15643"/>
    <cellStyle name="输出 2 7 6 2" xfId="15644"/>
    <cellStyle name="60% - 强调文字颜色 5 3 5 2 2" xfId="15645"/>
    <cellStyle name="解释性文本 2 3 2 2 2" xfId="15646"/>
    <cellStyle name="40% - 强调文字颜色 1 2 5 3" xfId="15647"/>
    <cellStyle name="输入 2 2 2 3 3 3" xfId="15648"/>
    <cellStyle name="强调文字颜色 4 3 3 2" xfId="15649"/>
    <cellStyle name="输入 2 3 2 6" xfId="15650"/>
    <cellStyle name="差 3 2 2 4" xfId="15651"/>
    <cellStyle name="常规 12 3 2 3 3" xfId="15652"/>
    <cellStyle name="计算 2 4 3 2 8" xfId="15653"/>
    <cellStyle name="差 2 2 4 2 2" xfId="15654"/>
    <cellStyle name="汇总 2 5 2 2 7 2" xfId="15655"/>
    <cellStyle name="60% - 强调文字颜色 4 2 4 3" xfId="15656"/>
    <cellStyle name="20% - 强调文字颜色 6 2 2 2 2 2" xfId="15657"/>
    <cellStyle name="汇总 2 3 2 2 9" xfId="15658"/>
    <cellStyle name="强调文字颜色 1 3 5 2" xfId="15659"/>
    <cellStyle name="输出 2 2 2 2 12" xfId="15660"/>
    <cellStyle name="20% - 强调文字颜色 2 2 3 2 2 2 2 2 2" xfId="15661"/>
    <cellStyle name="60% - 强调文字颜色 6 2 3 4 3 3" xfId="15662"/>
    <cellStyle name="输出 2 2 3 2 3 9" xfId="15663"/>
    <cellStyle name="适中 2 4 2 2" xfId="15664"/>
    <cellStyle name="输入 3 5 2 2" xfId="15665"/>
    <cellStyle name="计算 2 6 2 2 5 3" xfId="15666"/>
    <cellStyle name="汇总 2 2 4 2 3 5 2 2" xfId="15667"/>
    <cellStyle name="输出 2 2 3 4" xfId="15668"/>
    <cellStyle name="注释 2 2 3 3 2 2 4" xfId="15669"/>
    <cellStyle name="注释 2 2 5 4 2" xfId="15670"/>
    <cellStyle name="输出 2 7 3" xfId="15671"/>
    <cellStyle name="汇总 2 2 4 4 5 2" xfId="15672"/>
    <cellStyle name="计算 2 7 3 5 2 2" xfId="15673"/>
    <cellStyle name="60% - 强调文字颜色 6 2 4 4 4" xfId="15674"/>
    <cellStyle name="20% - 强调文字颜色 2 2 2 3 3" xfId="15675"/>
    <cellStyle name="计算 2 6 2 13" xfId="15676"/>
    <cellStyle name="40% - 强调文字颜色 6 2 3 3 3 2" xfId="15677"/>
    <cellStyle name="常规 10 3 2 2 4 2" xfId="15678"/>
    <cellStyle name="百分比 2 2 4 3 3" xfId="15679"/>
    <cellStyle name="标题 6 2 2 2 2 2 2" xfId="15680"/>
    <cellStyle name="解释性文本 2 3" xfId="15681"/>
    <cellStyle name="标题 3 2 4 5 3" xfId="15682"/>
    <cellStyle name="注释 2 7 2 2 5" xfId="15683"/>
    <cellStyle name="输出 2 2 3 5 6" xfId="15684"/>
    <cellStyle name="20% - 强调文字颜色 2 2 2 4 3 3 2" xfId="15685"/>
    <cellStyle name="40% - 强调文字颜色 4 2 3" xfId="15686"/>
    <cellStyle name="适中 2 2 2 3 2 2" xfId="15687"/>
    <cellStyle name="汇总 4 3 5 2" xfId="15688"/>
    <cellStyle name="计算 2 6 2 2 2 3" xfId="15689"/>
    <cellStyle name="60% - 强调文字颜色 4 2 5 2 2 2" xfId="15690"/>
    <cellStyle name="计算 2 4 3 9" xfId="15691"/>
    <cellStyle name="60% - 强调文字颜色 2 3 3 3 2 2 2" xfId="15692"/>
    <cellStyle name="输入 2 2 5 4 5" xfId="15693"/>
    <cellStyle name="20% - 强调文字颜色 5 4 3" xfId="15694"/>
    <cellStyle name="强调文字颜色 2 2 6 3 3" xfId="15695"/>
    <cellStyle name="60% - 强调文字颜色 3 2 2 2 2 3 2" xfId="15696"/>
    <cellStyle name="40% - 强调文字颜色 5 3 3 2 2 2 2" xfId="15697"/>
    <cellStyle name="标题 5 3 4 2 2 3" xfId="15698"/>
    <cellStyle name="常规 13 7 3" xfId="15699"/>
    <cellStyle name="20% - 强调文字颜色 5 2 4 5 2" xfId="15700"/>
    <cellStyle name="注释 2 2 2 2 8" xfId="15701"/>
    <cellStyle name="好 2 2 7 2" xfId="15702"/>
    <cellStyle name="注释 2 7 3 2 5" xfId="15703"/>
    <cellStyle name="好 2 2 3 3 2 2 2" xfId="15704"/>
    <cellStyle name="标题 5 6 2 2 2" xfId="15705"/>
    <cellStyle name="汇总 2 2 8 2 4 2 2" xfId="15706"/>
    <cellStyle name="强调文字颜色 4 2 2 2 2 2 4" xfId="15707"/>
    <cellStyle name="40% - 强调文字颜色 5 2 2 4 5 2" xfId="15708"/>
    <cellStyle name="计算 2 2 4 2 4 2 5" xfId="15709"/>
    <cellStyle name="汇总 2 3 3 4 3" xfId="15710"/>
    <cellStyle name="标题 5 2 7 3" xfId="15711"/>
    <cellStyle name="警告文本 2 4 3 4" xfId="15712"/>
    <cellStyle name="40% - 强调文字颜色 5 3 9" xfId="15713"/>
    <cellStyle name="标题 5 3 2 3 4" xfId="15714"/>
    <cellStyle name="好 2 4 9" xfId="15715"/>
    <cellStyle name="强调文字颜色 1 2 4 2 2 2 2" xfId="15716"/>
    <cellStyle name="常规 3 3 6 2 2" xfId="15717"/>
    <cellStyle name="计算 2 6 4 2 2 3" xfId="15718"/>
    <cellStyle name="常规 11 3 3" xfId="15719"/>
    <cellStyle name="计算 2 2 2 3 4" xfId="15720"/>
    <cellStyle name="汇总 2 2 9 4 2" xfId="15721"/>
    <cellStyle name="注释 2 4 2 2 2 3" xfId="15722"/>
    <cellStyle name="注释 4 2 6 3" xfId="15723"/>
    <cellStyle name="20% - 强调文字颜色 2 2 2 4 5 2" xfId="15724"/>
    <cellStyle name="60% - 强调文字颜色 6 3 2 4 2 2 2" xfId="15725"/>
    <cellStyle name="标题 5 2 4 2 3 3" xfId="15726"/>
    <cellStyle name="40% - 强调文字颜色 4 2 3 6 2 2" xfId="15727"/>
    <cellStyle name="标题 3 2 2 2 3 7" xfId="15728"/>
    <cellStyle name="输入 2 2 5 9" xfId="15729"/>
    <cellStyle name="差 2 2 9" xfId="15730"/>
    <cellStyle name="常规 10 2 3 2 3" xfId="15731"/>
    <cellStyle name="标题 3 2 2 2 2 2 3 3" xfId="15732"/>
    <cellStyle name="60% - 强调文字颜色 3 2 3 2 4 3" xfId="15733"/>
    <cellStyle name="输入 2 2 4 4 3 3" xfId="15734"/>
    <cellStyle name="60% - 强调文字颜色 2 6" xfId="15735"/>
    <cellStyle name="计算 6" xfId="15736"/>
    <cellStyle name="60% - 强调文字颜色 6 2 2 4 2 3 2" xfId="15737"/>
    <cellStyle name="好 5 2 2 2 2" xfId="15738"/>
    <cellStyle name="适中 2 10" xfId="15739"/>
    <cellStyle name="计算 2 2 4 4 2 6" xfId="15740"/>
    <cellStyle name="60% - 强调文字颜色 6 2 2 2 4 3" xfId="15741"/>
    <cellStyle name="汇总 2 3 6 3 2 2" xfId="15742"/>
    <cellStyle name="汇总 2 2 4 2 3 2 3" xfId="15743"/>
    <cellStyle name="汇总 3 3 2 4 2" xfId="15744"/>
    <cellStyle name="标题 2 2 3 5 2 3" xfId="15745"/>
    <cellStyle name="百分比 2 2 3 5" xfId="15746"/>
    <cellStyle name="汇总 2 2 2 3 3 2" xfId="15747"/>
    <cellStyle name="标题 4 2 2 3 2 3" xfId="15748"/>
    <cellStyle name="汇总 2 7 2 2 2 3 2 2" xfId="15749"/>
    <cellStyle name="汇总 2 2 4 2 3 2 4 3" xfId="15750"/>
    <cellStyle name="超链接 3 4 2" xfId="15751"/>
    <cellStyle name="计算 2 2 5 2 2 3 3 2" xfId="15752"/>
    <cellStyle name="输入 2 8 3" xfId="15753"/>
    <cellStyle name="汇总 2 2 2 2 2 3 4" xfId="15754"/>
    <cellStyle name="警告文本 2 3 2 4 2" xfId="15755"/>
    <cellStyle name="标题 1 2 2 2 2 3 2 3" xfId="15756"/>
    <cellStyle name="20% - 强调文字颜色 3 2 2 3 4" xfId="15757"/>
    <cellStyle name="60% - 强调文字颜色 3 2 10" xfId="15758"/>
    <cellStyle name="计算 2 2 2 2 2 2 2 4 2" xfId="15759"/>
    <cellStyle name="汇总 2 3 5" xfId="15760"/>
    <cellStyle name="好 3 3 2 2 2" xfId="15761"/>
    <cellStyle name="输入 2 2 7 11" xfId="15762"/>
    <cellStyle name="输出 2 13 2" xfId="15763"/>
    <cellStyle name="汇总 2 3 4 4 2 2" xfId="15764"/>
    <cellStyle name="标题 1 4 2 2 3" xfId="15765"/>
    <cellStyle name="60% - 强调文字颜色 3 4 2 3 2 2 2" xfId="15766"/>
    <cellStyle name="常规 2 5 4" xfId="15767"/>
    <cellStyle name="输出 2 6 6" xfId="15768"/>
    <cellStyle name="标题 1 3 5 2 2 2" xfId="15769"/>
    <cellStyle name="强调文字颜色 2 2 2 3 4" xfId="15770"/>
    <cellStyle name="20% - 强调文字颜色 1 4 4" xfId="15771"/>
    <cellStyle name="强调文字颜色 4 2 2 4 3 2 2 2" xfId="15772"/>
    <cellStyle name="输入 2 3 4 5" xfId="15773"/>
    <cellStyle name="汇总 2 6 2 2 8" xfId="15774"/>
    <cellStyle name="标题 3 2 2 3 2 3" xfId="15775"/>
    <cellStyle name="差 3 2 4 3" xfId="15776"/>
    <cellStyle name="计算 4 7 2" xfId="15777"/>
    <cellStyle name="标题 5 3 4 2 2 2" xfId="15778"/>
    <cellStyle name="常规 13 7 2" xfId="15779"/>
    <cellStyle name="20% - 强调文字颜色 6 2 3 6" xfId="15780"/>
    <cellStyle name="20% - 强调文字颜色 3 2 3 2 2 2 3" xfId="15781"/>
    <cellStyle name="强调文字颜色 5 2 3 2 3" xfId="15782"/>
    <cellStyle name="常规 2 2 5 3 2 2" xfId="15783"/>
    <cellStyle name="计算 2 5 3 2 2 2" xfId="15784"/>
    <cellStyle name="输出 2 2 4 6" xfId="15785"/>
    <cellStyle name="注释 2 2 5 5 4" xfId="15786"/>
    <cellStyle name="强调文字颜色 5 2 2 2 2 2 2 2 2 2" xfId="15787"/>
    <cellStyle name="常规 5 8" xfId="15788"/>
    <cellStyle name="汇总 2 2 2 7 2 2" xfId="15789"/>
    <cellStyle name="强调文字颜色 1 3 2 4" xfId="15790"/>
    <cellStyle name="适中 3 2 4" xfId="15791"/>
    <cellStyle name="20% - 强调文字颜色 3 2 2 3 3 2" xfId="15792"/>
    <cellStyle name="输入 2 2 5 2 2 7" xfId="15793"/>
    <cellStyle name="计算 2 2 4 3 2 5 2" xfId="15794"/>
    <cellStyle name="输出 2 3 2 2 3 3" xfId="15795"/>
    <cellStyle name="汇总 2 2 4 2 2 2 2 2" xfId="15796"/>
    <cellStyle name="20% - 强调文字颜色 1 2 2 2 2 3 2 2 2" xfId="15797"/>
    <cellStyle name="输入 2 2 3 2 2" xfId="15798"/>
    <cellStyle name="常规 4 2 3" xfId="15799"/>
    <cellStyle name="40% - 强调文字颜色 4 2 4 4 2 2" xfId="15800"/>
    <cellStyle name="好 2 3 4 3 2" xfId="15801"/>
    <cellStyle name="输入 2 5 4 5" xfId="15802"/>
    <cellStyle name="标题 3 2 2 5 2 3" xfId="15803"/>
    <cellStyle name="标题 1 3 3 3 2" xfId="15804"/>
    <cellStyle name="60% - 强调文字颜色 6 2 3 6 2 3" xfId="15805"/>
    <cellStyle name="输出 2 2 4 3 5 2 2" xfId="15806"/>
    <cellStyle name="常规 4 3 4 2 2 2" xfId="15807"/>
    <cellStyle name="40% - 强调文字颜色 6 2 2 2 2 2 2" xfId="15808"/>
    <cellStyle name="20% - 强调文字颜色 6 2 3 2 4 2" xfId="15809"/>
    <cellStyle name="20% - 强调文字颜色 6 4 4 2" xfId="15810"/>
    <cellStyle name="60% - 强调文字颜色 6 2 3 9" xfId="15811"/>
    <cellStyle name="强调文字颜色 6 2 2 2 4 2 2" xfId="15812"/>
    <cellStyle name="计算 2 2 9 3 2 2 2" xfId="15813"/>
    <cellStyle name="40% - 强调文字颜色 5 2 2 3 4 3" xfId="15814"/>
    <cellStyle name="输入 2 2 4 2 8" xfId="15815"/>
    <cellStyle name="60% - 强调文字颜色 4 2 2 2 3 3 2" xfId="15816"/>
    <cellStyle name="计算 2 7 3 5 2" xfId="15817"/>
    <cellStyle name="汇总 2 2 4 4 5" xfId="15818"/>
    <cellStyle name="60% - 强调文字颜色 2 2 3 5 2 2 2" xfId="15819"/>
    <cellStyle name="60% - 强调文字颜色 3 2 7 2 2 2" xfId="15820"/>
    <cellStyle name="输入 2 5 5 4 3" xfId="15821"/>
    <cellStyle name="强调文字颜色 3 2 4 4 3" xfId="15822"/>
    <cellStyle name="输出 2 2 3 2 7 2 2" xfId="15823"/>
    <cellStyle name="计算 2 3 3 3 4 2" xfId="15824"/>
    <cellStyle name="60% - 强调文字颜色 1 3 2 2 2 2 2 2" xfId="15825"/>
    <cellStyle name="百分比 2 2 2 3 2 3" xfId="15826"/>
    <cellStyle name="汇总 2 2 6 2 2 4" xfId="15827"/>
    <cellStyle name="常规 5 3 2 2 3 3 2" xfId="15828"/>
    <cellStyle name="汇总 2 2 3 2 2 2 5" xfId="15829"/>
    <cellStyle name="常规 4 2 11" xfId="15830"/>
    <cellStyle name="适中 2 4 3 3 2" xfId="15831"/>
    <cellStyle name="标题 5 4 2 2 2 3" xfId="15832"/>
    <cellStyle name="计算 2 2 5 2 4" xfId="15833"/>
    <cellStyle name="20% - 强调文字颜色 2 2 2 4 2 2 2 2" xfId="15834"/>
    <cellStyle name="差 2 4 3 2 2" xfId="15835"/>
    <cellStyle name="汇总 2 4 2 2 3" xfId="15836"/>
    <cellStyle name="汇总 2 6 2 3 7" xfId="15837"/>
    <cellStyle name="汇总 2 5 2 4 3 2 2" xfId="15838"/>
    <cellStyle name="差 3 2 5 2" xfId="15839"/>
    <cellStyle name="标题 3 2 2 3 3 2" xfId="15840"/>
    <cellStyle name="汇总 3 2 2" xfId="15841"/>
    <cellStyle name="计算 2 5 2 17" xfId="15842"/>
    <cellStyle name="好 2 2 6 3 2 2" xfId="15843"/>
    <cellStyle name="标题 3 2 2 2 2 2 2 3" xfId="15844"/>
    <cellStyle name="60% - 强调文字颜色 3 2 3 2 3 3" xfId="15845"/>
    <cellStyle name="计算 2 3 3 6 3" xfId="15846"/>
    <cellStyle name="输入 2 2 4 4 2 3" xfId="15847"/>
    <cellStyle name="警告文本 2 2 2 2 5 3" xfId="15848"/>
    <cellStyle name="输出 2 4 3 2 3" xfId="15849"/>
    <cellStyle name="常规 9 3 3 4" xfId="15850"/>
    <cellStyle name="计算 2 7 2 6" xfId="15851"/>
    <cellStyle name="输入 2 2 8 3 2" xfId="15852"/>
    <cellStyle name="60% - 强调文字颜色 2 3 4 2 2 2" xfId="15853"/>
    <cellStyle name="60% - 强调文字颜色 4 3 4 2 2" xfId="15854"/>
    <cellStyle name="超链接 2 3 3 4" xfId="15855"/>
    <cellStyle name="标题 3 2 2 4 2 2 2 2" xfId="15856"/>
    <cellStyle name="汇总 2 4 3 5 2" xfId="15857"/>
    <cellStyle name="输入 2 4 4 4 2 2" xfId="15858"/>
    <cellStyle name="常规 5 2 7" xfId="15859"/>
    <cellStyle name="计算 2 2 2 2 2 2 4 2 2" xfId="15860"/>
    <cellStyle name="汇总 2 2 5 2 5 3" xfId="15861"/>
    <cellStyle name="注释 2 2 2 3 2 4" xfId="15862"/>
    <cellStyle name="标题 3 2 2 4 2 2 2" xfId="15863"/>
    <cellStyle name="输入 2 4 4 4 2" xfId="15864"/>
    <cellStyle name="汇总 2 4 3 5" xfId="15865"/>
    <cellStyle name="60% - 强调文字颜色 2 2 2 2 4 3 2" xfId="15866"/>
    <cellStyle name="注释 2 2 4 2 2 5" xfId="15867"/>
    <cellStyle name="输出 2 2 3 3 2 2 2 2" xfId="15868"/>
    <cellStyle name="计算 2 2 7 5 4" xfId="15869"/>
    <cellStyle name="标题 3 3 3 4" xfId="15870"/>
    <cellStyle name="注释 2 8 6" xfId="15871"/>
    <cellStyle name="计算 2 2 6 8 2 2" xfId="15872"/>
    <cellStyle name="标题 3 2 6 2 2" xfId="15873"/>
    <cellStyle name="20% - 强调文字颜色 3 2 2 4 3 2" xfId="15874"/>
    <cellStyle name="适中 4 2 4" xfId="15875"/>
    <cellStyle name="计算 2 4 7" xfId="15876"/>
    <cellStyle name="汇总 2 4 3 5 3" xfId="15877"/>
    <cellStyle name="标题 5 6 2 2 3" xfId="15878"/>
    <cellStyle name="20% - 强调文字颜色 4 2 3 2 4" xfId="15879"/>
    <cellStyle name="检查单元格 2 2 2 2 2 2 3" xfId="15880"/>
    <cellStyle name="计算 3 3 4 2" xfId="15881"/>
    <cellStyle name="40% - 强调文字颜色 4 4 2 2" xfId="15882"/>
    <cellStyle name="计算 2 2 3 2 11" xfId="15883"/>
    <cellStyle name="说明文本" xfId="15884"/>
    <cellStyle name="强调文字颜色 5 2 2 6 3 2" xfId="15885"/>
    <cellStyle name="计算 2 2 4 5" xfId="15886"/>
    <cellStyle name="60% - 强调文字颜色 3 2 2 3 2" xfId="15887"/>
    <cellStyle name="60% - 强调文字颜色 5 2 2 4 2" xfId="15888"/>
    <cellStyle name="输入 2 2 9 2 4" xfId="15889"/>
    <cellStyle name="40% - 强调文字颜色 5 2 4 3 2 2 2" xfId="15890"/>
    <cellStyle name="40% - 强调文字颜色 6 2 6 3 2" xfId="15891"/>
    <cellStyle name="标题 1 2 2 4 3 2" xfId="15892"/>
    <cellStyle name="汇总 2 8 3 3 3" xfId="15893"/>
    <cellStyle name="40% - 强调文字颜色 3 2 2 2 3 3 2" xfId="15894"/>
    <cellStyle name="汇总 2 2 5 2 7 2 2" xfId="15895"/>
    <cellStyle name="20% - 强调文字颜色 1 2 2 4 3" xfId="15896"/>
    <cellStyle name="40% - 强调文字颜色 3 2 5 3 3 2" xfId="15897"/>
    <cellStyle name="60% - 强调文字颜色 3 2 8 2" xfId="15898"/>
    <cellStyle name="60% - 强调文字颜色 2 2 3 6 2" xfId="15899"/>
    <cellStyle name="汇总 2 3 2 2 2 4 3" xfId="15900"/>
    <cellStyle name="标题 3 2 2 3 3 2 3" xfId="15901"/>
    <cellStyle name="强调文字颜色 4 2 2 3 4 2" xfId="15902"/>
    <cellStyle name="常规 5 4 3 2 4" xfId="15903"/>
    <cellStyle name="标题 1 2 6 2" xfId="15904"/>
    <cellStyle name="60% - 强调文字颜色 3 5" xfId="15905"/>
    <cellStyle name="强调文字颜色 3 2 3 4 2 2" xfId="15906"/>
    <cellStyle name="强调文字颜色 2 2 2 4 2 4" xfId="15907"/>
    <cellStyle name="解释性文本 2 2 2 2 3 3 2" xfId="15908"/>
    <cellStyle name="汇总 2 5 5 2 5 2" xfId="15909"/>
    <cellStyle name="注释 2 5 2 3 2 3" xfId="15910"/>
    <cellStyle name="超链接 2 2 3 2 2" xfId="15911"/>
    <cellStyle name="计算 5 5" xfId="15912"/>
    <cellStyle name="输出 2 3 3 3 2" xfId="15913"/>
    <cellStyle name="40% - 强调文字颜色 2 2 2 2 2 4 3 2" xfId="15914"/>
    <cellStyle name="常规 8 3 4 3" xfId="15915"/>
    <cellStyle name="注释 2 6 3 2 2" xfId="15916"/>
    <cellStyle name="输入 2 2 4 2 2 2 5 2" xfId="15917"/>
    <cellStyle name="标题 2 3 3 2 2 2" xfId="15918"/>
    <cellStyle name="20% - 强调文字颜色 1 2 2 4 2 2" xfId="15919"/>
    <cellStyle name="计算 2 2 4 3 5 3" xfId="15920"/>
    <cellStyle name="60% - 强调文字颜色 2 3 2 3" xfId="15921"/>
    <cellStyle name="输入 2 3 3 2 2 2 2" xfId="15922"/>
    <cellStyle name="20% - 强调文字颜色 5 2 2 4 2 2 2" xfId="15923"/>
    <cellStyle name="标题 2 3 2 2" xfId="15924"/>
    <cellStyle name="注释 2 5 3" xfId="15925"/>
    <cellStyle name="20% - 强调文字颜色 4 2 3 4 2" xfId="15926"/>
    <cellStyle name="60% - 强调文字颜色 2 2 2 2 2 3 2 2 2" xfId="15927"/>
    <cellStyle name="标题 4 3 2 2 5" xfId="15928"/>
    <cellStyle name="20% - 强调文字颜色 6 2 2 4 2 2" xfId="15929"/>
    <cellStyle name="汇总 2 2 5 5 3 2 2" xfId="15930"/>
    <cellStyle name="20% - 强调文字颜色 5 6 2 2" xfId="15931"/>
    <cellStyle name="标题 5 2 2 2 3 3 2 2" xfId="15932"/>
    <cellStyle name="注释 3 2 7 2" xfId="15933"/>
    <cellStyle name="常规 5 3 3 3 4" xfId="15934"/>
    <cellStyle name="60% - 强调文字颜色 5 3 2 4" xfId="15935"/>
    <cellStyle name="计算 2 5 4 2 2 3" xfId="15936"/>
    <cellStyle name="常规 4 4 2 4 2 2" xfId="15937"/>
    <cellStyle name="注释 2 5 2 2 3 3" xfId="15938"/>
    <cellStyle name="超链接 2 2 2 3 2" xfId="15939"/>
    <cellStyle name="20% - 强调文字颜色 4 2 3 4 3" xfId="15940"/>
    <cellStyle name="汇总 2 2 2 7 3" xfId="15941"/>
    <cellStyle name="60% - 强调文字颜色 4 2 3 2 2 3 2" xfId="15942"/>
    <cellStyle name="60% - 强调文字颜色 1 5 2 2" xfId="15943"/>
    <cellStyle name="60% - 强调文字颜色 3 2 2 2 2 5 2" xfId="15944"/>
    <cellStyle name="标题 5 2 2 2 3 3 3" xfId="15945"/>
    <cellStyle name="注释 3 2 8" xfId="15946"/>
    <cellStyle name="汇总 2 2 4 2 8" xfId="15947"/>
    <cellStyle name="60% - 强调文字颜色 4 2 2 3 2 2 2 2" xfId="15948"/>
    <cellStyle name="注释 2 2 2 13" xfId="15949"/>
    <cellStyle name="标题 5 2 2 3 2 2 2 3" xfId="15950"/>
    <cellStyle name="计算 2 5 3 2 8" xfId="15951"/>
    <cellStyle name="计算 2 2 8 5 2 2 2" xfId="15952"/>
    <cellStyle name="标题 3 4 3 2 2 2" xfId="15953"/>
    <cellStyle name="标题 2 2 3 2 3 3 3" xfId="15954"/>
    <cellStyle name="汇总 2 5 3 3 2" xfId="15955"/>
    <cellStyle name="Normal 6 2" xfId="15956"/>
    <cellStyle name="注释 2 2 3 2 3 8" xfId="15957"/>
    <cellStyle name="百分比 2 5 2 2 3" xfId="15958"/>
    <cellStyle name="标题 4 3 2 2 2 2 2 2" xfId="15959"/>
    <cellStyle name="标题 4 2 2 2 3 2 2 3" xfId="15960"/>
    <cellStyle name="20% - 强调文字颜色 4 3 2 5" xfId="15961"/>
    <cellStyle name="百分比 2 3 6" xfId="15962"/>
    <cellStyle name="注释 2 2 3 3 8" xfId="15963"/>
    <cellStyle name="标题 5 3 2 2 3 2" xfId="15964"/>
    <cellStyle name="40% - 强调文字颜色 5 2 8 2" xfId="15965"/>
    <cellStyle name="常规 12 2 2 3 3 3" xfId="15966"/>
    <cellStyle name="20% - 强调文字颜色 3 3 9" xfId="15967"/>
    <cellStyle name="计算 2 2 3 3 2 8" xfId="15968"/>
    <cellStyle name="60% - 强调文字颜色 1 2" xfId="15969"/>
    <cellStyle name="计算 2 2 3 3 3 4" xfId="15970"/>
    <cellStyle name="20% - 强调文字颜色 3 4 5" xfId="15971"/>
    <cellStyle name="标题 3 2 2 3 3 2 2" xfId="15972"/>
    <cellStyle name="60% - 强调文字颜色 4 3 4 2 2 2" xfId="15973"/>
    <cellStyle name="超链接 2 3 3 4 2" xfId="15974"/>
    <cellStyle name="60% - 强调文字颜色 4 2 3 2 5 2 2" xfId="15975"/>
    <cellStyle name="汇总 2 5 2 4 2 7" xfId="15976"/>
    <cellStyle name="标题 3 2 2 2 8" xfId="15977"/>
    <cellStyle name="计算 3 9 2 2" xfId="15978"/>
    <cellStyle name="60% - 强调文字颜色 3 3 2 2 3 2 2 2" xfId="15979"/>
    <cellStyle name="常规 3 5 2 2" xfId="15980"/>
    <cellStyle name="计算 2 2 7 4 3 2" xfId="15981"/>
    <cellStyle name="标题 3 3 2 3 2" xfId="15982"/>
    <cellStyle name="20% - 强调文字颜色 5 2 7 2 2" xfId="15983"/>
    <cellStyle name="汇总 2 6 9 2 2" xfId="15984"/>
    <cellStyle name="常规 18 2" xfId="15985"/>
    <cellStyle name="20% - 强调文字颜色 6 2 2 2 3 3" xfId="15986"/>
    <cellStyle name="常规 11 3 2 2 2" xfId="15987"/>
    <cellStyle name="40% - 强调文字颜色 5 2 3 5 2 2" xfId="15988"/>
    <cellStyle name="汇总 2 5 4 3 3" xfId="15989"/>
    <cellStyle name="链接单元格 2 2 5 3 3" xfId="15990"/>
    <cellStyle name="强调文字颜色 4 2 3 2 2 2 2 3" xfId="15991"/>
    <cellStyle name="计算 2 5 2 2 2 2 3 3" xfId="15992"/>
    <cellStyle name="40% - 强调文字颜色 4 2 3 2 2 3 2 2 2" xfId="15993"/>
    <cellStyle name="计算 2 5 2 6 4" xfId="15994"/>
    <cellStyle name="输入 2 2 6 3 2 4" xfId="15995"/>
    <cellStyle name="20% - 强调文字颜色 1 2 2 3 2 2" xfId="15996"/>
    <cellStyle name="常规 9 7 2 2" xfId="15997"/>
    <cellStyle name="注释 2 7 5 2" xfId="15998"/>
    <cellStyle name="强调文字颜色 4 2 2 5 3 3" xfId="15999"/>
    <cellStyle name="输入 2 2 4 2 2 4 2 2" xfId="16000"/>
    <cellStyle name="标题 2 2 2 2 3 2 2 2 2 2" xfId="16001"/>
    <cellStyle name="标题 3 2 2 5 3 2 2" xfId="16002"/>
    <cellStyle name="60% - 强调文字颜色 4 4 2 3 2 2" xfId="16003"/>
    <cellStyle name="输入 2 5 5 4 2" xfId="16004"/>
    <cellStyle name="超链接 3 3 4 2" xfId="16005"/>
    <cellStyle name="输入 2 7 5 2" xfId="16006"/>
    <cellStyle name="40% - 强调文字颜色 1 2 5 2 2" xfId="16007"/>
    <cellStyle name="强调文字颜色 1 2 2 2 3 2" xfId="16008"/>
    <cellStyle name="20% - 强调文字颜色 3 2 3 4 3 2 2" xfId="16009"/>
    <cellStyle name="计算 2 2 9 5 2 2" xfId="16010"/>
    <cellStyle name="注释 2 2 3 2 2 3 2" xfId="16011"/>
    <cellStyle name="输出 2 4 2 2 2 4 2 2" xfId="16012"/>
    <cellStyle name="输入 2 8 3 4" xfId="16013"/>
    <cellStyle name="标题 5 3 2 6 2" xfId="16014"/>
    <cellStyle name="超链接 3 4 2 4" xfId="16015"/>
    <cellStyle name="60% - 强调文字颜色 6 3 3 3 3" xfId="16016"/>
    <cellStyle name="40% - 强调文字颜色 6 2 4 8" xfId="16017"/>
    <cellStyle name="强调文字颜色 3 2 2 2 2 2 3" xfId="16018"/>
    <cellStyle name="注释 2 2 5 5" xfId="16019"/>
    <cellStyle name="输入 2 6 2 3 5" xfId="16020"/>
    <cellStyle name="标题 1 2 2 2 2 3 3 2 2" xfId="16021"/>
    <cellStyle name="强调文字颜色 4 2 4 7" xfId="16022"/>
    <cellStyle name="计算 2 8 5 2 3" xfId="16023"/>
    <cellStyle name="说明文本 5 2" xfId="16024"/>
    <cellStyle name="计算 2 3 2 2 2 2 2" xfId="16025"/>
    <cellStyle name="输入 2 2 9 4 2" xfId="16026"/>
    <cellStyle name="计算 2 8 3 6" xfId="16027"/>
    <cellStyle name="20% - 强调文字颜色 1 2 2 3 2 2 2" xfId="16028"/>
    <cellStyle name="强调文字颜色 6 2 2 3 2 2" xfId="16029"/>
    <cellStyle name="差 2 2 2 2" xfId="16030"/>
    <cellStyle name="输入 2 2 7 4" xfId="16031"/>
    <cellStyle name="汇总 2 2 4 4 3 2 2 2" xfId="16032"/>
    <cellStyle name="标题 3 2 2 2 5 2" xfId="16033"/>
    <cellStyle name="汇总 2 5 2 4 2 4 2" xfId="16034"/>
    <cellStyle name="计算 2 2 3 2 13" xfId="16035"/>
    <cellStyle name="40% - 强调文字颜色 4 4 2 4" xfId="16036"/>
    <cellStyle name="输入 2 2 4 2 4 4" xfId="16037"/>
    <cellStyle name="汇总 2 7 2 2 6" xfId="16038"/>
    <cellStyle name="输入 3 3 4 3" xfId="16039"/>
    <cellStyle name="标题 6" xfId="16040"/>
    <cellStyle name="汇总 2 12 3" xfId="16041"/>
    <cellStyle name="20% - 强调文字颜色 3 4 3" xfId="16042"/>
    <cellStyle name="计算 2 2 3 3 3 2" xfId="16043"/>
    <cellStyle name="强调文字颜色 2 2 4 3 3" xfId="16044"/>
    <cellStyle name="汇总 2 2 12 2 2 2" xfId="16045"/>
    <cellStyle name="60% - 强调文字颜色 6 3 2 4 3" xfId="16046"/>
    <cellStyle name="注释 2 2 2 3 2 2" xfId="16047"/>
    <cellStyle name="适中 2 3 5 2 2 2" xfId="16048"/>
    <cellStyle name="注释 9 2" xfId="16049"/>
    <cellStyle name="20% - 强调文字颜色 5 4 4" xfId="16050"/>
    <cellStyle name="60% - 强调文字颜色 3 2 2 2 2 3 3" xfId="16051"/>
    <cellStyle name="汇总 2 8 11" xfId="16052"/>
    <cellStyle name="20% - 强调文字颜色 2 3 4 2 2" xfId="16053"/>
    <cellStyle name="计算 2 2 3 2 2 3 2 2" xfId="16054"/>
    <cellStyle name="强调文字颜色 2 2 3 2 4 2 2" xfId="16055"/>
    <cellStyle name="解释性文本 2 4 2" xfId="16056"/>
    <cellStyle name="链接单元格 3 2 2 3 2" xfId="16057"/>
    <cellStyle name="60% - 强调文字颜色 5 4 5" xfId="16058"/>
    <cellStyle name="标题 2 2 3 3 4" xfId="16059"/>
    <cellStyle name="常规 2 2 5 2 2 2" xfId="16060"/>
    <cellStyle name="强调文字颜色 5 2 2 2 3" xfId="16061"/>
    <cellStyle name="解释性文本 2 4 2 2 2 2" xfId="16062"/>
    <cellStyle name="40% - 强调文字颜色 2 2 5 3 2" xfId="16063"/>
    <cellStyle name="强调文字颜色 2 2 5 3 2 2" xfId="16064"/>
    <cellStyle name="20% - 强调文字颜色 4 4 2 2" xfId="16065"/>
    <cellStyle name="标题 1 2 2 3 3 3 2" xfId="16066"/>
    <cellStyle name="汇总 2 2 10 2 6" xfId="16067"/>
    <cellStyle name="强调文字颜色 6 4 4 2" xfId="16068"/>
    <cellStyle name="适中 2 2 6 2 2" xfId="16069"/>
    <cellStyle name="汇总 2 2 2 2 2 5" xfId="16070"/>
    <cellStyle name="计算 2 8 4 2 2" xfId="16071"/>
    <cellStyle name="输出 4 2 5 2 2" xfId="16072"/>
    <cellStyle name="警告文本 3 3 3" xfId="16073"/>
    <cellStyle name="强调文字颜色 3 2 2 2 8" xfId="16074"/>
    <cellStyle name="计算 2 4 9 3" xfId="16075"/>
    <cellStyle name="常规 6 2 3 3 2 2" xfId="16076"/>
    <cellStyle name="常规 5 2 2 3 2 4" xfId="16077"/>
    <cellStyle name="常规 5 5 2 6" xfId="16078"/>
    <cellStyle name="注释 2 2 7 3 2 2 2" xfId="16079"/>
    <cellStyle name="计算 2 5 10 2" xfId="16080"/>
    <cellStyle name="强调文字颜色 2 2 2 7 2 2" xfId="16081"/>
    <cellStyle name="注释 2 2 2 2 2 2 2 3" xfId="16082"/>
    <cellStyle name="60% - 强调文字颜色 3 2 2 2 3 2 2 2 2" xfId="16083"/>
    <cellStyle name="20% - 强调文字颜色 6 3 3 2 2" xfId="16084"/>
    <cellStyle name="输出 2 2 2 3 3 2 2" xfId="16085"/>
    <cellStyle name="标题 6 5 3" xfId="16086"/>
    <cellStyle name="计算 2 7 8 2 2" xfId="16087"/>
    <cellStyle name="标题 1 2 7 2 2" xfId="16088"/>
    <cellStyle name="强调文字颜色 4 2 2 3 5 2 2" xfId="16089"/>
    <cellStyle name="链接单元格 2 7 2 2 2" xfId="16090"/>
    <cellStyle name="60% - 强调文字颜色 4 2 3 4 2 2" xfId="16091"/>
    <cellStyle name="计算 2 2 4 4 5 3" xfId="16092"/>
    <cellStyle name="60% - 强调文字颜色 2 4 2 3" xfId="16093"/>
    <cellStyle name="60% - 强调文字颜色 2 3 2" xfId="16094"/>
    <cellStyle name="计算 2 2 4 3 5" xfId="16095"/>
    <cellStyle name="40% - 强调文字颜色 1 2 2 3 3 2" xfId="16096"/>
    <cellStyle name="警告文本 2 2 3 4 2 2 2" xfId="16097"/>
    <cellStyle name="20% - 强调文字颜色 6 2 5 2 2 2 2" xfId="16098"/>
    <cellStyle name="常规 3 3 2 2 4 2 2" xfId="16099"/>
    <cellStyle name="20% - 强调文字颜色 6 2 2 2 7" xfId="16100"/>
    <cellStyle name="60% - 强调文字颜色 5 4 2 2 2" xfId="16101"/>
    <cellStyle name="计算 2 2 9 3 2 3" xfId="16102"/>
    <cellStyle name="汇总 2 5 5 3 2 2" xfId="16103"/>
    <cellStyle name="标题 2 5 2" xfId="16104"/>
    <cellStyle name="20% - 强调文字颜色 5 2 2 4 4 2" xfId="16105"/>
    <cellStyle name="汇总 2 5 4 3 2 2 2" xfId="16106"/>
    <cellStyle name="计算 2 2 8 3 2 3 2" xfId="16107"/>
    <cellStyle name="20% - 强调文字颜色 1 2 2 2 2" xfId="16108"/>
    <cellStyle name="标题 2 2 2 5 4" xfId="16109"/>
    <cellStyle name="汇总 2 3 2 2 2 3" xfId="16110"/>
    <cellStyle name="20% - 强调文字颜色 4 2 2 3 2 2 2 2" xfId="16111"/>
    <cellStyle name="检查单元格 2 2 3" xfId="16112"/>
    <cellStyle name="检查单元格 2 4 10" xfId="16113"/>
    <cellStyle name="计算 2 4 2 2 3 2" xfId="16114"/>
    <cellStyle name="输出 2 2 6 3 3 2" xfId="16115"/>
    <cellStyle name="20% - 强调文字颜色 4 4 3 2 2" xfId="16116"/>
    <cellStyle name="汇总 7 2" xfId="16117"/>
    <cellStyle name="40% - 强调文字颜色 4 2 2 2 2 2 3 3" xfId="16118"/>
    <cellStyle name="输出 2 2 2 2 3 2 2 2" xfId="16119"/>
    <cellStyle name="检查单元格 2 2 2 3" xfId="16120"/>
    <cellStyle name="注释 2 2 6 4 2" xfId="16121"/>
    <cellStyle name="强调文字颜色 1 2 2 3 2" xfId="16122"/>
    <cellStyle name="60% - 强调文字颜色 1 3 4 2 2 2" xfId="16123"/>
    <cellStyle name="输出 2 4 3 2 7" xfId="16124"/>
    <cellStyle name="40% - 强调文字颜色 1 2 3 2 3 3 2" xfId="16125"/>
    <cellStyle name="输入 2 7 4 2" xfId="16126"/>
    <cellStyle name="超链接 3 3 3 2" xfId="16127"/>
    <cellStyle name="强调文字颜色 1 2 2 2 2 2" xfId="16128"/>
    <cellStyle name="20% - 强调文字颜色 1 2 2 3 4 3" xfId="16129"/>
    <cellStyle name="标题 2 5 2 2 2 2" xfId="16130"/>
    <cellStyle name="输出 2 2 3 2 3 5" xfId="16131"/>
    <cellStyle name="超链接 2 2 2 5 2 2" xfId="16132"/>
    <cellStyle name="常规 5 2 5 3 2 2" xfId="16133"/>
    <cellStyle name="注释 2 2 10 4" xfId="16134"/>
    <cellStyle name="60% - 强调文字颜色 6 2 2 2 5 3" xfId="16135"/>
    <cellStyle name="汇总 2 2 4 2 3 3 3" xfId="16136"/>
    <cellStyle name="计算 2 2 10 3 3" xfId="16137"/>
    <cellStyle name="解释性文本 2 2 2 3 7" xfId="16138"/>
    <cellStyle name="注释 2 2 5 2 2 2 2" xfId="16139"/>
    <cellStyle name="超链接 3 5" xfId="16140"/>
    <cellStyle name="计算 2 2 5 2 2 3 4" xfId="16141"/>
    <cellStyle name="标题 5 2 2 4 3 2" xfId="16142"/>
    <cellStyle name="解释性文本 2 4 7" xfId="16143"/>
    <cellStyle name="强调文字颜色 4 2 2 4" xfId="16144"/>
    <cellStyle name="20% - 强调文字颜色 6 2 3 3 2" xfId="16145"/>
    <cellStyle name="汇总 2 2 5 6 2 2" xfId="16146"/>
    <cellStyle name="计算 2 2 8 8 2" xfId="16147"/>
    <cellStyle name="20% - 强调文字颜色 1 2 2 3 3 2" xfId="16148"/>
    <cellStyle name="40% - 强调文字颜色 3 2 5 3 2 2 2" xfId="16149"/>
    <cellStyle name="常规 12 3 2 4" xfId="16150"/>
    <cellStyle name="超链接 2 6 2 2" xfId="16151"/>
    <cellStyle name="汇总 2 6 2 2 2 8" xfId="16152"/>
    <cellStyle name="输入 2 8 3 3 2" xfId="16153"/>
    <cellStyle name="超链接 3 4 2 3 2" xfId="16154"/>
    <cellStyle name="常规 2 3 2 3 2 2 2 2" xfId="16155"/>
    <cellStyle name="汇总 2 5 2 3 4" xfId="16156"/>
    <cellStyle name="20% - 强调文字颜色 3 3 4 2" xfId="16157"/>
    <cellStyle name="60% - 强调文字颜色 1 2 2 4 5 2" xfId="16158"/>
    <cellStyle name="计算 2 2 3 3 2 3 2" xfId="16159"/>
    <cellStyle name="常规 7 2 3 2 3" xfId="16160"/>
    <cellStyle name="强调文字颜色 1 2 3 2 4 4" xfId="16161"/>
    <cellStyle name="计算 2 6 6 3" xfId="16162"/>
    <cellStyle name="好 2 2 4 3 3 2" xfId="16163"/>
    <cellStyle name="40% - 强调文字颜色 2 2 6 3 2" xfId="16164"/>
    <cellStyle name="标题 3 3 2 3 3" xfId="16165"/>
    <cellStyle name="计算 2 2 7 4 3 3" xfId="16166"/>
    <cellStyle name="注释 2 7 5 3" xfId="16167"/>
    <cellStyle name="60% - 强调文字颜色 3 3 3 2 2 2" xfId="16168"/>
    <cellStyle name="输出 2 4 12" xfId="16169"/>
    <cellStyle name="常规 2 2 2 5 2 2" xfId="16170"/>
    <cellStyle name="输出 3 2 2 3" xfId="16171"/>
    <cellStyle name="强调文字颜色 2 2 2" xfId="16172"/>
    <cellStyle name="输入 2 3 2 3 3 2" xfId="16173"/>
    <cellStyle name="解释性文本 2 2 5 3 2 2" xfId="16174"/>
    <cellStyle name="标题 2 2 2 2 3 2 2 2 3" xfId="16175"/>
    <cellStyle name="输入 2 2 4 2 2 4 3" xfId="16176"/>
    <cellStyle name="40% - 强调文字颜色 5 3 2 3 2 2" xfId="16177"/>
    <cellStyle name="输出 2 2 3 5 3" xfId="16178"/>
    <cellStyle name="输出 2 9 2 2 2" xfId="16179"/>
    <cellStyle name="输出 2 2 3 2 5" xfId="16180"/>
    <cellStyle name="输入 2 2 6 3 3 3" xfId="16181"/>
    <cellStyle name="计算 2 5 2 7 3" xfId="16182"/>
    <cellStyle name="计算 3 3 6 2" xfId="16183"/>
    <cellStyle name="标题 2 4 2 2 3" xfId="16184"/>
    <cellStyle name="汇总 2 4 4 4 2 2" xfId="16185"/>
    <cellStyle name="强调文字颜色 2 2 2 2 6" xfId="16186"/>
    <cellStyle name="标题 4 2 7 3" xfId="16187"/>
    <cellStyle name="计算 2 4 14" xfId="16188"/>
    <cellStyle name="20% - 强调文字颜色 1 3 6" xfId="16189"/>
    <cellStyle name="解释性文本 2 7 2 2" xfId="16190"/>
    <cellStyle name="Normal 2 2" xfId="16191"/>
    <cellStyle name="20% - 强调文字颜色 3 2 3 2 2 4" xfId="16192"/>
    <cellStyle name="强调文字颜色 4 3 2 2" xfId="16193"/>
    <cellStyle name="链接单元格 2 2 2 2 4 3 2" xfId="16194"/>
    <cellStyle name="输入 2 5 3 5" xfId="16195"/>
    <cellStyle name="40% - 强调文字颜色 5 3 2 4 2" xfId="16196"/>
    <cellStyle name="标题 7 4 2 3" xfId="16197"/>
    <cellStyle name="检查单元格 2 7 3" xfId="16198"/>
    <cellStyle name="常规 9 2 4 2" xfId="16199"/>
    <cellStyle name="40% - 强调文字颜色 5 3 2 2 3 2 2" xfId="16200"/>
    <cellStyle name="标题 5 2 4 3 2 3" xfId="16201"/>
    <cellStyle name="强调文字颜色 2 2 3 5 2 2" xfId="16202"/>
    <cellStyle name="20% - 强调文字颜色 2 6 2 2" xfId="16203"/>
    <cellStyle name="常规 3 2 4 3 3 2" xfId="16204"/>
    <cellStyle name="计算 2 2 2 2 3 2 2" xfId="16205"/>
    <cellStyle name="输出 2 10 2" xfId="16206"/>
    <cellStyle name="40% - 强调文字颜色 3 2 3 4 3 2 2" xfId="16207"/>
    <cellStyle name="60% - 强调文字颜色 2 3 2 2" xfId="16208"/>
    <cellStyle name="计算 2 2 4 3 5 2" xfId="16209"/>
    <cellStyle name="60% - 强调文字颜色 4 2 2 3 3" xfId="16210"/>
    <cellStyle name="40% - 强调文字颜色 5 2 2 2 2 2 4 2" xfId="16211"/>
    <cellStyle name="标题 1 2 3 7 2" xfId="16212"/>
    <cellStyle name="标题 5 2 6 3 2 2" xfId="16213"/>
    <cellStyle name="汇总 2 2 3 2 4 3 3" xfId="16214"/>
    <cellStyle name="汇总 2 2 6 4 3 2" xfId="16215"/>
    <cellStyle name="20% - 强调文字颜色 2 6 2" xfId="16216"/>
    <cellStyle name="强调文字颜色 2 2 3 5 2" xfId="16217"/>
    <cellStyle name="40% - 强调文字颜色 2 2 3 2 2 3 2" xfId="16218"/>
    <cellStyle name="汇总 2 4 5 2" xfId="16219"/>
    <cellStyle name="常规 10 2 2 2 3 3 2 2" xfId="16220"/>
    <cellStyle name="强调文字颜色 3 2 4 3" xfId="16221"/>
    <cellStyle name="强调文字颜色 5 2 2 5 2 2 2" xfId="16222"/>
    <cellStyle name="60% - 强调文字颜色 6 2 6 3 3" xfId="16223"/>
    <cellStyle name="输出 2 2 3 2 3 2 6" xfId="16224"/>
    <cellStyle name="汇总 2 2 6 3 2" xfId="16225"/>
    <cellStyle name="60% - 强调文字颜色 4 2 2 2 6 2 2 2" xfId="16226"/>
    <cellStyle name="汇总 2 3 3 5" xfId="16227"/>
    <cellStyle name="输入 2 4 3 4 2" xfId="16228"/>
    <cellStyle name="差 3 3 3 2 2" xfId="16229"/>
    <cellStyle name="60% - 强调文字颜色 2 2 2 2 3 3 2" xfId="16230"/>
    <cellStyle name="好 2 2 4 2 2" xfId="16231"/>
    <cellStyle name="40% - 强调文字颜色 6 3 10" xfId="16232"/>
    <cellStyle name="常规 5 2 2 3 3 3 3" xfId="16233"/>
    <cellStyle name="输入 2 2 9" xfId="16234"/>
    <cellStyle name="汇总 2 2 8 2 2 3" xfId="16235"/>
    <cellStyle name="60% - 强调文字颜色 4 2 3 2 4 2 2 2" xfId="16236"/>
    <cellStyle name="60% - 强调文字颜色 4 2 2 3 3 3" xfId="16237"/>
    <cellStyle name="常规 13 3 2" xfId="16238"/>
    <cellStyle name="标题 5 3 4 3 3" xfId="16239"/>
    <cellStyle name="40% - 强调文字颜色 4 2 5 2 2" xfId="16240"/>
    <cellStyle name="输入 2 2 6 3 2" xfId="16241"/>
    <cellStyle name="输出 2 5 3 2 2 2 2" xfId="16242"/>
    <cellStyle name="计算 2 5 2 6" xfId="16243"/>
    <cellStyle name="注释 2 4 2 4 4" xfId="16244"/>
    <cellStyle name="20% - 强调文字颜色 3 2 2 2 5 2 2 2" xfId="16245"/>
    <cellStyle name="适中 2 4 4 2 2" xfId="16246"/>
    <cellStyle name="输入 2 2 2 8 2 2" xfId="16247"/>
    <cellStyle name="注释 2 7 3" xfId="16248"/>
    <cellStyle name="标题 2 3 4 2" xfId="16249"/>
    <cellStyle name="强调文字颜色 4 2 3 4 2 2" xfId="16250"/>
    <cellStyle name="强调文字颜色 3 2 2 4 2 4" xfId="16251"/>
    <cellStyle name="20% - 强调文字颜色 6 2 3 4 2 2 2" xfId="16252"/>
    <cellStyle name="输出 2 3 2 10" xfId="16253"/>
    <cellStyle name="汇总 2 2 6 3 2 3 2 2" xfId="16254"/>
    <cellStyle name="20% - 强调文字颜色 3 5" xfId="16255"/>
    <cellStyle name="强调文字颜色 5 2 2 4 2 2 3" xfId="16256"/>
    <cellStyle name="强调文字颜色 2 2 4 4" xfId="16257"/>
    <cellStyle name="60% - 强调文字颜色 6 4 2 2 2 2 2" xfId="16258"/>
    <cellStyle name="汇总 2 5 4 2 2" xfId="16259"/>
    <cellStyle name="40% - 强调文字颜色 2 2 3 2 3 2 2 2" xfId="16260"/>
    <cellStyle name="标题 2 2 3 2 4 2 3" xfId="16261"/>
    <cellStyle name="常规 3 3 8" xfId="16262"/>
    <cellStyle name="解释性文本 2 3 3 6" xfId="16263"/>
    <cellStyle name="输入 2 2 3 2 2 3 3" xfId="16264"/>
    <cellStyle name="注释 2 9" xfId="16265"/>
    <cellStyle name="输入 2 2 2 3 3 2 2" xfId="16266"/>
    <cellStyle name="40% - 强调文字颜色 4 2 4 5 2" xfId="16267"/>
    <cellStyle name="40% - 强调文字颜色 4 2 2 2 2 2 5 2" xfId="16268"/>
    <cellStyle name="汇总 3 3 2 2" xfId="16269"/>
    <cellStyle name="计算 5 2 2 3" xfId="16270"/>
    <cellStyle name="常规 6 2 2 2 3" xfId="16271"/>
    <cellStyle name="40% - 强调文字颜色 2 3 2 5" xfId="16272"/>
    <cellStyle name="解释性文本 4" xfId="16273"/>
    <cellStyle name="40% - 强调文字颜色 6 2 2 5 3 2" xfId="16274"/>
    <cellStyle name="标题 3 2 2 3 3 3" xfId="16275"/>
    <cellStyle name="汇总 2 6 2 3 8" xfId="16276"/>
    <cellStyle name="汇总 2 2 9 3 2" xfId="16277"/>
    <cellStyle name="注释 4 2 5 3" xfId="16278"/>
    <cellStyle name="计算 2 2 2 2 4" xfId="16279"/>
    <cellStyle name="常规 5 2 2 4 4 3" xfId="16280"/>
    <cellStyle name="汇总 2 4 2 2 2 2 2" xfId="16281"/>
    <cellStyle name="输入 2 8 2 3 3" xfId="16282"/>
    <cellStyle name="输入 2 2 2 2 3 3 2" xfId="16283"/>
    <cellStyle name="差 2 3 5 2 2" xfId="16284"/>
    <cellStyle name="输出 2 2 8 2 3" xfId="16285"/>
    <cellStyle name="汇总 2 2 5 3 3 3 2" xfId="16286"/>
    <cellStyle name="输出 2 3 3 9" xfId="16287"/>
    <cellStyle name="20% - 强调文字颜色 5 2 5 3 2" xfId="16288"/>
    <cellStyle name="汇总 2 4 4 5" xfId="16289"/>
    <cellStyle name="标题 3 2 2 4 2 3 2" xfId="16290"/>
    <cellStyle name="输入 2 4 4 5 2" xfId="16291"/>
    <cellStyle name="标题 1 3 2 3 2 2" xfId="16292"/>
    <cellStyle name="计算 2 2 10 2 2" xfId="16293"/>
    <cellStyle name="解释性文本 2 2 2 2 6" xfId="16294"/>
    <cellStyle name="超链接 2 4" xfId="16295"/>
    <cellStyle name="计算 2 2 5 2 2 2 3" xfId="16296"/>
    <cellStyle name="标题 1 3 2 3 2 3" xfId="16297"/>
    <cellStyle name="计算 2 2 3 2 3 3 2 2" xfId="16298"/>
    <cellStyle name="20% - 强调文字颜色 2 4 4 2 2" xfId="16299"/>
    <cellStyle name="汇总 2 2 2 4 2 4 3" xfId="16300"/>
    <cellStyle name="解释性文本 2 2 2 2 2 2 2 2" xfId="16301"/>
    <cellStyle name="20% - 强调文字颜色 5 2 2 2 2 5 2 2" xfId="16302"/>
    <cellStyle name="常规 8 2 5 2 2 2" xfId="16303"/>
    <cellStyle name="超链接 2 2 4 2 2 3" xfId="16304"/>
    <cellStyle name="计算 2 5 3 2 5 2 2" xfId="16305"/>
    <cellStyle name="注释 2 2 2 2 2 5" xfId="16306"/>
    <cellStyle name="标题 5 2 7 2 2" xfId="16307"/>
    <cellStyle name="警告文本 2 4 3 3 2" xfId="16308"/>
    <cellStyle name="20% - 强调文字颜色 1 2 3 3 5" xfId="16309"/>
    <cellStyle name="差 2 2 4 5 3" xfId="16310"/>
    <cellStyle name="计算 2 2 4 2 3 2 6" xfId="16311"/>
    <cellStyle name="输出 2 2 6 2 4" xfId="16312"/>
    <cellStyle name="强调文字颜色 1 2 3 3 3 2" xfId="16313"/>
    <cellStyle name="60% - 强调文字颜色 3 2 2 7" xfId="16314"/>
    <cellStyle name="强调文字颜色 1 2 2 2 2 4 2 2" xfId="16315"/>
    <cellStyle name="常规 5 2 2 4 2 3 3" xfId="16316"/>
    <cellStyle name="好 2 3 3 2 2" xfId="16317"/>
    <cellStyle name="60% - 强调文字颜色 3 2 2" xfId="16318"/>
    <cellStyle name="计算 2 2 5 2 5" xfId="16319"/>
    <cellStyle name="输入 2 5 2 2 2 4 3" xfId="16320"/>
    <cellStyle name="强调文字颜色 6 2 2 3 3 4" xfId="16321"/>
    <cellStyle name="计算 2 7 3 2 3 2 2" xfId="16322"/>
    <cellStyle name="强调文字颜色 4 2 2 6 2 2 2" xfId="16323"/>
    <cellStyle name="计算 2 2 2 3 2 2" xfId="16324"/>
    <cellStyle name="60% - 强调文字颜色 1 2 2 6 3" xfId="16325"/>
    <cellStyle name="强调文字颜色 2 2 4 4 2" xfId="16326"/>
    <cellStyle name="注释 2 3 2 2 2 3 3" xfId="16327"/>
    <cellStyle name="20% - 强调文字颜色 3 5 2" xfId="16328"/>
    <cellStyle name="标题 3 2 3 6 2 2" xfId="16329"/>
    <cellStyle name="标题 7 4" xfId="16330"/>
    <cellStyle name="输出 3 2 3 2 3" xfId="16331"/>
    <cellStyle name="汇总 2 2 7 6" xfId="16332"/>
    <cellStyle name="常规 5 3 2 2 3 3 3" xfId="16333"/>
    <cellStyle name="常规 4 2 12" xfId="16334"/>
    <cellStyle name="注释 2 5 3 3 2" xfId="16335"/>
    <cellStyle name="汇总 2 2 6 2 2 5" xfId="16336"/>
    <cellStyle name="标题 2 3 2 2 3 2" xfId="16337"/>
    <cellStyle name="汇总 2 2 3 2 2 2 6" xfId="16338"/>
    <cellStyle name="40% - 强调文字颜色 1 2 6 2 2 2" xfId="16339"/>
    <cellStyle name="汇总 2 13 2" xfId="16340"/>
    <cellStyle name="40% - 强调文字颜色 4 2 9" xfId="16341"/>
    <cellStyle name="常规 14" xfId="16342"/>
    <cellStyle name="常规 4 2 3 4 2 2" xfId="16343"/>
    <cellStyle name="差 2 3 2 4 4" xfId="16344"/>
    <cellStyle name="常规 7 6 2 2" xfId="16345"/>
    <cellStyle name="好 4 4" xfId="16346"/>
    <cellStyle name="标题 4 2 2 5 3 3" xfId="16347"/>
    <cellStyle name="20% - 强调文字颜色 4 2 2 2 2 2 2 2" xfId="16348"/>
    <cellStyle name="汇总 2 2 2 2 2 3" xfId="16349"/>
    <cellStyle name="输出 2 5 3 2 6" xfId="16350"/>
    <cellStyle name="强调文字颜色 1 2 2 3 9" xfId="16351"/>
    <cellStyle name="注释 3 4 5" xfId="16352"/>
    <cellStyle name="强调文字颜色 1 2 2 2 2 3" xfId="16353"/>
    <cellStyle name="常规 7 3 2 3 2" xfId="16354"/>
    <cellStyle name="20% - 强调文字颜色 4 2 4 4 3 2" xfId="16355"/>
    <cellStyle name="标题 1 2 2 2 5 2 3" xfId="16356"/>
    <cellStyle name="标题 5 2 2 3 3 3" xfId="16357"/>
    <cellStyle name="20% - 强调文字颜色 6 2 7 3 2 2" xfId="16358"/>
    <cellStyle name="警告文本 2 2 2 3 3" xfId="16359"/>
    <cellStyle name="超链接 2 3 3 3 3" xfId="16360"/>
    <cellStyle name="超链接 2 3 3 2 3 2" xfId="16361"/>
    <cellStyle name="标题 2 2 6 3 2" xfId="16362"/>
    <cellStyle name="注释 4 4" xfId="16363"/>
    <cellStyle name="差 6 2 2 2" xfId="16364"/>
    <cellStyle name="汇总 3 5 4" xfId="16365"/>
    <cellStyle name="40% - 强调文字颜色 2 2 3 3 3 2" xfId="16366"/>
    <cellStyle name="汇总 2 5 2 2 2 3 2 2" xfId="16367"/>
    <cellStyle name="计算 2 2 6 2 2 4 2 2" xfId="16368"/>
    <cellStyle name="链接单元格 2 3 2 2 2" xfId="16369"/>
    <cellStyle name="适中 2 2 4 4" xfId="16370"/>
    <cellStyle name="强调文字颜色 6 2 6" xfId="16371"/>
    <cellStyle name="汇总 2 6 2 7 2 2" xfId="16372"/>
    <cellStyle name="标题 4 2 5 2 3" xfId="16373"/>
    <cellStyle name="注释 2 4 5 4 2" xfId="16374"/>
    <cellStyle name="计算 2 8 2 4" xfId="16375"/>
    <cellStyle name="输出 2 2 5 15" xfId="16376"/>
    <cellStyle name="超链接 2 3 3 2 3" xfId="16377"/>
    <cellStyle name="强调文字颜色 5 3 7" xfId="16378"/>
    <cellStyle name="输入 2 2 4 2 3 8" xfId="16379"/>
    <cellStyle name="强调文字颜色 1 2 2 2 2 3 3" xfId="16380"/>
    <cellStyle name="常规 10 4 3 2 2" xfId="16381"/>
    <cellStyle name="汇总 2 2 5 2 2 3 4 2" xfId="16382"/>
    <cellStyle name="输出 2 2 3 5 3 3" xfId="16383"/>
    <cellStyle name="计算 2 2 16" xfId="16384"/>
    <cellStyle name="计算 2 2 21" xfId="16385"/>
    <cellStyle name="20% - 强调文字颜色 1 2 2 2 2 2 3 3 2 2" xfId="16386"/>
    <cellStyle name="标题 3 4 3 2 3" xfId="16387"/>
    <cellStyle name="汇总 2 5 4 5 2 2" xfId="16388"/>
    <cellStyle name="计算 2 2 8 5 2 3" xfId="16389"/>
    <cellStyle name="标题 2 2 6" xfId="16390"/>
    <cellStyle name="计算 2 4 3 2 3 3" xfId="16391"/>
    <cellStyle name="强调文字颜色 4 2 3 3 4" xfId="16392"/>
    <cellStyle name="计算 3 3 3 2 2 2" xfId="16393"/>
    <cellStyle name="常规 4 6 2 3" xfId="16394"/>
    <cellStyle name="60% - 强调文字颜色 6 2 3 3 2 2 2 3" xfId="16395"/>
    <cellStyle name="60% - 强调文字颜色 2 3 2 4 2 2" xfId="16396"/>
    <cellStyle name="常规 10 2 3 6" xfId="16397"/>
    <cellStyle name="汇总 2 10 3 4" xfId="16398"/>
    <cellStyle name="60% - 强调文字颜色 4 2 3 7" xfId="16399"/>
    <cellStyle name="20% - 强调文字颜色 4 3 5 2" xfId="16400"/>
    <cellStyle name="输出 2 2 3 2 2 3" xfId="16401"/>
    <cellStyle name="计算 2 2 3 4 2 4 2" xfId="16402"/>
    <cellStyle name="60% - 强调文字颜色 4 2 2 10" xfId="16403"/>
    <cellStyle name="标题 5 2 2 2 2 4" xfId="16404"/>
    <cellStyle name="20% - 强调文字颜色 3 2 4 4 2 2 2" xfId="16405"/>
    <cellStyle name="检查单元格 2 3 4 2" xfId="16406"/>
    <cellStyle name="无色 2" xfId="16407"/>
    <cellStyle name="标题 6 2 3 2 2 2" xfId="16408"/>
    <cellStyle name="汇总 4 4 4 2" xfId="16409"/>
    <cellStyle name="差 2 3 2 2 2 3" xfId="16410"/>
    <cellStyle name="40% - 强调文字颜色 2 2 3 4 2 2 2" xfId="16411"/>
    <cellStyle name="好 2 2 3" xfId="16412"/>
    <cellStyle name="汇总 2 2 4 2 3 4" xfId="16413"/>
    <cellStyle name="60% - 强调文字颜色 6 2 2 2 6" xfId="16414"/>
    <cellStyle name="40% - 强调文字颜色 1 2 3 3 3 2" xfId="16415"/>
    <cellStyle name="汇总 2 2 7 2 2 2" xfId="16416"/>
    <cellStyle name="汇总 2 2 3 3 2 2 3" xfId="16417"/>
    <cellStyle name="计算 2 2 4 2 10 2 2" xfId="16418"/>
    <cellStyle name="常规 5 4 3 5 2" xfId="16419"/>
    <cellStyle name="强调文字颜色 6 2 3 2 2 2 2 2 2" xfId="16420"/>
    <cellStyle name="强调文字颜色 5 2 2 2 2 4 2 2 2" xfId="16421"/>
    <cellStyle name="汇总 2 2 4 2 2 2 5 3" xfId="16422"/>
    <cellStyle name="60% - 强调文字颜色 1 2 3 2 4 2" xfId="16423"/>
    <cellStyle name="计算 2 6 11" xfId="16424"/>
    <cellStyle name="标题 4 2 4 7" xfId="16425"/>
    <cellStyle name="60% - 强调文字颜色 2 2 4 5 2" xfId="16426"/>
    <cellStyle name="汇总 2 2 6 4 2 2 2" xfId="16427"/>
    <cellStyle name="链接单元格 2 2 2 2 2" xfId="16428"/>
    <cellStyle name="60% - 强调文字颜色 2 2 2 3 5 2 2" xfId="16429"/>
    <cellStyle name="60% - 强调文字颜色 5 5 2 2 2 2" xfId="16430"/>
    <cellStyle name="汇总 2 2 4 10 2 2" xfId="16431"/>
    <cellStyle name="标题 4 2 3 6 2 3" xfId="16432"/>
    <cellStyle name="适中 2 4 4 2 2 2" xfId="16433"/>
    <cellStyle name="检查单元格 2 4 3 2 2 2" xfId="16434"/>
    <cellStyle name="60% - 强调文字颜色 4 2 3 2" xfId="16435"/>
    <cellStyle name="计算 2 2 6 2 6 2" xfId="16436"/>
    <cellStyle name="标题 2 2 4 5 2 2" xfId="16437"/>
    <cellStyle name="计算 3 2 2 3 2 2 2" xfId="16438"/>
    <cellStyle name="输入 4 6 2 2" xfId="16439"/>
    <cellStyle name="40% - 强调文字颜色 4 2 3 5 2 2 2" xfId="16440"/>
    <cellStyle name="60% - 强调文字颜色 6 2 2 3 2 2 3" xfId="16441"/>
    <cellStyle name="常规 6 2 3 2" xfId="16442"/>
    <cellStyle name="60% - 强调文字颜色 6 3 2 2 2 2 3" xfId="16443"/>
    <cellStyle name="常规 13 4 3 3 3" xfId="16444"/>
    <cellStyle name="常规 5 2 2 2 6 3" xfId="16445"/>
    <cellStyle name="20% - 强调文字颜色 6 4 2 3" xfId="16446"/>
    <cellStyle name="汇总 2 2 7 5 2" xfId="16447"/>
    <cellStyle name="20% - 强调文字颜色 5 2 2 2 2 5" xfId="16448"/>
    <cellStyle name="输出 2 2 4 2 4 2 2" xfId="16449"/>
    <cellStyle name="20% - 强调文字颜色 6 2 3 2 2 3" xfId="16450"/>
    <cellStyle name="计算 2 2 4 2 5 6" xfId="16451"/>
    <cellStyle name="注释 2 3 3 2 2 3" xfId="16452"/>
    <cellStyle name="计算 2 8 5 2 2 2" xfId="16453"/>
    <cellStyle name="60% - 强调文字颜色 2 2 2 6" xfId="16454"/>
    <cellStyle name="60% - 强调文字颜色 4 3 4" xfId="16455"/>
    <cellStyle name="计算 2 2 4 3 7 2" xfId="16456"/>
    <cellStyle name="60% - 强调文字颜色 2 3 4 2" xfId="16457"/>
    <cellStyle name="计算 2 2 6 3 7" xfId="16458"/>
    <cellStyle name="计算 2 2 2 2 3 4 2" xfId="16459"/>
    <cellStyle name="标题 2 2 4 5 2" xfId="16460"/>
    <cellStyle name="标题 2 2 2 6" xfId="16461"/>
    <cellStyle name="40% - 强调文字颜色 6 2 5 2 2 2 2" xfId="16462"/>
    <cellStyle name="标题 4 3 3 3" xfId="16463"/>
    <cellStyle name="强调文字颜色 4 2 6 4" xfId="16464"/>
    <cellStyle name="标题 5 2 4 2 3 2" xfId="16465"/>
    <cellStyle name="标题 3 2 2 2 3 6" xfId="16466"/>
    <cellStyle name="输入 2 2 5 8" xfId="16467"/>
    <cellStyle name="60% - 强调文字颜色 4 2 2 2 3 2 2 2" xfId="16468"/>
    <cellStyle name="40% - 强调文字颜色 3 2 2 2 2 3 3 2" xfId="16469"/>
    <cellStyle name="差 2 11" xfId="16470"/>
    <cellStyle name="标题 3 3 4 3" xfId="16471"/>
    <cellStyle name="强调文字颜色 4 2 4 4 2 3" xfId="16472"/>
    <cellStyle name="计算 2 2 7 6 3" xfId="16473"/>
    <cellStyle name="输入 2 8 6 2 2" xfId="16474"/>
    <cellStyle name="输出 2 3 2 2 6" xfId="16475"/>
    <cellStyle name="差 2 2 4 3 2 2 2" xfId="16476"/>
    <cellStyle name="60% - 强调文字颜色 4 2 5 3 2 2" xfId="16477"/>
    <cellStyle name="强调文字颜色 1 2 2 2 2 2 2 2 3" xfId="16478"/>
    <cellStyle name="计算 2 5 3 9" xfId="16479"/>
    <cellStyle name="输入 2 2 6 4 5" xfId="16480"/>
    <cellStyle name="标题 2 2 3 8" xfId="16481"/>
    <cellStyle name="汇总 5 2 3" xfId="16482"/>
    <cellStyle name="20% - 强调文字颜色 3 2 2 2 2 2 2 2 2 2 2" xfId="16483"/>
    <cellStyle name="60% - 强调文字颜色 4 2 2 4 3 2 2" xfId="16484"/>
    <cellStyle name="强调文字颜色 5 2 4 2 2 2 2" xfId="16485"/>
    <cellStyle name="说明文本 2 3 2 2" xfId="16486"/>
    <cellStyle name="汇总 2 2 3 3 3 2 2" xfId="16487"/>
    <cellStyle name="输入 2 2 2 3 2 3" xfId="16488"/>
    <cellStyle name="40% - 强调文字颜色 5 2 3 2 2 3 3 2" xfId="16489"/>
    <cellStyle name="常规 5 2 2 4" xfId="16490"/>
    <cellStyle name="60% - 强调文字颜色 1 2 2 3 5 2 2" xfId="16491"/>
    <cellStyle name="20% - 强调文字颜色 3 2 4 2 2" xfId="16492"/>
    <cellStyle name="常规 7 2 2 2 3 2" xfId="16493"/>
    <cellStyle name="输出 2 6 2 5 3" xfId="16494"/>
    <cellStyle name="汇总 2 2 8 7 3" xfId="16495"/>
    <cellStyle name="标题 2 2 2 2 2 2 2 3" xfId="16496"/>
    <cellStyle name="输入 2 2 3 2 2 5" xfId="16497"/>
    <cellStyle name="输入 5 3" xfId="16498"/>
    <cellStyle name="60% - 强调文字颜色 4 2 2 2 4" xfId="16499"/>
    <cellStyle name="解释性文本 2 6 3 2" xfId="16500"/>
    <cellStyle name="输出 2 7 2 4" xfId="16501"/>
    <cellStyle name="输入 2 2 4 3 2 3 2 2" xfId="16502"/>
    <cellStyle name="40% - 强调文字颜色 6 2 5 3 3" xfId="16503"/>
    <cellStyle name="链接单元格 2 2 3 3 2" xfId="16504"/>
    <cellStyle name="常规 5 2 5 2 2 2" xfId="16505"/>
    <cellStyle name="20% - 强调文字颜色 5 2 4 4 2" xfId="16506"/>
    <cellStyle name="60% - 强调文字颜色 3 4 2 4" xfId="16507"/>
    <cellStyle name="标题 2 2 3 5" xfId="16508"/>
    <cellStyle name="计算 2 3 2 4 2 2" xfId="16509"/>
    <cellStyle name="汇总 2 4 3 6" xfId="16510"/>
    <cellStyle name="标题 3 2 2 4 2 2 3" xfId="16511"/>
    <cellStyle name="输入 2 4 4 4 3" xfId="16512"/>
    <cellStyle name="标题 5 6 3 2 2" xfId="16513"/>
    <cellStyle name="汇总 2 2 8 2 5 2 2" xfId="16514"/>
    <cellStyle name="标题 4 6" xfId="16515"/>
    <cellStyle name="60% - 强调文字颜色 3 2 2 3 3 2" xfId="16516"/>
    <cellStyle name="计算 2 2 4 6 2" xfId="16517"/>
    <cellStyle name="输入 2 2 3 5 2 2" xfId="16518"/>
    <cellStyle name="20% - 强调文字颜色 1 2 2 6" xfId="16519"/>
    <cellStyle name="输入 2 5 2 2 2 2 2 2 2" xfId="16520"/>
    <cellStyle name="标题 2 2 3 4 3" xfId="16521"/>
    <cellStyle name="输入 3 2 3 2 2" xfId="16522"/>
    <cellStyle name="40% - 强调文字颜色 1 2 2 5" xfId="16523"/>
    <cellStyle name="40% - 强调文字颜色 2 6 2" xfId="16524"/>
    <cellStyle name="常规 4 2 6 3 2" xfId="16525"/>
    <cellStyle name="60% - 强调文字颜色 4 2 3 6" xfId="16526"/>
    <cellStyle name="常规 10 2 2 5 2" xfId="16527"/>
    <cellStyle name="汇总 2 10 3 3" xfId="16528"/>
    <cellStyle name="汇总 2 2 2 2 3 2" xfId="16529"/>
    <cellStyle name="汇总 2 8 3 2 6" xfId="16530"/>
    <cellStyle name="标题 2 2 3 4 2 3" xfId="16531"/>
    <cellStyle name="常规 5 2 3" xfId="16532"/>
    <cellStyle name="40% - 强调文字颜色 4 2 4 5 2 2" xfId="16533"/>
    <cellStyle name="输入 2 2 4 2 2" xfId="16534"/>
    <cellStyle name="输出 2 2 3 2 3 2" xfId="16535"/>
    <cellStyle name="汇总 3 15" xfId="16536"/>
    <cellStyle name="强调文字颜色 3 2 2 3 3" xfId="16537"/>
    <cellStyle name="标题 1 3 10" xfId="16538"/>
    <cellStyle name="20% - 强调文字颜色 5 2 2 4 3 2 2 2" xfId="16539"/>
    <cellStyle name="标题 2 4 2 2 2" xfId="16540"/>
    <cellStyle name="计算 2 7 6 2 2 2" xfId="16541"/>
    <cellStyle name="注释 2 2 4 2 2 3" xfId="16542"/>
    <cellStyle name="常规 14 5" xfId="16543"/>
    <cellStyle name="标题 5 2 6 3 2" xfId="16544"/>
    <cellStyle name="标题 2 2 3 3 2 2 2" xfId="16545"/>
    <cellStyle name="计算 2 2 5 2 2 5 2 2" xfId="16546"/>
    <cellStyle name="汇总 2 5 9 2" xfId="16547"/>
    <cellStyle name="常规 11 2 2 2" xfId="16548"/>
    <cellStyle name="常规 6 2 5 3 2 2" xfId="16549"/>
    <cellStyle name="输入 2 6 9" xfId="16550"/>
    <cellStyle name="40% - 强调文字颜色 4 2 6 2 2 2" xfId="16551"/>
    <cellStyle name="标题 4 2 2 6 3 2 2" xfId="16552"/>
    <cellStyle name="40% - 强调文字颜色 2 3 2" xfId="16553"/>
    <cellStyle name="输入 2 2 4 2 3 2 6" xfId="16554"/>
    <cellStyle name="注释 2 7 3 3" xfId="16555"/>
    <cellStyle name="汇总 2 4 3 6 2 2" xfId="16556"/>
    <cellStyle name="标题 2 3 4 2 3" xfId="16557"/>
    <cellStyle name="常规 7 2 2 2 2" xfId="16558"/>
    <cellStyle name="计算 2 5 6 2" xfId="16559"/>
    <cellStyle name="常规 3 3 3 2 2" xfId="16560"/>
    <cellStyle name="注释 8 2 2" xfId="16561"/>
    <cellStyle name="40% - 强调文字颜色 6 2 3 3 2 2" xfId="16562"/>
    <cellStyle name="常规 10 3 2 2 3 2" xfId="16563"/>
    <cellStyle name="标题 3 2 4 4 3" xfId="16564"/>
    <cellStyle name="20% - 强调文字颜色 4 2 2 2 2 2 4" xfId="16565"/>
    <cellStyle name="汇总 2 5 2 6 4 2" xfId="16566"/>
    <cellStyle name="强调文字颜色 2 3 2 5" xfId="16567"/>
    <cellStyle name="汇总 2 2 3 3 3 4" xfId="16568"/>
    <cellStyle name="输入 2 2 4 2 2 2 4 2 2" xfId="16569"/>
    <cellStyle name="汇总 2 2 2 2 2 6 3" xfId="16570"/>
    <cellStyle name="输入 4 2 4 2 2" xfId="16571"/>
    <cellStyle name="标题 1 2 2 2 2 4 2" xfId="16572"/>
    <cellStyle name="标题 2 2 3 2 2 2 2" xfId="16573"/>
    <cellStyle name="输出 2 2 3 6 2" xfId="16574"/>
    <cellStyle name="输出 2 7 3 4" xfId="16575"/>
    <cellStyle name="20% - 强调文字颜色 4 2 2 4 3 3" xfId="16576"/>
    <cellStyle name="常规 5 3" xfId="16577"/>
    <cellStyle name="差 2 2 2 2 4 2" xfId="16578"/>
    <cellStyle name="汇总 2 2 6 5 7" xfId="16579"/>
    <cellStyle name="强调文字颜色 4 2 2 2 7" xfId="16580"/>
    <cellStyle name="输入 2 2 4 5 2 2 2 2" xfId="16581"/>
    <cellStyle name="20% - 强调文字颜色 2 2 2 6 2 2" xfId="16582"/>
    <cellStyle name="强调文字颜色 3 2 2 2 4 3 3" xfId="16583"/>
    <cellStyle name="20% - 强调文字颜色 5 2 2 4 4" xfId="16584"/>
    <cellStyle name="标题 2 5" xfId="16585"/>
    <cellStyle name="20% - 强调文字颜色 6 3 2 2 2 2 2 2" xfId="16586"/>
    <cellStyle name="20% - 强调文字颜色 3 6 2" xfId="16587"/>
    <cellStyle name="强调文字颜色 2 2 4 5 2" xfId="16588"/>
    <cellStyle name="标题 2 2 2 5 2" xfId="16589"/>
    <cellStyle name="常规 2 2 2 3 4" xfId="16590"/>
    <cellStyle name="常规 13 2 2 2 2 5" xfId="16591"/>
    <cellStyle name="汇总 5 2 4" xfId="16592"/>
    <cellStyle name="强调文字颜色 5 2 4 2 2 2 3" xfId="16593"/>
    <cellStyle name="标题 2 2 3 9" xfId="16594"/>
    <cellStyle name="差 2 3 3 2 2 2 3" xfId="16595"/>
    <cellStyle name="超链接 3 3 2" xfId="16596"/>
    <cellStyle name="输入 2 7 3" xfId="16597"/>
    <cellStyle name="计算 2 2 5 2 2 3 2 2" xfId="16598"/>
    <cellStyle name="标题 4 2 3" xfId="16599"/>
    <cellStyle name="60% - 强调文字颜色 3 2 3 5 2" xfId="16600"/>
    <cellStyle name="常规 5 3 2 2 2 4" xfId="16601"/>
    <cellStyle name="常规 6 3 3 2 2 2" xfId="16602"/>
    <cellStyle name="输入 2 6 3 6" xfId="16603"/>
    <cellStyle name="超链接 3 2 2 6" xfId="16604"/>
    <cellStyle name="标题 2 2 2 4 2 3 3" xfId="16605"/>
    <cellStyle name="计算 2 2 4 3 7" xfId="16606"/>
    <cellStyle name="60% - 强调文字颜色 2 3 4" xfId="16607"/>
    <cellStyle name="强调文字颜色 5 2 2 4 4" xfId="16608"/>
    <cellStyle name="常规 10 2 2 2 2 5" xfId="16609"/>
    <cellStyle name="汇总 2 2 8 3 3 2 2" xfId="16610"/>
    <cellStyle name="标题 2 2 2 3 6 2" xfId="16611"/>
    <cellStyle name="常规 4 2 3 3 2 2" xfId="16612"/>
    <cellStyle name="汇总 3 2 10" xfId="16613"/>
    <cellStyle name="强调文字颜色 1 3 10" xfId="16614"/>
    <cellStyle name="20% - 强调文字颜色 3 2 3 2 4 3 2 2" xfId="16615"/>
    <cellStyle name="常规 13 4 3" xfId="16616"/>
    <cellStyle name="输出 2 2 4 2 2 2 6" xfId="16617"/>
    <cellStyle name="常规 2 3 2 4 2 2 2" xfId="16618"/>
    <cellStyle name="20% - 强调文字颜色 6 2 3 2 2 2 2 2 2 2" xfId="16619"/>
    <cellStyle name="20% - 强调文字颜色 1 4 2 2" xfId="16620"/>
    <cellStyle name="强调文字颜色 2 2 2 3 2 2" xfId="16621"/>
    <cellStyle name="输入 2 5 2 4 2 4" xfId="16622"/>
    <cellStyle name="汇总 3 2 2 3 3 2 2" xfId="16623"/>
    <cellStyle name="标题 2 2 2 3 5 3" xfId="16624"/>
    <cellStyle name="汇总 2 2 2 5 3 2" xfId="16625"/>
    <cellStyle name="强调文字颜色 2 2 3 2 3 2 2 2" xfId="16626"/>
    <cellStyle name="汇总 2 2 4 12 2" xfId="16627"/>
    <cellStyle name="20% - 强调文字颜色 2 3 3 2 2 2" xfId="16628"/>
    <cellStyle name="计算 2 2 3 2 2 2 2 2 2" xfId="16629"/>
    <cellStyle name="超链接 3 3 2 3 4" xfId="16630"/>
    <cellStyle name="40% - 强调文字颜色 2 2 4 2 2" xfId="16631"/>
    <cellStyle name="输入 2 2 7 5" xfId="16632"/>
    <cellStyle name="标题 3 2 2 2 5 3" xfId="16633"/>
    <cellStyle name="60% - 强调文字颜色 5 2 2 2 2 3 2 2 2" xfId="16634"/>
    <cellStyle name="60% - 强调文字颜色 4 3 3 4" xfId="16635"/>
    <cellStyle name="汇总 2 5 2 3 6 3" xfId="16636"/>
    <cellStyle name="常规 5 2 3 4 4" xfId="16637"/>
    <cellStyle name="计算 2 2 6 16" xfId="16638"/>
    <cellStyle name="强调文字颜色 5 2 2 2 6" xfId="16639"/>
    <cellStyle name="标题 2 2 2 3 4 4" xfId="16640"/>
    <cellStyle name="汇总 2 2 4 2 2 2 2 3 2" xfId="16641"/>
    <cellStyle name="注释 2 2 5 8" xfId="16642"/>
    <cellStyle name="40% - 强调文字颜色 5 2 2 4 3" xfId="16643"/>
    <cellStyle name="好 2 3 2 4 3" xfId="16644"/>
    <cellStyle name="输出 2 2 4 11" xfId="16645"/>
    <cellStyle name="汇总 3 2 3 4 2 2" xfId="16646"/>
    <cellStyle name="汇总 2 2 2 4 2 4" xfId="16647"/>
    <cellStyle name="汇总 2 9 2 2 3" xfId="16648"/>
    <cellStyle name="标题 1 2 3 3 2 2" xfId="16649"/>
    <cellStyle name="输出 2 6 4 5" xfId="16650"/>
    <cellStyle name="强调文字颜色 5 2 2 2 5" xfId="16651"/>
    <cellStyle name="常规 4 8 4 2" xfId="16652"/>
    <cellStyle name="标题 5 3 3 2 2 2 2" xfId="16653"/>
    <cellStyle name="40% - 强调文字颜色 6 2 7 2 2" xfId="16654"/>
    <cellStyle name="强调文字颜色 6 2 4 4 2 3" xfId="16655"/>
    <cellStyle name="汇总 2 2 2 5 2 2" xfId="16656"/>
    <cellStyle name="输入 2 4 2 3 2 2 2" xfId="16657"/>
    <cellStyle name="标题 2 2 2 3 4 3" xfId="16658"/>
    <cellStyle name="强调文字颜色 1 2 2 3 2 2 2 3" xfId="16659"/>
    <cellStyle name="60% - 强调文字颜色 6 3 2 3 2" xfId="16660"/>
    <cellStyle name="计算 2 4 2 3 3 2 2" xfId="16661"/>
    <cellStyle name="常规 5 7" xfId="16662"/>
    <cellStyle name="输出 2 2 4 2" xfId="16663"/>
    <cellStyle name="输出 3 10 2" xfId="16664"/>
    <cellStyle name="注释 2 2 2 2 2 2 2" xfId="16665"/>
    <cellStyle name="注释 4 6 2 2" xfId="16666"/>
    <cellStyle name="20% - 强调文字颜色 1 2 3 3 2 2" xfId="16667"/>
    <cellStyle name="60% - 强调文字颜色 5 2 3 3 2 2 2 2" xfId="16668"/>
    <cellStyle name="常规 2 4" xfId="16669"/>
    <cellStyle name="60% - 强调文字颜色 4 2 5 3" xfId="16670"/>
    <cellStyle name="差 2 2 4 3 2" xfId="16671"/>
    <cellStyle name="汇总 2 5 2 2 8 2" xfId="16672"/>
    <cellStyle name="常规 5 2 2 6 3" xfId="16673"/>
    <cellStyle name="常规 10 2 3 5" xfId="16674"/>
    <cellStyle name="常规 10 4 3 4" xfId="16675"/>
    <cellStyle name="注释 2 2 3 3 2 3" xfId="16676"/>
    <cellStyle name="汇总 2 2 6 2 5 2" xfId="16677"/>
    <cellStyle name="计算 2 7 5 3 2 2" xfId="16678"/>
    <cellStyle name="汇总 2 2 3 2 2 5 3" xfId="16679"/>
    <cellStyle name="计算 2 3 3 9" xfId="16680"/>
    <cellStyle name="60% - 强调文字颜色 3 2 3 2 6" xfId="16681"/>
    <cellStyle name="标题 3 2 2 2 2 2 5" xfId="16682"/>
    <cellStyle name="输入 2 2 4 4 5" xfId="16683"/>
    <cellStyle name="注释 2 6 5 2" xfId="16684"/>
    <cellStyle name="标题 2 3 3 4 2" xfId="16685"/>
    <cellStyle name="60% - 强调文字颜色 4 2 2 6 2 2 2" xfId="16686"/>
    <cellStyle name="标题 4 2 4 5 3" xfId="16687"/>
    <cellStyle name="输入 2 3 8 2 2" xfId="16688"/>
    <cellStyle name="常规 2 3 4 3 2 2" xfId="16689"/>
    <cellStyle name="计算 2 6 2 2 2 2" xfId="16690"/>
    <cellStyle name="输入 2 2 16 2" xfId="16691"/>
    <cellStyle name="汇总 2 2 5 5 4 2" xfId="16692"/>
    <cellStyle name="20% - 强调文字颜色 6 2 2 5 2" xfId="16693"/>
    <cellStyle name="60% - 强调文字颜色 2 3 2 2 2 2" xfId="16694"/>
    <cellStyle name="计算 2 2 5 3 2 2 3" xfId="16695"/>
    <cellStyle name="计算 2 2 2 2 2" xfId="16696"/>
    <cellStyle name="输入 2 2 8 7 3" xfId="16697"/>
    <cellStyle name="警告文本 2 4 2 3" xfId="16698"/>
    <cellStyle name="标题 5 2 6 2" xfId="16699"/>
    <cellStyle name="输出 2 2 3 3 3 2" xfId="16700"/>
    <cellStyle name="汇总 2 2 4 4 6 3" xfId="16701"/>
    <cellStyle name="计算 2 7 4 3 2 2" xfId="16702"/>
    <cellStyle name="注释 2 2 2 3 2 3" xfId="16703"/>
    <cellStyle name="汇总 2 2 5 2 5 2" xfId="16704"/>
    <cellStyle name="40% - 强调文字颜色 3 2 2 2 4 3 2 2" xfId="16705"/>
    <cellStyle name="常规 5 4 2 3 3 2" xfId="16706"/>
    <cellStyle name="计算 2 2 2 2 2 2 2" xfId="16707"/>
    <cellStyle name="20% - 强调文字颜色 5 2 2 2 2 2 4 2 2" xfId="16708"/>
    <cellStyle name="标题 2 6 2 2 2" xfId="16709"/>
    <cellStyle name="汇总 2 2 5 2 4 2 2" xfId="16710"/>
    <cellStyle name="60% - 强调文字颜色 4 2 3 2 3 3 2" xfId="16711"/>
    <cellStyle name="20% - 强调文字颜色 3 2 5 3 2" xfId="16712"/>
    <cellStyle name="标题 3 3 4 2 2 2" xfId="16713"/>
    <cellStyle name="标题 2 2 2 3 3 3 3" xfId="16714"/>
    <cellStyle name="输入 2 2 4 3 2 5" xfId="16715"/>
    <cellStyle name="标题 2 2 2 3 3 2 2 2" xfId="16716"/>
    <cellStyle name="好 2 2 3 4 2 2 2" xfId="16717"/>
    <cellStyle name="适中 2 2 9" xfId="16718"/>
    <cellStyle name="输出 2 7 6 2 2" xfId="16719"/>
    <cellStyle name="60% - 强调文字颜色 1 2 3 3 2" xfId="16720"/>
    <cellStyle name="标题 2 2 2 2 2 4 3 2" xfId="16721"/>
    <cellStyle name="60% - 强调文字颜色 4 2 3 2 4 2" xfId="16722"/>
    <cellStyle name="标题 2 2 2 3 2 2 2 2 2" xfId="16723"/>
    <cellStyle name="常规 5 2 4 2 5" xfId="16724"/>
    <cellStyle name="强调文字颜色 6 2 2 2 2 2 2 3" xfId="16725"/>
    <cellStyle name="60% - 强调文字颜色 2 2 3 3 3 2" xfId="16726"/>
    <cellStyle name="计算 2 5 4 5" xfId="16727"/>
    <cellStyle name="60% - 强调文字颜色 3 2 5 3 2" xfId="16728"/>
    <cellStyle name="40% - 强调文字颜色 6 2 2 2 2 4 2 2" xfId="16729"/>
    <cellStyle name="计算 2 2 4 4 3 3 3" xfId="16730"/>
    <cellStyle name="计算 2 5 2 4 8" xfId="16731"/>
    <cellStyle name="解释性文本 2 4 5" xfId="16732"/>
    <cellStyle name="20% - 强调文字颜色 4 2 2 2 2 2 3" xfId="16733"/>
    <cellStyle name="计算 2 2 6 6 4 2" xfId="16734"/>
    <cellStyle name="40% - 强调文字颜色 5 2 2 2 2 2 2 2 2 2" xfId="16735"/>
    <cellStyle name="标题 3 2 4 4 2" xfId="16736"/>
    <cellStyle name="计算 2 6 2 2 2 5 2" xfId="16737"/>
    <cellStyle name="标题 4 2 4 3" xfId="16738"/>
    <cellStyle name="60% - 强调文字颜色 5 2 2 5 2 2" xfId="16739"/>
    <cellStyle name="强调文字颜色 3 2 3 2 3 2 3" xfId="16740"/>
    <cellStyle name="标题 1 2 3 6" xfId="16741"/>
    <cellStyle name="常规 9 4 4 3" xfId="16742"/>
    <cellStyle name="输出 2 4 4 3 2" xfId="16743"/>
    <cellStyle name="常规 2 3 2 3 2" xfId="16744"/>
    <cellStyle name="标题 1 3 3 5" xfId="16745"/>
    <cellStyle name="强调文字颜色 3 2 3 2 4 2 2" xfId="16746"/>
    <cellStyle name="20% - 强调文字颜色 1 2 2 2 3 3" xfId="16747"/>
    <cellStyle name="汇总 3 2 2 7 2" xfId="16748"/>
    <cellStyle name="输入 2 5 2 3 4 2" xfId="16749"/>
    <cellStyle name="汇总 2 2 3 5 2 3" xfId="16750"/>
    <cellStyle name="输入 2 2 2 2 2 2 7" xfId="16751"/>
    <cellStyle name="汇总 2 5 4 2 3 2 2" xfId="16752"/>
    <cellStyle name="输出 2 2 3 2 13" xfId="16753"/>
    <cellStyle name="适中 2 2 2 4 2 2" xfId="16754"/>
    <cellStyle name="差 2 3 2 2 3 3" xfId="16755"/>
    <cellStyle name="40% - 强调文字颜色 5 2 3" xfId="16756"/>
    <cellStyle name="好 2 3 3" xfId="16757"/>
    <cellStyle name="标题 2 2 2 2 2 4 2 2" xfId="16758"/>
    <cellStyle name="输入 2 2 3 4 2 4" xfId="16759"/>
    <cellStyle name="60% - 强调文字颜色 3 2 2 2 3 4" xfId="16760"/>
    <cellStyle name="强调文字颜色 6 6" xfId="16761"/>
    <cellStyle name="计算 2 2 3 2 6 3" xfId="16762"/>
    <cellStyle name="60% - 强调文字颜色 1 2 3 3" xfId="16763"/>
    <cellStyle name="60% - 强调文字颜色 4 2 3 2 4" xfId="16764"/>
    <cellStyle name="标题 3 2 3 2 2 2 3" xfId="16765"/>
    <cellStyle name="常规 9 2 2 2 3 2 2 2" xfId="16766"/>
    <cellStyle name="计算 2 6 2 2 2 5" xfId="16767"/>
    <cellStyle name="输入 2 2 5 2 2 4" xfId="16768"/>
    <cellStyle name="标题 2 2 2 2 4 2 2 2" xfId="16769"/>
    <cellStyle name="60% - 强调文字颜色 3 2 2 3 6" xfId="16770"/>
    <cellStyle name="计算 2 2 4 9" xfId="16771"/>
    <cellStyle name="输入 2 6 3 2 2 2 2" xfId="16772"/>
    <cellStyle name="超链接 3 2 2 2 2 2 2" xfId="16773"/>
    <cellStyle name="常规 9 7 3" xfId="16774"/>
    <cellStyle name="汇总 2 6 3 3 3" xfId="16775"/>
    <cellStyle name="40% - 强调文字颜色 1 2 3 2 2 2 2 2 2 2" xfId="16776"/>
    <cellStyle name="汇总 2 3 2 2 4 2 2" xfId="16777"/>
    <cellStyle name="汇总 6 2 3" xfId="16778"/>
    <cellStyle name="60% - 强调文字颜色 4 2 2 4 4 2 2" xfId="16779"/>
    <cellStyle name="20% - 强调文字颜色 1 2 6 3 2" xfId="16780"/>
    <cellStyle name="注释 2 2 5 2 2" xfId="16781"/>
    <cellStyle name="输入 2 6 2 3 2 2" xfId="16782"/>
    <cellStyle name="汇总 4 2 2 5 2" xfId="16783"/>
    <cellStyle name="输入 2 4 2 2 4 2 2" xfId="16784"/>
    <cellStyle name="常规 2 3 2 4 3 2 2" xfId="16785"/>
    <cellStyle name="解释性文本 4 3 2" xfId="16786"/>
    <cellStyle name="60% - 强调文字颜色 5 2 3 5" xfId="16787"/>
    <cellStyle name="计算 2 7 2 2 4 3" xfId="16788"/>
    <cellStyle name="40% - 强调文字颜色 4 2 2 2 6 2 2" xfId="16789"/>
    <cellStyle name="汇总 2 8 2 2 3" xfId="16790"/>
    <cellStyle name="40% - 强调文字颜色 6 2 3 2 4 3" xfId="16791"/>
    <cellStyle name="标题 1 2 2 3 2 2" xfId="16792"/>
    <cellStyle name="标题 1 3 4 2 2" xfId="16793"/>
    <cellStyle name="强调文字颜色 4 2 2 4 2 2 2" xfId="16794"/>
    <cellStyle name="40% - 强调文字颜色 4 2 2 5 3 2 2" xfId="16795"/>
    <cellStyle name="注释 3 3 2 2 3" xfId="16796"/>
    <cellStyle name="解释性文本 2 8 2" xfId="16797"/>
    <cellStyle name="汇总 2 2 8 3 2 4" xfId="16798"/>
    <cellStyle name="计算 3 2 2 2 4 2" xfId="16799"/>
    <cellStyle name="标题 2 2 2 2 8" xfId="16800"/>
    <cellStyle name="输入 3 8 2" xfId="16801"/>
    <cellStyle name="输入 2 5 6 2 2" xfId="16802"/>
    <cellStyle name="常规 5 2 3 7" xfId="16803"/>
    <cellStyle name="20% - 强调文字颜色 5 2 2 4 5 2" xfId="16804"/>
    <cellStyle name="标题 2 6 2" xfId="16805"/>
    <cellStyle name="汇总 2 2 5 2 4" xfId="16806"/>
    <cellStyle name="60% - 强调文字颜色 6 2 2 7 2" xfId="16807"/>
    <cellStyle name="计算 2 2 2 2 3 4 2 2" xfId="16808"/>
    <cellStyle name="60% - 强调文字颜色 6 2 4 4 3" xfId="16809"/>
    <cellStyle name="输出 2 4 2 2 6" xfId="16810"/>
    <cellStyle name="检查单元格 2 2 3 2 2 2 3" xfId="16811"/>
    <cellStyle name="20% - 强调文字颜色 5 2 3 2 4" xfId="16812"/>
    <cellStyle name="计算 2 4 2 3 3 2" xfId="16813"/>
    <cellStyle name="60% - 强调文字颜色 6 3 2 3" xfId="16814"/>
    <cellStyle name="20% - 强调文字颜色 6 2 6 3" xfId="16815"/>
    <cellStyle name="汇总 2 2 5 9 2" xfId="16816"/>
    <cellStyle name="强调文字颜色 6 2 3 4 2 3" xfId="16817"/>
    <cellStyle name="警告文本 2 2 2 4 4" xfId="16818"/>
    <cellStyle name="警告文本 2 2 3 3 2 3" xfId="16819"/>
    <cellStyle name="20% - 强调文字颜色 4 2 10 2" xfId="16820"/>
    <cellStyle name="输出 2 6 2 7" xfId="16821"/>
    <cellStyle name="20% - 强调文字颜色 3 3 2 2 3 2 2" xfId="16822"/>
    <cellStyle name="输入 2 2 2 10" xfId="16823"/>
    <cellStyle name="常规 7 3 2 3 2 2" xfId="16824"/>
    <cellStyle name="常规 8 3" xfId="16825"/>
    <cellStyle name="百分比 2 3" xfId="16826"/>
    <cellStyle name="输入 2 2 2 2 6" xfId="16827"/>
    <cellStyle name="输出 2 2 4 4 5" xfId="16828"/>
    <cellStyle name="汇总 5 2 6" xfId="16829"/>
    <cellStyle name="适中 2 2 3 2 3" xfId="16830"/>
    <cellStyle name="输出 4 2 2 2 3" xfId="16831"/>
    <cellStyle name="20% - 强调文字颜色 5 3 2 2 4" xfId="16832"/>
    <cellStyle name="汇总 2 7 4 2 4" xfId="16833"/>
    <cellStyle name="40% - 强调文字颜色 2 2 3 7" xfId="16834"/>
    <cellStyle name="计算 2 6 2 2 7 2" xfId="16835"/>
    <cellStyle name="输入 2 2 5 2 2 2 3 2" xfId="16836"/>
    <cellStyle name="常规 2 2_light steel" xfId="16837"/>
    <cellStyle name="20% - 强调文字颜色 1 2 3 7 2" xfId="16838"/>
    <cellStyle name="强调文字颜色 5 2 2 3 4 3" xfId="16839"/>
    <cellStyle name="60% - 强调文字颜色 3 2 2 3 4 3 2" xfId="16840"/>
    <cellStyle name="40% - 强调文字颜色 2 4 4" xfId="16841"/>
    <cellStyle name="20% - 强调文字颜色 5 2 6 3 2 2" xfId="16842"/>
    <cellStyle name="标题 3 2 3 3" xfId="16843"/>
    <cellStyle name="计算 2 2 6 5 3" xfId="16844"/>
    <cellStyle name="输入 2 5 8 3" xfId="16845"/>
    <cellStyle name="20% - 强调文字颜色 6 2 2 4 4 2" xfId="16846"/>
    <cellStyle name="计算 2 6 4 2 3" xfId="16847"/>
    <cellStyle name="输入 2 2 2 3 2 6" xfId="16848"/>
    <cellStyle name="标题 1 2 2 2 2 5 2 2" xfId="16849"/>
    <cellStyle name="解释性文本 2 3 2 6 3" xfId="16850"/>
    <cellStyle name="计算 2 2 5 4 2 2 2" xfId="16851"/>
    <cellStyle name="汇总 2 2 4 2 3 2 3 2" xfId="16852"/>
    <cellStyle name="60% - 强调文字颜色 6 2 2 2 4 3 2" xfId="16853"/>
    <cellStyle name="计算 4 7 3" xfId="16854"/>
    <cellStyle name="汇总 2 2 6 2" xfId="16855"/>
    <cellStyle name="40% - 强调文字颜色 1 2 2 3 3 2 2 2" xfId="16856"/>
    <cellStyle name="标题 5 2 2 2 3 3" xfId="16857"/>
    <cellStyle name="20% - 强调文字颜色 5 6" xfId="16858"/>
    <cellStyle name="常规 9 3 6" xfId="16859"/>
    <cellStyle name="20% - 强调文字颜色 6 2 7 2 2 2" xfId="16860"/>
    <cellStyle name="60% - 强调文字颜色 6 4 2 3" xfId="16861"/>
    <cellStyle name="计算 2 2 10 2 3 2" xfId="16862"/>
    <cellStyle name="常规 5 4 4 3 3" xfId="16863"/>
    <cellStyle name="输入 2 2 3 2 2 2 2 2 2" xfId="16864"/>
    <cellStyle name="标题 3 2 7" xfId="16865"/>
    <cellStyle name="计算 2 2 6 9" xfId="16866"/>
    <cellStyle name="汇总 2 5 3 2 3 3" xfId="16867"/>
    <cellStyle name="60% - 强调文字颜色 3 2 4 4 2" xfId="16868"/>
    <cellStyle name="60% - 强调文字颜色 2 2 3 2 4 2" xfId="16869"/>
    <cellStyle name="输出 2 2 9 6" xfId="16870"/>
    <cellStyle name="20% - 强调文字颜色 2 2 3 2 3" xfId="16871"/>
    <cellStyle name="强调文字颜色 4 4 2 4" xfId="16872"/>
    <cellStyle name="强调文字颜色 6 2 2 2 2 3 3 2" xfId="16873"/>
    <cellStyle name="20% - 强调文字颜色 5 2 3 2 2 4 3 2" xfId="16874"/>
    <cellStyle name="强调文字颜色 1 2 3 5" xfId="16875"/>
    <cellStyle name="汇总 2 2 2 6 3 3" xfId="16876"/>
    <cellStyle name="60% - 强调文字颜色 5 2 2 2 2 4 2" xfId="16877"/>
    <cellStyle name="警告文本 2 2 2 2 3 3 3" xfId="16878"/>
    <cellStyle name="链接单元格 2 2 2 2 3" xfId="16879"/>
    <cellStyle name="汇总 2 2 6 4 2 2 3" xfId="16880"/>
    <cellStyle name="输入 2 5 6 3" xfId="16881"/>
    <cellStyle name="输出 2 5 3 5 2 2" xfId="16882"/>
    <cellStyle name="计算 2 2 5 3 2 3 2" xfId="16883"/>
    <cellStyle name="常规 9 2 3 2 3" xfId="16884"/>
    <cellStyle name="检查单元格 2 6 3 3" xfId="16885"/>
    <cellStyle name="60% - 强调文字颜色 6 2 2 8 2" xfId="16886"/>
    <cellStyle name="Normal 5 3" xfId="16887"/>
    <cellStyle name="汇总 2 5 3 2 3" xfId="16888"/>
    <cellStyle name="标题 2 2 2 2 4 2 2 3" xfId="16889"/>
    <cellStyle name="输入 2 2 5 2 2 5" xfId="16890"/>
    <cellStyle name="常规 5 2 6 3 2" xfId="16891"/>
    <cellStyle name="强调文字颜色 1 2 2 2 2" xfId="16892"/>
    <cellStyle name="计算 2 2 2 2 3 4 3" xfId="16893"/>
    <cellStyle name="60% - 强调文字颜色 6 3 2 2 3 2 2 2" xfId="16894"/>
    <cellStyle name="好 2 2 2 5 3" xfId="16895"/>
    <cellStyle name="常规 5 2 5 3 3" xfId="16896"/>
    <cellStyle name="超链接 2 2 2 2 2 2 2" xfId="16897"/>
    <cellStyle name="计算 2 2 3 3 2 2" xfId="16898"/>
    <cellStyle name="强调文字颜色 2 2 4 2 3" xfId="16899"/>
    <cellStyle name="60% - 强调文字颜色 1 2 2 4 4" xfId="16900"/>
    <cellStyle name="20% - 强调文字颜色 3 3 3" xfId="16901"/>
    <cellStyle name="汇总 2 10 2 4" xfId="16902"/>
    <cellStyle name="计算 2 2 3 4 2 3 2" xfId="16903"/>
    <cellStyle name="20% - 强调文字颜色 4 3 4 2" xfId="16904"/>
    <cellStyle name="标题 4 2 2 2 6 2 2 2" xfId="16905"/>
    <cellStyle name="60% - 强调文字颜色 6 2 2 2 4 2 3" xfId="16906"/>
    <cellStyle name="汇总 2 2 4 2 3 2 2 3" xfId="16907"/>
    <cellStyle name="常规 3 2 2 2 3 2" xfId="16908"/>
    <cellStyle name="汇总 2 3 2 2 2 5" xfId="16909"/>
    <cellStyle name="汇总 2 2 4 3 2 4 2 2" xfId="16910"/>
    <cellStyle name="输入 2 2 6 9 2" xfId="16911"/>
    <cellStyle name="链接单元格 2 2 4 4" xfId="16912"/>
    <cellStyle name="输出 2 2 5 2 3 2 2" xfId="16913"/>
    <cellStyle name="标题 1 2 3 5 2 3" xfId="16914"/>
    <cellStyle name="40% - 强调文字颜色 4 2 3 7" xfId="16915"/>
    <cellStyle name="40% - 强调文字颜色 2 2 3 2 2 2 3 2" xfId="16916"/>
    <cellStyle name="汇总 2 4 4 3 2" xfId="16917"/>
    <cellStyle name="40% - 强调文字颜色 5 2 2 3 6" xfId="16918"/>
    <cellStyle name="链接单元格 2 2 6 2 2 2" xfId="16919"/>
    <cellStyle name="计算 3 2 6" xfId="16920"/>
    <cellStyle name="标题 2 2 3" xfId="16921"/>
    <cellStyle name="标题 5 2 2 2 3 2 2 2" xfId="16922"/>
    <cellStyle name="20% - 强调文字颜色 5 5 2 2" xfId="16923"/>
    <cellStyle name="40% - 强调文字颜色 6 2 7 2" xfId="16924"/>
    <cellStyle name="标题 5 3 3 2 2 2" xfId="16925"/>
    <cellStyle name="常规 4 8 4" xfId="16926"/>
    <cellStyle name="差 2 2 4 3" xfId="16927"/>
    <cellStyle name="汇总 2 5 2 2 8" xfId="16928"/>
    <cellStyle name="差 2 2 2 7 2" xfId="16929"/>
    <cellStyle name="强调文字颜色 1 2 2 4 2 2 3" xfId="16930"/>
    <cellStyle name="标题 1 2 4 3 2 3" xfId="16931"/>
    <cellStyle name="计算 2 2 8 2 4 2 2" xfId="16932"/>
    <cellStyle name="输入 2 2 2 3 5 2 2" xfId="16933"/>
    <cellStyle name="计算 2 3 2 2 2 3" xfId="16934"/>
    <cellStyle name="20% - 强调文字颜色 5 2 2 2 4 3 2" xfId="16935"/>
    <cellStyle name="计算 2 7 2 2 2 2" xfId="16936"/>
    <cellStyle name="注释 8 3" xfId="16937"/>
    <cellStyle name="强调文字颜色 2 2 2 4 2 3 2" xfId="16938"/>
    <cellStyle name="强调文字颜色 2 2 2 4 3 4" xfId="16939"/>
    <cellStyle name="标题 2 2 2 2 3 2 3" xfId="16940"/>
    <cellStyle name="汇总 2 2 3 7" xfId="16941"/>
    <cellStyle name="60% - 强调文字颜色 2 2 2 2 2 6" xfId="16942"/>
    <cellStyle name="60% - 强调文字颜色 4 2 4 2 2 2" xfId="16943"/>
    <cellStyle name="60% - 强调文字颜色 2 3 3 2 2 2 2" xfId="16944"/>
    <cellStyle name="标题 3 3 2 2 3 2 3" xfId="16945"/>
    <cellStyle name="60% - 强调文字颜色 3 2 3 2 2 4" xfId="16946"/>
    <cellStyle name="输出 2 2 3 2 9 2" xfId="16947"/>
    <cellStyle name="60% - 强调文字颜色 4 4 2 4" xfId="16948"/>
    <cellStyle name="20% - 强调文字颜色 2 2 2 2 2" xfId="16949"/>
    <cellStyle name="标题 3 2 2 5 4" xfId="16950"/>
    <cellStyle name="计算 2 4 2 2 10" xfId="16951"/>
    <cellStyle name="常规 12" xfId="16952"/>
    <cellStyle name="差 2 3 2 4 2" xfId="16953"/>
    <cellStyle name="40% - 强调文字颜色 4 2 2 2 5 2 2" xfId="16954"/>
    <cellStyle name="百分比 2 2 2 4 4" xfId="16955"/>
    <cellStyle name="警告文本 4 3" xfId="16956"/>
    <cellStyle name="输入 2 2 4 2 2 5" xfId="16957"/>
    <cellStyle name="标题 2 2 2 2 3 2 2 3" xfId="16958"/>
    <cellStyle name="40% - 强调文字颜色 6 5 2" xfId="16959"/>
    <cellStyle name="好 2 2 3 2" xfId="16960"/>
    <cellStyle name="常规 13 3 3" xfId="16961"/>
    <cellStyle name="注释 2 4 2 4 5" xfId="16962"/>
    <cellStyle name="标题 3 2 4 8" xfId="16963"/>
    <cellStyle name="强调文字颜色 3 2 3 2 3 3 3" xfId="16964"/>
    <cellStyle name="标题 1 2 4 6" xfId="16965"/>
    <cellStyle name="强调文字颜色 6 2 4 3 2 2" xfId="16966"/>
    <cellStyle name="60% - 强调文字颜色 5 2 2 5 3 2" xfId="16967"/>
    <cellStyle name="40% - 强调文字颜色 6 2 3 2 2 5 2" xfId="16968"/>
    <cellStyle name="输入 4 3 2 2 2" xfId="16969"/>
    <cellStyle name="20% - 强调文字颜色 5 2 3 3 4" xfId="16970"/>
    <cellStyle name="输出 2 4 2 3 6" xfId="16971"/>
    <cellStyle name="计算 2 4 2 2 2 8" xfId="16972"/>
    <cellStyle name="20% - 强调文字颜色 2 2 2 5 2 2" xfId="16973"/>
    <cellStyle name="40% - 强调文字颜色 2 2 2 5 2 2 2" xfId="16974"/>
    <cellStyle name="差 2 2 3 2 2 3" xfId="16975"/>
    <cellStyle name="40% - 强调文字颜色 5 5 2 2 2 2" xfId="16976"/>
    <cellStyle name="60% - 强调文字颜色 5 2 3 6" xfId="16977"/>
    <cellStyle name="常规 10 3 2 5 2" xfId="16978"/>
    <cellStyle name="检查单元格 3 2 2 3" xfId="16979"/>
    <cellStyle name="计算 2 7 2 2 2 3" xfId="16980"/>
    <cellStyle name="计算 2 4 9" xfId="16981"/>
    <cellStyle name="常规 9 3 3 2" xfId="16982"/>
    <cellStyle name="40% - 强调文字颜色 3 2 2 2 2 2 2 3" xfId="16983"/>
    <cellStyle name="40% - 强调文字颜色 1 4 3 2" xfId="16984"/>
    <cellStyle name="标题 4 2 3 2 3 2 2 2" xfId="16985"/>
    <cellStyle name="计算 2 6 4 7" xfId="16986"/>
    <cellStyle name="输入 2 2 7 5 3" xfId="16987"/>
    <cellStyle name="60% - 强调文字颜色 2 2 3 2 4 3 2" xfId="16988"/>
    <cellStyle name="60% - 强调文字颜色 3 2 4 4 3 2" xfId="16989"/>
    <cellStyle name="输入 2 2 5 6 2 2" xfId="16990"/>
    <cellStyle name="强调文字颜色 4 2 6 2 2 2" xfId="16991"/>
    <cellStyle name="汇总 2 7 3 2 3 2" xfId="16992"/>
    <cellStyle name="40% - 强调文字颜色 3 3 8" xfId="16993"/>
    <cellStyle name="40% - 强调文字颜色 6 2 2 3 4 3 2" xfId="16994"/>
    <cellStyle name="标题 3 2 3 2 3 2" xfId="16995"/>
    <cellStyle name="汇总 2 5 2 5 2 2 2" xfId="16996"/>
    <cellStyle name="超链接 3 2 3 4" xfId="16997"/>
    <cellStyle name="60% - 强调文字颜色 4 4 3 2 2" xfId="16998"/>
    <cellStyle name="输入 2 6 4 4" xfId="16999"/>
    <cellStyle name="标题 3 2 2 6 2 2" xfId="17000"/>
    <cellStyle name="常规 5 2 2 3 2 5" xfId="17001"/>
    <cellStyle name="输入 2 2 3 2 2 6" xfId="17002"/>
    <cellStyle name="20% - 强调文字颜色 2 2 2 3 7" xfId="17003"/>
    <cellStyle name="20% - 强调文字颜色 6 2 4 3 2 2 2" xfId="17004"/>
    <cellStyle name="警告文本 2 2 3 3 3" xfId="17005"/>
    <cellStyle name="计算 2 2 4 2 4 2 2 3" xfId="17006"/>
    <cellStyle name="60% - 强调文字颜色 4 2 2 2 2 4 2 2" xfId="17007"/>
    <cellStyle name="汇总 2 10 3 2 2 2" xfId="17008"/>
    <cellStyle name="40% - 强调文字颜色 4 4 4 2" xfId="17009"/>
    <cellStyle name="强调文字颜色 4 2 2 3 4 2 3" xfId="17010"/>
    <cellStyle name="标题 1 2 6 2 3" xfId="17011"/>
    <cellStyle name="输出 2 6 10 2" xfId="17012"/>
    <cellStyle name="计算 2 3 5 2" xfId="17013"/>
    <cellStyle name="60% - 强调文字颜色 2 2 2 3 2 2 2 2 2" xfId="17014"/>
    <cellStyle name="好 3 2 4 2" xfId="17015"/>
    <cellStyle name="标题 1 4 3 2 3" xfId="17016"/>
    <cellStyle name="汇总 2 3 4 5 2 2" xfId="17017"/>
    <cellStyle name="20% - 强调文字颜色 4 2 3 2 3" xfId="17018"/>
    <cellStyle name="检查单元格 2 2 2 2 2 2 2" xfId="17019"/>
    <cellStyle name="汇总 2 8 2 2 2" xfId="17020"/>
    <cellStyle name="常规 4 4 4 4 2" xfId="17021"/>
    <cellStyle name="标题 2 2 3 5 2 2 3" xfId="17022"/>
    <cellStyle name="40% - 强调文字颜色 6 2 3 2 4 2" xfId="17023"/>
    <cellStyle name="强调文字颜色 6 2 3 4 2 2" xfId="17024"/>
    <cellStyle name="强调文字颜色 1 2 2 4 4 2 2" xfId="17025"/>
    <cellStyle name="警告文本 2 3 2 8" xfId="17026"/>
    <cellStyle name="60% - 强调文字颜色 4 2 9 2" xfId="17027"/>
    <cellStyle name="强调文字颜色 4 3 2 2 2 2" xfId="17028"/>
    <cellStyle name="20% - 强调文字颜色 2 2 2 2 3 3" xfId="17029"/>
    <cellStyle name="计算 2 7 3 2 2 2 2" xfId="17030"/>
    <cellStyle name="20% - 强调文字颜色 6 3 6" xfId="17031"/>
    <cellStyle name="警告文本 2 3 2 2 4" xfId="17032"/>
    <cellStyle name="40% - 强调文字颜色 6 2 3 2 2 4 2 2 2" xfId="17033"/>
    <cellStyle name="20% - 强调文字颜色 2 4 4" xfId="17034"/>
    <cellStyle name="强调文字颜色 2 2 3 3 4" xfId="17035"/>
    <cellStyle name="计算 2 2 3 2 3 3" xfId="17036"/>
    <cellStyle name="40% - 强调文字颜色 4 2 2 5 2 2 2" xfId="17037"/>
    <cellStyle name="强调文字颜色 1 2 2 2 5 2 3" xfId="17038"/>
    <cellStyle name="解释性文本 2 2 2 2 4 2" xfId="17039"/>
    <cellStyle name="计算 2 2 8 4 2 3" xfId="17040"/>
    <cellStyle name="标题 3 4 2 2 3" xfId="17041"/>
    <cellStyle name="汇总 2 5 4 4 2 2" xfId="17042"/>
    <cellStyle name="20% - 强调文字颜色 2 2 2 7" xfId="17043"/>
    <cellStyle name="标题 3 2 2 2 2 3 2 3" xfId="17044"/>
    <cellStyle name="输入 2 2 4 5 2 3" xfId="17045"/>
    <cellStyle name="常规 5 2 3 6 2 2" xfId="17046"/>
    <cellStyle name="输入 2 2 9 3 2" xfId="17047"/>
    <cellStyle name="计算 2 8 2 6" xfId="17048"/>
    <cellStyle name="20% - 强调文字颜色 6 2 2 3 5" xfId="17049"/>
    <cellStyle name="20% - 强调文字颜色 6 3 2 5" xfId="17050"/>
    <cellStyle name="标题 4 2 2 2 5 2 2 3" xfId="17051"/>
    <cellStyle name="汇总 2 2 6 5 4" xfId="17052"/>
    <cellStyle name="汇总 2 5 2 2 2" xfId="17053"/>
    <cellStyle name="标题 2 2 3 2 2 2 3" xfId="17054"/>
    <cellStyle name="40% - 强调文字颜色 1 2 2 2 3 2 2 2" xfId="17055"/>
    <cellStyle name="标题 1 2 2 2 2 4 3" xfId="17056"/>
    <cellStyle name="计算 2 2 3 2 3 2" xfId="17057"/>
    <cellStyle name="强调文字颜色 2 2 3 3 3" xfId="17058"/>
    <cellStyle name="20% - 强调文字颜色 2 4 3" xfId="17059"/>
    <cellStyle name="常规 4 3 8 2" xfId="17060"/>
    <cellStyle name="40% - 强调文字颜色 6 2 2 6 2" xfId="17061"/>
    <cellStyle name="标题 1 4 3 2 2" xfId="17062"/>
    <cellStyle name="40% - 强调文字颜色 6 2 2 2 2 5 2 2 2" xfId="17063"/>
    <cellStyle name="差 2 3 2 3 2 2" xfId="17064"/>
    <cellStyle name="好 3 2 2" xfId="17065"/>
    <cellStyle name="常规 9 5 3 2" xfId="17066"/>
    <cellStyle name="标题 1 4 2 4" xfId="17067"/>
    <cellStyle name="注释 2 4 2 2 3 2 2" xfId="17068"/>
    <cellStyle name="注释 2 7 2 6" xfId="17069"/>
    <cellStyle name="20% - 强调文字颜色 6 6 2 2 2" xfId="17070"/>
    <cellStyle name="汇总 2 5 2 2 3 3" xfId="17071"/>
    <cellStyle name="链接单元格 2 4 2" xfId="17072"/>
    <cellStyle name="20% - 强调文字颜色 2 3 9" xfId="17073"/>
    <cellStyle name="计算 2 2 3 2 2 8" xfId="17074"/>
    <cellStyle name="常规 12 2 2 2 3 3" xfId="17075"/>
    <cellStyle name="40% - 强调文字颜色 3 2 2 2 7" xfId="17076"/>
    <cellStyle name="注释 2 2 2 3 8" xfId="17077"/>
    <cellStyle name="计算 2 3 2 9 2" xfId="17078"/>
    <cellStyle name="输入 2 2 4 3 5 2" xfId="17079"/>
    <cellStyle name="汇总 5 3 2" xfId="17080"/>
    <cellStyle name="超链接 2 3 2 3 4" xfId="17081"/>
    <cellStyle name="40% - 强调文字颜色 1 2 4 2 2" xfId="17082"/>
    <cellStyle name="常规 2 3 3 2 2 2 2 2" xfId="17083"/>
    <cellStyle name="标题 2 2 7 2 2 2" xfId="17084"/>
    <cellStyle name="常规 10 3 8" xfId="17085"/>
    <cellStyle name="标题 3 4 2 3 2 3" xfId="17086"/>
    <cellStyle name="计算 2 2 5 3 3 3 2 2" xfId="17087"/>
    <cellStyle name="常规 9 2 4 2 3 2" xfId="17088"/>
    <cellStyle name="常规 5 11" xfId="17089"/>
    <cellStyle name="40% - 强调文字颜色 6 2 2 2 2 4 2 2 2" xfId="17090"/>
    <cellStyle name="汇总 2 7 9 3" xfId="17091"/>
    <cellStyle name="常规 11 4 2 3" xfId="17092"/>
    <cellStyle name="20% - 强调文字颜色 1 4 4 2 2" xfId="17093"/>
    <cellStyle name="强调文字颜色 2 2 2 3 4 2 2" xfId="17094"/>
    <cellStyle name="20% - 强调文字颜色 2 2 4 3 2 2" xfId="17095"/>
    <cellStyle name="汇总 2 2 2 4 5 3" xfId="17096"/>
    <cellStyle name="40% - 强调文字颜色 3 2 2 3 2 2 2 2" xfId="17097"/>
    <cellStyle name="注释 2 6 3" xfId="17098"/>
    <cellStyle name="标题 2 3 3 2" xfId="17099"/>
    <cellStyle name="20% - 强调文字颜色 5 2 2 4 2 3 2" xfId="17100"/>
    <cellStyle name="计算 2 8 2 2 2 2" xfId="17101"/>
    <cellStyle name="20% - 强调文字颜色 5 2 3 2 4 3 2" xfId="17102"/>
    <cellStyle name="40% - 强调文字颜色 1 3 2 4 2" xfId="17103"/>
    <cellStyle name="常规 9 2 2 4 2" xfId="17104"/>
    <cellStyle name="计算 2 7 2 4 3" xfId="17105"/>
    <cellStyle name="汇总 2 2 3 3 6" xfId="17106"/>
    <cellStyle name="20% - 强调文字颜色 2 2 3 2 2 5 2" xfId="17107"/>
    <cellStyle name="检查单元格 3 4 3" xfId="17108"/>
    <cellStyle name="40% - 强调文字颜色 6 2 3 2 5 2 2 2" xfId="17109"/>
    <cellStyle name="60% - 强调文字颜色 6 3 5" xfId="17110"/>
    <cellStyle name="计算 2 2 8 3 8" xfId="17111"/>
    <cellStyle name="计算 4 2 2 3 3" xfId="17112"/>
    <cellStyle name="汇总 2 3 2 2 3" xfId="17113"/>
    <cellStyle name="计算 3 3 5 2" xfId="17114"/>
    <cellStyle name="输出 2 5 2 2 6" xfId="17115"/>
    <cellStyle name="注释 2 3 2 3 2 2 2" xfId="17116"/>
    <cellStyle name="60% - 强调文字颜色 1 3 2 5 2" xfId="17117"/>
    <cellStyle name="20% - 强调文字颜色 2 2 2 2 3 2 2 2 2" xfId="17118"/>
    <cellStyle name="标题 5 2 2 6" xfId="17119"/>
    <cellStyle name="差 2 7 3" xfId="17120"/>
    <cellStyle name="20% - 强调文字颜色 2 2 2 9 2" xfId="17121"/>
    <cellStyle name="60% - 强调文字颜色 2 4 5 2" xfId="17122"/>
    <cellStyle name="60% - 强调文字颜色 5 4 4" xfId="17123"/>
    <cellStyle name="计算 2 2 7 4 7" xfId="17124"/>
    <cellStyle name="常规 9 3 4 5" xfId="17125"/>
    <cellStyle name="20% - 强调文字颜色 5 2 4 3 2" xfId="17126"/>
    <cellStyle name="输出 2 4 3 3 4" xfId="17127"/>
    <cellStyle name="输入 2 3" xfId="17128"/>
    <cellStyle name="输出 2 9 5" xfId="17129"/>
    <cellStyle name="计算 2 5 2 11 2 2" xfId="17130"/>
    <cellStyle name="20% - 强调文字颜色 1 2 3 6 2 2 2" xfId="17131"/>
    <cellStyle name="常规 13 3 4" xfId="17132"/>
    <cellStyle name="标题 2 2 2 4 4" xfId="17133"/>
    <cellStyle name="常规 13 3 2 2 2" xfId="17134"/>
    <cellStyle name="20% - 强调文字颜色 6 2 2 2 2 4 2" xfId="17135"/>
    <cellStyle name="常规 4 3 4 2 4" xfId="17136"/>
    <cellStyle name="40% - 强调文字颜色 6 2 2 2 2 4" xfId="17137"/>
    <cellStyle name="标题 1 2 2 3 2 2 2 2" xfId="17138"/>
    <cellStyle name="汇总 2 8 2 2 3 2 2" xfId="17139"/>
    <cellStyle name="40% - 强调文字颜色 6 2 3 2 4 3 2 2" xfId="17140"/>
    <cellStyle name="20% - 强调文字颜色 6 3 4" xfId="17141"/>
    <cellStyle name="输入 2 2 3 4 2 2 3" xfId="17142"/>
    <cellStyle name="链接单元格 2 3 2 4 4" xfId="17143"/>
    <cellStyle name="强调文字颜色 6 2 2 2 3 2" xfId="17144"/>
    <cellStyle name="计算 2 2 4 2 3" xfId="17145"/>
    <cellStyle name="解释性文本 3 9" xfId="17146"/>
    <cellStyle name="计算 2 2 10 3 2 2" xfId="17147"/>
    <cellStyle name="20% - 强调文字颜色 6 2 2 2 2 3 2 2 2 2" xfId="17148"/>
    <cellStyle name="汇总 2 8 2 8" xfId="17149"/>
    <cellStyle name="20% - 强调文字颜色 1 2 2 2 5 2 2 2" xfId="17150"/>
    <cellStyle name="汇总 2 2 9" xfId="17151"/>
    <cellStyle name="常规 6 2 2 2 5 2" xfId="17152"/>
    <cellStyle name="40% - 强调文字颜色 4 4 2 3 2 2" xfId="17153"/>
    <cellStyle name="汇总 2 2 6 2 2 3 2 2" xfId="17154"/>
    <cellStyle name="汇总 2 2 3 2 2 2 4 2 2" xfId="17155"/>
    <cellStyle name="汇总 2 2 4 5 2 4 2 2" xfId="17156"/>
    <cellStyle name="输出 2 2 5 3 5" xfId="17157"/>
    <cellStyle name="常规 11 2 4 2" xfId="17158"/>
    <cellStyle name="汇总 2 2 4 2 6 3 2 2" xfId="17159"/>
    <cellStyle name="计算 2 5 2 2 3 3" xfId="17160"/>
    <cellStyle name="输入 2 2 2 3 6" xfId="17161"/>
    <cellStyle name="60% - 强调文字颜色 6 2 2" xfId="17162"/>
    <cellStyle name="计算 2 2 8 2 5" xfId="17163"/>
    <cellStyle name="输出 2 2 2 7" xfId="17164"/>
    <cellStyle name="注释 2 2 5 3 5" xfId="17165"/>
    <cellStyle name="计算 2 2 4 2 4 2 3 3" xfId="17166"/>
    <cellStyle name="60% - 强调文字颜色 4 2 2 2 2 4 3 2" xfId="17167"/>
    <cellStyle name="链接单元格 3 5" xfId="17168"/>
    <cellStyle name="常规 4 3 2 2 3 2 2" xfId="17169"/>
    <cellStyle name="计算 2 2 2 4 2 3 3" xfId="17170"/>
    <cellStyle name="计算 2 5 2 2 9" xfId="17171"/>
    <cellStyle name="20% - 强调文字颜色 6 3 2 5 2" xfId="17172"/>
    <cellStyle name="汇总 2 2 6 5 4 2" xfId="17173"/>
    <cellStyle name="解释性文本 2 3 2 3 2 3" xfId="17174"/>
    <cellStyle name="汇总 2 3 5 3 2 2" xfId="17175"/>
    <cellStyle name="20% - 强调文字颜色 4 3 7" xfId="17176"/>
    <cellStyle name="计算 2 2 3 4 2 6" xfId="17177"/>
    <cellStyle name="计算 2 9 2 6" xfId="17178"/>
    <cellStyle name="强调文字颜色 4 2 2 4 6" xfId="17179"/>
    <cellStyle name="标题 1 3 8" xfId="17180"/>
    <cellStyle name="20% - 强调文字颜色 6 2 3 2 2 3 3 2 2" xfId="17181"/>
    <cellStyle name="强调文字颜色 2 3 3 3 2" xfId="17182"/>
    <cellStyle name="汇总 2 5 2 3 6 2 2" xfId="17183"/>
    <cellStyle name="超链接 2 2 4 4" xfId="17184"/>
    <cellStyle name="60% - 强调文字颜色 4 3 3 3 2" xfId="17185"/>
    <cellStyle name="标题 3 2 2 2 4 2" xfId="17186"/>
    <cellStyle name="计算 2 2 6 4 2 4 2" xfId="17187"/>
    <cellStyle name="输出 2 5 3 2 2 3" xfId="17188"/>
    <cellStyle name="汇总 2 5 2 4 2 3 2" xfId="17189"/>
    <cellStyle name="输入 2 2 6 4" xfId="17190"/>
    <cellStyle name="常规 6 3 2 2 4 2 2 2" xfId="17191"/>
    <cellStyle name="标题 5 2 2 4 3" xfId="17192"/>
    <cellStyle name="解释性文本 2 3 2 4 3" xfId="17193"/>
    <cellStyle name="计算 2 8 6" xfId="17194"/>
    <cellStyle name="输出 4 2 7" xfId="17195"/>
    <cellStyle name="计算 2 2 2 2 6 2 2" xfId="17196"/>
    <cellStyle name="常规 4 4 2 2 3 2" xfId="17197"/>
    <cellStyle name="注释 2 12 2" xfId="17198"/>
    <cellStyle name="好 2 2 2 4 4" xfId="17199"/>
    <cellStyle name="20% - 强调文字颜色 1 2 9" xfId="17200"/>
    <cellStyle name="输出 2 2 4 4 5 2" xfId="17201"/>
    <cellStyle name="输出 2 2 9 2 4" xfId="17202"/>
    <cellStyle name="计算 2 2 5 2 2 5 3" xfId="17203"/>
    <cellStyle name="标题 1 3 3 3" xfId="17204"/>
    <cellStyle name="汇总 2 3 3 5 2" xfId="17205"/>
    <cellStyle name="好 2 2 4" xfId="17206"/>
    <cellStyle name="输入 2 4 3 4 2 2" xfId="17207"/>
    <cellStyle name="差 3 3 3 2 2 2" xfId="17208"/>
    <cellStyle name="输出 2 2 6 7" xfId="17209"/>
    <cellStyle name="输入 2 2 5 3 2" xfId="17210"/>
    <cellStyle name="计算 2 4 2 6" xfId="17211"/>
    <cellStyle name="40% - 强调文字颜色 2 4 3 2 2 2" xfId="17212"/>
    <cellStyle name="常规 5 2 3 2 2 2" xfId="17213"/>
    <cellStyle name="解释性文本 2 2 3 3 3 2" xfId="17214"/>
    <cellStyle name="注释 2 2 3 2 2 2 3" xfId="17215"/>
    <cellStyle name="40% - 强调文字颜色 2 2 2 3 4 2 2 2" xfId="17216"/>
    <cellStyle name="输出 2 2 9 2 2 2" xfId="17217"/>
    <cellStyle name="汇总 2 2 4 2 2 2 4 3" xfId="17218"/>
    <cellStyle name="计算 2 4 8 3" xfId="17219"/>
    <cellStyle name="60% - 强调文字颜色 1 2 2 2 7 2" xfId="17220"/>
    <cellStyle name="60% - 强调文字颜色 6 3 3 2" xfId="17221"/>
    <cellStyle name="标题 2 2 3 2 4 3 2" xfId="17222"/>
    <cellStyle name="40% - 强调文字颜色 1 2 2 6 3 2 2" xfId="17223"/>
    <cellStyle name="汇总 2 2 4 3 2 3 3" xfId="17224"/>
    <cellStyle name="计算 2 5 2 4 3 2 2" xfId="17225"/>
    <cellStyle name="输入 2 2 4 2 4 2 4" xfId="17226"/>
    <cellStyle name="强调文字颜色 3 2 2 2 2 4 3" xfId="17227"/>
    <cellStyle name="计算 2 6 2 3 2 2 2" xfId="17228"/>
    <cellStyle name="计算 2 5 2 2 2 2 4" xfId="17229"/>
    <cellStyle name="强调文字颜色 4 2 3 2 2 2 3" xfId="17230"/>
    <cellStyle name="输入 2 2 7" xfId="17231"/>
    <cellStyle name="汇总 2 2 3 4 2 2 2" xfId="17232"/>
    <cellStyle name="20% - 强调文字颜色 5 2 2 2 2 2 2 3 2" xfId="17233"/>
    <cellStyle name="标题 1 2 2 2 2 2 4" xfId="17234"/>
    <cellStyle name="标题 1 3 2 3 2 2 2" xfId="17235"/>
    <cellStyle name="20% - 强调文字颜色 3 2 3 6 2 2" xfId="17236"/>
    <cellStyle name="输入 2 2 4 5" xfId="17237"/>
    <cellStyle name="计算 2 2 6 4 2 2 3" xfId="17238"/>
    <cellStyle name="标题 3 2 2 2 2 3" xfId="17239"/>
    <cellStyle name="注释 2 10 2 2 2" xfId="17240"/>
    <cellStyle name="强调文字颜色 3 2 6 3 2 2" xfId="17241"/>
    <cellStyle name="标题 1 2 3 3 4" xfId="17242"/>
    <cellStyle name="强调文字颜色 1 2 2 2 2 3 2" xfId="17243"/>
    <cellStyle name="强调文字颜色 3 2 2 2 3 5" xfId="17244"/>
    <cellStyle name="强调文字颜色 4 2 3 2 3 3" xfId="17245"/>
    <cellStyle name="强调文字颜色 2 2 2 4 2 3" xfId="17246"/>
    <cellStyle name="强调文字颜色 4 3 2 4" xfId="17247"/>
    <cellStyle name="强调文字颜色 6 2 2 2 2 2 3 2" xfId="17248"/>
    <cellStyle name="标题 1 3 2 2 4" xfId="17249"/>
    <cellStyle name="输出 2 12 2" xfId="17250"/>
    <cellStyle name="常规 4 3 3 2" xfId="17251"/>
    <cellStyle name="标题 5 2 2 2 5 2" xfId="17252"/>
    <cellStyle name="链接单元格 2 3 3 6" xfId="17253"/>
    <cellStyle name="60% - 强调文字颜色 4 2 2 2 6 2" xfId="17254"/>
    <cellStyle name="差 3 3 3" xfId="17255"/>
    <cellStyle name="标题 5 2 2 5 2 2 2" xfId="17256"/>
    <cellStyle name="20% - 强调文字颜色 3 2 2 4 2 2 2 2" xfId="17257"/>
    <cellStyle name="计算 2 3 7 2 2" xfId="17258"/>
    <cellStyle name="差 2 2 4 2 3 3" xfId="17259"/>
    <cellStyle name="20% - 强调文字颜色 3 2 2 2 2 2 4 2 2" xfId="17260"/>
    <cellStyle name="60% - 强调文字颜色 4 2 4 4 3" xfId="17261"/>
    <cellStyle name="强调文字颜色 5 2 6 2 2" xfId="17262"/>
    <cellStyle name="计算 3 2 2 2 6" xfId="17263"/>
    <cellStyle name="标题 3 2 2 2 5 2 3" xfId="17264"/>
    <cellStyle name="输入 2 2 7 4 3" xfId="17265"/>
    <cellStyle name="计算 2 6 3 7" xfId="17266"/>
    <cellStyle name="60% - 强调文字颜色 2 2 3 2 4 2 2" xfId="17267"/>
    <cellStyle name="60% - 强调文字颜色 3 2 4 4 2 2" xfId="17268"/>
    <cellStyle name="强调文字颜色 4 2 2 3 2 2" xfId="17269"/>
    <cellStyle name="40% - 强调文字颜色 1 2 11" xfId="17270"/>
    <cellStyle name="标题 1 2 4 2" xfId="17271"/>
    <cellStyle name="常规 5 2 3 4 2 2 2" xfId="17272"/>
    <cellStyle name="输入 2 2 3 2 2 9" xfId="17273"/>
    <cellStyle name="解释性文本 2 6 3" xfId="17274"/>
    <cellStyle name="输入 2 2 4 3 2 3 2" xfId="17275"/>
    <cellStyle name="40% - 强调文字颜色 1 2 3 5" xfId="17276"/>
    <cellStyle name="汇总 2 6 4 2 2" xfId="17277"/>
    <cellStyle name="常规 4 2 6 4 2" xfId="17278"/>
    <cellStyle name="40% - 强调文字颜色 2 2 3 2 4 2 2 2" xfId="17279"/>
    <cellStyle name="40% - 强调文字颜色 6 4 2 2 2 2" xfId="17280"/>
    <cellStyle name="好 2 2 3 6 3" xfId="17281"/>
    <cellStyle name="常规 6 3 4 2 2" xfId="17282"/>
    <cellStyle name="60% - 强调文字颜色 4 3 3 2 2 2" xfId="17283"/>
    <cellStyle name="超链接 2 2 3 4 2" xfId="17284"/>
    <cellStyle name="汇总 2 2 6 2 6" xfId="17285"/>
    <cellStyle name="计算 2 7 5 3 3" xfId="17286"/>
    <cellStyle name="常规 2 2" xfId="17287"/>
    <cellStyle name="强调文字颜色 4 2 2 2 2 2" xfId="17288"/>
    <cellStyle name="强调文字颜色 6 2 2 2 2 2 3" xfId="17289"/>
    <cellStyle name="超链接 2 2 2 2 3 3 2" xfId="17290"/>
    <cellStyle name="输入 2 3 2 2 6" xfId="17291"/>
    <cellStyle name="强调文字颜色 1 5" xfId="17292"/>
    <cellStyle name="输入 3 2 2 5 2 2" xfId="17293"/>
    <cellStyle name="40% - 强调文字颜色 1 2 3 4" xfId="17294"/>
    <cellStyle name="标题 1 2 4 4 2 2 2" xfId="17295"/>
    <cellStyle name="好 2 2 3 6 2" xfId="17296"/>
    <cellStyle name="20% - 强调文字颜色 4 4 2" xfId="17297"/>
    <cellStyle name="强调文字颜色 2 2 5 3 2" xfId="17298"/>
    <cellStyle name="超链接 2 2 3 3 2 2 2" xfId="17299"/>
    <cellStyle name="40% - 强调文字颜色 4 2 2 2 4 3 2" xfId="17300"/>
    <cellStyle name="40% - 强调文字颜色 5 2 2 2 2 4 2 2" xfId="17301"/>
    <cellStyle name="40% - 强调文字颜色 6 2 3 2 2 2 2 2" xfId="17302"/>
    <cellStyle name="汇总 2 2 6 3 2 4" xfId="17303"/>
    <cellStyle name="计算 5 6" xfId="17304"/>
    <cellStyle name="输出 2 3 3 3 3" xfId="17305"/>
    <cellStyle name="60% - 强调文字颜色 3 6" xfId="17306"/>
    <cellStyle name="强调文字颜色 3 2 3 4 2 3" xfId="17307"/>
    <cellStyle name="汇总 2 2 5 2 4 3 3" xfId="17308"/>
    <cellStyle name="汇总 2 6 2 8" xfId="17309"/>
    <cellStyle name="常规 4 6 2 3 2" xfId="17310"/>
    <cellStyle name="解释性文本 2 2 2 2 3 3 3" xfId="17311"/>
    <cellStyle name="超链接 2 2 3 2 3" xfId="17312"/>
    <cellStyle name="输出 2 2 2 2 10" xfId="17313"/>
    <cellStyle name="汇总 2 5 2 5 4 2" xfId="17314"/>
    <cellStyle name="标题 3 2 3 4 3" xfId="17315"/>
    <cellStyle name="注释 2 5 6 2" xfId="17316"/>
    <cellStyle name="标题 2 3 2 5 2" xfId="17317"/>
    <cellStyle name="汇总 4 4 2" xfId="17318"/>
    <cellStyle name="输入 2 3 2 5 2 2" xfId="17319"/>
    <cellStyle name="差 3 2 2 3 2 2" xfId="17320"/>
    <cellStyle name="链接单元格 2 2 2 2 2 3" xfId="17321"/>
    <cellStyle name="好 2 3 2 2 2 2 2 2" xfId="17322"/>
    <cellStyle name="20% - 强调文字颜色 3 2 2 2 2 2 3 3 2" xfId="17323"/>
    <cellStyle name="强调文字颜色 5 2 5 3 2" xfId="17324"/>
    <cellStyle name="注释 2 5 5 2" xfId="17325"/>
    <cellStyle name="标题 2 3 2 4 2" xfId="17326"/>
    <cellStyle name="常规 12 4 2 4 2" xfId="17327"/>
    <cellStyle name="汇总 4 3 2" xfId="17328"/>
    <cellStyle name="输入 2 5 2 2 3 2 2" xfId="17329"/>
    <cellStyle name="适中 2 11" xfId="17330"/>
    <cellStyle name="60% - 强调文字颜色 6 2 2 4 2 3 3" xfId="17331"/>
    <cellStyle name="计算 7" xfId="17332"/>
    <cellStyle name="计算 2 2 5 3 3 2 2 2" xfId="17333"/>
    <cellStyle name="输入 3 11" xfId="17334"/>
    <cellStyle name="标题 3 4 2 2 2 3" xfId="17335"/>
    <cellStyle name="标题 1 2 4 9" xfId="17336"/>
    <cellStyle name="常规 6 3 2 2 2 2 2 2" xfId="17337"/>
    <cellStyle name="强调文字颜色 2 2 3 2 5 2" xfId="17338"/>
    <cellStyle name="20% - 强调文字颜色 2 3 5 2" xfId="17339"/>
    <cellStyle name="计算 2 2 3 2 2 4 2" xfId="17340"/>
    <cellStyle name="解释性文本 3 4" xfId="17341"/>
    <cellStyle name="标题 1 2 3 2 5 3" xfId="17342"/>
    <cellStyle name="常规 10 2 5" xfId="17343"/>
    <cellStyle name="强调文字颜色 1 3 2 2 3" xfId="17344"/>
    <cellStyle name="计算 2 2 2 2 2 6" xfId="17345"/>
    <cellStyle name="注释 2 2 7 4 3" xfId="17346"/>
    <cellStyle name="40% - 强调文字颜色 3 2 7 3 2" xfId="17347"/>
    <cellStyle name="检查单元格 2 3 2 4" xfId="17348"/>
    <cellStyle name="标题 3 6 3" xfId="17349"/>
    <cellStyle name="计算 2 7 5 3 2" xfId="17350"/>
    <cellStyle name="汇总 2 2 6 2 5" xfId="17351"/>
    <cellStyle name="60% - 强调文字颜色 3 2 2 9 2" xfId="17352"/>
    <cellStyle name="输出 2 2 3 2 2 4 2 2" xfId="17353"/>
    <cellStyle name="标题 1 2 2 3 6 3" xfId="17354"/>
    <cellStyle name="标题 4 3 3 3 3" xfId="17355"/>
    <cellStyle name="汇总 2 2 7 3 2 2 3" xfId="17356"/>
    <cellStyle name="强调文字颜色 1 2 4 2 2 3" xfId="17357"/>
    <cellStyle name="40% - 强调文字颜色 6 2 2 2 2 2 4 2 2" xfId="17358"/>
    <cellStyle name="常规 3 3 6 3" xfId="17359"/>
    <cellStyle name="强调文字颜色 5 2 2 6" xfId="17360"/>
    <cellStyle name="汇总 2 2 3 2 2 2 3 2 2" xfId="17361"/>
    <cellStyle name="警告文本 3" xfId="17362"/>
    <cellStyle name="汇总 2 2 6 2 2 2 2 2" xfId="17363"/>
    <cellStyle name="40% - 强调文字颜色 5 4 4 2 2 2" xfId="17364"/>
    <cellStyle name="警告文本 2 4 5 2 2" xfId="17365"/>
    <cellStyle name="计算 2 2 3 4 7" xfId="17366"/>
    <cellStyle name="60% - 强调文字颜色 1 4 4" xfId="17367"/>
    <cellStyle name="差 2 2 2 4 2" xfId="17368"/>
    <cellStyle name="强调文字颜色 3 3 3 2 2" xfId="17369"/>
    <cellStyle name="输入 3 2 2 2 3 2" xfId="17370"/>
    <cellStyle name="适中 4 7" xfId="17371"/>
    <cellStyle name="输出 2 2 3 4 2 4" xfId="17372"/>
    <cellStyle name="输入 2 2 2 3 2 5" xfId="17373"/>
    <cellStyle name="强调文字颜色 4 2 3 3 5" xfId="17374"/>
    <cellStyle name="标题 2 2 7" xfId="17375"/>
    <cellStyle name="强调文字颜色 1 2 2 2 2 3 3 3" xfId="17376"/>
    <cellStyle name="超链接 3 3 3 2 2" xfId="17377"/>
    <cellStyle name="输入 2 7 4 2 2" xfId="17378"/>
    <cellStyle name="60% - 强调文字颜色 5 2 3 2 3 3 2 2" xfId="17379"/>
    <cellStyle name="计算 2 10 3 2 3" xfId="17380"/>
    <cellStyle name="链接单元格 3 9" xfId="17381"/>
    <cellStyle name="计算 2 6 2 4 3 3" xfId="17382"/>
    <cellStyle name="40% - 强调文字颜色 5 2 3 3 2 2 2 2" xfId="17383"/>
    <cellStyle name="强调文字颜色 5 2 3 2 4 2 3" xfId="17384"/>
    <cellStyle name="40% - 强调文字颜色 3 2 2 2" xfId="17385"/>
    <cellStyle name="标题 3 2 7 2 3" xfId="17386"/>
    <cellStyle name="汇总 2 5 2 9 2 2" xfId="17387"/>
    <cellStyle name="标题 1 2 2 2 3 2 2 2 3" xfId="17388"/>
    <cellStyle name="标题 4 2 2 2 2 5" xfId="17389"/>
    <cellStyle name="强调文字颜色 3 2 2 2 2 5 3" xfId="17390"/>
    <cellStyle name="注释 2 17" xfId="17391"/>
    <cellStyle name="60% - 强调文字颜色 1 2 6 2 2 2" xfId="17392"/>
    <cellStyle name="40% - 强调文字颜色 1 2 2 4 3 3 2" xfId="17393"/>
    <cellStyle name="输入 2 13 2 2" xfId="17394"/>
    <cellStyle name="汇总 2 2 3 2 2 7 2" xfId="17395"/>
    <cellStyle name="注释 2 2 3 3 4 2" xfId="17396"/>
    <cellStyle name="40% - 强调文字颜色 3 2 3 2 3 2" xfId="17397"/>
    <cellStyle name="输出 2 4 3" xfId="17398"/>
    <cellStyle name="40% - 强调文字颜色 2 2 2 2 3 4" xfId="17399"/>
    <cellStyle name="计算 2 2 7 2 2 3 2 2" xfId="17400"/>
    <cellStyle name="汇总 2 5 3 2 2 2 2 2" xfId="17401"/>
    <cellStyle name="标题 4 2 4 5 2" xfId="17402"/>
    <cellStyle name="20% - 强调文字颜色 4 2 3 2 2 3 3" xfId="17403"/>
    <cellStyle name="链接单元格 2 2 9" xfId="17404"/>
    <cellStyle name="计算 2 9 3 2 2 2" xfId="17405"/>
    <cellStyle name="注释 3 2 6 3" xfId="17406"/>
    <cellStyle name="输入 2 7 2 4 3" xfId="17407"/>
    <cellStyle name="40% - 强调文字颜色 5 5 2 2 2" xfId="17408"/>
    <cellStyle name="常规 10 3 2 5" xfId="17409"/>
    <cellStyle name="标题 4 2 5 2" xfId="17410"/>
    <cellStyle name="输入 2 2 5 3 4 2 2" xfId="17411"/>
    <cellStyle name="60% - 强调文字颜色 1 2 2 2 2 3 3 2 2" xfId="17412"/>
    <cellStyle name="差 3 2 2 3 2" xfId="17413"/>
    <cellStyle name="输入 2 3 2 5 2" xfId="17414"/>
    <cellStyle name="40% - 强调文字颜色 3 2 2 2 2 2 3 3 2 2" xfId="17415"/>
    <cellStyle name="常规 9 3 4 2 2 2" xfId="17416"/>
    <cellStyle name="标题 1 2 3 4 2 2" xfId="17417"/>
    <cellStyle name="汇总 2 9 3 2 3" xfId="17418"/>
    <cellStyle name="40% - 强调文字颜色 6 2 4 7" xfId="17419"/>
    <cellStyle name="60% - 强调文字颜色 6 3 3 3 2" xfId="17420"/>
    <cellStyle name="强调文字颜色 3 2 2 2 2 2 2" xfId="17421"/>
    <cellStyle name="常规 9 3 4 2 2" xfId="17422"/>
    <cellStyle name="40% - 强调文字颜色 3 2 2 2 2 2 3 3 2" xfId="17423"/>
    <cellStyle name="汇总 2 6 15" xfId="17424"/>
    <cellStyle name="标题 1 2 3 4 2" xfId="17425"/>
    <cellStyle name="20% - 强调文字颜色 3 2 3 2 3 2" xfId="17426"/>
    <cellStyle name="标题 1 2 3 4" xfId="17427"/>
    <cellStyle name="强调文字颜色 4 2 2 6" xfId="17428"/>
    <cellStyle name="汇总 2 2 2 4 2 4 2" xfId="17429"/>
    <cellStyle name="标题 1 2 3 3 2 2 2" xfId="17430"/>
    <cellStyle name="60% - 强调文字颜色 6 3 2 2 3 2 3" xfId="17431"/>
    <cellStyle name="常规 6 3 3 2" xfId="17432"/>
    <cellStyle name="链接单元格 2 2 6 4" xfId="17433"/>
    <cellStyle name="汇总 2 2 6 9 2 2" xfId="17434"/>
    <cellStyle name="常规 3 6 3 2 2" xfId="17435"/>
    <cellStyle name="标题 5 3 3 4" xfId="17436"/>
    <cellStyle name="输入 2 2 2 2 2 4 2 2" xfId="17437"/>
    <cellStyle name="标题 2 2 4" xfId="17438"/>
    <cellStyle name="强调文字颜色 4 2 3 3 2" xfId="17439"/>
    <cellStyle name="输入 2 2 2 7 2" xfId="17440"/>
    <cellStyle name="标题 1 2 3 2 5" xfId="17441"/>
    <cellStyle name="汇总 2 2 2 4 4 2 2" xfId="17442"/>
    <cellStyle name="超链接 3 2 2 2 2 2" xfId="17443"/>
    <cellStyle name="输入 2 6 3 2 2 2" xfId="17444"/>
    <cellStyle name="注释 2 3 4 2 2" xfId="17445"/>
    <cellStyle name="计算 2 2 4 2 3 3 3 3" xfId="17446"/>
    <cellStyle name="强调文字颜色 1 2 3 2" xfId="17447"/>
    <cellStyle name="计算 2 3 3 3 5" xfId="17448"/>
    <cellStyle name="输出 2 2 3 2 7 3" xfId="17449"/>
    <cellStyle name="20% - 强调文字颜色 6 2 2 2 4 3 2" xfId="17450"/>
    <cellStyle name="常规 11 3 2 3 2 2" xfId="17451"/>
    <cellStyle name="常规 6 3 2 2 4 3" xfId="17452"/>
    <cellStyle name="标题 3 3 2 5 2" xfId="17453"/>
    <cellStyle name="60% - 强调文字颜色 5 4 2 2" xfId="17454"/>
    <cellStyle name="注释 2 7 7 2" xfId="17455"/>
    <cellStyle name="汇总 2 2 2 3 3 5" xfId="17456"/>
    <cellStyle name="标题 1 2 3 2 3 3" xfId="17457"/>
    <cellStyle name="汇总 2 2 2 3 3 4" xfId="17458"/>
    <cellStyle name="标题 1 2 3 2 3 2" xfId="17459"/>
    <cellStyle name="好 2 4 3 2 3" xfId="17460"/>
    <cellStyle name="计算 2 2 2 3 3 3" xfId="17461"/>
    <cellStyle name="注释 2 4 2 2 2 2 3" xfId="17462"/>
    <cellStyle name="注释 2 6 2 7" xfId="17463"/>
    <cellStyle name="计算 2 2 2 2 2 2 4" xfId="17464"/>
    <cellStyle name="标题 3 2 2 4 2 2" xfId="17465"/>
    <cellStyle name="输入 2 4 4 4" xfId="17466"/>
    <cellStyle name="汇总 2 6 3 2 7" xfId="17467"/>
    <cellStyle name="差 3 3 4 2" xfId="17468"/>
    <cellStyle name="计算 2 2 6 4 4 2 2" xfId="17469"/>
    <cellStyle name="超链接 2 4 2 4" xfId="17470"/>
    <cellStyle name="标题 5 2 2 6 2" xfId="17471"/>
    <cellStyle name="60% - 强调文字颜色 4 2 2 3 6" xfId="17472"/>
    <cellStyle name="常规 5 2 3 3 2 3" xfId="17473"/>
    <cellStyle name="标题 2 2 2 2 3 2 2 2" xfId="17474"/>
    <cellStyle name="输入 2 2 4 2 2 4" xfId="17475"/>
    <cellStyle name="60% - 强调文字颜色 5 2 2 2 2 3 2 2" xfId="17476"/>
    <cellStyle name="20% - 强调文字颜色 3 2 3 3 4" xfId="17477"/>
    <cellStyle name="计算 2 2 2 2 2 2 2 3 2" xfId="17478"/>
    <cellStyle name="汇总 2 2 5" xfId="17479"/>
    <cellStyle name="强调文字颜色 1 2 4 2 3" xfId="17480"/>
    <cellStyle name="常规 3 3 7" xfId="17481"/>
    <cellStyle name="标题 1 2 2 4 5 3" xfId="17482"/>
    <cellStyle name="计算 2 2 7 4 2" xfId="17483"/>
    <cellStyle name="20% - 强调文字颜色 5 2 2 5 2 2 2" xfId="17484"/>
    <cellStyle name="标题 3 3 2 2" xfId="17485"/>
    <cellStyle name="计算 2 2 3 2 3 4 3" xfId="17486"/>
    <cellStyle name="强调文字颜色 2 2 2 2 2" xfId="17487"/>
    <cellStyle name="20% - 强调文字颜色 1 3 2" xfId="17488"/>
    <cellStyle name="计算 2 4 10" xfId="17489"/>
    <cellStyle name="输出 3 2 2 3 2 2" xfId="17490"/>
    <cellStyle name="计算 2 2 4 2 2 2 2 3 2 2" xfId="17491"/>
    <cellStyle name="百分比 2 2 5" xfId="17492"/>
    <cellStyle name="标题 1 2 2 5 4" xfId="17493"/>
    <cellStyle name="计算 2 2 3 2 2 3 3 2 2" xfId="17494"/>
    <cellStyle name="计算 2 8 2 7" xfId="17495"/>
    <cellStyle name="输入 2 2 9 3 3" xfId="17496"/>
    <cellStyle name="注释 2 8 4" xfId="17497"/>
    <cellStyle name="标题 2 3 5 3" xfId="17498"/>
    <cellStyle name="强调文字颜色 4 2 3 4 3 3" xfId="17499"/>
    <cellStyle name="标题 1 2 2 3 3 2 2 2" xfId="17500"/>
    <cellStyle name="常规 5 3 4 2 4" xfId="17501"/>
    <cellStyle name="强调文字颜色 3 2 2 5 2 2" xfId="17502"/>
    <cellStyle name="标题 1 2 2 4 2 2 2 2" xfId="17503"/>
    <cellStyle name="汇总 2 8 3 2 3 2 2" xfId="17504"/>
    <cellStyle name="60% - 强调文字颜色 4 2 4 5 2" xfId="17505"/>
    <cellStyle name="汇总 2 10 4 2 2" xfId="17506"/>
    <cellStyle name="注释 2 10 6" xfId="17507"/>
    <cellStyle name="好 2 2 2 2 8" xfId="17508"/>
    <cellStyle name="常规 4 5 3 3 3" xfId="17509"/>
    <cellStyle name="标题 5 3 2 5 2" xfId="17510"/>
    <cellStyle name="输入 2 8 2 4" xfId="17511"/>
    <cellStyle name="40% - 强调文字颜色 5 3 6" xfId="17512"/>
    <cellStyle name="60% - 强调文字颜色 4 2 2 2 4 2 2" xfId="17513"/>
    <cellStyle name="输入 2 2 3 4" xfId="17514"/>
    <cellStyle name="强调文字颜色 4 2 3 2 5 2" xfId="17515"/>
    <cellStyle name="常规 5 5 2 3 4" xfId="17516"/>
    <cellStyle name="计算 2 3 3 3 3 2 2" xfId="17517"/>
    <cellStyle name="强调文字颜色 3 2 4 3 3 2" xfId="17518"/>
    <cellStyle name="标题 1 3 2 4 2 2 2" xfId="17519"/>
    <cellStyle name="常规 4 2 4 2 3" xfId="17520"/>
    <cellStyle name="好 2 2 2 2 2 2" xfId="17521"/>
    <cellStyle name="计算 2 3 3 2 2 2" xfId="17522"/>
    <cellStyle name="强调文字颜色 3 2 3 2 3" xfId="17523"/>
    <cellStyle name="输入 2 5 2 4 3" xfId="17524"/>
    <cellStyle name="汇总 3 2 3 6" xfId="17525"/>
    <cellStyle name="强调文字颜色 2 2 3 4 3 3" xfId="17526"/>
    <cellStyle name="计算 2 2 3 2 4 2 3" xfId="17527"/>
    <cellStyle name="汇总 3 2 2 3 5" xfId="17528"/>
    <cellStyle name="汇总 3 2 2 3 2 3" xfId="17529"/>
    <cellStyle name="20% - 强调文字颜色 4 2 3 2 2 3 2 2" xfId="17530"/>
    <cellStyle name="60% - 强调文字颜色 1 2 2 2 3 2 2 2" xfId="17531"/>
    <cellStyle name="输入 2 2 6 2 3 2" xfId="17532"/>
    <cellStyle name="汇总 2 2 3 5 2 2" xfId="17533"/>
    <cellStyle name="输入 2 2 2 2 2 2 6" xfId="17534"/>
    <cellStyle name="20% - 强调文字颜色 6 2 2 2 2 2 3 2 2 2" xfId="17535"/>
    <cellStyle name="20% - 强调文字颜色 1 2 2 4" xfId="17536"/>
    <cellStyle name="20% - 强调文字颜色 1 2 4 5 2" xfId="17537"/>
    <cellStyle name="强调文字颜色 5 2 2 4 2 3" xfId="17538"/>
    <cellStyle name="常规 10 2 2 2 2 3 3" xfId="17539"/>
    <cellStyle name="40% - 强调文字颜色 3 2 2 4 3 2 2 2" xfId="17540"/>
    <cellStyle name="汇总 2 2 4 5 2 2" xfId="17541"/>
    <cellStyle name="输入 2 2 7 2 3 2" xfId="17542"/>
    <cellStyle name="60% - 强调文字颜色 1 2 2 2 4 2 2 2" xfId="17543"/>
    <cellStyle name="强调文字颜色 1 2 3 6" xfId="17544"/>
    <cellStyle name="标题 1 3 3 4 2" xfId="17545"/>
    <cellStyle name="常规 9 4 4 2 2" xfId="17546"/>
    <cellStyle name="标题 3 2 2 5 3 3" xfId="17547"/>
    <cellStyle name="输入 2 5 5 5" xfId="17548"/>
    <cellStyle name="输入 2 10 6" xfId="17549"/>
    <cellStyle name="好 2 3 5 2" xfId="17550"/>
    <cellStyle name="常规 5 2 2 4 2 2 2" xfId="17551"/>
    <cellStyle name="常规 5 6 2 4 2" xfId="17552"/>
    <cellStyle name="计算 5 4 2 2" xfId="17553"/>
    <cellStyle name="常规 8 3 4 2 2 2" xfId="17554"/>
    <cellStyle name="60% - 强调文字颜色 3 2 2 2 2 4" xfId="17555"/>
    <cellStyle name="60% - 强调文字颜色 4 2 3 2 2 2" xfId="17556"/>
    <cellStyle name="注释 2 4 2 3 4 3" xfId="17557"/>
    <cellStyle name="检查单元格 2 2 2 3 2 3" xfId="17558"/>
    <cellStyle name="40% - 强调文字颜色 2 4 3 2 2" xfId="17559"/>
    <cellStyle name="汇总 2 7 4 2 3 2 2" xfId="17560"/>
    <cellStyle name="标题 1 2 2 2 3 7" xfId="17561"/>
    <cellStyle name="40% - 强调文字颜色 2 2 3 6 2 2" xfId="17562"/>
    <cellStyle name="强调文字颜色 1 2 2 3 2 2 3" xfId="17563"/>
    <cellStyle name="强调文字颜色 3 2 3 5 2" xfId="17564"/>
    <cellStyle name="强调文字颜色 4 3 9" xfId="17565"/>
    <cellStyle name="60% - 强调文字颜色 6 2 2 5 2 3" xfId="17566"/>
    <cellStyle name="输出 2 2 3 2 2 10" xfId="17567"/>
    <cellStyle name="常规 5 5 2 3" xfId="17568"/>
    <cellStyle name="强调文字颜色 3 2 2 2 5" xfId="17569"/>
    <cellStyle name="40% - 强调文字颜色 3 2 2 2 3 2" xfId="17570"/>
    <cellStyle name="注释 2 2 2 3 4 2" xfId="17571"/>
    <cellStyle name="强调文字颜色 3 2 3 7" xfId="17572"/>
    <cellStyle name="标题 1 2 2 3 4 4" xfId="17573"/>
    <cellStyle name="注释 2 9 5" xfId="17574"/>
    <cellStyle name="强调文字颜色 3 2 3 6" xfId="17575"/>
    <cellStyle name="强调文字颜色 1 2 2 3 3 2 2 2" xfId="17576"/>
    <cellStyle name="60% - 强调文字颜色 2 2 2 7 2 2" xfId="17577"/>
    <cellStyle name="强调文字颜色 2 2 3 2 4 2 2 2" xfId="17578"/>
    <cellStyle name="20% - 强调文字颜色 2 3 4 2 2 2" xfId="17579"/>
    <cellStyle name="计算 2 2 3 2 2 3 2 2 2" xfId="17580"/>
    <cellStyle name="常规 2 2 2 3 2" xfId="17581"/>
    <cellStyle name="常规 13 2 2 2 2 3" xfId="17582"/>
    <cellStyle name="输出 2 3 4 3 2" xfId="17583"/>
    <cellStyle name="40% - 强调文字颜色 3 2 3 2 2 3 3 2" xfId="17584"/>
    <cellStyle name="注释 2 7 6" xfId="17585"/>
    <cellStyle name="强调文字颜色 5 2 4 4 2 3" xfId="17586"/>
    <cellStyle name="标题 1 2 2 3 4 3" xfId="17587"/>
    <cellStyle name="检查单元格 2 2 2 4 2 2 2" xfId="17588"/>
    <cellStyle name="强调文字颜色 2 2 2 2 2 3 3 2 2" xfId="17589"/>
    <cellStyle name="解释性文本 2 4 2 2" xfId="17590"/>
    <cellStyle name="输入 2 2 4 2 6 3" xfId="17591"/>
    <cellStyle name="40% - 强调文字颜色 6 2 5 4 2" xfId="17592"/>
    <cellStyle name="标题 1 2 2 3 4 2" xfId="17593"/>
    <cellStyle name="汇总 2 8 2 4 3" xfId="17594"/>
    <cellStyle name="60% - 强调文字颜色 2 2 2 2 2 5 2 2" xfId="17595"/>
    <cellStyle name="计算 2 7 16" xfId="17596"/>
    <cellStyle name="40% - 强调文字颜色 3 3 2 3 2 2 2" xfId="17597"/>
    <cellStyle name="40% - 强调文字颜色 3 2 2 2 2 2 4" xfId="17598"/>
    <cellStyle name="检查单元格 3 8" xfId="17599"/>
    <cellStyle name="常规 12 2 2 3 2 2" xfId="17600"/>
    <cellStyle name="常规 3 2 4 3 4 2" xfId="17601"/>
    <cellStyle name="标题 5 2 2 2 8" xfId="17602"/>
    <cellStyle name="60% - 强调文字颜色 4 2 4" xfId="17603"/>
    <cellStyle name="计算 2 2 4 3 6 2" xfId="17604"/>
    <cellStyle name="计算 2 2 6 2 7" xfId="17605"/>
    <cellStyle name="60% - 强调文字颜色 2 3 3 2" xfId="17606"/>
    <cellStyle name="注释 2 2 3 2 7" xfId="17607"/>
    <cellStyle name="输入 2 5 5 2" xfId="17608"/>
    <cellStyle name="常规 7 3 5" xfId="17609"/>
    <cellStyle name="40% - 强调文字颜色 5 2 2 2 2 2 5 2" xfId="17610"/>
    <cellStyle name="常规 3 2 2 4 3 3" xfId="17611"/>
    <cellStyle name="好 5 3" xfId="17612"/>
    <cellStyle name="计算 2 2 6 5 6" xfId="17613"/>
    <cellStyle name="标题 3 2 3 6" xfId="17614"/>
    <cellStyle name="60% - 强调文字颜色 5 2 4 5 2 2" xfId="17615"/>
    <cellStyle name="计算 2 2 2 4 5 3" xfId="17616"/>
    <cellStyle name="注释 2 2 3 2 9 2" xfId="17617"/>
    <cellStyle name="标题 7 4 2 2 2" xfId="17618"/>
    <cellStyle name="标题 5 2 4 3 2 2 2" xfId="17619"/>
    <cellStyle name="输入 7 2" xfId="17620"/>
    <cellStyle name="注释 3" xfId="17621"/>
    <cellStyle name="计算 2 4 2 2 2 3 2" xfId="17622"/>
    <cellStyle name="常规 5 2 2 5" xfId="17623"/>
    <cellStyle name="说明文本 5" xfId="17624"/>
    <cellStyle name="汇总 2 2 3 3 2 2 2 2" xfId="17625"/>
    <cellStyle name="计算 2 10 6 2" xfId="17626"/>
    <cellStyle name="计算 2 2 7 2 8" xfId="17627"/>
    <cellStyle name="60% - 强调文字颜色 5 2 5" xfId="17628"/>
    <cellStyle name="计算 2 2 4 4 6 3" xfId="17629"/>
    <cellStyle name="40% - 强调文字颜色 2 3 2 3 2 2" xfId="17630"/>
    <cellStyle name="解释性文本 2 2 2" xfId="17631"/>
    <cellStyle name="汇总 2 2 6 6 5" xfId="17632"/>
    <cellStyle name="Normal 3 2 2 2" xfId="17633"/>
    <cellStyle name="注释 2 6 2 3 3" xfId="17634"/>
    <cellStyle name="40% - 强调文字颜色 3 6 2 2 2" xfId="17635"/>
    <cellStyle name="20% - 强调文字颜色 5 2 4 4" xfId="17636"/>
    <cellStyle name="汇总 2 2 4 2 6 3 2" xfId="17637"/>
    <cellStyle name="输出 4 2 5" xfId="17638"/>
    <cellStyle name="标题 1 2 2 2 4 3 2 2" xfId="17639"/>
    <cellStyle name="警告文本 2 2 3 2 2 2 2" xfId="17640"/>
    <cellStyle name="汇总 2 2 4 2 5 3 3" xfId="17641"/>
    <cellStyle name="60% - 强调文字颜色 6 2 2 4 5 3" xfId="17642"/>
    <cellStyle name="60% - 强调文字颜色 6 2 2 2 5 2" xfId="17643"/>
    <cellStyle name="汇总 2 2 4 2 3 3 2" xfId="17644"/>
    <cellStyle name="计算 2 2 4 4 3 5" xfId="17645"/>
    <cellStyle name="百分比 2 2 4 4" xfId="17646"/>
    <cellStyle name="汇总 2 2 6 6 3 2 2" xfId="17647"/>
    <cellStyle name="计算 2 2 10 3 2" xfId="17648"/>
    <cellStyle name="解释性文本 2 2 2 3 6" xfId="17649"/>
    <cellStyle name="链接单元格 2 3 4 2 2" xfId="17650"/>
    <cellStyle name="汇总 2 5 2 2 2 5 2 2" xfId="17651"/>
    <cellStyle name="标题 1 2 2 2 4 2 2 3" xfId="17652"/>
    <cellStyle name="输出 3 2 6" xfId="17653"/>
    <cellStyle name="汇总 2 2 4 2 5 3 2" xfId="17654"/>
    <cellStyle name="60% - 强调文字颜色 6 2 2 4 5 2" xfId="17655"/>
    <cellStyle name="强调文字颜色 6 2 3 2 4 4" xfId="17656"/>
    <cellStyle name="汇总 2 5 3 3 4 3" xfId="17657"/>
    <cellStyle name="标题 1 2 2 2 4 2 2 2" xfId="17658"/>
    <cellStyle name="40% - 强调文字颜色 5 2 10" xfId="17659"/>
    <cellStyle name="60% - 强调文字颜色 5 2 2 2 3 5" xfId="17660"/>
    <cellStyle name="计算 2 5 3 2 3 2 2" xfId="17661"/>
    <cellStyle name="输入 2 2 4 2 2 2 2 3" xfId="17662"/>
    <cellStyle name="强调文字颜色 5 2 3 3 3 2" xfId="17663"/>
    <cellStyle name="标题 1 2 5 4" xfId="17664"/>
    <cellStyle name="强调文字颜色 4 2 2 3 3 4" xfId="17665"/>
    <cellStyle name="计算 2 2 7 3 2" xfId="17666"/>
    <cellStyle name="标题 4 4 3 2 2 2" xfId="17667"/>
    <cellStyle name="40% - 强调文字颜色 1 2 2 3 4" xfId="17668"/>
    <cellStyle name="警告文本 2 2 3 4 2 3" xfId="17669"/>
    <cellStyle name="汇总 2 4 3 2 4 2 2" xfId="17670"/>
    <cellStyle name="汇总 2 2 4 4 2 5" xfId="17671"/>
    <cellStyle name="计算 3 12" xfId="17672"/>
    <cellStyle name="60% - 强调文字颜色 6 3 3 2 2" xfId="17673"/>
    <cellStyle name="40% - 强调文字颜色 6 2 3 7" xfId="17674"/>
    <cellStyle name="检查单元格 2 5 3 2 2" xfId="17675"/>
    <cellStyle name="常规 9 2 2 2 2 2" xfId="17676"/>
    <cellStyle name="常规 5 4 3 4 2 2" xfId="17677"/>
    <cellStyle name="计算 2 2 6 17" xfId="17678"/>
    <cellStyle name="20% - 强调文字颜色 2 2 2 4 2 3 2" xfId="17679"/>
    <cellStyle name="输出 2 2 6 7 2" xfId="17680"/>
    <cellStyle name="输入 2 2 5 3 2 2" xfId="17681"/>
    <cellStyle name="计算 2 4 2 6 2" xfId="17682"/>
    <cellStyle name="40% - 强调文字颜色 5 2 3 2 2 4 2 2 2" xfId="17683"/>
    <cellStyle name="好 2 2 3 3 2" xfId="17684"/>
    <cellStyle name="60% - 强调文字颜色 4 2 2 3 5 2 2" xfId="17685"/>
    <cellStyle name="差 4 2 3 2" xfId="17686"/>
    <cellStyle name="输入 4 2 5 3" xfId="17687"/>
    <cellStyle name="标题 1 2 2 2 3 5" xfId="17688"/>
    <cellStyle name="汇总 6 4 2" xfId="17689"/>
    <cellStyle name="计算 2 2 4 3 2 5 3" xfId="17690"/>
    <cellStyle name="汇总 2 2 4 2 2 2 2 3" xfId="17691"/>
    <cellStyle name="输入 2 2 5 2 2 8" xfId="17692"/>
    <cellStyle name="40% - 强调文字颜色 4 2 2 6 3" xfId="17693"/>
    <cellStyle name="常规 5 4 3 2 2" xfId="17694"/>
    <cellStyle name="注释 2 2 5 5 5" xfId="17695"/>
    <cellStyle name="常规 4 2 2 2 2" xfId="17696"/>
    <cellStyle name="60% - 强调文字颜色 4 2 3 4" xfId="17697"/>
    <cellStyle name="链接单元格 2 7 2" xfId="17698"/>
    <cellStyle name="汇总 2 5 2 2 6 3" xfId="17699"/>
    <cellStyle name="40% - 强调文字颜色 1 3 5 2 2 2" xfId="17700"/>
    <cellStyle name="60% - 强调文字颜色 5 6 2 2" xfId="17701"/>
    <cellStyle name="常规 2 2 2 2 2 3" xfId="17702"/>
    <cellStyle name="输出 2 3 4 2 2 3" xfId="17703"/>
    <cellStyle name="计算 2 2 4 5 2 4 2" xfId="17704"/>
    <cellStyle name="计算 2 2 7 2 3" xfId="17705"/>
    <cellStyle name="常规 9 4 2" xfId="17706"/>
    <cellStyle name="20% - 强调文字颜色 4 2 5 2 3 2" xfId="17707"/>
    <cellStyle name="标题 1 2 2 3 3 2 3" xfId="17708"/>
    <cellStyle name="检查单元格 2 2 2 2 4 2 2 2" xfId="17709"/>
    <cellStyle name="40% - 强调文字颜色 1 5 2" xfId="17710"/>
    <cellStyle name="常规 4 2 5 2 2" xfId="17711"/>
    <cellStyle name="强调文字颜色 6 2 2 5 3 2" xfId="17712"/>
    <cellStyle name="汇总 2 3 2 4 2 2" xfId="17713"/>
    <cellStyle name="标题 1 2 2 2 3" xfId="17714"/>
    <cellStyle name="20% - 强调文字颜色 1 3 3 3" xfId="17715"/>
    <cellStyle name="强调文字颜色 2 2 2 2 3 3" xfId="17716"/>
    <cellStyle name="适中 2 4 2 4" xfId="17717"/>
    <cellStyle name="20% - 强调文字颜色 6 2 3 2 5" xfId="17718"/>
    <cellStyle name="注释 2 4 7 2 2" xfId="17719"/>
    <cellStyle name="标题 3 4 2 3 2 2 2" xfId="17720"/>
    <cellStyle name="标题 1 2 2 2 3 3 3" xfId="17721"/>
    <cellStyle name="注释 2 2 3 2 2" xfId="17722"/>
    <cellStyle name="适中 3 2 5 2 2" xfId="17723"/>
    <cellStyle name="20% - 强调文字颜色 3 2 3 2 3 3" xfId="17724"/>
    <cellStyle name="标题 1 2 3 5" xfId="17725"/>
    <cellStyle name="强调文字颜色 3 2 3 2 3 2 2" xfId="17726"/>
    <cellStyle name="计算 2 2 4 2 3 2 4 2" xfId="17727"/>
    <cellStyle name="标题 2 2 2 2 2 7" xfId="17728"/>
    <cellStyle name="标题 4 2 4 2 2 3" xfId="17729"/>
    <cellStyle name="40% - 强调文字颜色 5 2 2 2 2 2 2" xfId="17730"/>
    <cellStyle name="注释 2 2 3 7 2 2" xfId="17731"/>
    <cellStyle name="注释 2 2 5 2 2 2 3" xfId="17732"/>
    <cellStyle name="40% - 强调文字颜色 4 2 2 6 3 2" xfId="17733"/>
    <cellStyle name="计算 2 2 3 2 10" xfId="17734"/>
    <cellStyle name="常规 5 4 3 2 2 2" xfId="17735"/>
    <cellStyle name="输出 2 2 4 7 2" xfId="17736"/>
    <cellStyle name="汇总 2 3 2 2 2 2 3 2 2" xfId="17737"/>
    <cellStyle name="计算 2 2 2 8 3" xfId="17738"/>
    <cellStyle name="输入 2 2 3 3 4 3" xfId="17739"/>
    <cellStyle name="差 2 2 4 2 2 2 2" xfId="17740"/>
    <cellStyle name="60% - 强调文字颜色 4 2 4 3 2 2" xfId="17741"/>
    <cellStyle name="常规 12 3 3 3 3" xfId="17742"/>
    <cellStyle name="汇总 2 2 3 2 3 2 2" xfId="17743"/>
    <cellStyle name="输入 2 3 4 2 2 2 2" xfId="17744"/>
    <cellStyle name="输入 4 2 3" xfId="17745"/>
    <cellStyle name="强调文字颜色 5 2 2 3 4 2 2" xfId="17746"/>
    <cellStyle name="计算 2 8 2 2 7" xfId="17747"/>
    <cellStyle name="输入 2 2 3 3 2" xfId="17748"/>
    <cellStyle name="计算 2 2 2 6" xfId="17749"/>
    <cellStyle name="60% - 强调文字颜色 6 2 2 2 2 4 2 2" xfId="17750"/>
    <cellStyle name="输出 2 6 7 3" xfId="17751"/>
    <cellStyle name="计算 2 8 3 2" xfId="17752"/>
    <cellStyle name="注释 3 10" xfId="17753"/>
    <cellStyle name="输入 2 6 2 2 2 4" xfId="17754"/>
    <cellStyle name="40% - 强调文字颜色 1 2 3 3 2 2 2 2 2" xfId="17755"/>
    <cellStyle name="强调文字颜色 1 2 2 3 3 2 3" xfId="17756"/>
    <cellStyle name="强调文字颜色 3 2 4 5 2" xfId="17757"/>
    <cellStyle name="解释性文本 4 9" xfId="17758"/>
    <cellStyle name="标题 1 2 5 2 3" xfId="17759"/>
    <cellStyle name="强调文字颜色 4 2 2 3 3 2 3" xfId="17760"/>
    <cellStyle name="汇总 2 3 2 7 2 2" xfId="17761"/>
    <cellStyle name="汇总 2 2 6 3 4" xfId="17762"/>
    <cellStyle name="计算 2 9 2 4 3" xfId="17763"/>
    <cellStyle name="注释 2 4 3 3 3" xfId="17764"/>
    <cellStyle name="汇总 2 2 5 2 2 6" xfId="17765"/>
    <cellStyle name="适中 2 2 2 2 4 2 2 2" xfId="17766"/>
    <cellStyle name="40% - 强调文字颜色 3 4 3 2 2" xfId="17767"/>
    <cellStyle name="20% - 强调文字颜色 6 4 2 4" xfId="17768"/>
    <cellStyle name="汇总 2 2 7 5 3" xfId="17769"/>
    <cellStyle name="强调文字颜色 6 2 2 3 2 2 2 2 2" xfId="17770"/>
    <cellStyle name="20% - 强调文字颜色 6 2 3 2 2 4" xfId="17771"/>
    <cellStyle name="常规 14 3 2 2" xfId="17772"/>
    <cellStyle name="计算 2 2 2 2 2 2 7" xfId="17773"/>
    <cellStyle name="差 2 2 2 3 3 3" xfId="17774"/>
    <cellStyle name="输出 4 4 2 2" xfId="17775"/>
    <cellStyle name="40% - 强调文字颜色 2 2 2 4 3 3 2" xfId="17776"/>
    <cellStyle name="汇总 2 7 6 3 3" xfId="17777"/>
    <cellStyle name="输入 2 2 4 3 5" xfId="17778"/>
    <cellStyle name="计算 2 3 2 9" xfId="17779"/>
    <cellStyle name="输入 2 11 3" xfId="17780"/>
    <cellStyle name="20% - 强调文字颜色 6 2 3 3 5" xfId="17781"/>
    <cellStyle name="汇总 2 3 6 3 2" xfId="17782"/>
    <cellStyle name="标题 2 4 2 2 2 2" xfId="17783"/>
    <cellStyle name="标题 2 2 3 3 2 2 2 2 2" xfId="17784"/>
    <cellStyle name="链接单元格 3 4 2" xfId="17785"/>
    <cellStyle name="汇总 2 5 2 3 3 3" xfId="17786"/>
    <cellStyle name="差 2 2 6" xfId="17787"/>
    <cellStyle name="输入 2 2 5 4 3 2 2" xfId="17788"/>
    <cellStyle name="60% - 强调文字颜色 1 2 2 2 2 4 2 2 2" xfId="17789"/>
    <cellStyle name="输入 2 2 7 6 3" xfId="17790"/>
    <cellStyle name="60% - 强调文字颜色 3 2 4 2 2 2 2 2" xfId="17791"/>
    <cellStyle name="60% - 强调文字颜色 2 2 3 2 2 2 2 2 2" xfId="17792"/>
    <cellStyle name="输出 2 4 4 2 4" xfId="17793"/>
    <cellStyle name="20% - 强调文字颜色 5 2 5 2 2" xfId="17794"/>
    <cellStyle name="常规 2 3 2 2 4" xfId="17795"/>
    <cellStyle name="Normal 3 3" xfId="17796"/>
    <cellStyle name="注释 2 2 2 2 4 2 2" xfId="17797"/>
    <cellStyle name="20% - 强调文字颜色 6 2 3 4" xfId="17798"/>
    <cellStyle name="60% - 强调文字颜色 2 2 2 2 4 3 2 2" xfId="17799"/>
    <cellStyle name="汇总 2 2 5 6 3" xfId="17800"/>
    <cellStyle name="标题 1 2 4 6 2 2" xfId="17801"/>
    <cellStyle name="标题 2 2 2 8 2" xfId="17802"/>
    <cellStyle name="60% - 强调文字颜色 6 2 2 2 4 3 2 2" xfId="17803"/>
    <cellStyle name="40% - 强调文字颜色 6 2 3 3 3" xfId="17804"/>
    <cellStyle name="汇总 2 2 4 2 3 2 3 2 2" xfId="17805"/>
    <cellStyle name="常规 10 3 2 2 4" xfId="17806"/>
    <cellStyle name="汇总 2 2 6 2 2 2 4 2" xfId="17807"/>
    <cellStyle name="检查单元格 2 2 3 9" xfId="17808"/>
    <cellStyle name="常规 3 2 2 2 2" xfId="17809"/>
    <cellStyle name="输出 3 3 4 2 2" xfId="17810"/>
    <cellStyle name="标题 4 3 2" xfId="17811"/>
    <cellStyle name="20% - 强调文字颜色 5 2 2 6 2 2" xfId="17812"/>
    <cellStyle name="计算 2 3 2 10" xfId="17813"/>
    <cellStyle name="标题 4 4 4 2 3" xfId="17814"/>
    <cellStyle name="20% - 强调文字颜色 4 2 3 2 2 2 2 2 2 2" xfId="17815"/>
    <cellStyle name="汇总 2 2 5 5 4" xfId="17816"/>
    <cellStyle name="20% - 强调文字颜色 6 2 2 5" xfId="17817"/>
    <cellStyle name="标题 5 2 6 4" xfId="17818"/>
    <cellStyle name="常规 2 4 5 2" xfId="17819"/>
    <cellStyle name="计算 2 2 5 2 3 7" xfId="17820"/>
    <cellStyle name="输出 2 5 7 2" xfId="17821"/>
    <cellStyle name="常规 8 3 5" xfId="17822"/>
    <cellStyle name="链接单元格 2 7 2 3" xfId="17823"/>
    <cellStyle name="60% - 强调文字颜色 4 2 3 4 3" xfId="17824"/>
    <cellStyle name="20% - 强调文字颜色 3 2 2 2 2 2 3 2 2" xfId="17825"/>
    <cellStyle name="强调文字颜色 5 2 5 2 2" xfId="17826"/>
    <cellStyle name="输入 2 2 2 2 4 3" xfId="17827"/>
    <cellStyle name="60% - 强调文字颜色 5 2 2 6" xfId="17828"/>
    <cellStyle name="常规 10 3 2 4 2" xfId="17829"/>
    <cellStyle name="汇总 4 2 3 2" xfId="17830"/>
    <cellStyle name="输出 2 5 2 12" xfId="17831"/>
    <cellStyle name="60% - 强调文字颜色 4 2 2 4 2 2 2 2" xfId="17832"/>
    <cellStyle name="汇总 2 10 6" xfId="17833"/>
    <cellStyle name="60% - 强调文字颜色 1 2 2 3 7" xfId="17834"/>
    <cellStyle name="20% - 强调文字颜色 3 2 6" xfId="17835"/>
    <cellStyle name="常规 5 2 2 2 4 2" xfId="17836"/>
    <cellStyle name="常规 5 4 4 4" xfId="17837"/>
    <cellStyle name="汇总 3 8 2 2" xfId="17838"/>
    <cellStyle name="60% - 强调文字颜色 6 4 3" xfId="17839"/>
    <cellStyle name="计算 2 2 8 4 6" xfId="17840"/>
    <cellStyle name="40% - 强调文字颜色 3 3 2 3" xfId="17841"/>
    <cellStyle name="60% - 强调文字颜色 3 3 2 3 2" xfId="17842"/>
    <cellStyle name="计算 3 2 4 5" xfId="17843"/>
    <cellStyle name="输出 2 2 2 3 6" xfId="17844"/>
    <cellStyle name="汇总 2 3 2 2 2 2 2 2" xfId="17845"/>
    <cellStyle name="输出 2 2 3 7" xfId="17846"/>
    <cellStyle name="计算 2 2 6 5 2" xfId="17847"/>
    <cellStyle name="标题 3 2 3 2" xfId="17848"/>
    <cellStyle name="60% - 强调文字颜色 3 2 2 5 2 2" xfId="17849"/>
    <cellStyle name="常规 11 2 2 5" xfId="17850"/>
    <cellStyle name="40% - 强调文字颜色 2 2 2 3 2 2 2 2" xfId="17851"/>
    <cellStyle name="标题 4 2 11" xfId="17852"/>
    <cellStyle name="差 2 2 2 3 4" xfId="17853"/>
    <cellStyle name="60% - 强调文字颜色 5 3 2 2 2" xfId="17854"/>
    <cellStyle name="注释 3 5 2" xfId="17855"/>
    <cellStyle name="强调文字颜色 1 2 2 4 6" xfId="17856"/>
    <cellStyle name="强调文字颜色 5 3 8" xfId="17857"/>
    <cellStyle name="20% - 强调文字颜色 2 2 2 2 2 2 3 3 2" xfId="17858"/>
    <cellStyle name="60% - 强调文字颜色 6 2 2 6 2 2" xfId="17859"/>
    <cellStyle name="Normal 2" xfId="17860"/>
    <cellStyle name="输出 2 2 10 5" xfId="17861"/>
    <cellStyle name="常规 16 5" xfId="17862"/>
    <cellStyle name="标题 1 2 2 2 2 2 2 2" xfId="17863"/>
    <cellStyle name="汇总 2 7 6 5" xfId="17864"/>
    <cellStyle name="注释 2 2 2 2 2 4 2 2" xfId="17865"/>
    <cellStyle name="百分比 2 8" xfId="17866"/>
    <cellStyle name="汇总 2 2 4 2 2 2 5 2 2" xfId="17867"/>
    <cellStyle name="40% - 强调文字颜色 5 2 5 3 3" xfId="17868"/>
    <cellStyle name="汇总 4 6" xfId="17869"/>
    <cellStyle name="常规 15 2 2 2" xfId="17870"/>
    <cellStyle name="百分比 2 6 2 2" xfId="17871"/>
    <cellStyle name="计算 2 5 2 3 2 5" xfId="17872"/>
    <cellStyle name="强调文字颜色 2 2 2 3 3 2 2 2" xfId="17873"/>
    <cellStyle name="输入 2 5 4" xfId="17874"/>
    <cellStyle name="20% - 强调文字颜色 1 4 3 2 2 2" xfId="17875"/>
    <cellStyle name="汇总 2 3 2 7 2" xfId="17876"/>
    <cellStyle name="标题 1 2 2 5 3" xfId="17877"/>
    <cellStyle name="强调文字颜色 6 2 3 8" xfId="17878"/>
    <cellStyle name="百分比 2 2 4" xfId="17879"/>
    <cellStyle name="60% - 强调文字颜色 5 4 2 3" xfId="17880"/>
    <cellStyle name="60% - 强调文字颜色 4 2 8 2" xfId="17881"/>
    <cellStyle name="百分比 2 3 5 3" xfId="17882"/>
    <cellStyle name="输出 3 6" xfId="17883"/>
    <cellStyle name="输出 2 9 6" xfId="17884"/>
    <cellStyle name="输入 2 4" xfId="17885"/>
    <cellStyle name="常规 4 2 4 4 2" xfId="17886"/>
    <cellStyle name="标题 2 2 3 3 2 2 3" xfId="17887"/>
    <cellStyle name="汇总 2 6 2 2 2" xfId="17888"/>
    <cellStyle name="20% - 强调文字颜色 2 3 2 5 2" xfId="17889"/>
    <cellStyle name="40% - 强调文字颜色 5 2 3 3 2 2 2" xfId="17890"/>
    <cellStyle name="注释 2 2 2 4 3 2 2" xfId="17891"/>
    <cellStyle name="40% - 强调文字颜色 3 2 2 3 2 2 2" xfId="17892"/>
    <cellStyle name="60% - 强调文字颜色 6 2 2 5 3 3" xfId="17893"/>
    <cellStyle name="输入 2 3 13" xfId="17894"/>
    <cellStyle name="适中 2 4 3 2" xfId="17895"/>
    <cellStyle name="20% - 强调文字颜色 1 2 5 4 2 2" xfId="17896"/>
    <cellStyle name="标题 4 2 2 2 2 2 2" xfId="17897"/>
    <cellStyle name="警告文本 2 3 2 2 2 3" xfId="17898"/>
    <cellStyle name="60% - 强调文字颜色 1 2 4 2 2 2 2" xfId="17899"/>
    <cellStyle name="40% - 强调文字颜色 1 2 2 2 3 3 2 2" xfId="17900"/>
    <cellStyle name="标题 2 2 3 2 3 2 3" xfId="17901"/>
    <cellStyle name="汇总 2 5 3 2 2" xfId="17902"/>
    <cellStyle name="Normal 5 2" xfId="17903"/>
    <cellStyle name="好 2 3 4 4" xfId="17904"/>
    <cellStyle name="标题 2 2 4 2" xfId="17905"/>
    <cellStyle name="输入 2 2 2 7 2 2" xfId="17906"/>
    <cellStyle name="强调文字颜色 4 2 3 3 2 2" xfId="17907"/>
    <cellStyle name="超链接 2 2 2 2 3 2" xfId="17908"/>
    <cellStyle name="好 2 2 6 3 3" xfId="17909"/>
    <cellStyle name="注释 2 6 5 3" xfId="17910"/>
    <cellStyle name="20% - 强调文字颜色 4 2 4" xfId="17911"/>
    <cellStyle name="60% - 强调文字颜色 1 2 3 3 5" xfId="17912"/>
    <cellStyle name="注释 2 2 4 2 5 2" xfId="17913"/>
    <cellStyle name="60% - 强调文字颜色 4 2 5 2 2" xfId="17914"/>
    <cellStyle name="60% - 强调文字颜色 2 3 3 3 2 2" xfId="17915"/>
    <cellStyle name="40% - 强调文字颜色 2 3 2 2 2 2 2 2" xfId="17916"/>
    <cellStyle name="输出 2 2 4 2 9" xfId="17917"/>
    <cellStyle name="汇总 2 3 2 2 3 3 2" xfId="17918"/>
    <cellStyle name="汇总 2 6 2 4 3" xfId="17919"/>
    <cellStyle name="汇总 2 2 4 3 6 3" xfId="17920"/>
    <cellStyle name="注释 2 2 5 5 3" xfId="17921"/>
    <cellStyle name="20% - 强调文字颜色 1 2 3 2 2 4 2 2" xfId="17922"/>
    <cellStyle name="40% - 强调文字颜色 3 2 5 4 2" xfId="17923"/>
    <cellStyle name="计算 4 2 5 2 2" xfId="17924"/>
    <cellStyle name="输出 2 2 4 5" xfId="17925"/>
    <cellStyle name="标题 2 2 4 8" xfId="17926"/>
    <cellStyle name="警告文本 2 3 2 2 5" xfId="17927"/>
    <cellStyle name="注释 2 2 3 4 4 2 2" xfId="17928"/>
    <cellStyle name="40% - 强调文字颜色 3 2 3 3 3 2 2" xfId="17929"/>
    <cellStyle name="链接单元格 2 2 2 2 4 2" xfId="17930"/>
    <cellStyle name="差 2 2 2 3 6" xfId="17931"/>
    <cellStyle name="注释 5 2 2 2" xfId="17932"/>
    <cellStyle name="百分比 2 3 4" xfId="17933"/>
    <cellStyle name="强调文字颜色 6 2 4 8" xfId="17934"/>
    <cellStyle name="标题 1 2 2 6 3" xfId="17935"/>
    <cellStyle name="标题 5 3 2 3 3 2 2" xfId="17936"/>
    <cellStyle name="汇总 2 9 6" xfId="17937"/>
    <cellStyle name="20% - 强调文字颜色 6 2 2 2 2 2 2" xfId="17938"/>
    <cellStyle name="常规 5 2 2 6 2 2" xfId="17939"/>
    <cellStyle name="常规 9 2 2 2 2 3" xfId="17940"/>
    <cellStyle name="计算 2 2 5 3 6 2" xfId="17941"/>
    <cellStyle name="60% - 强调文字颜色 3 3 3 2" xfId="17942"/>
    <cellStyle name="输出 2 4 6 2 2" xfId="17943"/>
    <cellStyle name="常规 2 3 4 2 2" xfId="17944"/>
    <cellStyle name="输出 2 2 12 2" xfId="17945"/>
    <cellStyle name="汇总 2 5 2 4 2 5" xfId="17946"/>
    <cellStyle name="汇总 2 2 4 4 3 2 3" xfId="17947"/>
    <cellStyle name="标题 3 2 2 2 6" xfId="17948"/>
    <cellStyle name="计算 2 2 6 4 2 6" xfId="17949"/>
    <cellStyle name="百分比 2 3 3 2 2 2" xfId="17950"/>
    <cellStyle name="40% - 强调文字颜色 5 2 3 2 2 3 2" xfId="17951"/>
    <cellStyle name="20% - 强调文字颜色 5 2 3 7 2" xfId="17952"/>
    <cellStyle name="强调文字颜色 2 3 2 2 3 2" xfId="17953"/>
    <cellStyle name="标题 5 8 3" xfId="17954"/>
    <cellStyle name="汇总 2 2 8 4 5" xfId="17955"/>
    <cellStyle name="适中 2 4 3 2 2" xfId="17956"/>
    <cellStyle name="60% - 强调文字颜色 6 3 3 3 2 2 2" xfId="17957"/>
    <cellStyle name="百分比 2 2 5 3" xfId="17958"/>
    <cellStyle name="汇总 2 2 9 2 4 2" xfId="17959"/>
    <cellStyle name="注释 2 4 5 6" xfId="17960"/>
    <cellStyle name="输入 2 5 2 3 6" xfId="17961"/>
    <cellStyle name="标题 5 3 3 3" xfId="17962"/>
    <cellStyle name="40% - 强调文字颜色 6 2 5 3 2 2 2" xfId="17963"/>
    <cellStyle name="标题 2 3 2 4 3" xfId="17964"/>
    <cellStyle name="注释 2 5 5 3" xfId="17965"/>
    <cellStyle name="40% - 强调文字颜色 2 2 4 3 2" xfId="17966"/>
    <cellStyle name="60% - 强调文字颜色 3 2 3 2 3 2" xfId="17967"/>
    <cellStyle name="标题 3 2 2 2 2 2 2 2" xfId="17968"/>
    <cellStyle name="计算 2 3 3 6 2" xfId="17969"/>
    <cellStyle name="输入 2 2 4 4 2 2" xfId="17970"/>
    <cellStyle name="汇总 4 3 3" xfId="17971"/>
    <cellStyle name="60% - 强调文字颜色 4 2 2 4 2 3 2" xfId="17972"/>
    <cellStyle name="20% - 强调文字颜色 4 2 2 3 2 2 2 2 2" xfId="17973"/>
    <cellStyle name="汇总 2 3 2 2 2 3 2" xfId="17974"/>
    <cellStyle name="20% - 强调文字颜色 2 2 9" xfId="17975"/>
    <cellStyle name="适中 2 6" xfId="17976"/>
    <cellStyle name="计算 2 2 3 4 4 2 2" xfId="17977"/>
    <cellStyle name="注释 2 3 3 2" xfId="17978"/>
    <cellStyle name="注释 9" xfId="17979"/>
    <cellStyle name="汇总 2 5 4 3 2 2" xfId="17980"/>
    <cellStyle name="计算 2 2 8 3 2 3" xfId="17981"/>
    <cellStyle name="输入 2 2 2 4 3 3" xfId="17982"/>
    <cellStyle name="标题 3 2 4 4 4" xfId="17983"/>
    <cellStyle name="20% - 强调文字颜色 4 2 2 2 2 2 5" xfId="17984"/>
    <cellStyle name="强调文字颜色 6 2 2 5 2" xfId="17985"/>
    <cellStyle name="常规 10 3 2 2 3 3" xfId="17986"/>
    <cellStyle name="常规 5 2 3 3 2 2" xfId="17987"/>
    <cellStyle name="输入 2 2 4 2 2 3" xfId="17988"/>
    <cellStyle name="强调文字颜色 6 2 2 3 5 2 2" xfId="17989"/>
    <cellStyle name="汇总 2 2 4 6 2" xfId="17990"/>
    <cellStyle name="40% - 强调文字颜色 5 2 3 3 2 2" xfId="17991"/>
    <cellStyle name="解释性文本 2 2 8" xfId="17992"/>
    <cellStyle name="60% - 强调文字颜色 1 2 2 3 2" xfId="17993"/>
    <cellStyle name="输出 2 2 5 2 2 7" xfId="17994"/>
    <cellStyle name="Normal 3 2 3" xfId="17995"/>
    <cellStyle name="标题 4 2 2 6 3 2" xfId="17996"/>
    <cellStyle name="链接单元格 2 2 2 2 2 3 2" xfId="17997"/>
    <cellStyle name="输入 2 5 2 10" xfId="17998"/>
    <cellStyle name="差 3 2 2 3 2 2 2" xfId="17999"/>
    <cellStyle name="计算 2 2 8 8" xfId="18000"/>
    <cellStyle name="标题 3 4 6" xfId="18001"/>
    <cellStyle name="输出 2 2 4 2 2 9" xfId="18002"/>
    <cellStyle name="60% - 强调文字颜色 6 2 4 4 2 3" xfId="18003"/>
    <cellStyle name="汇总 2 2 5 4 5 2 2" xfId="18004"/>
    <cellStyle name="汇总 2 3 2 7 3" xfId="18005"/>
    <cellStyle name="40% - 强调文字颜色 4 3 5" xfId="18006"/>
    <cellStyle name="汇总 2 2 4 2 2 2 2 2 2 2" xfId="18007"/>
    <cellStyle name="40% - 强调文字颜色 5 2 2 3 3 2" xfId="18008"/>
    <cellStyle name="注释 2 2 4 8 2" xfId="18009"/>
    <cellStyle name="40% - 强调文字颜色 6 3 2 4 2 2 2" xfId="18010"/>
    <cellStyle name="警告文本 2 2 7 2" xfId="18011"/>
    <cellStyle name="计算 2 2 2 2 8" xfId="18012"/>
    <cellStyle name="常规 13 3 2 2" xfId="18013"/>
    <cellStyle name="20% - 强调文字颜色 6 2 2 2 2 4" xfId="18014"/>
    <cellStyle name="20% - 强调文字颜色 3 2 5 5 2" xfId="18015"/>
    <cellStyle name="警告文本 2 2 3 2 2" xfId="18016"/>
    <cellStyle name="输入 2 2 8 3 2 4" xfId="18017"/>
    <cellStyle name="强调文字颜色 1 2 2 2 3 2 2" xfId="18018"/>
    <cellStyle name="输出 2 4 3 2 6" xfId="18019"/>
    <cellStyle name="标题 6 3 3 3" xfId="18020"/>
    <cellStyle name="输入 2 2 4 2 11" xfId="18021"/>
    <cellStyle name="输入 2 2 14 3" xfId="18022"/>
    <cellStyle name="60% - 强调文字颜色 1 2 2 2 2 2 4" xfId="18023"/>
    <cellStyle name="输入 2 2 5 2 5" xfId="18024"/>
    <cellStyle name="输出 2 2 7 4 4" xfId="18025"/>
    <cellStyle name="计算 2 4 3 3 4" xfId="18026"/>
    <cellStyle name="输出 2 2 4 2 7 2" xfId="18027"/>
    <cellStyle name="60% - 强调文字颜色 1 3 2 3 2 2 2" xfId="18028"/>
    <cellStyle name="60% - 强调文字颜色 2 2 2 2 7 2" xfId="18029"/>
    <cellStyle name="强调文字颜色 1 2 3 2 5 2 2" xfId="18030"/>
    <cellStyle name="输出 2 2 6" xfId="18031"/>
    <cellStyle name="计算 2 2 8 2 5 2" xfId="18032"/>
    <cellStyle name="60% - 强调文字颜色 6 2 2 2" xfId="18033"/>
    <cellStyle name="输入 2 2 2 3 6 2" xfId="18034"/>
    <cellStyle name="强调文字颜色 1 2 3 3 2" xfId="18035"/>
    <cellStyle name="输出 2 5 8" xfId="18036"/>
    <cellStyle name="常规 2 4 6" xfId="18037"/>
    <cellStyle name="常规 2 2 2 2 2 5 2 2" xfId="18038"/>
    <cellStyle name="输入 2 4 4 2 2 2 2" xfId="18039"/>
    <cellStyle name="40% - 强调文字颜色 4 2 4 3 2 2 2" xfId="18040"/>
    <cellStyle name="输出 3 3 5 2" xfId="18041"/>
    <cellStyle name="输出 2 5 11" xfId="18042"/>
    <cellStyle name="常规 3 2 3 2" xfId="18043"/>
    <cellStyle name="计算 2 2 7 4 4" xfId="18044"/>
    <cellStyle name="标题 3 3 2 4" xfId="18045"/>
    <cellStyle name="汇总 2 7 3 5 3" xfId="18046"/>
    <cellStyle name="汇总 2 2 2 4 2 4 2 2" xfId="18047"/>
    <cellStyle name="百分比 2 2 2 4 3" xfId="18048"/>
    <cellStyle name="警告文本 4 2" xfId="18049"/>
    <cellStyle name="标题 2 2 3 4 2 2" xfId="18050"/>
    <cellStyle name="解释性文本 2 2 5 3 3" xfId="18051"/>
    <cellStyle name="输入 2 3 2 3 4" xfId="18052"/>
    <cellStyle name="强调文字颜色 2 3" xfId="18053"/>
    <cellStyle name="输入 2 2 5 3 3 2 2" xfId="18054"/>
    <cellStyle name="计算 2 4 2 7 2 2" xfId="18055"/>
    <cellStyle name="60% - 强调文字颜色 1 2 2 2 2 3 2 2 2" xfId="18056"/>
    <cellStyle name="强调文字颜色 4 2 5" xfId="18057"/>
    <cellStyle name="输出 2 4 3 5" xfId="18058"/>
    <cellStyle name="常规 9 3 3" xfId="18059"/>
    <cellStyle name="汇总 2 2 7 4 2 2 2" xfId="18060"/>
    <cellStyle name="40% - 强调文字颜色 1 4 3" xfId="18061"/>
    <cellStyle name="60% - 强调文字颜色 1 2 3 3 2 2 2 2" xfId="18062"/>
    <cellStyle name="计算 2 5 2 3 2 4" xfId="18063"/>
    <cellStyle name="注释 2 5 3 2 3 2" xfId="18064"/>
    <cellStyle name="20% - 强调文字颜色 4 3 3 4 2" xfId="18065"/>
    <cellStyle name="60% - 强调文字颜色 2 2 2 2 2 4 2 2 2" xfId="18066"/>
    <cellStyle name="40% - 强调文字颜色 6 2 3 4 3 2 2" xfId="18067"/>
    <cellStyle name="注释 2 2 2 6 3" xfId="18068"/>
    <cellStyle name="40% - 强调文字颜色 3 2 2 5 2" xfId="18069"/>
    <cellStyle name="强调文字颜色 1 4 2" xfId="18070"/>
    <cellStyle name="输入 2 3 2 2 5 2" xfId="18071"/>
    <cellStyle name="警告文本 2 4 6" xfId="18072"/>
    <cellStyle name="好 2 5 2 2 2" xfId="18073"/>
    <cellStyle name="警告文本 2 2 5 2" xfId="18074"/>
    <cellStyle name="汇总 2 2 6 6 2 2" xfId="18075"/>
    <cellStyle name="20% - 强调文字颜色 6 3 3 3 2" xfId="18076"/>
    <cellStyle name="40% - 强调文字颜色 3 2 2 2 4 3 2" xfId="18077"/>
    <cellStyle name="常规 5 4 2 3 3" xfId="18078"/>
    <cellStyle name="超链接 2 2 4 3 2" xfId="18079"/>
    <cellStyle name="60% - 强调文字颜色 6 2 2 3" xfId="18080"/>
    <cellStyle name="计算 2 2 8 2 5 3" xfId="18081"/>
    <cellStyle name="汇总 2 5 4 2 5 2" xfId="18082"/>
    <cellStyle name="输入 2 2 5 4 5 2" xfId="18083"/>
    <cellStyle name="标题 5 2 3 5 2" xfId="18084"/>
    <cellStyle name="60% - 强调文字颜色 1 2 2 2 6 2 2" xfId="18085"/>
    <cellStyle name="输入 2 2 9 2 3" xfId="18086"/>
    <cellStyle name="标题 6 6 2" xfId="18087"/>
    <cellStyle name="汇总 2 2 9 2 4" xfId="18088"/>
    <cellStyle name="常规 12 9" xfId="18089"/>
    <cellStyle name="20% - 强调文字颜色 4 2 3 2 2 2 2 2" xfId="18090"/>
    <cellStyle name="汇总 3 2 2 2 2 3" xfId="18091"/>
    <cellStyle name="检查单元格 2 3 2 2 2 3" xfId="18092"/>
    <cellStyle name="输入 2 7 2 2 4 2" xfId="18093"/>
    <cellStyle name="输入 2 2 3 2 8" xfId="18094"/>
    <cellStyle name="输入 2 2 3 4 2 2 2" xfId="18095"/>
    <cellStyle name="20% - 强调文字颜色 6 3 3" xfId="18096"/>
    <cellStyle name="计算 2 2 3 6 2 2" xfId="18097"/>
    <cellStyle name="60% - 强调文字颜色 3 2 2 2 3 2 2" xfId="18098"/>
    <cellStyle name="链接单元格 2 3 2 4 3" xfId="18099"/>
    <cellStyle name="强调文字颜色 2 2 7 2 3" xfId="18100"/>
    <cellStyle name="60% - 强调文字颜色 4 2 2 2 2 3 2" xfId="18101"/>
    <cellStyle name="40% - 强调文字颜色 6 3 3 2 2 2 2" xfId="18102"/>
    <cellStyle name="警告文本 2 2 4" xfId="18103"/>
    <cellStyle name="输入 2 2 2 8 3" xfId="18104"/>
    <cellStyle name="强调文字颜色 4 2 3 4 3" xfId="18105"/>
    <cellStyle name="计算 2 4 3 2 4 2" xfId="18106"/>
    <cellStyle name="输出 2 2 4 2 6 2 2" xfId="18107"/>
    <cellStyle name="标题 2 3 5" xfId="18108"/>
    <cellStyle name="标题 3 4 5 2" xfId="18109"/>
    <cellStyle name="计算 2 2 8 7 2" xfId="18110"/>
    <cellStyle name="标题 5 2 2 3 2 3" xfId="18111"/>
    <cellStyle name="40% - 强调文字颜色 1 4 2 3 2 2" xfId="18112"/>
    <cellStyle name="计算 2 5 2 4" xfId="18113"/>
    <cellStyle name="警告文本 2 2 2 2 4 2 2 2" xfId="18114"/>
    <cellStyle name="常规 2 2 4 5" xfId="18115"/>
    <cellStyle name="常规 16 2" xfId="18116"/>
    <cellStyle name="常规 21 2" xfId="18117"/>
    <cellStyle name="输出 2 2 10 2" xfId="18118"/>
    <cellStyle name="60% - 强调文字颜色 6 2 4 2 2 3" xfId="18119"/>
    <cellStyle name="标题 5 2 3 6 2" xfId="18120"/>
    <cellStyle name="常规 12 2 2 6" xfId="18121"/>
    <cellStyle name="超链接 2 5 2 4" xfId="18122"/>
    <cellStyle name="60% - 强调文字颜色 6 2 2 3 4 3 2" xfId="18123"/>
    <cellStyle name="常规 2 2 2 2 4 3" xfId="18124"/>
    <cellStyle name="汇总 2 2 4 2 4 2 3 2" xfId="18125"/>
    <cellStyle name="汇总 2 2 8 2 5" xfId="18126"/>
    <cellStyle name="标题 5 6 3" xfId="18127"/>
    <cellStyle name="标题 4 2 4 6" xfId="18128"/>
    <cellStyle name="40% - 强调文字颜色 6 2 3 3 2 2 2 2 2" xfId="18129"/>
    <cellStyle name="常规 2 2 2 2 2 4 2 2" xfId="18130"/>
    <cellStyle name="链接单元格 2 2 2 4 2" xfId="18131"/>
    <cellStyle name="40% - 强调文字颜色 3 2 10" xfId="18132"/>
    <cellStyle name="标题 4 2 2 4 3 3" xfId="18133"/>
    <cellStyle name="常规 3 3 3 3 3" xfId="18134"/>
    <cellStyle name="输出 2 2 5 2 2 2 2" xfId="18135"/>
    <cellStyle name="40% - 强调文字颜色 4 2 2 3 4 2 2 2" xfId="18136"/>
    <cellStyle name="60% - 强调文字颜色 5 2 3 7" xfId="18137"/>
    <cellStyle name="常规 10 3 2 5 3" xfId="18138"/>
    <cellStyle name="40% - 强调文字颜色 6 2 3 6 2" xfId="18139"/>
    <cellStyle name="标题 3 2 2 2 2 3 2" xfId="18140"/>
    <cellStyle name="输入 2 2 4 5 2" xfId="18141"/>
    <cellStyle name="计算 2 3 4 6" xfId="18142"/>
    <cellStyle name="60% - 强调文字颜色 3 2 3 3 3" xfId="18143"/>
    <cellStyle name="汇总 2 2 4 2 5" xfId="18144"/>
    <cellStyle name="计算 2 7 3 3 2" xfId="18145"/>
    <cellStyle name="标题 1 6 3" xfId="18146"/>
    <cellStyle name="注释 2 2 2 10" xfId="18147"/>
    <cellStyle name="60% - 强调文字颜色 1 2 2 5 2 2 2" xfId="18148"/>
    <cellStyle name="输入 2 5 5 2 3" xfId="18149"/>
    <cellStyle name="20% - 强调文字颜色 1 2 3 4 3 2" xfId="18150"/>
    <cellStyle name="计算 2 7 4 2 3 2 2" xfId="18151"/>
    <cellStyle name="注释 2 2 2 2 3 3 2" xfId="18152"/>
    <cellStyle name="注释 2 7 3 6" xfId="18153"/>
    <cellStyle name="注释 2 4 2 2 3 3 2" xfId="18154"/>
    <cellStyle name="汇总 2 2 9 5 2 2" xfId="18155"/>
    <cellStyle name="警告文本 2 2 2 2 3 2" xfId="18156"/>
    <cellStyle name="60% - 强调文字颜色 6 2 3 2 5 3" xfId="18157"/>
    <cellStyle name="汇总 2 2 4 3 3 3 3" xfId="18158"/>
    <cellStyle name="60% - 强调文字颜色 2 2 2 2 5 2 2" xfId="18159"/>
    <cellStyle name="汇总 2 5 2 5" xfId="18160"/>
    <cellStyle name="60% - 强调文字颜色 6 2 3 2 5 2 2" xfId="18161"/>
    <cellStyle name="汇总 2 2 4 3 3 3 2 2" xfId="18162"/>
    <cellStyle name="输出 2 2 7 2" xfId="18163"/>
    <cellStyle name="计算 2 2 2 2 4 2 2 2" xfId="18164"/>
    <cellStyle name="60% - 强调文字颜色 6 2 3 2 5 2" xfId="18165"/>
    <cellStyle name="汇总 2 2 4 3 3 3 2" xfId="18166"/>
    <cellStyle name="超链接 2 3 2 3 2 2" xfId="18167"/>
    <cellStyle name="常规 7 2 3 2 3 2 2" xfId="18168"/>
    <cellStyle name="20% - 强调文字颜色 3 3 4 2 2 2" xfId="18169"/>
    <cellStyle name="60% - 强调文字颜色 6 2 3 2 3 3 2 2" xfId="18170"/>
    <cellStyle name="强调文字颜色 6 4 2 2" xfId="18171"/>
    <cellStyle name="60% - 强调文字颜色 6 2 3 2" xfId="18172"/>
    <cellStyle name="计算 2 2 8 2 6 2" xfId="18173"/>
    <cellStyle name="百分比 2 2 2 3 2 2 3" xfId="18174"/>
    <cellStyle name="强调文字颜色 1 2 2 2 2 2 2 2 2 2" xfId="18175"/>
    <cellStyle name="20% - 强调文字颜色 3 2 5 2 2 2 2" xfId="18176"/>
    <cellStyle name="常规 5 4 2 4 2" xfId="18177"/>
    <cellStyle name="常规 5 2 2 2 2 2 2" xfId="18178"/>
    <cellStyle name="计算 2 2 5 3 2 3" xfId="18179"/>
    <cellStyle name="60% - 强调文字颜色 6 2 2 8" xfId="18180"/>
    <cellStyle name="输入 2 3 2 2 2 2 2 2" xfId="18181"/>
    <cellStyle name="超链接 2 3 3 2 2" xfId="18182"/>
    <cellStyle name="汇总 2 2 6 2 2 5 3" xfId="18183"/>
    <cellStyle name="标题 2 3 2 2 3 2 3" xfId="18184"/>
    <cellStyle name="强调文字颜色 2 2 2 2 8" xfId="18185"/>
    <cellStyle name="20% - 强调文字颜色 1 3 8" xfId="18186"/>
    <cellStyle name="输入 2 3 7 3" xfId="18187"/>
    <cellStyle name="40% - 强调文字颜色 5 2 2 3 5 2" xfId="18188"/>
    <cellStyle name="40% - 强调文字颜色 1 2 2 2 3 3" xfId="18189"/>
    <cellStyle name="60% - 强调文字颜色 1 2 4 2 2" xfId="18190"/>
    <cellStyle name="计算 2 2 3 2 7 2 2" xfId="18191"/>
    <cellStyle name="汇总 2 5 3" xfId="18192"/>
    <cellStyle name="检查单元格 2 3 2 3 3 2" xfId="18193"/>
    <cellStyle name="汇总 2 2" xfId="18194"/>
    <cellStyle name="强调文字颜色 5 2 2 3 4 2 3" xfId="18195"/>
    <cellStyle name="输出 2 5 3 6 2" xfId="18196"/>
    <cellStyle name="汇总 2 9 2 2 2" xfId="18197"/>
    <cellStyle name="Normal 2 5" xfId="18198"/>
    <cellStyle name="常规 2 3 2 2 4 3" xfId="18199"/>
    <cellStyle name="汇总 2 7 4 2 2 2" xfId="18200"/>
    <cellStyle name="40% - 强调文字颜色 2 2 3 5 2" xfId="18201"/>
    <cellStyle name="40% - 强调文字颜色 6 2 2 4 4 2 2" xfId="18202"/>
    <cellStyle name="标题 4 2 2 2 3 2 3" xfId="18203"/>
    <cellStyle name="60% - 强调文字颜色 2 2 2 2 2 4 2" xfId="18204"/>
    <cellStyle name="40% - 强调文字颜色 2 4 2 2" xfId="18205"/>
    <cellStyle name="强调文字颜色 6 2 2 6 2 2 2" xfId="18206"/>
    <cellStyle name="输出 2 4 2 7 3" xfId="18207"/>
    <cellStyle name="60% - 强调文字颜色 6 4 4 2 2" xfId="18208"/>
    <cellStyle name="超链接 2 5 3 2 2" xfId="18209"/>
    <cellStyle name="计算 2 2 4 15" xfId="18210"/>
    <cellStyle name="注释 3 2 2 3" xfId="18211"/>
    <cellStyle name="汇总 2 7 12 2" xfId="18212"/>
    <cellStyle name="20% - 强调文字颜色 3 2 2 3 4 3 2" xfId="18213"/>
    <cellStyle name="计算 2 8 2 2 3 2" xfId="18214"/>
    <cellStyle name="20% - 强调文字颜色 2 2 2 2 2 3 2 2 2" xfId="18215"/>
    <cellStyle name="标题 4 2 6 2" xfId="18216"/>
    <cellStyle name="20% - 强调文字颜色 1 2 5" xfId="18217"/>
    <cellStyle name="汇总 2 2 6 2 2 2 3 2 2" xfId="18218"/>
    <cellStyle name="40% - 强调文字颜色 5 2 2 2 3 4" xfId="18219"/>
    <cellStyle name="百分比 2 2 3 3 3" xfId="18220"/>
    <cellStyle name="60% - 强调文字颜色 1 3 5 2 2 2" xfId="18221"/>
    <cellStyle name="标题 2 2 2 7 2 2" xfId="18222"/>
    <cellStyle name="汇总 2 2 5 2" xfId="18223"/>
    <cellStyle name="计算 2 2 2 2 2 2 2 3 2 2" xfId="18224"/>
    <cellStyle name="警告文本 2 3 2 4 3 2" xfId="18225"/>
    <cellStyle name="20% - 强调文字颜色 3 2 2 3 5 2" xfId="18226"/>
    <cellStyle name="警告文本 2 2 4 3 2 2 2" xfId="18227"/>
    <cellStyle name="计算 2 2 7 3 6" xfId="18228"/>
    <cellStyle name="60% - 强调文字颜色 5 3 3" xfId="18229"/>
    <cellStyle name="输入 2 2 4 3 2 6" xfId="18230"/>
    <cellStyle name="40% - 强调文字颜色 2 2 2 2 2 2 3 3 2" xfId="18231"/>
    <cellStyle name="输入 2 2 7 3 5" xfId="18232"/>
    <cellStyle name="计算 2 6 2 9" xfId="18233"/>
    <cellStyle name="常规 5" xfId="18234"/>
    <cellStyle name="40% - 强调文字颜色 5 2 2 3 4 2 2 2" xfId="18235"/>
    <cellStyle name="计算 2 6 4 5 3" xfId="18236"/>
    <cellStyle name="强调文字颜色 2 2 3 2 2 2 2 2 2" xfId="18237"/>
    <cellStyle name="20% - 强调文字颜色 2 3 2 2 2 2 2" xfId="18238"/>
    <cellStyle name="20% - 强调文字颜色 3 2 2 4 3 2 2" xfId="18239"/>
    <cellStyle name="计算 2 4 7 2" xfId="18240"/>
    <cellStyle name="计算 2 2 4 2 3 2 8" xfId="18241"/>
    <cellStyle name="常规 5 3 6 2 2" xfId="18242"/>
    <cellStyle name="40% - 强调文字颜色 6 3 2 4 2 2" xfId="18243"/>
    <cellStyle name="输入 2 2 6 3 2 3" xfId="18244"/>
    <cellStyle name="计算 2 5 2 6 3" xfId="18245"/>
    <cellStyle name="输入 4 2 4 2" xfId="18246"/>
    <cellStyle name="标题 1 2 2 2 2 4" xfId="18247"/>
    <cellStyle name="常规 15 2 2 2 2" xfId="18248"/>
    <cellStyle name="计算 2 2 2 3 3 3 3" xfId="18249"/>
    <cellStyle name="汇总 4 6 2" xfId="18250"/>
    <cellStyle name="输出 2 2 3 6" xfId="18251"/>
    <cellStyle name="20% - 强调文字颜色 2 2 5 5 2" xfId="18252"/>
    <cellStyle name="强调文字颜色 5 2 3 4 3 3" xfId="18253"/>
    <cellStyle name="计算 2 2 5 8 2 2" xfId="18254"/>
    <cellStyle name="60% - 强调文字颜色 3 2 2 4 5 2 2" xfId="18255"/>
    <cellStyle name="强调文字颜色 1 2 3 2 3 3 2" xfId="18256"/>
    <cellStyle name="计算 2 6 5 2 2" xfId="18257"/>
    <cellStyle name="标题 3 3 3 2" xfId="18258"/>
    <cellStyle name="60% - 强调文字颜色 3 2 2 6 2 2" xfId="18259"/>
    <cellStyle name="计算 2 2 7 5 2" xfId="18260"/>
    <cellStyle name="输入 2 6 8 2" xfId="18261"/>
    <cellStyle name="汇总 2 2 4 2 2 5 2 2" xfId="18262"/>
    <cellStyle name="60% - 强调文字颜色 2 3 2 5 2" xfId="18263"/>
    <cellStyle name="适中 2 2 7 2 2" xfId="18264"/>
    <cellStyle name="汇总 2 2 2 3 2 5" xfId="18265"/>
    <cellStyle name="标题 1 2 3 2 2 3" xfId="18266"/>
    <cellStyle name="输出 2 5 4 6" xfId="18267"/>
    <cellStyle name="计算 2 8 5 2 2" xfId="18268"/>
    <cellStyle name="汇总 2 6 2 12" xfId="18269"/>
    <cellStyle name="输出 4 2 6 2 2" xfId="18270"/>
    <cellStyle name="60% - 强调文字颜色 4 4 4" xfId="18271"/>
    <cellStyle name="60% - 强调文字颜色 2 3 5 2" xfId="18272"/>
    <cellStyle name="标题 3 2 2 7" xfId="18273"/>
    <cellStyle name="计算 2 2 6 4 7" xfId="18274"/>
    <cellStyle name="60% - 强调文字颜色 2 2 2 4 3 2 2" xfId="18275"/>
    <cellStyle name="强调文字颜色 3 2 4 2 2 2 2" xfId="18276"/>
    <cellStyle name="强调文字颜色 5 2 2 4 5 2" xfId="18277"/>
    <cellStyle name="常规 10 2 2 2 2 6 2" xfId="18278"/>
    <cellStyle name="汇总 2 2 8 9" xfId="18279"/>
    <cellStyle name="注释 2 5 4 2 2 2" xfId="18280"/>
    <cellStyle name="标题 2 3 2 3 2 2 2" xfId="18281"/>
    <cellStyle name="标题 2 2 2 2 2 2 4" xfId="18282"/>
    <cellStyle name="强调文字颜色 3 5 3" xfId="18283"/>
    <cellStyle name="计算 2 4 2 5" xfId="18284"/>
    <cellStyle name="输出 2 2 6 6" xfId="18285"/>
    <cellStyle name="无色 5" xfId="18286"/>
    <cellStyle name="警告文本 2 3 2 2 2 2 3" xfId="18287"/>
    <cellStyle name="60% - 强调文字颜色 5 2 3 6 2" xfId="18288"/>
    <cellStyle name="常规 10 3 2 5 2 2" xfId="18289"/>
    <cellStyle name="20% - 强调文字颜色 4 2 3 2 2 4 2" xfId="18290"/>
    <cellStyle name="链接单元格 2 3 8" xfId="18291"/>
    <cellStyle name="常规 6 2 2 4 2 2 2" xfId="18292"/>
    <cellStyle name="标题 5 3 5 2" xfId="18293"/>
    <cellStyle name="汇总 2 3 5 2 2 2" xfId="18294"/>
    <cellStyle name="20% - 强调文字颜色 3 3 7" xfId="18295"/>
    <cellStyle name="计算 2 2 3 3 2 6" xfId="18296"/>
    <cellStyle name="常规 10 5 2 4 2" xfId="18297"/>
    <cellStyle name="常规 10 2 4 4 2 2" xfId="18298"/>
    <cellStyle name="20% - 强调文字颜色 2 2 2 2 4 2" xfId="18299"/>
    <cellStyle name="60% - 强调文字颜色 6 2 2 4 2 2 3" xfId="18300"/>
    <cellStyle name="60% - 强调文字颜色 2 2 2 2 5 2" xfId="18301"/>
    <cellStyle name="常规 5 4 3 2" xfId="18302"/>
    <cellStyle name="汇总 2 2 5 2 2 2 2 3" xfId="18303"/>
    <cellStyle name="计算 2 2 7 3 2 5" xfId="18304"/>
    <cellStyle name="汇总 2 2 4 5 2 2 2" xfId="18305"/>
    <cellStyle name="60% - 强调文字颜色 1 2 2 2 5" xfId="18306"/>
    <cellStyle name="常规 10 2 2 6 2 2" xfId="18307"/>
    <cellStyle name="注释 2 3 4 2 2 2" xfId="18308"/>
    <cellStyle name="60% - 强调文字颜色 3 2 2 5" xfId="18309"/>
    <cellStyle name="注释 2 2 6 4" xfId="18310"/>
    <cellStyle name="汇总 2 2 16 3" xfId="18311"/>
    <cellStyle name="输出 2 2 2 2 2 2 3 3" xfId="18312"/>
    <cellStyle name="警告文本 2 2 3 10" xfId="18313"/>
    <cellStyle name="标题 2 5 2 2 2" xfId="18314"/>
    <cellStyle name="输入 2 14" xfId="18315"/>
    <cellStyle name="计算 2 2 7 2 2 4" xfId="18316"/>
    <cellStyle name="汇总 2 5 3 2 2 3" xfId="18317"/>
    <cellStyle name="计算 2 7 4 2 7" xfId="18318"/>
    <cellStyle name="注释 2 5 2 2 3 2" xfId="18319"/>
    <cellStyle name="强调文字颜色 5 2 2 2 2 5 2 2" xfId="18320"/>
    <cellStyle name="输入 2 7 2 6" xfId="18321"/>
    <cellStyle name="汇总 2 16 2" xfId="18322"/>
    <cellStyle name="60% - 强调文字颜色 1 2 3 4 2 2 2" xfId="18323"/>
    <cellStyle name="标题 2 3 2 4 2 2 2" xfId="18324"/>
    <cellStyle name="汇总 2 4 3 4 3" xfId="18325"/>
    <cellStyle name="20% - 强调文字颜色 2 3 2 2 3 2 2 2" xfId="18326"/>
    <cellStyle name="注释 3 9 2" xfId="18327"/>
    <cellStyle name="常规 12 3 6" xfId="18328"/>
    <cellStyle name="60% - 强调文字颜色 6 2 2 2 3 2 2" xfId="18329"/>
    <cellStyle name="计算 3 6 3" xfId="18330"/>
    <cellStyle name="60% - 强调文字颜色 5 2 2 3 3 2" xfId="18331"/>
    <cellStyle name="好 2 2 2 4 3" xfId="18332"/>
    <cellStyle name="计算 2 8 5" xfId="18333"/>
    <cellStyle name="60% - 强调文字颜色 6 2 2 2 2 4 4" xfId="18334"/>
    <cellStyle name="输出 2 2 3 4 2 3 2" xfId="18335"/>
    <cellStyle name="输出 4 2 6" xfId="18336"/>
    <cellStyle name="40% - 强调文字颜色 3 2 2 2 2 3 2" xfId="18337"/>
    <cellStyle name="汇总 2 2 5 2 6 2 2" xfId="18338"/>
    <cellStyle name="输出 2 5 2 2 4 2 2" xfId="18339"/>
    <cellStyle name="20% - 强调文字颜色 5 3 3 2 2 2 2" xfId="18340"/>
    <cellStyle name="标题 2 2 4 4" xfId="18341"/>
    <cellStyle name="检查单元格 4 3 2" xfId="18342"/>
    <cellStyle name="20% - 强调文字颜色 2 2 3 6 2 2" xfId="18343"/>
    <cellStyle name="链接单元格 3 2 5" xfId="18344"/>
    <cellStyle name="输入 2 3 4 2 3 2" xfId="18345"/>
    <cellStyle name="计算 2 5 2 3 2 2" xfId="18346"/>
    <cellStyle name="常规 2 2 4 4 2 2" xfId="18347"/>
    <cellStyle name="计算 2 7 3 3" xfId="18348"/>
    <cellStyle name="60% - 强调文字颜色 6 2 2 2 2 3 2 3" xfId="18349"/>
    <cellStyle name="检查单元格 4 3" xfId="18350"/>
    <cellStyle name="输入 2 2 4 5 3 2 2" xfId="18351"/>
    <cellStyle name="20% - 强调文字颜色 2 2 3 6 2" xfId="18352"/>
    <cellStyle name="标题 3 2 2 2 2 3 3 2 2" xfId="18353"/>
    <cellStyle name="计算 2 2 2 3 2 7" xfId="18354"/>
    <cellStyle name="汇总 2 3 4 2 2 3" xfId="18355"/>
    <cellStyle name="20% - 强调文字颜色 4 2 2 3 4 2 2 2" xfId="18356"/>
    <cellStyle name="标题 4 4 4" xfId="18357"/>
    <cellStyle name="40% - 强调文字颜色 5 3 2 2 2 2 2 2" xfId="18358"/>
    <cellStyle name="输入 2 2 4 9 2" xfId="18359"/>
    <cellStyle name="检查单元格 2 3 2 3 3 2 2" xfId="18360"/>
    <cellStyle name="汇总 2 5 3 2" xfId="18361"/>
    <cellStyle name="Normal 5" xfId="18362"/>
    <cellStyle name="计算 4 4 3 3" xfId="18363"/>
    <cellStyle name="强调文字颜色 6 3 2 2" xfId="18364"/>
    <cellStyle name="常规 7 2 3 2 2 2 2" xfId="18365"/>
    <cellStyle name="注释 2 7 2 2 3" xfId="18366"/>
    <cellStyle name="20% - 强调文字颜色 4 2 2 2 2 3 2" xfId="18367"/>
    <cellStyle name="常规 17 2 2" xfId="18368"/>
    <cellStyle name="20% - 强调文字颜色 6 2 2 2 2 3 2" xfId="18369"/>
    <cellStyle name="20% - 强调文字颜色 6 6" xfId="18370"/>
    <cellStyle name="标题 5 2 2 2 4 3" xfId="18371"/>
    <cellStyle name="链接单元格 2 3 2 7" xfId="18372"/>
    <cellStyle name="强调文字颜色 4 2 2 6 2" xfId="18373"/>
    <cellStyle name="60% - 强调文字颜色 6 2 2 2 2 3 2 2 3" xfId="18374"/>
    <cellStyle name="计算 2 7 3 2 3" xfId="18375"/>
    <cellStyle name="输出 2 7 3 6" xfId="18376"/>
    <cellStyle name="差 3 2 3 2 2" xfId="18377"/>
    <cellStyle name="60% - 强调文字颜色 4 2 2 2 5 2 2 2" xfId="18378"/>
    <cellStyle name="输入 2 3 3 4 2" xfId="18379"/>
    <cellStyle name="计算 3 2 3 6" xfId="18380"/>
    <cellStyle name="60% - 强调文字颜色 3 3 2 2 3" xfId="18381"/>
    <cellStyle name="汇总 3 2 2 2 3" xfId="18382"/>
    <cellStyle name="输入 2 5 3 2 4 2" xfId="18383"/>
    <cellStyle name="计算 2 2 4 3 9" xfId="18384"/>
    <cellStyle name="60% - 强调文字颜色 2 3 6" xfId="18385"/>
    <cellStyle name="汇总 2 4 5 5" xfId="18386"/>
    <cellStyle name="标题 4 2 3 4 2 2 2" xfId="18387"/>
    <cellStyle name="计算 2 2 2 2 3 6" xfId="18388"/>
    <cellStyle name="计算 2 6 4 2" xfId="18389"/>
    <cellStyle name="输出 2 4 8 3" xfId="18390"/>
    <cellStyle name="强调文字颜色 1 2 3 2 2 3" xfId="18391"/>
    <cellStyle name="60% - 强调文字颜色 6 2 2 2 2 2 3 2" xfId="18392"/>
    <cellStyle name="计算 2 2 5 3 6" xfId="18393"/>
    <cellStyle name="计算 2 4 3 10" xfId="18394"/>
    <cellStyle name="60% - 强调文字颜色 3 3 3" xfId="18395"/>
    <cellStyle name="汇总 2 5 3 2 8" xfId="18396"/>
    <cellStyle name="差 4 2 2 2 2" xfId="18397"/>
    <cellStyle name="差 2 3 4 3" xfId="18398"/>
    <cellStyle name="60% - 强调文字颜色 5 3" xfId="18399"/>
    <cellStyle name="适中 2 6 3 3" xfId="18400"/>
    <cellStyle name="40% - 强调文字颜色 5 3 4 2 2 2" xfId="18401"/>
    <cellStyle name="强调文字颜色 4 2 2 3 2 2 2 3" xfId="18402"/>
    <cellStyle name="标题 1 2 4 2 2 3" xfId="18403"/>
    <cellStyle name="计算 2 2 8 2 3 2 2" xfId="18404"/>
    <cellStyle name="20% - 强调文字颜色 3 2 3 2 5 2" xfId="18405"/>
    <cellStyle name="输入 3 10 2" xfId="18406"/>
    <cellStyle name="常规 9 3 6 2" xfId="18407"/>
    <cellStyle name="汇总 3 16" xfId="18408"/>
    <cellStyle name="20% - 强调文字颜色 4 3 6 2" xfId="18409"/>
    <cellStyle name="计算 2 2 3 4 2 5 2" xfId="18410"/>
    <cellStyle name="输出 2 2 3 2 3 3" xfId="18411"/>
    <cellStyle name="常规 3 3 2 2 2 2 2 2" xfId="18412"/>
    <cellStyle name="强调文字颜色 6 2 2 5 2 3" xfId="18413"/>
    <cellStyle name="输出 2 11 2 2" xfId="18414"/>
    <cellStyle name="常规 4 3 2 2 2" xfId="18415"/>
    <cellStyle name="计算 4 7 2 2" xfId="18416"/>
    <cellStyle name="40% - 强调文字颜色 6 2 3 2 3" xfId="18417"/>
    <cellStyle name="常规 4 4 4 3" xfId="18418"/>
    <cellStyle name="汇总 3 3 2 2 3" xfId="18419"/>
    <cellStyle name="常规 5 4 2 3" xfId="18420"/>
    <cellStyle name="输入 2 3 5 2 2" xfId="18421"/>
    <cellStyle name="汇总 2 6 2 3 5 2" xfId="18422"/>
    <cellStyle name="常规 5 3 6 3" xfId="18423"/>
    <cellStyle name="60% - 强调文字颜色 5 6 2" xfId="18424"/>
    <cellStyle name="链接单元格 2 2 5 4" xfId="18425"/>
    <cellStyle name="汇总 2 14 3" xfId="18426"/>
    <cellStyle name="好 3 2 2 3 2 3" xfId="18427"/>
    <cellStyle name="差 2 3 2 6 2" xfId="18428"/>
    <cellStyle name="常规 3 2 2 4 4 2" xfId="18429"/>
    <cellStyle name="好 6 2" xfId="18430"/>
    <cellStyle name="注释 2 10 2 3" xfId="18431"/>
    <cellStyle name="强调文字颜色 3 2 6 3 3" xfId="18432"/>
    <cellStyle name="标题 3 3 2 2 3 2 2 2" xfId="18433"/>
    <cellStyle name="标题 4 2 4 9" xfId="18434"/>
    <cellStyle name="60% - 强调文字颜色 3 2 3 2 2 3 2" xfId="18435"/>
    <cellStyle name="常规 3 2 2 2 2 4 2" xfId="18436"/>
    <cellStyle name="常规 7 4 2 2 2" xfId="18437"/>
    <cellStyle name="40% - 强调文字颜色 4 6" xfId="18438"/>
    <cellStyle name="常规 4 2 3 2 2 2 2" xfId="18439"/>
    <cellStyle name="好 2 2 2 2 4 3" xfId="18440"/>
    <cellStyle name="标题 2 2 2 5 2 2 2" xfId="18441"/>
    <cellStyle name="40% - 强调文字颜色 3 2 3 2 4 3 2" xfId="18442"/>
    <cellStyle name="标题 7 5" xfId="18443"/>
    <cellStyle name="链接单元格 2 4 6 3" xfId="18444"/>
    <cellStyle name="强调文字颜色 5 2 2 6 2" xfId="18445"/>
    <cellStyle name="60% - 强调文字颜色 5 3 5 2" xfId="18446"/>
    <cellStyle name="20% - 强调文字颜色 5 2 2 5 2 2" xfId="18447"/>
    <cellStyle name="计算 2 2 7 4" xfId="18448"/>
    <cellStyle name="标题 3 3 2" xfId="18449"/>
    <cellStyle name="检查单元格 2 3 3" xfId="18450"/>
    <cellStyle name="常规 5 2 4 5" xfId="18451"/>
    <cellStyle name="20% - 强调文字颜色 1 3" xfId="18452"/>
    <cellStyle name="强调文字颜色 2 2 2 2" xfId="18453"/>
    <cellStyle name="40% - 强调文字颜色 5 2 3 3 4" xfId="18454"/>
    <cellStyle name="强调文字颜色 1 2 3 4 2 2" xfId="18455"/>
    <cellStyle name="输出 2 6 8 2" xfId="18456"/>
    <cellStyle name="40% - 强调文字颜色 6 3 5 2 2" xfId="18457"/>
    <cellStyle name="常规 5 6 4 2" xfId="18458"/>
    <cellStyle name="标题 2 2 3 2 5 2 2" xfId="18459"/>
    <cellStyle name="60% - 强调文字颜色 4 2 2 3 5 2" xfId="18460"/>
    <cellStyle name="差 4 2 3" xfId="18461"/>
    <cellStyle name="汇总 2 3 2 2 3 3" xfId="18462"/>
    <cellStyle name="差 2 2 4 3 2 3" xfId="18463"/>
    <cellStyle name="标题 3 2 3 2 4 3 2" xfId="18464"/>
    <cellStyle name="40% - 强调文字颜色 2 2 2 6 3 2 2" xfId="18465"/>
    <cellStyle name="说明文本 2 3 3" xfId="18466"/>
    <cellStyle name="汇总 2 2 3 3 3 3" xfId="18467"/>
    <cellStyle name="强调文字颜色 2 2 2 2 3 3 2" xfId="18468"/>
    <cellStyle name="20% - 强调文字颜色 1 3 3 3 2" xfId="18469"/>
    <cellStyle name="20% - 强调文字颜色 3 2 2 2 4 2 2 2" xfId="18470"/>
    <cellStyle name="适中 2 3 4 2 2" xfId="18471"/>
    <cellStyle name="汇总 2 2 11 2 2" xfId="18472"/>
    <cellStyle name="60% - 强调文字颜色 5 2 3 3 2" xfId="18473"/>
    <cellStyle name="强调文字颜色 2 2 2 9" xfId="18474"/>
    <cellStyle name="计算 2 5 3 2 5 2" xfId="18475"/>
    <cellStyle name="强调文字颜色 5 2 3 5 3" xfId="18476"/>
    <cellStyle name="计算 2 2 2 3 2 4 3" xfId="18477"/>
    <cellStyle name="汇总 2 2 4 10" xfId="18478"/>
    <cellStyle name="60% - 强调文字颜色 5 5 2 2" xfId="18479"/>
    <cellStyle name="强调文字颜色 6 2 2 2 2 2" xfId="18480"/>
    <cellStyle name="链接单元格 2 3 2 3 4" xfId="18481"/>
    <cellStyle name="20% - 强调文字颜色 6 2 4" xfId="18482"/>
    <cellStyle name="输出 2 2 3 2 6 3" xfId="18483"/>
    <cellStyle name="计算 2 3 3 2 5" xfId="18484"/>
    <cellStyle name="20% - 强调文字颜色 2 2 2 6" xfId="18485"/>
    <cellStyle name="标题 3 2 2 2 2 3 2 2" xfId="18486"/>
    <cellStyle name="输入 2 2 4 5 2 2" xfId="18487"/>
    <cellStyle name="计算 2 3 4 6 2" xfId="18488"/>
    <cellStyle name="60% - 强调文字颜色 3 2 3 3 3 2" xfId="18489"/>
    <cellStyle name="差 2 3 3 7" xfId="18490"/>
    <cellStyle name="汇总 2 2 3 2 2 3 3 3" xfId="18491"/>
    <cellStyle name="汇总 2 2 6 2 3 2 3" xfId="18492"/>
    <cellStyle name="汇总 2 5 6 3 2 2" xfId="18493"/>
    <cellStyle name="汇总 2 6 2 4 2" xfId="18494"/>
    <cellStyle name="常规 2 2 2 2 4 2 2" xfId="18495"/>
    <cellStyle name="常规 13 3 2 3" xfId="18496"/>
    <cellStyle name="20% - 强调文字颜色 6 2 2 2 2 5" xfId="18497"/>
    <cellStyle name="标题 6 9" xfId="18498"/>
    <cellStyle name="常规 9 5 2 2 2 2" xfId="18499"/>
    <cellStyle name="解释性文本 2 2 2 5 2 3" xfId="18500"/>
    <cellStyle name="60% - 强调文字颜色 3 3 6 2" xfId="18501"/>
    <cellStyle name="60% - 强调文字颜色 2 2 4 4 2" xfId="18502"/>
    <cellStyle name="标题 4 2 3 7" xfId="18503"/>
    <cellStyle name="汇总 2 2 6 4 2 3 3" xfId="18504"/>
    <cellStyle name="常规 12 2 3 2 2" xfId="18505"/>
    <cellStyle name="计算 2 2 11" xfId="18506"/>
    <cellStyle name="60% - 强调文字颜色 2 2 2 3 3 3 2" xfId="18507"/>
    <cellStyle name="好 3 3 2 2 3" xfId="18508"/>
    <cellStyle name="计算 4 6 2 2" xfId="18509"/>
    <cellStyle name="常规 4 3 4 3" xfId="18510"/>
    <cellStyle name="40% - 强调文字颜色 6 2 2 2 3" xfId="18511"/>
    <cellStyle name="40% - 强调文字颜色 1 4" xfId="18512"/>
    <cellStyle name="40% - 强调文字颜色 6 3 5 2 2 2" xfId="18513"/>
    <cellStyle name="60% - 强调文字颜色 5 5" xfId="18514"/>
    <cellStyle name="计算 2 5 2 3 9" xfId="18515"/>
    <cellStyle name="计算 2 2 5 3 3 2 3" xfId="18516"/>
    <cellStyle name="60% - 强调文字颜色 2 3 2 3 2 2" xfId="18517"/>
    <cellStyle name="常规 5 2 3 2 3 3 2 2" xfId="18518"/>
    <cellStyle name="20% - 强调文字颜色 4 2 2 2 2 5" xfId="18519"/>
    <cellStyle name="强调文字颜色 6 3 3 4" xfId="18520"/>
    <cellStyle name="常规 5 3 3 6" xfId="18521"/>
    <cellStyle name="解释性文本 2 3 2 3 4" xfId="18522"/>
    <cellStyle name="标题 2 2 2 3 10" xfId="18523"/>
    <cellStyle name="汇总 2 6 4 5 2" xfId="18524"/>
    <cellStyle name="标题 3 3" xfId="18525"/>
    <cellStyle name="20% - 强调文字颜色 5 2 2 5 2" xfId="18526"/>
    <cellStyle name="20% - 强调文字颜色 5 2 2 4 5" xfId="18527"/>
    <cellStyle name="标题 2 6" xfId="18528"/>
    <cellStyle name="输入 2 5 6 2" xfId="18529"/>
    <cellStyle name="60% - 强调文字颜色 5 3 3 3" xfId="18530"/>
    <cellStyle name="汇总 6 3" xfId="18531"/>
    <cellStyle name="解释性文本 2 2 2 7" xfId="18532"/>
    <cellStyle name="常规 13 3 3 3 2 2" xfId="18533"/>
    <cellStyle name="20% - 强调文字颜色 3 2 2 2 2 2 4" xfId="18534"/>
    <cellStyle name="输出 6 3" xfId="18535"/>
    <cellStyle name="强调文字颜色 5 2 6" xfId="18536"/>
    <cellStyle name="20% - 强调文字颜色 1 3 2 2 3 2 2 2" xfId="18537"/>
    <cellStyle name="强调文字颜色 5 2 2 3 2 2" xfId="18538"/>
    <cellStyle name="链接单元格 2 4 3 3 2" xfId="18539"/>
    <cellStyle name="输入 2 7 2 3 3" xfId="18540"/>
    <cellStyle name="注释 3 2 5 3" xfId="18541"/>
    <cellStyle name="强调文字颜色 5 3 3 4" xfId="18542"/>
    <cellStyle name="40% - 强调文字颜色 6 3 2 5" xfId="18543"/>
    <cellStyle name="强调文字颜色 1 2 6 2 3" xfId="18544"/>
    <cellStyle name="常规 5 3 7" xfId="18545"/>
    <cellStyle name="汇总 4 7 3" xfId="18546"/>
    <cellStyle name="计算 2 5 5 2 3 3" xfId="18547"/>
    <cellStyle name="标题 1 2 2 2 2 2 2" xfId="18548"/>
    <cellStyle name="输入 2 5 3 4" xfId="18549"/>
    <cellStyle name="计算 4 2 2 3" xfId="18550"/>
    <cellStyle name="汇总 2 3 2 2" xfId="18551"/>
    <cellStyle name="40% - 强调文字颜色 5 2 4 2 2 2 2" xfId="18552"/>
    <cellStyle name="40% - 强调文字颜色 6 2 2 2 2 3" xfId="18553"/>
    <cellStyle name="常规 4 3 4 2 3" xfId="18554"/>
    <cellStyle name="常规 5 2 4" xfId="18555"/>
    <cellStyle name="计算 2 6 9" xfId="18556"/>
    <cellStyle name="汇总 2 4 5 2 2" xfId="18557"/>
    <cellStyle name="40% - 强调文字颜色 2 2 3 2 2 3 2 2" xfId="18558"/>
    <cellStyle name="60% - 强调文字颜色 5 3 2 3" xfId="18559"/>
    <cellStyle name="汇总 2 5 3 3 5 2" xfId="18560"/>
    <cellStyle name="常规 5 3 3 3 3" xfId="18561"/>
    <cellStyle name="标题 2 2 2 2 5 3" xfId="18562"/>
    <cellStyle name="输入 3 2 7 3" xfId="18563"/>
    <cellStyle name="汇总 2 4 10 2" xfId="18564"/>
    <cellStyle name="输出 2 5 4 2 3 2" xfId="18565"/>
    <cellStyle name="汇总 2 2 4 6 3" xfId="18566"/>
    <cellStyle name="60% - 强调文字颜色 2 2 2 2 4 2 2 2" xfId="18567"/>
    <cellStyle name="注释 3 2 2 2 2 3" xfId="18568"/>
    <cellStyle name="输出 2 2 5 3 6" xfId="18569"/>
    <cellStyle name="强调文字颜色 1 3 2 2 3 2" xfId="18570"/>
    <cellStyle name="常规 10 2 5 2" xfId="18571"/>
    <cellStyle name="注释 2 3 2 2 2 3" xfId="18572"/>
    <cellStyle name="60% - 强调文字颜色 1 2 2 6" xfId="18573"/>
    <cellStyle name="计算 2 8 4 2 2 2" xfId="18574"/>
    <cellStyle name="标题 2 2 4 3 2" xfId="18575"/>
    <cellStyle name="计算 2 5 2 3 2 3 3" xfId="18576"/>
    <cellStyle name="20% - 强调文字颜色 5 2 2 2 2 3 2" xfId="18577"/>
    <cellStyle name="计算 2 2 5 2 2 6 2 2" xfId="18578"/>
    <cellStyle name="常规 5 3 3 4 2" xfId="18579"/>
    <cellStyle name="汇总 2 2 17 3" xfId="18580"/>
    <cellStyle name="注释 2 2 7 4" xfId="18581"/>
    <cellStyle name="注释 2 2 4 2 9" xfId="18582"/>
    <cellStyle name="百分比 2 2 3 3 2" xfId="18583"/>
    <cellStyle name="40% - 强调文字颜色 3 2 3 7 2" xfId="18584"/>
    <cellStyle name="40% - 强调文字颜色 5 2 2 2 3 3" xfId="18585"/>
    <cellStyle name="标题 2 2 2 4" xfId="18586"/>
    <cellStyle name="输入 2 4 2 5 2" xfId="18587"/>
    <cellStyle name="汇总 2 2 4 5" xfId="18588"/>
    <cellStyle name="输入 2 2 5 4 4 2 2" xfId="18589"/>
    <cellStyle name="输入 2 2 8 6 3" xfId="18590"/>
    <cellStyle name="计算 2 7 5 7" xfId="18591"/>
    <cellStyle name="汇总 4 8 2" xfId="18592"/>
    <cellStyle name="常规 5 2 3 2 4" xfId="18593"/>
    <cellStyle name="常规 26" xfId="18594"/>
    <cellStyle name="40% - 强调文字颜色 5 6 2 2 2" xfId="18595"/>
    <cellStyle name="常规 11 3 2 5" xfId="18596"/>
    <cellStyle name="注释 2 2 2 2 2 2 3 3" xfId="18597"/>
    <cellStyle name="强调文字颜色 1 2 3 2 3 4" xfId="18598"/>
    <cellStyle name="计算 2 6 5 3" xfId="18599"/>
    <cellStyle name="20% - 强调文字颜色 3 3 3 2" xfId="18600"/>
    <cellStyle name="计算 2 2 3 3 2 2 2" xfId="18601"/>
    <cellStyle name="60% - 强调文字颜色 1 2 2 4 4 2" xfId="18602"/>
    <cellStyle name="注释 2 2 3 2 5 4" xfId="18603"/>
    <cellStyle name="60% - 强调文字颜色 2 2 4 2 2 2 2 2" xfId="18604"/>
    <cellStyle name="常规 4 2 4 3 3" xfId="18605"/>
    <cellStyle name="常规 12 2 2 4" xfId="18606"/>
    <cellStyle name="超链接 2 5 2 2" xfId="18607"/>
    <cellStyle name="计算 2 2 5 2 2 2 4 2 2" xfId="18608"/>
    <cellStyle name="计算 2 5 2 3 2 4 3" xfId="18609"/>
    <cellStyle name="标题 2 2 4 4 2" xfId="18610"/>
    <cellStyle name="60% - 强调文字颜色 6 2 2 4 3 3 2" xfId="18611"/>
    <cellStyle name="输出 2 2 4 2 12" xfId="18612"/>
    <cellStyle name="警告文本 2 4 9" xfId="18613"/>
    <cellStyle name="60% - 强调文字颜色 3 2 3 5" xfId="18614"/>
    <cellStyle name="注释 2 3 4 2 3 2" xfId="18615"/>
    <cellStyle name="差 2 2 2 2 2 2 2 2 3" xfId="18616"/>
    <cellStyle name="输入 3 5 2" xfId="18617"/>
    <cellStyle name="40% - 强调文字颜色 4 3 2 4 2 2 2" xfId="18618"/>
    <cellStyle name="标题 5 3 2 2 2 2 2 3" xfId="18619"/>
    <cellStyle name="计算 2 2 3 2 4" xfId="18620"/>
    <cellStyle name="输出 2 2 2 2 6 2" xfId="18621"/>
    <cellStyle name="常规 3 2 3 2 2" xfId="18622"/>
    <cellStyle name="输出 3 3 5 2 2" xfId="18623"/>
    <cellStyle name="强调文字颜色 2 2 2 3 5 2" xfId="18624"/>
    <cellStyle name="20% - 强调文字颜色 1 4 5 2" xfId="18625"/>
    <cellStyle name="汇总 2 2 4 5 6" xfId="18626"/>
    <cellStyle name="20% - 强调文字颜色 4 2 2 2 2 2 3 3 2 2" xfId="18627"/>
    <cellStyle name="汇总 2 2 2 2 3 4 2 2" xfId="18628"/>
    <cellStyle name="汇总 2 2 6 2 4 2 2" xfId="18629"/>
    <cellStyle name="标题 3 6 2 2 2" xfId="18630"/>
    <cellStyle name="输入 2 2 11 4" xfId="18631"/>
    <cellStyle name="60% - 强调文字颜色 5 2 4 4 2" xfId="18632"/>
    <cellStyle name="好 3 2 2 2 2 2" xfId="18633"/>
    <cellStyle name="汇总 2 7 3 2 3 3" xfId="18634"/>
    <cellStyle name="40% - 强调文字颜色 3 3 9" xfId="18635"/>
    <cellStyle name="强调文字颜色 5 2 2 4 4 2" xfId="18636"/>
    <cellStyle name="标题 2 2 2 3 6 2 2" xfId="18637"/>
    <cellStyle name="差 2 4 8" xfId="18638"/>
    <cellStyle name="常规 10 2 3 4 2" xfId="18639"/>
    <cellStyle name="输入 3 3 4" xfId="18640"/>
    <cellStyle name="解释性文本 2 2 3 2 2 2 3" xfId="18641"/>
    <cellStyle name="输出 2 2 5 3 4" xfId="18642"/>
    <cellStyle name="汇总 2 5 2 10 2 2" xfId="18643"/>
    <cellStyle name="标题 2 2 2 2 2 3 4" xfId="18644"/>
    <cellStyle name="60% - 强调文字颜色 6 2 4 5 3" xfId="18645"/>
    <cellStyle name="强调文字颜色 4 2 2 3 6" xfId="18646"/>
    <cellStyle name="标题 1 2 8" xfId="18647"/>
    <cellStyle name="输入 2 2 7 2 3 3" xfId="18648"/>
    <cellStyle name="汇总 2 2 2 2 2 2 3 2" xfId="18649"/>
    <cellStyle name="输入 2 6 2 2 4 2 2" xfId="18650"/>
    <cellStyle name="检查单元格 2 2 2 2 2 3 2" xfId="18651"/>
    <cellStyle name="20% - 强调文字颜色 4 2 3 3 3" xfId="18652"/>
    <cellStyle name="好 2 2 3 4 2 3" xfId="18653"/>
    <cellStyle name="60% - 强调文字颜色 5 2 2 2 3 3" xfId="18654"/>
    <cellStyle name="40% - 强调文字颜色 2 3 2 2" xfId="18655"/>
    <cellStyle name="注释 2 2 4 4 2 2" xfId="18656"/>
    <cellStyle name="输入 2 2 8 2 2 2" xfId="18657"/>
    <cellStyle name="汇总 2 2 2 5 5" xfId="18658"/>
    <cellStyle name="常规 5 4 8" xfId="18659"/>
    <cellStyle name="20% - 强调文字颜色 4 2 2 4 3" xfId="18660"/>
    <cellStyle name="输入 2 5 2 7 3" xfId="18661"/>
    <cellStyle name="计算 2 2 10 4" xfId="18662"/>
    <cellStyle name="40% - 强调文字颜色 2 2 2 2 2 2 4 2 2" xfId="18663"/>
    <cellStyle name="60% - 强调文字颜色 5 2 5 2 2 2" xfId="18664"/>
    <cellStyle name="20% - 强调文字颜色 4 2 2 3 3 2 2" xfId="18665"/>
    <cellStyle name="60% - 强调文字颜色 5 2 3 5 2 2 2" xfId="18666"/>
    <cellStyle name="标题 2 2 3 6 2" xfId="18667"/>
    <cellStyle name="输入 2 5 2 3 4 3" xfId="18668"/>
    <cellStyle name="20% - 强调文字颜色 1 2 2 2 3 4" xfId="18669"/>
    <cellStyle name="20% - 强调文字颜色 4 2 2 3 3 2" xfId="18670"/>
    <cellStyle name="标题 2 2 3 6" xfId="18671"/>
    <cellStyle name="60% - 强调文字颜色 5 2 3 5 2 2" xfId="18672"/>
    <cellStyle name="标题 1 2 2 2 7 2" xfId="18673"/>
    <cellStyle name="20% - 强调文字颜色 4 5" xfId="18674"/>
    <cellStyle name="标题 5 2 2 2 2 2" xfId="18675"/>
    <cellStyle name="强调文字颜色 2 2 5 4" xfId="18676"/>
    <cellStyle name="常规 16" xfId="18677"/>
    <cellStyle name="常规 21" xfId="18678"/>
    <cellStyle name="输出 2 2 10" xfId="18679"/>
    <cellStyle name="40% - 强调文字颜色 5 2 2 2 2 2 3 2 2" xfId="18680"/>
    <cellStyle name="常规 12 4 4 2" xfId="18681"/>
    <cellStyle name="强调文字颜色 6 2 2 2 2 2 2 2 3" xfId="18682"/>
    <cellStyle name="输出 2 2 4 3 4 2 2" xfId="18683"/>
    <cellStyle name="20% - 强调文字颜色 5 2 3 2 2 5" xfId="18684"/>
    <cellStyle name="常规 6 3 3 3 2 2" xfId="18685"/>
    <cellStyle name="强调文字颜色 4 2 2 2 8" xfId="18686"/>
    <cellStyle name="60% - 强调文字颜色 3 2 4 5 2" xfId="18687"/>
    <cellStyle name="标题 5 2 3" xfId="18688"/>
    <cellStyle name="60% - 强调文字颜色 2 2 3 2 5 2" xfId="18689"/>
    <cellStyle name="汇总 2 8 5 3 2 2" xfId="18690"/>
    <cellStyle name="汇总 2 2 5 4 2 3 3" xfId="18691"/>
    <cellStyle name="常规 11 2 3 2 2" xfId="18692"/>
    <cellStyle name="标题 3 5 2" xfId="18693"/>
    <cellStyle name="计算 2 2 9 4" xfId="18694"/>
    <cellStyle name="常规 5 3 2 7" xfId="18695"/>
    <cellStyle name="汇总 2 10 2 3 2" xfId="18696"/>
    <cellStyle name="60% - 强调文字颜色 4 2 2 6 2" xfId="18697"/>
    <cellStyle name="常规 10 2 2 4 2 2" xfId="18698"/>
    <cellStyle name="60% - 强调文字颜色 6 2 3 6 2" xfId="18699"/>
    <cellStyle name="注释 2 2 3 5 2 3 2" xfId="18700"/>
    <cellStyle name="输入 2 8 7" xfId="18701"/>
    <cellStyle name="计算 2 2 3 2 2 2 4 2" xfId="18702"/>
    <cellStyle name="20% - 强调文字颜色 2 3 3 4 2" xfId="18703"/>
    <cellStyle name="汇总 2 2 4 2 6" xfId="18704"/>
    <cellStyle name="注释 2 2 2 11" xfId="18705"/>
    <cellStyle name="计算 2 7 3 3 3" xfId="18706"/>
    <cellStyle name="强调文字颜色 4 2 2 7 2" xfId="18707"/>
    <cellStyle name="输入 2 5 2 2 4 3" xfId="18708"/>
    <cellStyle name="20% - 强调文字颜色 4 2 2 2 3 2" xfId="18709"/>
    <cellStyle name="20% - 强调文字颜色 4 2 2 2 3" xfId="18710"/>
    <cellStyle name="40% - 强调文字颜色 1 3 3 3" xfId="18711"/>
    <cellStyle name="60% - 强调文字颜色 5 2 3 4" xfId="18712"/>
    <cellStyle name="40% - 强调文字颜色 2 2 2 2 6 2 2 2" xfId="18713"/>
    <cellStyle name="60% - 强调文字颜色 5 2 3 3 4" xfId="18714"/>
    <cellStyle name="强调文字颜色 5 2 2 2 2 3 3 3" xfId="18715"/>
    <cellStyle name="强调文字颜色 3 2 2 7" xfId="18716"/>
    <cellStyle name="警告文本 2 2 3 4 3" xfId="18717"/>
    <cellStyle name="标题 2 2 4 2 2 2 2 2" xfId="18718"/>
    <cellStyle name="标题 3 2 4 2" xfId="18719"/>
    <cellStyle name="60% - 强调文字颜色 3 2 2 5 3 2" xfId="18720"/>
    <cellStyle name="计算 2 2 6 6 2" xfId="18721"/>
    <cellStyle name="强调文字颜色 4 2 4 3 2 2" xfId="18722"/>
    <cellStyle name="输入 2 2 3 7 2 2" xfId="18723"/>
    <cellStyle name="标题 5 3 4 2 2" xfId="18724"/>
    <cellStyle name="常规 13 7" xfId="18725"/>
    <cellStyle name="汇总 3 2 4 2 3" xfId="18726"/>
    <cellStyle name="强调文字颜色 6 2 2 3 9" xfId="18727"/>
    <cellStyle name="20% - 强调文字颜色 4 2 2 2 3 4" xfId="18728"/>
    <cellStyle name="常规 5 2 2 2 2 3 3 3" xfId="18729"/>
    <cellStyle name="20% - 强调文字颜色 5 2 3 2 3 2" xfId="18730"/>
    <cellStyle name="输出 2 4 2 2 5 2" xfId="18731"/>
    <cellStyle name="检查单元格 2 2 3 2 2 2 2 2" xfId="18732"/>
    <cellStyle name="汇总 2 2 4 5 8" xfId="18733"/>
    <cellStyle name="常规 4 3 2 3 4 2" xfId="18734"/>
    <cellStyle name="20% - 强调文字颜色 4 3 3 3 2" xfId="18735"/>
    <cellStyle name="40% - 强调文字颜色 3 2 2 4 2 2" xfId="18736"/>
    <cellStyle name="标题 4 2 2 7 2" xfId="18737"/>
    <cellStyle name="60% - 强调文字颜色 2 2 4 3 2 2" xfId="18738"/>
    <cellStyle name="60% - 强调文字颜色 3 3 5 2 2" xfId="18739"/>
    <cellStyle name="链接单元格 2 2 2 2 3 2" xfId="18740"/>
    <cellStyle name="计算 2 8 3 2 4" xfId="18741"/>
    <cellStyle name="警告文本 5 2 2" xfId="18742"/>
    <cellStyle name="20% - 强调文字颜色 3 2 3 2 2 3" xfId="18743"/>
    <cellStyle name="输入 2 2 2 4 2 2 2" xfId="18744"/>
    <cellStyle name="强调文字颜色 1 2 7 2 3" xfId="18745"/>
    <cellStyle name="常规 5 3 4 2 2 2" xfId="18746"/>
    <cellStyle name="40% - 强调文字颜色 6 3 2 2 2 2 2" xfId="18747"/>
    <cellStyle name="注释 2 2 4 3 2 2 3" xfId="18748"/>
    <cellStyle name="计算 2 6 3 2 8" xfId="18749"/>
    <cellStyle name="输出 2 2 9 4" xfId="18750"/>
    <cellStyle name="计算 2 4 5 3" xfId="18751"/>
    <cellStyle name="60% - 强调文字颜色 4 2 3 6 2" xfId="18752"/>
    <cellStyle name="标题 2 2 8" xfId="18753"/>
    <cellStyle name="强调文字颜色 4 2 3 3 6" xfId="18754"/>
    <cellStyle name="好 2 2 3 2 2 2 3" xfId="18755"/>
    <cellStyle name="标题 4 3 5 2 2 2" xfId="18756"/>
    <cellStyle name="常规 3 3 2 2 5 2 2" xfId="18757"/>
    <cellStyle name="标题 5 2 2 2 2 2 2 3" xfId="18758"/>
    <cellStyle name="40% - 强调文字颜色 2 2 7 2 2" xfId="18759"/>
    <cellStyle name="输出 2 2 2 3 8" xfId="18760"/>
    <cellStyle name="汇总 4 2 3 4" xfId="18761"/>
    <cellStyle name="20% - 强调文字颜色 2 2 5 2 2" xfId="18762"/>
    <cellStyle name="60% - 强调文字颜色 6 2 2 4 4" xfId="18763"/>
    <cellStyle name="计算 2 7 3 3 2 2" xfId="18764"/>
    <cellStyle name="汇总 2 2 4 2 5 2" xfId="18765"/>
    <cellStyle name="计算 2 7 4 2 2 2 2" xfId="18766"/>
    <cellStyle name="注释 2 2 2 2 2 3 2" xfId="18767"/>
    <cellStyle name="检查单元格 2 3 3 3" xfId="18768"/>
    <cellStyle name="注释 2 2 7 5 2" xfId="18769"/>
    <cellStyle name="强调文字颜色 4 2 2 3 2 2 2 2" xfId="18770"/>
    <cellStyle name="标题 1 2 4 2 2 2" xfId="18771"/>
    <cellStyle name="适中 2 6 3 2" xfId="18772"/>
    <cellStyle name="60% - 强调文字颜色 5 2" xfId="18773"/>
    <cellStyle name="60% - 强调文字颜色 4 2 3 2 5" xfId="18774"/>
    <cellStyle name="60% - 强调文字颜色 1 2 3 4" xfId="18775"/>
    <cellStyle name="输出 4 6 2 2" xfId="18776"/>
    <cellStyle name="60% - 强调文字颜色 4 2 3 5" xfId="18777"/>
    <cellStyle name="链接单元格 2 7 3" xfId="18778"/>
    <cellStyle name="适中 2 5 3 2 2" xfId="18779"/>
    <cellStyle name="注释 2 3 6" xfId="18780"/>
    <cellStyle name="汇总 2 2 3 2 2 4 3" xfId="18781"/>
    <cellStyle name="标题 3 6 2 2" xfId="18782"/>
    <cellStyle name="汇总 2 2 6 2 4 2" xfId="18783"/>
    <cellStyle name="汇总 2 10 3 2" xfId="18784"/>
    <cellStyle name="注释 2 8 4 3" xfId="18785"/>
    <cellStyle name="汇总 2 7 3 2 3" xfId="18786"/>
    <cellStyle name="40% - 强调文字颜色 6 2 2 3 4 3" xfId="18787"/>
    <cellStyle name="常规 4 5 2 3 3" xfId="18788"/>
    <cellStyle name="标题 3 2 10" xfId="18789"/>
    <cellStyle name="60% - 强调文字颜色 4 2 3 5 2" xfId="18790"/>
    <cellStyle name="汇总 2 2 3 5 5" xfId="18791"/>
    <cellStyle name="计算 2 7 2 6 2" xfId="18792"/>
    <cellStyle name="输入 2 2 8 3 2 2" xfId="18793"/>
    <cellStyle name="警告文本 2 2 6 4" xfId="18794"/>
    <cellStyle name="输出 2 2 9 3" xfId="18795"/>
    <cellStyle name="适中 4 2 2 2" xfId="18796"/>
    <cellStyle name="计算 2 4 5 2" xfId="18797"/>
    <cellStyle name="链接单元格 3 2 2" xfId="18798"/>
    <cellStyle name="计算 2 6 3 2 7" xfId="18799"/>
    <cellStyle name="强调文字颜色 2 2 2 4 4 3" xfId="18800"/>
    <cellStyle name="60% - 强调文字颜色 6 2 2 2 2 3 2 2" xfId="18801"/>
    <cellStyle name="输出 2 5 7 3" xfId="18802"/>
    <cellStyle name="计算 2 2 5 2 3 8" xfId="18803"/>
    <cellStyle name="计算 2 7 3 2" xfId="18804"/>
    <cellStyle name="40% - 强调文字颜色 5 2 2 3 3 2 2 2" xfId="18805"/>
    <cellStyle name="20% - 强调文字颜色 3 2 3 2 3 2 2 2 2" xfId="18806"/>
    <cellStyle name="强调文字颜色 5 2 4 4 2" xfId="18807"/>
    <cellStyle name="60% - 强调文字颜色 4 2 2 6 3" xfId="18808"/>
    <cellStyle name="强调文字颜色 2 2 3 3 2 2 2" xfId="18809"/>
    <cellStyle name="60% - 强调文字颜色 6 4 2 4" xfId="18810"/>
    <cellStyle name="20% - 强调文字颜色 2 4 2 2 2" xfId="18811"/>
    <cellStyle name="计算 2 2 10 2 3 3" xfId="18812"/>
    <cellStyle name="汇总 2 10 2 3 3" xfId="18813"/>
    <cellStyle name="汇总 2 3 2 4 3 3" xfId="18814"/>
    <cellStyle name="标题 1 2 2 3 4" xfId="18815"/>
    <cellStyle name="强调文字颜色 6 2 5 3 2 2" xfId="18816"/>
    <cellStyle name="标题 2 2 4 6" xfId="18817"/>
    <cellStyle name="汇总 2 5 6 3" xfId="18818"/>
    <cellStyle name="输出 2 5 10" xfId="18819"/>
    <cellStyle name="标题 1 2 3 2 3 2 2 3" xfId="18820"/>
    <cellStyle name="汇总 2 5 3 2 4 3" xfId="18821"/>
    <cellStyle name="60% - 强调文字颜色 6 2 2 5 4" xfId="18822"/>
    <cellStyle name="汇总 2 2 4 2 6 2" xfId="18823"/>
    <cellStyle name="强调文字颜色 4 2 2 7 2 2" xfId="18824"/>
    <cellStyle name="40% - 强调文字颜色 6 2 3 2 2 4 2" xfId="18825"/>
    <cellStyle name="60% - 强调文字颜色 6 2 2 3 5 2 2" xfId="18826"/>
    <cellStyle name="汇总 2 2 4 2 4 3 2 2" xfId="18827"/>
    <cellStyle name="标题 1 2 3 2 7" xfId="18828"/>
    <cellStyle name="20% - 强调文字颜色 4 2 3 6" xfId="18829"/>
    <cellStyle name="计算 2 5 4 7 2" xfId="18830"/>
    <cellStyle name="40% - 强调文字颜色 4 2 3 3 3 2 2" xfId="18831"/>
    <cellStyle name="注释 3 2 4" xfId="18832"/>
    <cellStyle name="输入 2 7 2 2" xfId="18833"/>
    <cellStyle name="适中 2 2 2 2 3 4" xfId="18834"/>
    <cellStyle name="40% - 强调文字颜色 3 3 5" xfId="18835"/>
    <cellStyle name="汇总 2 2 3 2 2 3 2" xfId="18836"/>
    <cellStyle name="60% - 强调文字颜色 6 4 2 2 3" xfId="18837"/>
    <cellStyle name="20% - 强调文字颜色 4 2 2 2 3 2 2 2 2" xfId="18838"/>
    <cellStyle name="60% - 强调文字颜色 6 2 2 2 5 2 2" xfId="18839"/>
    <cellStyle name="汇总 2 2 4 2 3 3 2 2" xfId="18840"/>
    <cellStyle name="标题 6 2 2 2 2 3" xfId="18841"/>
    <cellStyle name="警告文本 2 2 3 2 2 2" xfId="18842"/>
    <cellStyle name="20% - 强调文字颜色 3 2 5 5 2 2" xfId="18843"/>
    <cellStyle name="注释 4 6" xfId="18844"/>
    <cellStyle name="注释 2 2 2 2 2" xfId="18845"/>
    <cellStyle name="40% - 强调文字颜色 2 4 2 2 2 2" xfId="18846"/>
    <cellStyle name="输出 2 6 2 2 4" xfId="18847"/>
    <cellStyle name="60% - 强调文字颜色 3 2 2 2 2 3 2 2 2" xfId="18848"/>
    <cellStyle name="20% - 强调文字颜色 5 4 3 2 2" xfId="18849"/>
    <cellStyle name="汇总 2 8 5 2 2" xfId="18850"/>
    <cellStyle name="60% - 强调文字颜色 5 2 2 9 2" xfId="18851"/>
    <cellStyle name="解释性文本 2 2 6 2 3" xfId="18852"/>
    <cellStyle name="输入 2 3 3 2 4" xfId="18853"/>
    <cellStyle name="强调文字颜色 6 3 3 2" xfId="18854"/>
    <cellStyle name="60% - 强调文字颜色 4 2 2 2 2 4 3" xfId="18855"/>
    <cellStyle name="20% - 强调文字颜色 1 2 5 4 2" xfId="18856"/>
    <cellStyle name="60% - 强调文字颜色 5 2 2" xfId="18857"/>
    <cellStyle name="计算 2 2 7 2 5" xfId="18858"/>
    <cellStyle name="适中 2 6 3 2 2" xfId="18859"/>
    <cellStyle name="常规 5 3 2 3" xfId="18860"/>
    <cellStyle name="计算 2 5 2 6 4 2" xfId="18861"/>
    <cellStyle name="汇总 2 2 4 2 3 3" xfId="18862"/>
    <cellStyle name="60% - 强调文字颜色 6 2 2 2 5" xfId="18863"/>
    <cellStyle name="汇总 2 2 8 8" xfId="18864"/>
    <cellStyle name="60% - 强调文字颜色 1 2 3 4 2" xfId="18865"/>
    <cellStyle name="60% - 强调文字颜色 4 2 3 2 5 2" xfId="18866"/>
    <cellStyle name="适中 2 2 3 9" xfId="18867"/>
    <cellStyle name="输入 2 4 4 7" xfId="18868"/>
    <cellStyle name="标题 4 2 3 4 2 3" xfId="18869"/>
    <cellStyle name="输入 2 5 2 3 5 2 2" xfId="18870"/>
    <cellStyle name="20% - 强调文字颜色 1 2 2 2 4 3 2" xfId="18871"/>
    <cellStyle name="注释 2 2 2 2 6 2" xfId="18872"/>
    <cellStyle name="汇总 2 2 4 2 11 3" xfId="18873"/>
    <cellStyle name="常规 5 2 6 2 2" xfId="18874"/>
    <cellStyle name="输入 2 7 6" xfId="18875"/>
    <cellStyle name="超链接 3 3 5" xfId="18876"/>
    <cellStyle name="强调文字颜色 1 2 2 2 4" xfId="18877"/>
    <cellStyle name="20% - 强调文字颜色 2 3 5 2 2 2" xfId="18878"/>
    <cellStyle name="强调文字颜色 4 2 3 6 2" xfId="18879"/>
    <cellStyle name="计算 2 7 4 2 3" xfId="18880"/>
    <cellStyle name="标题 1 2 2 2 2 2 2 2 2" xfId="18881"/>
    <cellStyle name="强调文字颜色 4 2 3 3" xfId="18882"/>
    <cellStyle name="输入 2 2 2 7" xfId="18883"/>
    <cellStyle name="强调文字颜色 2 2 2 3 9" xfId="18884"/>
    <cellStyle name="计算 2 6 4 3 2" xfId="18885"/>
    <cellStyle name="汇总 2 2 5 2 3" xfId="18886"/>
    <cellStyle name="强调文字颜色 3 2 2 3 3 2 2 2" xfId="18887"/>
    <cellStyle name="标题 3 2 2 7 3" xfId="18888"/>
    <cellStyle name="差 2 2 6 2 2" xfId="18889"/>
    <cellStyle name="汇总 2 5 2 3 3 3 2 2" xfId="18890"/>
    <cellStyle name="计算 2 7 2 2 2 2 3" xfId="18891"/>
    <cellStyle name="20% - 强调文字颜色 6 2 2 3 2" xfId="18892"/>
    <cellStyle name="汇总 2 2 5 5 2 2" xfId="18893"/>
    <cellStyle name="汇总 4 5 2" xfId="18894"/>
    <cellStyle name="标题 3 2 4 2 2" xfId="18895"/>
    <cellStyle name="60% - 强调文字颜色 3 2 2 5 3 2 2" xfId="18896"/>
    <cellStyle name="强调文字颜色 4 2 4 3 2 2 2" xfId="18897"/>
    <cellStyle name="强调文字颜色 3 2 2 2 3 7" xfId="18898"/>
    <cellStyle name="计算 2 2 6 6 2 2" xfId="18899"/>
    <cellStyle name="标题 4 2 2 2 2 2 2 3" xfId="18900"/>
    <cellStyle name="20% - 强调文字颜色 3 3 2 5" xfId="18901"/>
    <cellStyle name="输入 2 2 2 4 2 2 2 2" xfId="18902"/>
    <cellStyle name="计算 3 3 4 3" xfId="18903"/>
    <cellStyle name="汇总 2 6 3 8" xfId="18904"/>
    <cellStyle name="汇总 5 4 2" xfId="18905"/>
    <cellStyle name="40% - 强调文字颜色 1 2 4 3 2" xfId="18906"/>
    <cellStyle name="40% - 强调文字颜色 3 2 2 3 7" xfId="18907"/>
    <cellStyle name="注释 2 6 6 2" xfId="18908"/>
    <cellStyle name="输入 2 5 2 9 2" xfId="18909"/>
    <cellStyle name="60% - 强调文字颜色 5 2 4 3" xfId="18910"/>
    <cellStyle name="差 2 3 4 2 2" xfId="18911"/>
    <cellStyle name="输出 2 2 2 3 2" xfId="18912"/>
    <cellStyle name="常规 7 2 4 3" xfId="18913"/>
    <cellStyle name="计算 2 7 7" xfId="18914"/>
    <cellStyle name="解释性文本 2 2 4 3 2 2 2" xfId="18915"/>
    <cellStyle name="汇总 2 7 6 4" xfId="18916"/>
    <cellStyle name="标题 3 2 3 4 4" xfId="18917"/>
    <cellStyle name="输出 2 2 2 2 11" xfId="18918"/>
    <cellStyle name="60% - 强调文字颜色 4 2 4 2" xfId="18919"/>
    <cellStyle name="60% - 强调文字颜色 2 3 3 2 2" xfId="18920"/>
    <cellStyle name="强调文字颜色 1 2 3 2 7" xfId="18921"/>
    <cellStyle name="注释 4 3 3" xfId="18922"/>
    <cellStyle name="常规 5 2 2 5 2" xfId="18923"/>
    <cellStyle name="40% - 强调文字颜色 5 6 2 2" xfId="18924"/>
    <cellStyle name="汇总 4 8" xfId="18925"/>
    <cellStyle name="40% - 强调文字颜色 2 2 9 2" xfId="18926"/>
    <cellStyle name="标题 4 2 2 3 3 3 2" xfId="18927"/>
    <cellStyle name="注释 2 2 3 2 4 2 5" xfId="18928"/>
    <cellStyle name="计算 2 6 2 3 5 2" xfId="18929"/>
    <cellStyle name="强调文字颜色 2 2 2 6" xfId="18930"/>
    <cellStyle name="20% - 强调文字颜色 1 2 2 4 2 3 2" xfId="18931"/>
    <cellStyle name="计算 2 2 2 2 4 4 2" xfId="18932"/>
    <cellStyle name="常规 2 3 5" xfId="18933"/>
    <cellStyle name="输出 2 4 7" xfId="18934"/>
    <cellStyle name="强调文字颜色 4 3" xfId="18935"/>
    <cellStyle name="常规 8 2 2 3 2 2" xfId="18936"/>
    <cellStyle name="输入 2 4 2 3" xfId="18937"/>
    <cellStyle name="汇总 2 5 2 3 6 2" xfId="18938"/>
    <cellStyle name="60% - 强调文字颜色 4 3 3 3" xfId="18939"/>
    <cellStyle name="40% - 强调文字颜色 2 3 4 2 2 2" xfId="18940"/>
    <cellStyle name="强调文字颜色 5 2 2 7 3" xfId="18941"/>
    <cellStyle name="输出 2 5 2 11" xfId="18942"/>
    <cellStyle name="计算 2 2 3 2 2 2 8" xfId="18943"/>
    <cellStyle name="计算 2 6 3 3 2" xfId="18944"/>
    <cellStyle name="差 2 4 2 2" xfId="18945"/>
    <cellStyle name="输出 5 2" xfId="18946"/>
    <cellStyle name="汇总 2 2 4 2 3 4 2" xfId="18947"/>
    <cellStyle name="60% - 强调文字颜色 6 2 2 2 6 2" xfId="18948"/>
    <cellStyle name="计算 2 2 10 4 2" xfId="18949"/>
    <cellStyle name="汇总 2 2 6 5 2" xfId="18950"/>
    <cellStyle name="20% - 强调文字颜色 6 3 2 3" xfId="18951"/>
    <cellStyle name="链接单元格 2 3 2 4 2 3" xfId="18952"/>
    <cellStyle name="输入 2 2 2 4 2 3" xfId="18953"/>
    <cellStyle name="常规 5 3 2 4" xfId="18954"/>
    <cellStyle name="40% - 强调文字颜色 5 2 3 2 2 4 3 2" xfId="18955"/>
    <cellStyle name="适中 2 2 2 4 3 2 2" xfId="18956"/>
    <cellStyle name="40% - 强调文字颜色 5 3 3 2" xfId="18957"/>
    <cellStyle name="适中 2 5 3 3" xfId="18958"/>
    <cellStyle name="汇总 3 3 3 2 2 2" xfId="18959"/>
    <cellStyle name="计算 2 2 16 3" xfId="18960"/>
    <cellStyle name="输出 2 4 5 5 2" xfId="18961"/>
    <cellStyle name="计算 2 6 2 2 3 2" xfId="18962"/>
    <cellStyle name="注释 2 2 5 4 5" xfId="18963"/>
    <cellStyle name="常规 5 2 6 2" xfId="18964"/>
    <cellStyle name="差 3 4 3" xfId="18965"/>
    <cellStyle name="60% - 强调文字颜色 4 2 2 2 7 2" xfId="18966"/>
    <cellStyle name="20% - 强调文字颜色 6 2 2 2 4 2 2" xfId="18967"/>
    <cellStyle name="常规 6 3 2 2 3 3" xfId="18968"/>
    <cellStyle name="注释 2 2 13 2" xfId="18969"/>
    <cellStyle name="汇总 2 9 2 2 2 2" xfId="18970"/>
    <cellStyle name="强调文字颜色 6 2 4 4 2 2 2" xfId="18971"/>
    <cellStyle name="注释 2 2 3 3 7" xfId="18972"/>
    <cellStyle name="60% - 强调文字颜色 5 2 2 6 3 2 2" xfId="18973"/>
    <cellStyle name="Normal 2 5 2" xfId="18974"/>
    <cellStyle name="常规 2 3 2 2 4 3 2" xfId="18975"/>
    <cellStyle name="输出 2 4 7 2 2" xfId="18976"/>
    <cellStyle name="常规 2 3 5 2 2" xfId="18977"/>
    <cellStyle name="注释 2 2 5 2 2 4" xfId="18978"/>
    <cellStyle name="标题 5 5 3 3" xfId="18979"/>
    <cellStyle name="汇总 2 2 6 2 2 2 3 3" xfId="18980"/>
    <cellStyle name="40% - 强调文字颜色 1 2 2 2 6 2 2" xfId="18981"/>
    <cellStyle name="输入 2 19" xfId="18982"/>
    <cellStyle name="输入 2 8 2 3 2 2" xfId="18983"/>
    <cellStyle name="常规 12 3 3 5" xfId="18984"/>
    <cellStyle name="20% - 强调文字颜色 5 2 2 3 4" xfId="18985"/>
    <cellStyle name="超链接 3 2 2 2 3 2 3" xfId="18986"/>
    <cellStyle name="标题 1 5" xfId="18987"/>
    <cellStyle name="输出 2 2 5 2 5" xfId="18988"/>
    <cellStyle name="20% - 强调文字颜色 2 2 2 2 4 2 2 2" xfId="18989"/>
    <cellStyle name="汇总 4 2 7" xfId="18990"/>
    <cellStyle name="适中 2 2 2 2 4" xfId="18991"/>
    <cellStyle name="60% - 强调文字颜色 6 2 2 9" xfId="18992"/>
    <cellStyle name="常规 11 2 3 2" xfId="18993"/>
    <cellStyle name="汇总 2 2 2 2 3" xfId="18994"/>
    <cellStyle name="差 2 2 3 2 2" xfId="18995"/>
    <cellStyle name="60% - 强调文字颜色 2 3 2 2 3" xfId="18996"/>
    <cellStyle name="标题 2 2 6 3 3" xfId="18997"/>
    <cellStyle name="解释性文本 2 3 5 2" xfId="18998"/>
    <cellStyle name="警告文本 2 2 2 3 7" xfId="18999"/>
    <cellStyle name="注释 4 5" xfId="19000"/>
    <cellStyle name="常规 5 3 2 2 2 5" xfId="19001"/>
    <cellStyle name="40% - 强调文字颜色 1 2 2 7 2 2" xfId="19002"/>
    <cellStyle name="标题 2 2 3 3 3 3" xfId="19003"/>
    <cellStyle name="常规 7 2 2 2 2 2 2 2 2" xfId="19004"/>
    <cellStyle name="计算 2 2 11 3 2" xfId="19005"/>
    <cellStyle name="汇总 2 2 4 2 4 3 2" xfId="19006"/>
    <cellStyle name="60% - 强调文字颜色 6 2 2 3 5 2" xfId="19007"/>
    <cellStyle name="标题 2 2 2 2 2 6 2" xfId="19008"/>
    <cellStyle name="标题 4 2 4 2 2 2 2" xfId="19009"/>
    <cellStyle name="60% - 强调文字颜色 5 2 2 2 2 4 3" xfId="19010"/>
    <cellStyle name="计算 4 9" xfId="19011"/>
    <cellStyle name="输出 2 3 3 2 6" xfId="19012"/>
    <cellStyle name="输入 2 8 7 2 2" xfId="19013"/>
    <cellStyle name="标题 1 2 2 2 5 3" xfId="19014"/>
    <cellStyle name="检查单元格 5 2 2" xfId="19015"/>
    <cellStyle name="计算 2 7 4 2 2" xfId="19016"/>
    <cellStyle name="标题 2 5 3" xfId="19017"/>
    <cellStyle name="60% - 强调文字颜色 6 2 2 2 2 3 3 2 2" xfId="19018"/>
    <cellStyle name="输入 2 7 5" xfId="19019"/>
    <cellStyle name="超链接 3 3 4" xfId="19020"/>
    <cellStyle name="强调文字颜色 1 2 2 2 3" xfId="19021"/>
    <cellStyle name="60% - 强调文字颜色 6 2 3 3 2 2 2 2" xfId="19022"/>
    <cellStyle name="40% - 强调文字颜色 1 2 5 2" xfId="19023"/>
    <cellStyle name="40% - 强调文字颜色 3 2 3 2 2 2 3" xfId="19024"/>
    <cellStyle name="注释 2 2 3 3 3 2 3" xfId="19025"/>
    <cellStyle name="计算 2 2 2 2 5 3" xfId="19026"/>
    <cellStyle name="计算 2 5 4 4 2 2" xfId="19027"/>
    <cellStyle name="40% - 强调文字颜色 3 2 3 5 2 2 2" xfId="19028"/>
    <cellStyle name="常规 9 10" xfId="19029"/>
    <cellStyle name="计算 2 2 5 2 5 2" xfId="19030"/>
    <cellStyle name="60% - 强调文字颜色 3 2 2 2" xfId="19031"/>
    <cellStyle name="计算 2 2 2 3 2 2 2" xfId="19032"/>
    <cellStyle name="计算 2 2 3 3 2 3 2 2" xfId="19033"/>
    <cellStyle name="20% - 强调文字颜色 3 3 4 2 2" xfId="19034"/>
    <cellStyle name="常规 7 2 3 2 3 2" xfId="19035"/>
    <cellStyle name="60% - 强调文字颜色 1 2 2 4 5 2 2" xfId="19036"/>
    <cellStyle name="汇总 2 13 2 2" xfId="19037"/>
    <cellStyle name="40% - 强调文字颜色 4 2 9 2" xfId="19038"/>
    <cellStyle name="标题 1 2 2 4 3 4" xfId="19039"/>
    <cellStyle name="输出 2 4 2 2 2" xfId="19040"/>
    <cellStyle name="常规 9 2 3 3" xfId="19041"/>
    <cellStyle name="检查单元格 2 6 4" xfId="19042"/>
    <cellStyle name="40% - 强调文字颜色 2 2 2 2 3 3 2 2" xfId="19043"/>
    <cellStyle name="输出 2 3 2 2 2 2 3" xfId="19044"/>
    <cellStyle name="常规 14 2" xfId="19045"/>
    <cellStyle name="40% - 强调文字颜色 6 2 2 2 3 2 2" xfId="19046"/>
    <cellStyle name="强调文字颜色 5 2 2 2 2 3 2 2 2" xfId="19047"/>
    <cellStyle name="20% - 强调文字颜色 5 2 2 4" xfId="19048"/>
    <cellStyle name="检查单元格 2 2 2 2 8" xfId="19049"/>
    <cellStyle name="常规 10 2 3 3 3 2" xfId="19050"/>
    <cellStyle name="强调文字颜色 1 2 4 4 2 2 2" xfId="19051"/>
    <cellStyle name="计算 2 3 15" xfId="19052"/>
    <cellStyle name="标题 4 2 2 4" xfId="19053"/>
    <cellStyle name="汇总 2 9 2 3 2" xfId="19054"/>
    <cellStyle name="强调文字颜色 6 2 4 4 3 2" xfId="19055"/>
    <cellStyle name="标题 2 2 2 3 5 2" xfId="19056"/>
    <cellStyle name="强调文字颜色 5 2 2 3 4" xfId="19057"/>
    <cellStyle name="汇总 2 2 6 3 2 2 3" xfId="19058"/>
    <cellStyle name="强调文字颜色 1 2 2 3" xfId="19059"/>
    <cellStyle name="60% - 强调文字颜色 1 2 2 2 4 2" xfId="19060"/>
    <cellStyle name="强调文字颜色 5 2 4 3 4" xfId="19061"/>
    <cellStyle name="标题 1 2 2 2 6" xfId="19062"/>
    <cellStyle name="60% - 强调文字颜色 6 2 4 3 3 3" xfId="19063"/>
    <cellStyle name="输出 2 2 4 4 2 3 2" xfId="19064"/>
    <cellStyle name="计算 2 6 4 8" xfId="19065"/>
    <cellStyle name="标题 4 2 3 2 3 2 2 3" xfId="19066"/>
    <cellStyle name="强调文字颜色 6 2 4 2 2 2 2" xfId="19067"/>
    <cellStyle name="60% - 强调文字颜色 5 2 2 4 3 2 2" xfId="19068"/>
    <cellStyle name="输入 2 11 2 2" xfId="19069"/>
    <cellStyle name="汇总 2 4 5 2 2 2" xfId="19070"/>
    <cellStyle name="计算 2 6 9 2" xfId="19071"/>
    <cellStyle name="40% - 强调文字颜色 2 2 3 2 2 3 2 2 2" xfId="19072"/>
    <cellStyle name="计算 4 2 5 3" xfId="19073"/>
    <cellStyle name="汇总 2 3 5 2" xfId="19074"/>
    <cellStyle name="计算 2 2 4 2 14" xfId="19075"/>
    <cellStyle name="60% - 强调文字颜色 5 2 2 4 2 2 2" xfId="19076"/>
    <cellStyle name="常规 10 2 2 2 5 3" xfId="19077"/>
    <cellStyle name="输出 2 5 2 10" xfId="19078"/>
    <cellStyle name="强调文字颜色 5 2 2 7 2" xfId="19079"/>
    <cellStyle name="40% - 强调文字颜色 4 2 2 4 5 2 2" xfId="19080"/>
    <cellStyle name="汇总 2 2 3 3 2 4" xfId="19081"/>
    <cellStyle name="输入 2 4 2 2 2 2 2 2" xfId="19082"/>
    <cellStyle name="输入 2 2 2 2 2 2 2 2 2" xfId="19083"/>
    <cellStyle name="标题 2 2 2 5" xfId="19084"/>
    <cellStyle name="计算 2 2 4 4 2 3 2" xfId="19085"/>
    <cellStyle name="计算 4 4 3" xfId="19086"/>
    <cellStyle name="汇总 2 4 2 2 2 5" xfId="19087"/>
    <cellStyle name="计算 2 4 9 2 2" xfId="19088"/>
    <cellStyle name="汇总 2 2 4 4 2 4 2 2" xfId="19089"/>
    <cellStyle name="差 2 3 7 2" xfId="19090"/>
    <cellStyle name="汇总 2 10 4" xfId="19091"/>
    <cellStyle name="汇总 2 6 2 2 3 2 2" xfId="19092"/>
    <cellStyle name="20% - 强调文字颜色 3 2 4" xfId="19093"/>
    <cellStyle name="60% - 强调文字颜色 1 2 2 3 5" xfId="19094"/>
    <cellStyle name="60% - 强调文字颜色 5 2 2 4" xfId="19095"/>
    <cellStyle name="汇总 2 5 3 2 5 3" xfId="19096"/>
    <cellStyle name="注释 2 2 5 3 6" xfId="19097"/>
    <cellStyle name="输出 2 2 2 8" xfId="19098"/>
    <cellStyle name="40% - 强调文字颜色 2 2 2 2 5 2 2" xfId="19099"/>
    <cellStyle name="汇总 2 2 4 2 2 2 2 3 3" xfId="19100"/>
    <cellStyle name="注释 2 2 5 9" xfId="19101"/>
    <cellStyle name="40% - 强调文字颜色 5 2 2 4 4" xfId="19102"/>
    <cellStyle name="40% - 强调文字颜色 4 2 3 2 2 2 2" xfId="19103"/>
    <cellStyle name="输出 2 2 4 7 3" xfId="19104"/>
    <cellStyle name="强调文字颜色 6 2 2 4 4 2 2" xfId="19105"/>
    <cellStyle name="强调文字颜色 2 2 2 2 5 2 2" xfId="19106"/>
    <cellStyle name="20% - 强调文字颜色 1 3 5 2 2" xfId="19107"/>
    <cellStyle name="标题 4 2 7 2 2 2" xfId="19108"/>
    <cellStyle name="强调文字颜色 3 2 2 2 2 3 2 2 2" xfId="19109"/>
    <cellStyle name="常规 13 2 2 2 4" xfId="19110"/>
    <cellStyle name="40% - 强调文字颜色 6 2 2 2 2 2 4 2 2 2" xfId="19111"/>
    <cellStyle name="常规 3 3 6 3 2" xfId="19112"/>
    <cellStyle name="标题 5 3 2 4 4" xfId="19113"/>
    <cellStyle name="常规 11 4 3" xfId="19114"/>
    <cellStyle name="汇总 2 3 4 2 4 2 2" xfId="19115"/>
    <cellStyle name="20% - 强调文字颜色 4 2 2 2 5 2 2" xfId="19116"/>
    <cellStyle name="40% - 强调文字颜色 1 2 2 7" xfId="19117"/>
    <cellStyle name="60% - 强调文字颜色 5 2 2 3 6" xfId="19118"/>
    <cellStyle name="常规 7 2 2 2 2 2 2" xfId="19119"/>
    <cellStyle name="40% - 强调文字颜色 1 2 3 2 2 4 3 2" xfId="19120"/>
    <cellStyle name="链接单元格 3 2 2 4" xfId="19121"/>
    <cellStyle name="40% - 强调文字颜色 1 2 2 2 4 3 2 2" xfId="19122"/>
    <cellStyle name="常规 9 6 2" xfId="19123"/>
    <cellStyle name="60% - 强调文字颜色 1 2 4 3 2 2 2" xfId="19124"/>
    <cellStyle name="60% - 强调文字颜色 4 2 2 2 2 2 2 2 2 2" xfId="19125"/>
    <cellStyle name="警告文本 4" xfId="19126"/>
    <cellStyle name="汇总 2 2 6 2 2 2 2 3" xfId="19127"/>
    <cellStyle name="超链接 3 2 4 2 2 2 2" xfId="19128"/>
    <cellStyle name="20% - 强调文字颜色 5 3 8" xfId="19129"/>
    <cellStyle name="计算 3 2 2 6 3" xfId="19130"/>
    <cellStyle name="40% - 强调文字颜色 1 2 4 2 2 2 2 2" xfId="19131"/>
    <cellStyle name="输入 2 5 3 2 4" xfId="19132"/>
    <cellStyle name="输入 2 4 3 3 3" xfId="19133"/>
    <cellStyle name="汇总 2 3 2 6" xfId="19134"/>
    <cellStyle name="60% - 强调文字颜色 4 2 2 3 4" xfId="19135"/>
    <cellStyle name="输入 6 3" xfId="19136"/>
    <cellStyle name="输入 5 2 2" xfId="19137"/>
    <cellStyle name="20% - 强调文字颜色 3 2 10 2" xfId="19138"/>
    <cellStyle name="计算 2 4 2 2 2 2 3" xfId="19139"/>
    <cellStyle name="输入 2 2 3 2 2 4 2" xfId="19140"/>
    <cellStyle name="注释 3 8" xfId="19141"/>
    <cellStyle name="标题 2 2 2 2 2 2 2 2 2" xfId="19142"/>
    <cellStyle name="常规 5 2 2 3 2 3 2" xfId="19143"/>
    <cellStyle name="常规 5 5 2 5 2" xfId="19144"/>
    <cellStyle name="60% - 强调文字颜色 4 2 2 2 3 2" xfId="19145"/>
    <cellStyle name="输出 4 2 2 2 2 2" xfId="19146"/>
    <cellStyle name="常规 5 6 2 3 3" xfId="19147"/>
    <cellStyle name="适中 2 2 3 2 2 2" xfId="19148"/>
    <cellStyle name="汇总 5 2 5 2" xfId="19149"/>
    <cellStyle name="20% - 强调文字颜色 4 4 2 3 2 2" xfId="19150"/>
    <cellStyle name="汇总 2 5 5 7" xfId="19151"/>
    <cellStyle name="20% - 强调文字颜色 3 2 2 2 2 2 2 3 2" xfId="19152"/>
    <cellStyle name="60% - 强调文字颜色 4 2 2 5 3" xfId="19153"/>
    <cellStyle name="链接单元格 2 6 3 3" xfId="19154"/>
    <cellStyle name="强调文字颜色 5 2 4 3 2" xfId="19155"/>
    <cellStyle name="输入 8 2" xfId="19156"/>
    <cellStyle name="计算 2 4 2 2 2 4 2" xfId="19157"/>
    <cellStyle name="汇总 2 10 2 2 3" xfId="19158"/>
    <cellStyle name="注释 2 2 3 3 4" xfId="19159"/>
    <cellStyle name="输入 2 13 2" xfId="19160"/>
    <cellStyle name="汇总 2 2 3 2 2 7" xfId="19161"/>
    <cellStyle name="适中 2 2 2 2 2 2 2 3" xfId="19162"/>
    <cellStyle name="40% - 强调文字颜色 3 2 3 2 3" xfId="19163"/>
    <cellStyle name="计算 2 2 9 2 3 3" xfId="19164"/>
    <cellStyle name="汇总 2 5 5 2 3 2" xfId="19165"/>
    <cellStyle name="标题 3 2 9" xfId="19166"/>
    <cellStyle name="常规 5 2 2 4 4 2" xfId="19167"/>
    <cellStyle name="计算 2 2 2 2 3" xfId="19168"/>
    <cellStyle name="20% - 强调文字颜色 3 2 2 2 3" xfId="19169"/>
    <cellStyle name="常规 8 3 4" xfId="19170"/>
    <cellStyle name="40% - 强调文字颜色 6 6 2 2" xfId="19171"/>
    <cellStyle name="60% - 强调文字颜色 4 2 3 4 2" xfId="19172"/>
    <cellStyle name="链接单元格 2 7 2 2" xfId="19173"/>
    <cellStyle name="标题 5 3 2 3 2" xfId="19174"/>
    <cellStyle name="40% - 强调文字颜色 5 3 7" xfId="19175"/>
    <cellStyle name="标题 5 2 2 2 2 3 2" xfId="19176"/>
    <cellStyle name="注释 2 2 7" xfId="19177"/>
    <cellStyle name="20% - 强调文字颜色 4 6 2" xfId="19178"/>
    <cellStyle name="注释 2 4 2 10" xfId="19179"/>
    <cellStyle name="注释 2 4 2 2 2 2 2 2" xfId="19180"/>
    <cellStyle name="注释 2 2 4 2 2 6" xfId="19181"/>
    <cellStyle name="输出 2 2 3 3 2 2 2 3" xfId="19182"/>
    <cellStyle name="标题 3 2 2 4 3 3" xfId="19183"/>
    <cellStyle name="标题 1 3 2 4 2" xfId="19184"/>
    <cellStyle name="好 2 2 2 2" xfId="19185"/>
    <cellStyle name="常规 13 2 3" xfId="19186"/>
    <cellStyle name="20% - 强调文字颜色 3 2 4 6" xfId="19187"/>
    <cellStyle name="警告文本 2 2 2 3" xfId="19188"/>
    <cellStyle name="60% - 强调文字颜色 5 3 10" xfId="19189"/>
    <cellStyle name="计算 2 2 3 2 5 3" xfId="19190"/>
    <cellStyle name="60% - 强调文字颜色 1 2 2 3" xfId="19191"/>
    <cellStyle name="20% - 强调文字颜色 1 2 6 2 2" xfId="19192"/>
    <cellStyle name="标题 4 2 6 3 2 2" xfId="19193"/>
    <cellStyle name="60% - 强调文字颜色 5 2 2 5" xfId="19194"/>
    <cellStyle name="计算 2 2 8 4 5" xfId="19195"/>
    <cellStyle name="标题 3 4 2 5" xfId="19196"/>
    <cellStyle name="60% - 强调文字颜色 6 4 2" xfId="19197"/>
    <cellStyle name="汇总 2 7 4 2 3 2" xfId="19198"/>
    <cellStyle name="40% - 强调文字颜色 2 2 3 6 2" xfId="19199"/>
    <cellStyle name="输入 2 2 2 2 5 2" xfId="19200"/>
    <cellStyle name="标题 4 2 2 2 3 3 3" xfId="19201"/>
    <cellStyle name="60% - 强调文字颜色 2 2 2 2 2 5 2" xfId="19202"/>
    <cellStyle name="40% - 强调文字颜色 2 4 3 2" xfId="19203"/>
    <cellStyle name="60% - 强调文字颜色 5 2 2 3 4 3" xfId="19204"/>
    <cellStyle name="差 2 2 2 8" xfId="19205"/>
    <cellStyle name="常规 2 2 2 7 3" xfId="19206"/>
    <cellStyle name="强调文字颜色 4 2 2 3 5 2" xfId="19207"/>
    <cellStyle name="标题 1 2 7 2" xfId="19208"/>
    <cellStyle name="输入 2 2 2 2 2 5 2" xfId="19209"/>
    <cellStyle name="超链接 2 2 3 3 2" xfId="19210"/>
    <cellStyle name="好 2 3 5 2 2 2" xfId="19211"/>
    <cellStyle name="输出 2 3 7" xfId="19212"/>
    <cellStyle name="常规 2 2 5" xfId="19213"/>
    <cellStyle name="计算 2 2 2 2 4 3 2" xfId="19214"/>
    <cellStyle name="计算 2 2 6 3 5" xfId="19215"/>
    <cellStyle name="60% - 强调文字颜色 4 3 2" xfId="19216"/>
    <cellStyle name="计算 2 2 2 4 3 2" xfId="19217"/>
    <cellStyle name="计算 2 2 5 5" xfId="19218"/>
    <cellStyle name="60% - 强调文字颜色 3 2 2 4 2" xfId="19219"/>
    <cellStyle name="60% - 强调文字颜色 6 2 2 7 2 2" xfId="19220"/>
    <cellStyle name="常规 5 2 3 7 2" xfId="19221"/>
    <cellStyle name="60% - 强调文字颜色 4 3 6 2" xfId="19222"/>
    <cellStyle name="标题 5 2 3 7" xfId="19223"/>
    <cellStyle name="输入 2 5 5 3 2" xfId="19224"/>
    <cellStyle name="计算 2 2 5 3 2 2 2 2" xfId="19225"/>
    <cellStyle name="输入 2 2 7 2 7" xfId="19226"/>
    <cellStyle name="检查单元格 2 2 2 2 3 3 2" xfId="19227"/>
    <cellStyle name="20% - 强调文字颜色 4 2 4 3 3" xfId="19228"/>
    <cellStyle name="输入 2 6 2 2 5 2 2" xfId="19229"/>
    <cellStyle name="20% - 强调文字颜色 1 2 3 2 2 4 2" xfId="19230"/>
    <cellStyle name="40% - 强调文字颜色 3 2 5 4" xfId="19231"/>
    <cellStyle name="链接单元格 2 3 2 3" xfId="19232"/>
    <cellStyle name="计算 2 2 6 2 2 4 3" xfId="19233"/>
    <cellStyle name="汇总 2 5 2 2 2 3 3" xfId="19234"/>
    <cellStyle name="20% - 强调文字颜色 6 2" xfId="19235"/>
    <cellStyle name="汇总 2 2 4 2 10 3" xfId="19236"/>
    <cellStyle name="输出 2 2 2 2 2 6 2" xfId="19237"/>
    <cellStyle name="警告文本 2 3 3 2 2" xfId="19238"/>
    <cellStyle name="60% - 强调文字颜色 5 2 2 2 2 5 2" xfId="19239"/>
    <cellStyle name="常规 4 3 3 2 2" xfId="19240"/>
    <cellStyle name="输入 2 6 11" xfId="19241"/>
    <cellStyle name="计算 2 3 2 2 3 2 2" xfId="19242"/>
    <cellStyle name="注释 2 2 2 2 2 8" xfId="19243"/>
    <cellStyle name="60% - 强调文字颜色 1 2 2 4 3 3 2" xfId="19244"/>
    <cellStyle name="20% - 强调文字颜色 3 3 2 3 2" xfId="19245"/>
    <cellStyle name="汇总 2 6 2 6" xfId="19246"/>
    <cellStyle name="计算 4 4 4 2" xfId="19247"/>
    <cellStyle name="40% - 强调文字颜色 6 2 2 2 2 3 2 2 2" xfId="19248"/>
    <cellStyle name="40% - 强调文字颜色 5 2 3 2" xfId="19249"/>
    <cellStyle name="适中 2 2 2 4 2 2 2" xfId="19250"/>
    <cellStyle name="警告文本 3 10" xfId="19251"/>
    <cellStyle name="40% - 强调文字颜色 4 2 2 4 5" xfId="19252"/>
    <cellStyle name="汇总 2 4 2 2 2 3 2 2" xfId="19253"/>
    <cellStyle name="60% - 强调文字颜色 5 2 2 2 7 2" xfId="19254"/>
    <cellStyle name="计算 2 2 4 13" xfId="19255"/>
    <cellStyle name="60% - 强调文字颜色 1 2 3 3 2 2 2" xfId="19256"/>
    <cellStyle name="60% - 强调文字颜色 3 2 6 3" xfId="19257"/>
    <cellStyle name="强调文字颜色 3 2 5 2 2" xfId="19258"/>
    <cellStyle name="60% - 强调文字颜色 2 2 3 4 3" xfId="19259"/>
    <cellStyle name="60% - 强调文字颜色 5 2 2 2 6 2 2" xfId="19260"/>
    <cellStyle name="计算 2 2 3 4 2 3 2 2" xfId="19261"/>
    <cellStyle name="20% - 强调文字颜色 4 3 4 2 2" xfId="19262"/>
    <cellStyle name="汇总 2 10 2 4 2" xfId="19263"/>
    <cellStyle name="60% - 强调文字颜色 4 2 2 7 2" xfId="19264"/>
    <cellStyle name="常规 5 2 3 2 3 4 2" xfId="19265"/>
    <cellStyle name="汇总 2 2 4 4" xfId="19266"/>
    <cellStyle name="注释 2 2 4 2 2 2 4" xfId="19267"/>
    <cellStyle name="常规 11 4 2 3 2" xfId="19268"/>
    <cellStyle name="20% - 强调文字颜色 6 2 3 2 4 3" xfId="19269"/>
    <cellStyle name="20% - 强调文字颜色 1 4 4 2 2 2" xfId="19270"/>
    <cellStyle name="强调文字颜色 2 2 2 3 4 2 2 2" xfId="19271"/>
    <cellStyle name="计算 3 3 2 4 3" xfId="19272"/>
    <cellStyle name="超链接 2 9" xfId="19273"/>
    <cellStyle name="计算 2 2 5 2 2 2 8" xfId="19274"/>
    <cellStyle name="20% - 强调文字颜色 3 2 3 4 2 2 2" xfId="19275"/>
    <cellStyle name="40% - 强调文字颜色 6 2 7 2 2 2" xfId="19276"/>
    <cellStyle name="标题 5 3 3 2 2 2 2 2" xfId="19277"/>
    <cellStyle name="20% - 强调文字颜色 4 2 4 2 2" xfId="19278"/>
    <cellStyle name="计算 2 6 2 4 4" xfId="19279"/>
    <cellStyle name="60% - 强调文字颜色 5 2 2 2 6" xfId="19280"/>
    <cellStyle name="输入 2 8 2 4 2" xfId="19281"/>
    <cellStyle name="标题 5 3 2 5 2 2" xfId="19282"/>
    <cellStyle name="计算 2 2 9 4 2 2" xfId="19283"/>
    <cellStyle name="标题 3 5 2 2 2" xfId="19284"/>
    <cellStyle name="输出 2 4 2 2 2 3 2 2" xfId="19285"/>
    <cellStyle name="40% - 强调文字颜色 2 2 3 7 2" xfId="19286"/>
    <cellStyle name="汇总 2 7 4 2 4 2" xfId="19287"/>
    <cellStyle name="汇总 2 6 4 7" xfId="19288"/>
    <cellStyle name="40% - 强调文字颜色 1 2 3 2 4 2" xfId="19289"/>
    <cellStyle name="常规 4 2 4 2 2" xfId="19290"/>
    <cellStyle name="标题 5 2 4 3 3" xfId="19291"/>
    <cellStyle name="40% - 强调文字颜色 5 2 2 2 4 2 2" xfId="19292"/>
    <cellStyle name="标题 4 2 4 4 2 3" xfId="19293"/>
    <cellStyle name="标题 2 2 2 3 3 2" xfId="19294"/>
    <cellStyle name="汇总 2 4 2 4 3 2 2" xfId="19295"/>
    <cellStyle name="强调文字颜色 1 2 2 2 4 3 2" xfId="19296"/>
    <cellStyle name="注释 2 4 7 3" xfId="19297"/>
    <cellStyle name="标题 5 2 5 3" xfId="19298"/>
    <cellStyle name="标题 3 2 3 3 2 2 2 3" xfId="19299"/>
    <cellStyle name="标题 7 2 2" xfId="19300"/>
    <cellStyle name="检查单元格 2 4 4 3 2" xfId="19301"/>
    <cellStyle name="强调文字颜色 5 2 2 4 3 2 2 2" xfId="19302"/>
    <cellStyle name="注释 4 2 3 2 2" xfId="19303"/>
    <cellStyle name="注释 2 3 2 6" xfId="19304"/>
    <cellStyle name="强调文字颜色 1 2 4 5 2 2" xfId="19305"/>
    <cellStyle name="60% - 强调文字颜色 6 3 9" xfId="19306"/>
    <cellStyle name="60% - 强调文字颜色 5 2 4 3 2 2 2" xfId="19307"/>
    <cellStyle name="60% - 强调文字颜色 6 2 4" xfId="19308"/>
    <cellStyle name="计算 2 2 8 2 7" xfId="19309"/>
    <cellStyle name="计算 2 2 4 5 6 2" xfId="19310"/>
    <cellStyle name="40% - 强调文字颜色 6 4 2 3 2 2" xfId="19311"/>
    <cellStyle name="常规 6 3 5 2 2" xfId="19312"/>
    <cellStyle name="60% - 强调文字颜色 5 2 4 6" xfId="19313"/>
    <cellStyle name="60% - 强调文字颜色 3 2 2 8" xfId="19314"/>
    <cellStyle name="计算 2 7 5 2" xfId="19315"/>
    <cellStyle name="输出 2 2 3 4 2 2 2 2" xfId="19316"/>
    <cellStyle name="计算 2 2 3 3 2 3 3" xfId="19317"/>
    <cellStyle name="常规 2 2 3 4 2 2" xfId="19318"/>
    <cellStyle name="汇总 2 2 4 4 9" xfId="19319"/>
    <cellStyle name="强调文字颜色 3 2 2 3 4 3 2" xfId="19320"/>
    <cellStyle name="注释 2 4" xfId="19321"/>
    <cellStyle name="60% - 强调文字颜色 3 2 2 3 2 2 2 2 2" xfId="19322"/>
    <cellStyle name="计算 2 2 4 5 2 2 2 2" xfId="19323"/>
    <cellStyle name="强调文字颜色 2 2 3 6 2" xfId="19324"/>
    <cellStyle name="强调文字颜色 3 2 2 5 3" xfId="19325"/>
    <cellStyle name="标题 2 4 2 4 2" xfId="19326"/>
    <cellStyle name="40% - 强调文字颜色 5 2 4" xfId="19327"/>
    <cellStyle name="适中 2 2 2 4 2 3" xfId="19328"/>
    <cellStyle name="注释 2 2 3 2 2 6 2" xfId="19329"/>
    <cellStyle name="注释 2 2 4 2 2 2 2 3" xfId="19330"/>
    <cellStyle name="常规 9 3 2 2 3 2" xfId="19331"/>
    <cellStyle name="60% - 强调文字颜色 1 2 2 2 2 3" xfId="19332"/>
    <cellStyle name="强调文字颜色 5 2 2 3 4 2 2 2" xfId="19333"/>
    <cellStyle name="40% - 强调文字颜色 3 3 3 2 2 2" xfId="19334"/>
    <cellStyle name="60% - 强调文字颜色 4 2 7" xfId="19335"/>
    <cellStyle name="汇总 2 2 4 2 2 6 2" xfId="19336"/>
    <cellStyle name="20% - 强调文字颜色 6 2 2 3 2 2" xfId="19337"/>
    <cellStyle name="汇总 2 2 5 5 2 2 2" xfId="19338"/>
    <cellStyle name="40% - 强调文字颜色 1 2 3 2 5" xfId="19339"/>
    <cellStyle name="输出 2 2 2 7 2" xfId="19340"/>
    <cellStyle name="40% - 强调文字颜色 2 2 2 2 2 2 3 3" xfId="19341"/>
    <cellStyle name="20% - 强调文字颜色 3 2 2 2 2 2" xfId="19342"/>
    <cellStyle name="60% - 强调文字颜色 1 2 2 3 3 2 2 2" xfId="19343"/>
    <cellStyle name="计算 2 2 4 5 2 5 2" xfId="19344"/>
    <cellStyle name="常规 2 2 2 2 3 3" xfId="19345"/>
    <cellStyle name="60% - 强调文字颜色 6 2 2 3 4 2 2" xfId="19346"/>
    <cellStyle name="汇总 2 2 4 2 4 2 2 2" xfId="19347"/>
    <cellStyle name="标题 3 2 2 3 4" xfId="19348"/>
    <cellStyle name="差 3 2 6" xfId="19349"/>
    <cellStyle name="汇总 2 5 2 4 3 3" xfId="19350"/>
    <cellStyle name="链接单元格 4 4 2" xfId="19351"/>
    <cellStyle name="输出 2 2 7 2 3" xfId="19352"/>
    <cellStyle name="注释 2 6 2 3 2 2" xfId="19353"/>
    <cellStyle name="输入 2 2 4 2 2 3 2 2 2" xfId="19354"/>
    <cellStyle name="输出 2 2 3 9" xfId="19355"/>
    <cellStyle name="汇总 2 2 5 3 2 3 2" xfId="19356"/>
    <cellStyle name="常规 5 2 6 3" xfId="19357"/>
    <cellStyle name="40% - 强调文字颜色 6 2 2 2 2 4 3 2 2" xfId="19358"/>
    <cellStyle name="强调文字颜色 2 2 2 3 5 3" xfId="19359"/>
    <cellStyle name="汇总 2 2 2 2 6 2" xfId="19360"/>
    <cellStyle name="20% - 强调文字颜色 3 2 2 9" xfId="19361"/>
    <cellStyle name="汇总 2 2 3 2 4 3 2" xfId="19362"/>
    <cellStyle name="60% - 强调文字颜色 6 4 4 2 3" xfId="19363"/>
    <cellStyle name="标题 1 3 2 2 5" xfId="19364"/>
    <cellStyle name="汇总 2 2 2 5 3 2 2" xfId="19365"/>
    <cellStyle name="60% - 强调文字颜色 5 2 2 3 4 2" xfId="19366"/>
    <cellStyle name="计算 2 6 2 5 2 2" xfId="19367"/>
    <cellStyle name="适中 2 2 3 4 2 3" xfId="19368"/>
    <cellStyle name="汇总 2 6 3 3 4" xfId="19369"/>
    <cellStyle name="输出 2 8 5 3" xfId="19370"/>
    <cellStyle name="40% - 强调文字颜色 2 5 2 2 2 2" xfId="19371"/>
    <cellStyle name="20% - 强调文字颜色 3 2 2 7 2" xfId="19372"/>
    <cellStyle name="标题 1 3 2 2 3 2" xfId="19373"/>
    <cellStyle name="40% - 强调文字颜色 1 3 10" xfId="19374"/>
    <cellStyle name="常规 10 5 4 2 2" xfId="19375"/>
    <cellStyle name="注释 2 2 7 2 7" xfId="19376"/>
    <cellStyle name="汇总 2 5 2 4 3" xfId="19377"/>
    <cellStyle name="计算 2 2 4 4 3 2 3" xfId="19378"/>
    <cellStyle name="计算 2 5 2 3 8" xfId="19379"/>
    <cellStyle name="60% - 强调文字颜色 2 2 3 3 2 2" xfId="19380"/>
    <cellStyle name="计算 2 2 4 2 6 3 2 2" xfId="19381"/>
    <cellStyle name="60% - 强调文字颜色 3 2 5 2 2" xfId="19382"/>
    <cellStyle name="计算 2 5 3 5" xfId="19383"/>
    <cellStyle name="标题 3 2 2 11" xfId="19384"/>
    <cellStyle name="常规 5 3 3 2 3 2 2" xfId="19385"/>
    <cellStyle name="计算 2 6 3 4 3" xfId="19386"/>
    <cellStyle name="计算 2 7 2 2 9" xfId="19387"/>
    <cellStyle name="60% - 强调文字颜色 5 2 3 2 5" xfId="19388"/>
    <cellStyle name="警告文本 2 4 4 3 2" xfId="19389"/>
    <cellStyle name="20% - 强调文字颜色 6 2 2 4 5 2 2" xfId="19390"/>
    <cellStyle name="20% - 强调文字颜色 3 3 2 2 3 2" xfId="19391"/>
    <cellStyle name="常规 11 2 2 2 2" xfId="19392"/>
    <cellStyle name="汇总 2 6 2 2 3 5" xfId="19393"/>
    <cellStyle name="汇总 2 5 9 2 2" xfId="19394"/>
    <cellStyle name="强调文字颜色 1 2 2 2 2 4" xfId="19395"/>
    <cellStyle name="20% - 强调文字颜色 2 3 2 2" xfId="19396"/>
    <cellStyle name="强调文字颜色 2 2 3 2 2 2" xfId="19397"/>
    <cellStyle name="计算 2 8 3 8" xfId="19398"/>
    <cellStyle name="40% - 强调文字颜色 4 2 2 2 2 2 3" xfId="19399"/>
    <cellStyle name="计算 2 4 4 3 2 2" xfId="19400"/>
    <cellStyle name="汇总 2 2 4 6" xfId="19401"/>
    <cellStyle name="输入 2 4 2 5 3" xfId="19402"/>
    <cellStyle name="注释 3 2 2 2 2" xfId="19403"/>
    <cellStyle name="注释 2 4 8 2" xfId="19404"/>
    <cellStyle name="60% - 强调文字颜色 1 4 4 2 2" xfId="19405"/>
    <cellStyle name="20% - 强调文字颜色 2 2 2 2 2 3 2" xfId="19406"/>
    <cellStyle name="输入 2 2 7 6" xfId="19407"/>
    <cellStyle name="20% - 强调文字颜色 2 2 2 2 2 2 2 2 2 2" xfId="19408"/>
    <cellStyle name="常规 5 2 3 4 5" xfId="19409"/>
    <cellStyle name="强调文字颜色 4 2 2 8" xfId="19410"/>
    <cellStyle name="标题 4 2 6 2 2 2" xfId="19411"/>
    <cellStyle name="20% - 强调文字颜色 1 2 5 2 2" xfId="19412"/>
    <cellStyle name="好 2 2 2 3 2 2 3" xfId="19413"/>
    <cellStyle name="标题 1 3 5 2" xfId="19414"/>
    <cellStyle name="强调文字颜色 4 2 2 4 3 2" xfId="19415"/>
    <cellStyle name="适中 2 3 4 3 2" xfId="19416"/>
    <cellStyle name="汇总 2 2 11 3 2" xfId="19417"/>
    <cellStyle name="20% - 强调文字颜色 3 2 3 3 3" xfId="19418"/>
    <cellStyle name="60% - 强调文字颜色 1 2 7 2" xfId="19419"/>
    <cellStyle name="汇总 2 10 3 3 3" xfId="19420"/>
    <cellStyle name="40% - 强调文字颜色 5 4 2 4 2" xfId="19421"/>
    <cellStyle name="汇总 2 5 2 2 2 2 4" xfId="19422"/>
    <cellStyle name="强调文字颜色 2 2 6 2" xfId="19423"/>
    <cellStyle name="20% - 强调文字颜色 5 3" xfId="19424"/>
    <cellStyle name="计算 2 2 8 2 2 3 2 2" xfId="19425"/>
    <cellStyle name="汇总 2 2 5 2 7 3" xfId="19426"/>
    <cellStyle name="40% - 强调文字颜色 3 2 2 2 3 4" xfId="19427"/>
    <cellStyle name="计算 2 6 2 3 2 3" xfId="19428"/>
    <cellStyle name="40% - 强调文字颜色 2 2 3 2" xfId="19429"/>
    <cellStyle name="检查单元格 3 10" xfId="19430"/>
    <cellStyle name="计算 2 2 3 4 2 2 3" xfId="19431"/>
    <cellStyle name="20% - 强调文字颜色 4 3 3 3" xfId="19432"/>
    <cellStyle name="汇总 2 5 2 2 5 2 2" xfId="19433"/>
    <cellStyle name="60% - 强调文字颜色 4 2 2 3 2" xfId="19434"/>
    <cellStyle name="标题 3 2 3 2 4 2 2 2" xfId="19435"/>
    <cellStyle name="计算 2 4 4 9" xfId="19436"/>
    <cellStyle name="输入 2 4 3 2 2" xfId="19437"/>
    <cellStyle name="20% - 强调文字颜色 1 2 2 2 2 5 2 2 2" xfId="19438"/>
    <cellStyle name="输入 2 7 13" xfId="19439"/>
    <cellStyle name="常规 6 3 2 2 3 3 2" xfId="19440"/>
    <cellStyle name="60% - 强调文字颜色 5 4 4 2" xfId="19441"/>
    <cellStyle name="常规 5 2 2 3 3" xfId="19442"/>
    <cellStyle name="标题 3 2 3 2 4 2 2" xfId="19443"/>
    <cellStyle name="输出 2 2 3 2 4 2 5" xfId="19444"/>
    <cellStyle name="汇总 2 2 6 3 2 2 2 2" xfId="19445"/>
    <cellStyle name="40% - 强调文字颜色 6 2 3 2 3 2 2 2 2" xfId="19446"/>
    <cellStyle name="汇总 2 5 2 4 4 3" xfId="19447"/>
    <cellStyle name="标题 3 2 2 4 4" xfId="19448"/>
    <cellStyle name="汇总 2 5 2 4" xfId="19449"/>
    <cellStyle name="60% - 强调文字颜色 4 3 2 2 4 2" xfId="19450"/>
    <cellStyle name="60% - 强调文字颜色 6 2 6 3" xfId="19451"/>
    <cellStyle name="40% - 强调文字颜色 6 5 2 2" xfId="19452"/>
    <cellStyle name="常规 7 3 4" xfId="19453"/>
    <cellStyle name="60% - 强调文字颜色 4 3 2 2 3" xfId="19454"/>
    <cellStyle name="差 2 4 4 3" xfId="19455"/>
    <cellStyle name="汇总 2 5 4 2 8" xfId="19456"/>
    <cellStyle name="差 4 2 3 2 2" xfId="19457"/>
    <cellStyle name="检查单元格 2 2 3 6 2 2" xfId="19458"/>
    <cellStyle name="强调文字颜色 1 2 2 4 5 2 2" xfId="19459"/>
    <cellStyle name="20% - 强调文字颜色 2 2 2 3 3 3" xfId="19460"/>
    <cellStyle name="汇总 2 3 2 2 2" xfId="19461"/>
    <cellStyle name="计算 4 2 2 3 2" xfId="19462"/>
    <cellStyle name="60% - 强调文字颜色 4 2 7 2 2" xfId="19463"/>
    <cellStyle name="超链接 2 5 3 2 2 2" xfId="19464"/>
    <cellStyle name="标题 4 2 6 2 2" xfId="19465"/>
    <cellStyle name="20% - 强调文字颜色 1 2 5 2" xfId="19466"/>
    <cellStyle name="40% - 强调文字颜色 4 2 3 3 2 2 2" xfId="19467"/>
    <cellStyle name="输入 2 6 2 2" xfId="19468"/>
    <cellStyle name="注释 2 2 4" xfId="19469"/>
    <cellStyle name="常规 4 2 2 2 4 2" xfId="19470"/>
    <cellStyle name="计算 2 9 2 3" xfId="19471"/>
    <cellStyle name="检查单元格 2 2 3 3 2 3" xfId="19472"/>
    <cellStyle name="60% - 强调文字颜色 4 3 2 4 2 2 2" xfId="19473"/>
    <cellStyle name="60% - 强调文字颜色 6 2 4 4" xfId="19474"/>
    <cellStyle name="计算 2 3 11 2" xfId="19475"/>
    <cellStyle name="差 2 4 4 2 3" xfId="19476"/>
    <cellStyle name="汇总 2 4 2 2 6 3" xfId="19477"/>
    <cellStyle name="标题 3 2 2 2 4 3 3" xfId="19478"/>
    <cellStyle name="输入 2 2 6 5 3" xfId="19479"/>
    <cellStyle name="计算 2 5 4 7" xfId="19480"/>
    <cellStyle name="计算 2 5 4 3 2" xfId="19481"/>
    <cellStyle name="计算 2 2 7 8 3" xfId="19482"/>
    <cellStyle name="60% - 强调文字颜色 2 4 2 3 2" xfId="19483"/>
    <cellStyle name="常规 3 3 2 2 4 2 2 2" xfId="19484"/>
    <cellStyle name="20% - 强调文字颜色 1 2 2 2 2 3 3" xfId="19485"/>
    <cellStyle name="常规 10 3 2 3 4" xfId="19486"/>
    <cellStyle name="40% - 强调文字颜色 6 2 3 4 3" xfId="19487"/>
    <cellStyle name="输入 2 2 4 3 3" xfId="19488"/>
    <cellStyle name="常规 9 3 2 2 2 2 2" xfId="19489"/>
    <cellStyle name="计算 2 3 2 7" xfId="19490"/>
    <cellStyle name="标题 3 2 2 2 2 2 2 2 2 3" xfId="19491"/>
    <cellStyle name="汇总 2 7 5 5" xfId="19492"/>
    <cellStyle name="计算 2 5 5 2 3 2 2" xfId="19493"/>
    <cellStyle name="汇总 2 2 7 6 2 2" xfId="19494"/>
    <cellStyle name="60% - 强调文字颜色 4 2 2 3 3 2 2" xfId="19495"/>
    <cellStyle name="注释 2 2 4 5 2 2" xfId="19496"/>
    <cellStyle name="60% - 强调文字颜色 5 2 2 3 3 3" xfId="19497"/>
    <cellStyle name="20% - 强调文字颜色 1 3 4 2" xfId="19498"/>
    <cellStyle name="强调文字颜色 2 2 2 2 4 2" xfId="19499"/>
    <cellStyle name="输入 2 2 6 11" xfId="19500"/>
    <cellStyle name="链接单元格 2 2 3 2 2 2" xfId="19501"/>
    <cellStyle name="标题 1 2 2 2 3 2 2 2 2 2" xfId="19502"/>
    <cellStyle name="输出 2 3 7 2" xfId="19503"/>
    <cellStyle name="计算 2 2 2 2 4 3 2 2" xfId="19504"/>
    <cellStyle name="常规 2 2 5 2" xfId="19505"/>
    <cellStyle name="计算 2 4 2 3 4" xfId="19506"/>
    <cellStyle name="输出 2 2 6 4 4" xfId="19507"/>
    <cellStyle name="输入 2 2 4 12" xfId="19508"/>
    <cellStyle name="60% - 强调文字颜色 3 2 4 7" xfId="19509"/>
    <cellStyle name="常规 3 2 2 3 2 2" xfId="19510"/>
    <cellStyle name="计算 2 2 2 3 4 2" xfId="19511"/>
    <cellStyle name="计算 2 2 5 4 5" xfId="19512"/>
    <cellStyle name="60% - 强调文字颜色 3 4 2" xfId="19513"/>
    <cellStyle name="40% - 强调文字颜色 2 2 10" xfId="19514"/>
    <cellStyle name="60% - 强调文字颜色 6 2 3 5 3" xfId="19515"/>
    <cellStyle name="汇总 2 15 2" xfId="19516"/>
    <cellStyle name="20% - 强调文字颜色 6 2 2 2 2 3 2 2 2" xfId="19517"/>
    <cellStyle name="输入 2 2 4 3 9" xfId="19518"/>
    <cellStyle name="检查单元格 3 3 2" xfId="19519"/>
    <cellStyle name="20% - 强调文字颜色 2 2 3 5 2 2" xfId="19520"/>
    <cellStyle name="计算 2 7 2 3 2" xfId="19521"/>
    <cellStyle name="汇总 2 2 3 2 5" xfId="19522"/>
    <cellStyle name="汇总 2 10 4 2" xfId="19523"/>
    <cellStyle name="汇总 2 6 2 2 3 2 2 2" xfId="19524"/>
    <cellStyle name="60% - 强调文字颜色 4 2 4 5" xfId="19525"/>
    <cellStyle name="差 2 2 4 2 4" xfId="19526"/>
    <cellStyle name="注释 2 3 2 2 4 2 2" xfId="19527"/>
    <cellStyle name="60% - 强调文字颜色 1 2 4 5 2" xfId="19528"/>
    <cellStyle name="解释性文本 5 2 2" xfId="19529"/>
    <cellStyle name="汇总 2 2 2 2 4 3 2" xfId="19530"/>
    <cellStyle name="20% - 强调文字颜色 4 2 2 2 2 2 4 2 2" xfId="19531"/>
    <cellStyle name="汇总 2 3 3 2 4 3" xfId="19532"/>
    <cellStyle name="差 2 4 2 2 3" xfId="19533"/>
    <cellStyle name="计算 3 8 2" xfId="19534"/>
    <cellStyle name="输出 5 2 3" xfId="19535"/>
    <cellStyle name="计算 3 4 4 2 2" xfId="19536"/>
    <cellStyle name="40% - 强调文字颜色 6 2 2 2 2 2 2 2 2 2" xfId="19537"/>
    <cellStyle name="注释 2 2 3 4 3 2" xfId="19538"/>
    <cellStyle name="40% - 强调文字颜色 3 2 3 3 2 2" xfId="19539"/>
    <cellStyle name="40% - 强调文字颜色 6 2 6 3" xfId="19540"/>
    <cellStyle name="注释 2 2 3 2 2 2 4" xfId="19541"/>
    <cellStyle name="40% - 强调文字颜色 6 2 3 4 2 2 2" xfId="19542"/>
    <cellStyle name="常规 10 3 2 3 3 2 2" xfId="19543"/>
    <cellStyle name="汇总 2 2 7 7 2 2" xfId="19544"/>
    <cellStyle name="汇总 2 2 2 3 4 2 2" xfId="19545"/>
    <cellStyle name="汇总 2 3 4 2 3 3" xfId="19546"/>
    <cellStyle name="20% - 强调文字颜色 5 3 2 4" xfId="19547"/>
    <cellStyle name="标题 4 2 2 2 4 2 2 2" xfId="19548"/>
    <cellStyle name="输出 2 9 2 4" xfId="19549"/>
    <cellStyle name="计算 2 2 4 4 2" xfId="19550"/>
    <cellStyle name="60% - 强调文字颜色 3 3 2 2 3 2 2" xfId="19551"/>
    <cellStyle name="常规 3 5 2" xfId="19552"/>
    <cellStyle name="标题 3 2 2 2 3 2 2" xfId="19553"/>
    <cellStyle name="汇总 2 5 2 4 2 2 2 2" xfId="19554"/>
    <cellStyle name="输入 2 2 5 4 2" xfId="19555"/>
    <cellStyle name="输出 2 2 7 7" xfId="19556"/>
    <cellStyle name="计算 2 4 3 6" xfId="19557"/>
    <cellStyle name="60% - 强调文字颜色 2 2 3 2 2 3" xfId="19558"/>
    <cellStyle name="计算 2 2 6 4 2 3 2 2" xfId="19559"/>
    <cellStyle name="汇总 2 2 7 2 2 3" xfId="19560"/>
    <cellStyle name="输入 2 4 7 3" xfId="19561"/>
    <cellStyle name="强调文字颜色 5 2 3 2 2 4" xfId="19562"/>
    <cellStyle name="强调文字颜色 2 2 2 2 2 5 3" xfId="19563"/>
    <cellStyle name="检查单元格 2 2 2 6 2" xfId="19564"/>
    <cellStyle name="计算 2 2 4 2 8 3" xfId="19565"/>
    <cellStyle name="60% - 强调文字颜色 3 4 5" xfId="19566"/>
    <cellStyle name="计算 2 2 5 4 8" xfId="19567"/>
    <cellStyle name="60% - 强调文字颜色 2 2 5 3" xfId="19568"/>
    <cellStyle name="计算 2 2 2 2 2 5 3" xfId="19569"/>
    <cellStyle name="链接单元格 2 2 5 3" xfId="19570"/>
    <cellStyle name="计算 2 5 2 2 2 2 3" xfId="19571"/>
    <cellStyle name="强调文字颜色 4 2 3 2 2 2 2" xfId="19572"/>
    <cellStyle name="常规 5 2 5 4 2" xfId="19573"/>
    <cellStyle name="强调文字颜色 5 3 10" xfId="19574"/>
    <cellStyle name="常规 6 3 2 2 5 2" xfId="19575"/>
    <cellStyle name="输出 2 2 3 2 8 2" xfId="19576"/>
    <cellStyle name="20% - 强调文字颜色 6 2 3 2 3" xfId="19577"/>
    <cellStyle name="检查单元格 2 2 4 2 2 2 2" xfId="19578"/>
    <cellStyle name="汇总 2 2 10 2 7" xfId="19579"/>
    <cellStyle name="常规 5 2 3 4 5 2" xfId="19580"/>
    <cellStyle name="计算 2 3 2 3 3" xfId="19581"/>
    <cellStyle name="60% - 强调文字颜色 4 2" xfId="19582"/>
    <cellStyle name="适中 2 6 2 2" xfId="19583"/>
    <cellStyle name="60% - 强调文字颜色 4 2 3 3 2 2 2 2" xfId="19584"/>
    <cellStyle name="输入 5 5" xfId="19585"/>
    <cellStyle name="输入 2 2 2 5 2 2" xfId="19586"/>
    <cellStyle name="40% - 强调文字颜色 5 4 2 2 2 2" xfId="19587"/>
    <cellStyle name="注释 2 2 6 2 3 3" xfId="19588"/>
    <cellStyle name="标题 2 2 2 3 3 4" xfId="19589"/>
    <cellStyle name="计算 2 6 10 2" xfId="19590"/>
    <cellStyle name="强调文字颜色 2 2 3 2 2 2 2 2" xfId="19591"/>
    <cellStyle name="60% - 强调文字颜色 5 4 2 4 2" xfId="19592"/>
    <cellStyle name="20% - 强调文字颜色 2 3 2 2 2 2" xfId="19593"/>
    <cellStyle name="强调文字颜色 2 2 2 4 6" xfId="19594"/>
    <cellStyle name="汇总 4 2 2 4 3" xfId="19595"/>
    <cellStyle name="汇总 4 2" xfId="19596"/>
    <cellStyle name="常规 12 4 2 3" xfId="19597"/>
    <cellStyle name="输入 4 4 2 2" xfId="19598"/>
    <cellStyle name="强调文字颜色 6 2 2 5 4" xfId="19599"/>
    <cellStyle name="60% - 强调文字颜色 3 3 2 5 2" xfId="19600"/>
    <cellStyle name="汇总 2 2 4 3 2 5 2 2" xfId="19601"/>
    <cellStyle name="百分比 2 2 5 2 2 2" xfId="19602"/>
    <cellStyle name="20% - 强调文字颜色 1 2 5 3 3" xfId="19603"/>
    <cellStyle name="40% - 强调文字颜色 5 2 2 4 2 3 2" xfId="19604"/>
    <cellStyle name="20% - 强调文字颜色 1 3 2 2 2 2 2 2" xfId="19605"/>
    <cellStyle name="20% - 强调文字颜色 4 3 2 2 3 2" xfId="19606"/>
    <cellStyle name="强调文字颜色 2 2 2 2 2 2 2 2 2 2" xfId="19607"/>
    <cellStyle name="汇总 2 6 2 2 5" xfId="19608"/>
    <cellStyle name="输入 2 3 4 2" xfId="19609"/>
    <cellStyle name="汇总 2 7 3 4" xfId="19610"/>
    <cellStyle name="40% - 强调文字颜色 6 2 2 3 6" xfId="19611"/>
    <cellStyle name="汇总 2 2 7 4 3 3" xfId="19612"/>
    <cellStyle name="汇总 2 7 4 4 2" xfId="19613"/>
    <cellStyle name="40% - 强调文字颜色 2 2 5 5" xfId="19614"/>
    <cellStyle name="计算 2 2 8 3 3" xfId="19615"/>
    <cellStyle name="输入 2 2 2 4 4" xfId="19616"/>
    <cellStyle name="20% - 强调文字颜色 1 2 4 2" xfId="19617"/>
    <cellStyle name="强调文字颜色 6 2 4 6" xfId="19618"/>
    <cellStyle name="百分比 2 3 2" xfId="19619"/>
    <cellStyle name="汇总 2 9 4" xfId="19620"/>
    <cellStyle name="20% - 强调文字颜色 4 2 2" xfId="19621"/>
    <cellStyle name="60% - 强调文字颜色 1 2 3 3 3" xfId="19622"/>
    <cellStyle name="计算 2 2 6 2 2 2 3 2" xfId="19623"/>
    <cellStyle name="注释 2 2 3 2 5 2 2" xfId="19624"/>
    <cellStyle name="常规 6 3 2 2 3" xfId="19625"/>
    <cellStyle name="注释 2 2 2 2 3" xfId="19626"/>
    <cellStyle name="注释 4 7" xfId="19627"/>
    <cellStyle name="40% - 强调文字颜色 3 2 3 2 3 2 2 2" xfId="19628"/>
    <cellStyle name="警告文本 2 2 2 2 5 2" xfId="19629"/>
    <cellStyle name="20% - 强调文字颜色 1 2 3 4" xfId="19630"/>
    <cellStyle name="60% - 强调文字颜色 2 3 10" xfId="19631"/>
    <cellStyle name="强调文字颜色 1 5 2 2" xfId="19632"/>
    <cellStyle name="常规 9 2 2 2 3 3 2" xfId="19633"/>
    <cellStyle name="60% - 强调文字颜色 1 2 3 2 2 4" xfId="19634"/>
    <cellStyle name="计算 2 2 5 2 3 5 2" xfId="19635"/>
    <cellStyle name="标题 1 2 3" xfId="19636"/>
    <cellStyle name="20% - 强调文字颜色 5 2 2 3 2 2 2 2 2" xfId="19637"/>
    <cellStyle name="常规 5 4 3 4 3" xfId="19638"/>
    <cellStyle name="标题 1 3 2 2 2 2" xfId="19639"/>
    <cellStyle name="常规 5 2 2 4 2 3 2" xfId="19640"/>
    <cellStyle name="常规 7 2 2 5 2 2" xfId="19641"/>
    <cellStyle name="输入 2 3 4 6" xfId="19642"/>
    <cellStyle name="强调文字颜色 4 3 5 2" xfId="19643"/>
    <cellStyle name="汇总 2 6 2 2 9" xfId="19644"/>
    <cellStyle name="60% - 强调文字颜色 1 2 3 2 2" xfId="19645"/>
    <cellStyle name="计算 2 2 3 2 6 2 2" xfId="19646"/>
    <cellStyle name="60% - 强调文字颜色 4 2 3 2 3 2" xfId="19647"/>
    <cellStyle name="标题 3 2 3 2 2 2 2 2" xfId="19648"/>
    <cellStyle name="60% - 强调文字颜色 3 2 3 3 5" xfId="19649"/>
    <cellStyle name="标题 3 2 2 2 2 3 4" xfId="19650"/>
    <cellStyle name="输入 2 2 4 5 4" xfId="19651"/>
    <cellStyle name="计算 2 3 4 8" xfId="19652"/>
    <cellStyle name="汇总 7 2 2" xfId="19653"/>
    <cellStyle name="40% - 强调文字颜色 4 2 2 2 2 2 3 3 2" xfId="19654"/>
    <cellStyle name="输出 2 8 3" xfId="19655"/>
    <cellStyle name="40% - 强调文字颜色 5 2 8 2 2" xfId="19656"/>
    <cellStyle name="注释 2 6 3 2 2 2" xfId="19657"/>
    <cellStyle name="40% - 强调文字颜色 1 2 2 2 2 2 2 3" xfId="19658"/>
    <cellStyle name="标题 2 3 3 2 2 2 2" xfId="19659"/>
    <cellStyle name="60% - 强调文字颜色 5 2 3 6 2 2" xfId="19660"/>
    <cellStyle name="注释 2 6 7" xfId="19661"/>
    <cellStyle name="汇总 2 2 6 5 6" xfId="19662"/>
    <cellStyle name="强调文字颜色 6 2 2 2 2 5 3" xfId="19663"/>
    <cellStyle name="汇总 2 6 2 2 2 7" xfId="19664"/>
    <cellStyle name="常规 12 3 2 3" xfId="19665"/>
    <cellStyle name="20% - 强调文字颜色 4 2 2 4 3 2" xfId="19666"/>
    <cellStyle name="强调文字颜色 3 2 2 3 5 3" xfId="19667"/>
    <cellStyle name="汇总 2 4 2 4 2 2" xfId="19668"/>
    <cellStyle name="标题 2 2 2 2 3" xfId="19669"/>
    <cellStyle name="20% - 强调文字颜色 1 2 3 4 2" xfId="19670"/>
    <cellStyle name="链接单元格 2 4 3 2 3" xfId="19671"/>
    <cellStyle name="注释 2 2 2 2 3 2" xfId="19672"/>
    <cellStyle name="注释 4 7 2" xfId="19673"/>
    <cellStyle name="百分比 2 2 3 2 2 2 3" xfId="19674"/>
    <cellStyle name="汇总 2 2 6 7 2" xfId="19675"/>
    <cellStyle name="60% - 强调文字颜色 2 3 3 3" xfId="19676"/>
    <cellStyle name="计算 2 2 6 2 8" xfId="19677"/>
    <cellStyle name="60% - 强调文字颜色 4 2 5" xfId="19678"/>
    <cellStyle name="常规 3 3 2 2 3 3 2" xfId="19679"/>
    <cellStyle name="常规 3 3 7 5" xfId="19680"/>
    <cellStyle name="常规 10 2 4 4 3" xfId="19681"/>
    <cellStyle name="20% - 强调文字颜色 2 2 2 2 5" xfId="19682"/>
    <cellStyle name="60% - 强调文字颜色 5 4 4 2 2" xfId="19683"/>
    <cellStyle name="输入 2 2 3 2 3 3" xfId="19684"/>
    <cellStyle name="输入 2 10" xfId="19685"/>
    <cellStyle name="常规 5 2 2 3 3 2" xfId="19686"/>
    <cellStyle name="常规 7 2 4" xfId="19687"/>
    <cellStyle name="超链接 3 2 3 3 2 3" xfId="19688"/>
    <cellStyle name="汇总 2 6 2 2 3 3 2" xfId="19689"/>
    <cellStyle name="汇总 2 11 4" xfId="19690"/>
    <cellStyle name="计算 2 2 5 9 3" xfId="19691"/>
    <cellStyle name="标题 2 6 2 3" xfId="19692"/>
    <cellStyle name="汇总 2 2 5 2 4 3" xfId="19693"/>
    <cellStyle name="60% - 强调文字颜色 4 2 4 4 2" xfId="19694"/>
    <cellStyle name="差 2 2 4 2 3 2" xfId="19695"/>
    <cellStyle name="汇总 2 6 3 2 3 3" xfId="19696"/>
    <cellStyle name="计算 4 5" xfId="19697"/>
    <cellStyle name="常规 8 3 3 3" xfId="19698"/>
    <cellStyle name="输出 2 3 3 2 2" xfId="19699"/>
    <cellStyle name="40% - 强调文字颜色 2 2 2 2 2 4 2 2" xfId="19700"/>
    <cellStyle name="计算 2 2 5 2 3 3" xfId="19701"/>
    <cellStyle name="注释 2 2 3 4 2 5" xfId="19702"/>
    <cellStyle name="注释 4 5 3" xfId="19703"/>
    <cellStyle name="20% - 强调文字颜色 5 2 2 4 4 2 2" xfId="19704"/>
    <cellStyle name="标题 2 5 2 2" xfId="19705"/>
    <cellStyle name="解释性文本 2 3 5 2 3" xfId="19706"/>
    <cellStyle name="输入 2 4 2 2 4" xfId="19707"/>
    <cellStyle name="40% - 强调文字颜色 4 2 2 3 5 2" xfId="19708"/>
    <cellStyle name="40% - 强调文字颜色 5 2 2 2 2" xfId="19709"/>
    <cellStyle name="注释 2 2 3 7" xfId="19710"/>
    <cellStyle name="注释 2 2 4 2 4" xfId="19711"/>
    <cellStyle name="40% - 强调文字颜色 2 2 5 4 2" xfId="19712"/>
    <cellStyle name="注释 2 6 6 3" xfId="19713"/>
    <cellStyle name="常规 13 4 3 4 2" xfId="19714"/>
    <cellStyle name="注释 2 2 2 2 5 3" xfId="19715"/>
    <cellStyle name="超链接 3 2 4 2 2 2" xfId="19716"/>
    <cellStyle name="60% - 强调文字颜色 5 2 2 2 3 2 2 2" xfId="19717"/>
    <cellStyle name="计算 2 4 3 4" xfId="19718"/>
    <cellStyle name="输出 2 2 7 5" xfId="19719"/>
    <cellStyle name="超链接 3 3 9" xfId="19720"/>
    <cellStyle name="汇总 2 2 3 10 2" xfId="19721"/>
    <cellStyle name="60% - 强调文字颜色 1 2 3 2 3" xfId="19722"/>
    <cellStyle name="计算 2 2 6 2 2 2 2 2" xfId="19723"/>
    <cellStyle name="60% - 强调文字颜色 4 2 3 2 3 3" xfId="19724"/>
    <cellStyle name="标题 3 2 3 2 2 2 2 3" xfId="19725"/>
    <cellStyle name="输入 2 3 4 7" xfId="19726"/>
    <cellStyle name="输入 2 5 2 3 4 2 2" xfId="19727"/>
    <cellStyle name="20% - 强调文字颜色 1 2 2 2 3 3 2" xfId="19728"/>
    <cellStyle name="20% - 强调文字颜色 3 2 5 2 3" xfId="19729"/>
    <cellStyle name="40% - 强调文字颜色 5 2 4 4 2 2 2" xfId="19730"/>
    <cellStyle name="20% - 强调文字颜色 3 2 2 5" xfId="19731"/>
    <cellStyle name="60% - 强调文字颜色 4 2 2 8" xfId="19732"/>
    <cellStyle name="计算 2 2 3 4 2 3 3" xfId="19733"/>
    <cellStyle name="常规 4 3 3 2 3 2 2" xfId="19734"/>
    <cellStyle name="汇总 2 10 2 5" xfId="19735"/>
    <cellStyle name="汇总 2 3 2 2 2 6" xfId="19736"/>
    <cellStyle name="40% - 强调文字颜色 4 2 2 3 4 3 2" xfId="19737"/>
    <cellStyle name="计算 2 6 2 2 4 2" xfId="19738"/>
    <cellStyle name="20% - 强调文字颜色 5 2 7 3 2 2" xfId="19739"/>
    <cellStyle name="常规 6 4 5 2 2" xfId="19740"/>
    <cellStyle name="40% - 强调文字颜色 6 2 3 2 3 2 2 2" xfId="19741"/>
    <cellStyle name="标题 2 2 4 3 2 3" xfId="19742"/>
    <cellStyle name="计算 2 4 2 2 5" xfId="19743"/>
    <cellStyle name="输出 2 2 6 3 5" xfId="19744"/>
    <cellStyle name="20% - 强调文字颜色 5 2 9 2" xfId="19745"/>
    <cellStyle name="常规 4 3 10" xfId="19746"/>
    <cellStyle name="输入 2 5 2 3 5 2" xfId="19747"/>
    <cellStyle name="20% - 强调文字颜色 1 2 2 2 4 3" xfId="19748"/>
    <cellStyle name="20% - 强调文字颜色 1 2 2 9" xfId="19749"/>
    <cellStyle name="60% - 强调文字颜色 2 6 2" xfId="19750"/>
    <cellStyle name="汇总 2 5 2 5 3 2 2" xfId="19751"/>
    <cellStyle name="标题 3 2 3 3 3 2" xfId="19752"/>
    <cellStyle name="检查单元格 2 2 2 5 2" xfId="19753"/>
    <cellStyle name="强调文字颜色 2 2 2 2 2 4 3" xfId="19754"/>
    <cellStyle name="60% - 强调文字颜色 4 4 4 2" xfId="19755"/>
    <cellStyle name="60% - 强调文字颜色 2 3 5 2 2" xfId="19756"/>
    <cellStyle name="标题 3 2 2 7 2" xfId="19757"/>
    <cellStyle name="输出 3 15" xfId="19758"/>
    <cellStyle name="输入 2 8 6 2" xfId="19759"/>
    <cellStyle name="输入 2 4 2 2 8" xfId="19760"/>
    <cellStyle name="强调文字颜色 1 2 2 3 4 2" xfId="19761"/>
    <cellStyle name="60% - 强调文字颜色 2 2 3 7" xfId="19762"/>
    <cellStyle name="60% - 强调文字颜色 3 2 9" xfId="19763"/>
    <cellStyle name="强调文字颜色 6 2 6 4" xfId="19764"/>
    <cellStyle name="标题 1 2 4 4 2 2" xfId="19765"/>
    <cellStyle name="常规 9 3 5 2 2" xfId="19766"/>
    <cellStyle name="汇总 2 2 4 3" xfId="19767"/>
    <cellStyle name="40% - 强调文字颜色 3 2 2 2 2 2 4 3 2" xfId="19768"/>
    <cellStyle name="标题 1 2 4 4 2" xfId="19769"/>
    <cellStyle name="输入 2 2 2 2 2 2 4 2" xfId="19770"/>
    <cellStyle name="计算 2 2 6 3 2 3 3" xfId="19771"/>
    <cellStyle name="汇总 2 5 2 3 2 2 3" xfId="19772"/>
    <cellStyle name="计算 2 5 3 3 2 2" xfId="19773"/>
    <cellStyle name="强调文字颜色 5 2 4 2 3" xfId="19774"/>
    <cellStyle name="60% - 强调文字颜色 4 2 2 4 4" xfId="19775"/>
    <cellStyle name="好 2 4 4 4" xfId="19776"/>
    <cellStyle name="强调文字颜色 5 2 2 2 4 3 2" xfId="19777"/>
    <cellStyle name="20% - 强调文字颜色 1 2 2 7 2 2" xfId="19778"/>
    <cellStyle name="60% - 强调文字颜色 1 3 8" xfId="19779"/>
    <cellStyle name="20% - 强调文字颜色 5 2 2 2 4 3 2 2" xfId="19780"/>
    <cellStyle name="计算 2 7 2 2 2 2 2" xfId="19781"/>
    <cellStyle name="好 2 2 2 2 5 2 2" xfId="19782"/>
    <cellStyle name="常规 5 4 3 2 3 2 2" xfId="19783"/>
    <cellStyle name="汇总 2 2 4 2 2 2 2 4 2 2" xfId="19784"/>
    <cellStyle name="检查单元格 2 2 6 3" xfId="19785"/>
    <cellStyle name="40% - 强调文字颜色 5 2 2 5 3 2" xfId="19786"/>
    <cellStyle name="20% - 强调文字颜色 5 2 2 2 2 4 3 2" xfId="19787"/>
    <cellStyle name="输出 3 2 2 4 3" xfId="19788"/>
    <cellStyle name="适中 2 2 2 2 3 3 2" xfId="19789"/>
    <cellStyle name="40% - 强调文字颜色 3 3 4 2" xfId="19790"/>
    <cellStyle name="输入 2 5" xfId="19791"/>
    <cellStyle name="输出 2 9 7" xfId="19792"/>
    <cellStyle name="计算 2 5 2 13" xfId="19793"/>
    <cellStyle name="60% - 强调文字颜色 1 2 2 2 3 2 2 2 2 2" xfId="19794"/>
    <cellStyle name="常规 5 2 6 3 3" xfId="19795"/>
    <cellStyle name="超链接 2 2 2 2 3 2 2" xfId="19796"/>
    <cellStyle name="链接单元格 2 3 4 4" xfId="19797"/>
    <cellStyle name="输出 2 2 5 2 4 2 2" xfId="19798"/>
    <cellStyle name="强调文字颜色 4 2 2 2 5" xfId="19799"/>
    <cellStyle name="输出 2 2 7 2 2 4" xfId="19800"/>
    <cellStyle name="链接单元格 2 6 2" xfId="19801"/>
    <cellStyle name="汇总 2 5 2 2 5 3" xfId="19802"/>
    <cellStyle name="60% - 强调文字颜色 4 2 2 4" xfId="19803"/>
    <cellStyle name="强调文字颜色 1 2 2 2 2 2 2 3" xfId="19804"/>
    <cellStyle name="60% - 强调文字颜色 4 2 2 3 4 2 2" xfId="19805"/>
    <cellStyle name="输入 3 2 3 4" xfId="19806"/>
    <cellStyle name="注释 2 4 4 5 2" xfId="19807"/>
    <cellStyle name="计算 2 7 3 4" xfId="19808"/>
    <cellStyle name="40% - 强调文字颜色 2 2 3 2 4 2" xfId="19809"/>
    <cellStyle name="汇总 2 6 4" xfId="19810"/>
    <cellStyle name="60% - 强调文字颜色 4 2 2 3 5" xfId="19811"/>
    <cellStyle name="计算 2 6 4 3 2 2" xfId="19812"/>
    <cellStyle name="60% - 强调文字颜色 5 4 4 2 2 2" xfId="19813"/>
    <cellStyle name="计算 2 8 2 5 3" xfId="19814"/>
    <cellStyle name="输入 2 2 3 2 3 3 2" xfId="19815"/>
    <cellStyle name="输入 2 10 2" xfId="19816"/>
    <cellStyle name="常规 5 2 2 3 3 2 2" xfId="19817"/>
    <cellStyle name="60% - 强调文字颜色 4 2 2 3 2 2" xfId="19818"/>
    <cellStyle name="常规 7 2 4 2" xfId="19819"/>
    <cellStyle name="60% - 强调文字颜色 1 2 5 3" xfId="19820"/>
    <cellStyle name="计算 2 7 2 2 3 2 2" xfId="19821"/>
    <cellStyle name="60% - 强调文字颜色 4 2 2 2 5 2 2" xfId="19822"/>
    <cellStyle name="差 3 2 3 2" xfId="19823"/>
    <cellStyle name="输入 2 3 3 4" xfId="19824"/>
    <cellStyle name="40% - 强调文字颜色 6 3 6" xfId="19825"/>
    <cellStyle name="常规 10 7 2" xfId="19826"/>
    <cellStyle name="40% - 强调文字颜色 1 2 3 2 4 3 2 2" xfId="19827"/>
    <cellStyle name="汇总 2 5 3 2 4" xfId="19828"/>
    <cellStyle name="60% - 强调文字颜色 4 2 2 2 3 2 2 2 2 2" xfId="19829"/>
    <cellStyle name="标题 2 2 2 9 2" xfId="19830"/>
    <cellStyle name="40% - 强调文字颜色 2 2 9" xfId="19831"/>
    <cellStyle name="标题 4 2 2 3 3 3" xfId="19832"/>
    <cellStyle name="40% - 强调文字颜色 6 2 3 2 4 2 2 2" xfId="19833"/>
    <cellStyle name="汇总 2 8 2 2 2 2 2" xfId="19834"/>
    <cellStyle name="计算 2 4" xfId="19835"/>
    <cellStyle name="强调文字颜色 3 2 4 5 3" xfId="19836"/>
    <cellStyle name="常规 2 2 2 2 2 2 2 2" xfId="19837"/>
    <cellStyle name="40% - 强调文字颜色 2 2 2 3 4" xfId="19838"/>
    <cellStyle name="40% - 强调文字颜色 1 4 5 2" xfId="19839"/>
    <cellStyle name="标题 3 2 2 2 2 4 3 2" xfId="19840"/>
    <cellStyle name="计算 2 2 3 2 2 2 6" xfId="19841"/>
    <cellStyle name="60% - 强调文字颜色 1 2 3 2 5" xfId="19842"/>
    <cellStyle name="注释 2 2 4 2 4 2" xfId="19843"/>
    <cellStyle name="常规 10 4 5 2 2" xfId="19844"/>
    <cellStyle name="标题 2 2 3 2 3 2 2 2" xfId="19845"/>
    <cellStyle name="40% - 强调文字颜色 5 3 2 5 2" xfId="19846"/>
    <cellStyle name="60% - 强调文字颜色 4 2 2 2 2 3" xfId="19847"/>
    <cellStyle name="解释性文本 2 2 2 2 3 2 2 2" xfId="19848"/>
    <cellStyle name="40% - 强调文字颜色 6 3 3 2 2 2" xfId="19849"/>
    <cellStyle name="常规 5 4 4 2 2" xfId="19850"/>
    <cellStyle name="标题 1 2 3 4 2 2 3" xfId="19851"/>
    <cellStyle name="输出 2 2 3 2 3 2 3 2" xfId="19852"/>
    <cellStyle name="汇总 2 3 4 2 2 2" xfId="19853"/>
    <cellStyle name="计算 2 2 2 3 2 6" xfId="19854"/>
    <cellStyle name="20% - 强调文字颜色 1 2 2 2 2 3 2 2 2 2" xfId="19855"/>
    <cellStyle name="输入 2 4 2 2 4 3" xfId="19856"/>
    <cellStyle name="常规 5 2 5 3" xfId="19857"/>
    <cellStyle name="常规 6 4 4 2 2" xfId="19858"/>
    <cellStyle name="40% - 强调文字颜色 6 4 3 2 2 2" xfId="19859"/>
    <cellStyle name="强调文字颜色 2 2 2 2 2 2 5" xfId="19860"/>
    <cellStyle name="40% - 强调文字颜色 5 2 5 5 2" xfId="19861"/>
    <cellStyle name="检查单元格 2 2 2 3 4" xfId="19862"/>
    <cellStyle name="60% - 强调文字颜色 4 2 2 2 2 2 3" xfId="19863"/>
    <cellStyle name="40% - 强调文字颜色 3 3 7" xfId="19864"/>
    <cellStyle name="40% - 强调文字颜色 6 2 2 9 2" xfId="19865"/>
    <cellStyle name="汇总 2 2 5 3 2 2 2" xfId="19866"/>
    <cellStyle name="输出 2 2 2 9" xfId="19867"/>
    <cellStyle name="输入 2 4 2 2 6" xfId="19868"/>
    <cellStyle name="汇总 2 3 9 3" xfId="19869"/>
    <cellStyle name="解释性文本 2 2 3 4 4" xfId="19870"/>
    <cellStyle name="汇总 2 5 5 6 2" xfId="19871"/>
    <cellStyle name="注释 2 2 5 3 7" xfId="19872"/>
    <cellStyle name="计算 3 2 2 3 3" xfId="19873"/>
    <cellStyle name="输入 4 7" xfId="19874"/>
    <cellStyle name="40% - 强调文字颜色 3 3 6" xfId="19875"/>
    <cellStyle name="输入 2 6 2 7 2" xfId="19876"/>
    <cellStyle name="60% - 强调文字颜色 4 2 2 2 2 2 2" xfId="19877"/>
    <cellStyle name="60% - 强调文字颜色 2 2 2 6 2" xfId="19878"/>
    <cellStyle name="常规 13 2 2 2 4 2" xfId="19879"/>
    <cellStyle name="解释性文本 2 4 5 2" xfId="19880"/>
    <cellStyle name="标题 3 2 3 9" xfId="19881"/>
    <cellStyle name="计算 2 3 2 5 2 2" xfId="19882"/>
    <cellStyle name="标题 5 2 2 2 3 3 2" xfId="19883"/>
    <cellStyle name="注释 3 2 7" xfId="19884"/>
    <cellStyle name="20% - 强调文字颜色 5 6 2" xfId="19885"/>
    <cellStyle name="标题 5 3 3 3 2" xfId="19886"/>
    <cellStyle name="40% - 强调文字颜色 6 3 7" xfId="19887"/>
    <cellStyle name="40% - 强调文字颜色 1 2 3 5 2 2 2" xfId="19888"/>
    <cellStyle name="60% - 强调文字颜色 6 3 11" xfId="19889"/>
    <cellStyle name="40% - 强调文字颜色 2 2 4 3 2 2" xfId="19890"/>
    <cellStyle name="60% - 强调文字颜色 3 2 2 2 5 2" xfId="19891"/>
    <cellStyle name="输入 2 2 3 4 4 2" xfId="19892"/>
    <cellStyle name="计算 2 2 3 8 2" xfId="19893"/>
    <cellStyle name="标题 2 2 2 6 3" xfId="19894"/>
    <cellStyle name="汇总 2 3 2 8" xfId="19895"/>
    <cellStyle name="标题 3 2 8 3" xfId="19896"/>
    <cellStyle name="标题 3 2 2 4 3 2 3" xfId="19897"/>
    <cellStyle name="汇总 2 5 3 6" xfId="19898"/>
    <cellStyle name="60% - 强调文字颜色 4 3 3 2 2" xfId="19899"/>
    <cellStyle name="超链接 2 2 3 4" xfId="19900"/>
    <cellStyle name="常规 2" xfId="19901"/>
    <cellStyle name="输入 2 2 7 3 2" xfId="19902"/>
    <cellStyle name="计算 2 6 2 6" xfId="19903"/>
    <cellStyle name="60% - 强调文字颜色 1 2 2 3 4" xfId="19904"/>
    <cellStyle name="20% - 强调文字颜色 3 2 3" xfId="19905"/>
    <cellStyle name="注释 2 2 3 2 4 2 3" xfId="19906"/>
    <cellStyle name="强调文字颜色 2 2 7 2 2" xfId="19907"/>
    <cellStyle name="20% - 强调文字颜色 6 3 2" xfId="19908"/>
    <cellStyle name="链接单元格 2 3 2 4 2" xfId="19909"/>
    <cellStyle name="标题 5 2 4 6" xfId="19910"/>
    <cellStyle name="输入 2 2 4 2 7 2" xfId="19911"/>
    <cellStyle name="40% - 强调文字颜色 4 4 5 2" xfId="19912"/>
    <cellStyle name="40% - 强调文字颜色 3 2 2 3 2 2 2 2 2" xfId="19913"/>
    <cellStyle name="标题 1 2 4 2 2 2 2 2" xfId="19914"/>
    <cellStyle name="注释 2 2 3 2 3 4 2" xfId="19915"/>
    <cellStyle name="汇总 2 2 3 3 2 4 2 2" xfId="19916"/>
    <cellStyle name="20% - 强调文字颜色 5 2 3 5" xfId="19917"/>
    <cellStyle name="注释 2 3 2 3 2 2" xfId="19918"/>
    <cellStyle name="60% - 强调文字颜色 1 3 2 5" xfId="19919"/>
    <cellStyle name="20% - 强调文字颜色 2 2 4 3 2" xfId="19920"/>
    <cellStyle name="注释 2 2 6 2 2 2 2" xfId="19921"/>
    <cellStyle name="注释 2 2 4 9" xfId="19922"/>
    <cellStyle name="汇总 2 2 4 2 2 2 2 2 3" xfId="19923"/>
    <cellStyle name="40% - 强调文字颜色 5 2 2 3 4" xfId="19924"/>
    <cellStyle name="输入 2 6 2 2 9" xfId="19925"/>
    <cellStyle name="输入 2 2 8 2 3 2 2" xfId="19926"/>
    <cellStyle name="40% - 强调文字颜色 3 3 2 2 2 2 2" xfId="19927"/>
    <cellStyle name="常规 13 3 3 3 2" xfId="19928"/>
    <cellStyle name="常规 2 2 2 2 4 3 2 2" xfId="19929"/>
    <cellStyle name="常规 4 2 2 6 2 2" xfId="19930"/>
    <cellStyle name="标题 4 3 2 4 2 2 2" xfId="19931"/>
    <cellStyle name="适中 2 7 2 3" xfId="19932"/>
    <cellStyle name="60% - 强调文字颜色 3 5 2 2" xfId="19933"/>
    <cellStyle name="强调文字颜色 5 2 2 3 8" xfId="19934"/>
    <cellStyle name="计算 2 2 3 2 2 3 2 3" xfId="19935"/>
    <cellStyle name="强调文字颜色 2 2 3 2 4 2 3" xfId="19936"/>
    <cellStyle name="检查单元格 6 2" xfId="19937"/>
    <cellStyle name="40% - 强调文字颜色 1 2 3 2 5 2 2" xfId="19938"/>
    <cellStyle name="注释 2 2 8 3 2" xfId="19939"/>
    <cellStyle name="输出 2 5 2 4" xfId="19940"/>
    <cellStyle name="20% - 强调文字颜色 5 2 2 2 6" xfId="19941"/>
    <cellStyle name="Normal 7 2" xfId="19942"/>
    <cellStyle name="60% - 强调文字颜色 3 4 4 2 2 2" xfId="19943"/>
    <cellStyle name="汇总 2 5 3 4 2" xfId="19944"/>
    <cellStyle name="强调文字颜色 3 2 2 2 4 2 2 2" xfId="19945"/>
    <cellStyle name="输入 2 5 5 2 4" xfId="19946"/>
    <cellStyle name="计算 2 2 10 2 3 2 2" xfId="19947"/>
    <cellStyle name="60% - 强调文字颜色 6 4 2 3 2" xfId="19948"/>
    <cellStyle name="常规 4 5 5 2 2" xfId="19949"/>
    <cellStyle name="40% - 强调文字颜色 6 2 4 3 2 2" xfId="19950"/>
    <cellStyle name="强调文字颜色 6 3 9" xfId="19951"/>
    <cellStyle name="链接单元格 2 3 5 2" xfId="19952"/>
    <cellStyle name="好 2 2 2 2 2 4" xfId="19953"/>
    <cellStyle name="汇总 2 5 2 2 2 6 2" xfId="19954"/>
    <cellStyle name="计算 2 5 2 2 3 2 2" xfId="19955"/>
    <cellStyle name="标题 5 2 2 3 2 2" xfId="19956"/>
    <cellStyle name="标题 5 4 2 2" xfId="19957"/>
    <cellStyle name="注释 2 2 4 2 4 3" xfId="19958"/>
    <cellStyle name="60% - 强调文字颜色 1 2 3 2 6" xfId="19959"/>
    <cellStyle name="差 2 2 2 2 7" xfId="19960"/>
    <cellStyle name="计算 2 2 4 2 2 2 3" xfId="19961"/>
    <cellStyle name="输入 2 10 3 2 2" xfId="19962"/>
    <cellStyle name="60% - 强调文字颜色 3 4 2 4 2" xfId="19963"/>
    <cellStyle name="汇总 2 3 5 4" xfId="19964"/>
    <cellStyle name="60% - 强调文字颜色 2 2 2 2 2 2 2 2 2" xfId="19965"/>
    <cellStyle name="标题 4 2 2 2 5" xfId="19966"/>
    <cellStyle name="汇总 2 2 5 4 3 2 2" xfId="19967"/>
    <cellStyle name="40% - 强调文字颜色 1 2 2 2 3 2 2" xfId="19968"/>
    <cellStyle name="输入 2 5 2 4 3 2" xfId="19969"/>
    <cellStyle name="汇总 2 5 2 2" xfId="19970"/>
    <cellStyle name="计算 4 4 2 3" xfId="19971"/>
    <cellStyle name="输入 2 2 4 5 4 2" xfId="19972"/>
    <cellStyle name="20% - 强调文字颜色 2 2 4 6" xfId="19973"/>
    <cellStyle name="60% - 强调文字颜色 2 2 8 2" xfId="19974"/>
    <cellStyle name="20% - 强调文字颜色 4 2 2 2 2 4 3 2 2" xfId="19975"/>
    <cellStyle name="标题 1 2 2 3 5" xfId="19976"/>
    <cellStyle name="40% - 强调文字颜色 1 2 3 2" xfId="19977"/>
    <cellStyle name="20% - 强调文字颜色 2 2 2 2 3" xfId="19978"/>
    <cellStyle name="60% - 强调文字颜色 3 2 3 4 2" xfId="19979"/>
    <cellStyle name="计算 2 3 5 5" xfId="19980"/>
    <cellStyle name="输出 2 2 4 3 7" xfId="19981"/>
    <cellStyle name="输出 2 2 2 8 2 2" xfId="19982"/>
    <cellStyle name="强调文字颜色 2 2 4 3 3 2" xfId="19983"/>
    <cellStyle name="20% - 强调文字颜色 3 4 3 2" xfId="19984"/>
    <cellStyle name="计算 2 2 3 3 3 2 2" xfId="19985"/>
    <cellStyle name="标题 1 4 4 2 2 2" xfId="19986"/>
    <cellStyle name="常规 4 5 3 2" xfId="19987"/>
    <cellStyle name="汇总 4 4 3 3" xfId="19988"/>
    <cellStyle name="20% - 强调文字颜色 4 2 2 2 7 2" xfId="19989"/>
    <cellStyle name="60% - 强调文字颜色 4 2 3 7 2" xfId="19990"/>
    <cellStyle name="汇总 2 10 3 4 2" xfId="19991"/>
    <cellStyle name="计算 2 2 3 4 2 4 2 2" xfId="19992"/>
    <cellStyle name="输出 2 2 3 2 2 3 2" xfId="19993"/>
    <cellStyle name="20% - 强调文字颜色 4 3 5 2 2" xfId="19994"/>
    <cellStyle name="注释 2 4 3 7" xfId="19995"/>
    <cellStyle name="汇总 2 2 9 2 2 3" xfId="19996"/>
    <cellStyle name="40% - 强调文字颜色 5 2 4 2 2" xfId="19997"/>
    <cellStyle name="汇总 2 5 2 3 2 4 3" xfId="19998"/>
    <cellStyle name="汇总 2 2 3 4 6 2" xfId="19999"/>
    <cellStyle name="常规 9 2 2 5 2 2" xfId="20000"/>
    <cellStyle name="20% - 强调文字颜色 3 2 3 4 2" xfId="20001"/>
    <cellStyle name="常规 9 5 3" xfId="20002"/>
    <cellStyle name="计算 2 2 3 9 3" xfId="20003"/>
    <cellStyle name="汇总 2 2 2 2 6" xfId="20004"/>
    <cellStyle name="汇总 2 3 4 4" xfId="20005"/>
    <cellStyle name="60% - 强调文字颜色 3 4 2 3 2" xfId="20006"/>
    <cellStyle name="40% - 强调文字颜色 4 3 2 5 2" xfId="20007"/>
    <cellStyle name="汇总 5 2 2" xfId="20008"/>
    <cellStyle name="输入 2 2 3 2 2 4" xfId="20009"/>
    <cellStyle name="强调文字颜色 6 2 2 2 5 2 3" xfId="20010"/>
    <cellStyle name="标题 2 2 2 2 2 2 2 2" xfId="20011"/>
    <cellStyle name="汇总 2 2 9 2 6" xfId="20012"/>
    <cellStyle name="40% - 强调文字颜色 5 4 2 3 2" xfId="20013"/>
    <cellStyle name="注释 2 3 2 11" xfId="20014"/>
    <cellStyle name="计算 2 2 4 4 3 3" xfId="20015"/>
    <cellStyle name="20% - 强调文字颜色 1 2 2 4 3 3 2" xfId="20016"/>
    <cellStyle name="解释性文本 2 2 3 3" xfId="20017"/>
    <cellStyle name="标题 4 2 2 4 2 2 2" xfId="20018"/>
    <cellStyle name="计算 2 2 5 4 5 3" xfId="20019"/>
    <cellStyle name="60% - 强调文字颜色 3 4 2 3" xfId="20020"/>
    <cellStyle name="60% - 强调文字颜色 2 2 2 4 5 2" xfId="20021"/>
    <cellStyle name="常规 5 2 3 3" xfId="20022"/>
    <cellStyle name="60% - 强调文字颜色 6 3 2 3 2 2 2" xfId="20023"/>
    <cellStyle name="60% - 强调文字颜色 1 5 2" xfId="20024"/>
    <cellStyle name="60% - 强调文字颜色 3 2 2 2 2 5" xfId="20025"/>
    <cellStyle name="标题 7 4 3" xfId="20026"/>
    <cellStyle name="警告文本 2 2 3 4 2" xfId="20027"/>
    <cellStyle name="计算 2 2 4 2 4 2 3 2" xfId="20028"/>
    <cellStyle name="汇总 2 15 2 2" xfId="20029"/>
    <cellStyle name="计算 2 6 2 2 2 4" xfId="20030"/>
    <cellStyle name="40% - 强调文字颜色 2 2 10 2" xfId="20031"/>
    <cellStyle name="汇总 2 2 3 2 5 2" xfId="20032"/>
    <cellStyle name="计算 2 7 2 3 2 2" xfId="20033"/>
    <cellStyle name="汇总 2 2 10 2 2 3" xfId="20034"/>
    <cellStyle name="40% - 强调文字颜色 3 2 2 2 2 3 2 2" xfId="20035"/>
    <cellStyle name="常规 3 2 4 2 3 3" xfId="20036"/>
    <cellStyle name="检查单元格 3 3 2 2" xfId="20037"/>
    <cellStyle name="20% - 强调文字颜色 2 2 3 5 2 2 2" xfId="20038"/>
    <cellStyle name="标题 5 2 4 2 4" xfId="20039"/>
    <cellStyle name="计算 2 2 2 3 4 2 2" xfId="20040"/>
    <cellStyle name="计算 2 2 5 4 5 2" xfId="20041"/>
    <cellStyle name="60% - 强调文字颜色 3 4 2 2" xfId="20042"/>
    <cellStyle name="常规 3 2 2 3 2 2 2" xfId="20043"/>
    <cellStyle name="注释 2 3 2 2 4 3" xfId="20044"/>
    <cellStyle name="60% - 强调文字颜色 1 2 4 6" xfId="20045"/>
    <cellStyle name="常规 9 8" xfId="20046"/>
    <cellStyle name="注释 2 2 4 3 2 6" xfId="20047"/>
    <cellStyle name="注释 2 4 2 2 2 3 2 2" xfId="20048"/>
    <cellStyle name="汇总 2 2 10 2 4 2" xfId="20049"/>
    <cellStyle name="20% - 强调文字颜色 2 2 3 2 5 2 2" xfId="20050"/>
    <cellStyle name="标题 2 2 3 4 2 2 3" xfId="20051"/>
    <cellStyle name="汇总 2 7 2 2 2" xfId="20052"/>
    <cellStyle name="40% - 强调文字颜色 6 2 2 2 4 2" xfId="20053"/>
    <cellStyle name="常规 4 3 4 4 2" xfId="20054"/>
    <cellStyle name="强调文字颜色 4 2 5 2 2 2" xfId="20055"/>
    <cellStyle name="输入 2 2 4 6 2 2" xfId="20056"/>
    <cellStyle name="标题 3 2 2 2 2 4 2 2" xfId="20057"/>
    <cellStyle name="60% - 强调文字颜色 3 2 3 4 3 2" xfId="20058"/>
    <cellStyle name="注释 2 2 6 2 5" xfId="20059"/>
    <cellStyle name="常规 5 3 4 2" xfId="20060"/>
    <cellStyle name="40% - 强调文字颜色 6 3 2 2 2" xfId="20061"/>
    <cellStyle name="60% - 强调文字颜色 6 2 2 2 3 3 3" xfId="20062"/>
    <cellStyle name="40% - 强调文字颜色 6 2 2 2 2 2 5 2" xfId="20063"/>
    <cellStyle name="60% - 强调文字颜色 2 2 2 3 5" xfId="20064"/>
    <cellStyle name="计算 2 2 5 9 2 2" xfId="20065"/>
    <cellStyle name="40% - 强调文字颜色 6 2 2 9" xfId="20066"/>
    <cellStyle name="汇总 2 2 5 3 2 2" xfId="20067"/>
    <cellStyle name="40% - 强调文字颜色 4 3 2 2 2 2 2 2" xfId="20068"/>
    <cellStyle name="计算 2 4 2 2 5 3" xfId="20069"/>
    <cellStyle name="标题 4 2 2 3 2 2 2" xfId="20070"/>
    <cellStyle name="标题 1 2 2 3 2 2 2 3" xfId="20071"/>
    <cellStyle name="汇总 2 2 4 2 3 2 4 2 2" xfId="20072"/>
    <cellStyle name="常规 4 5 5 3" xfId="20073"/>
    <cellStyle name="40% - 强调文字颜色 6 2 4 3 3" xfId="20074"/>
    <cellStyle name="好 4 2 3 2" xfId="20075"/>
    <cellStyle name="20% - 强调文字颜色 6 2 7" xfId="20076"/>
    <cellStyle name="计算 2 2 6 2 4 2 2" xfId="20077"/>
    <cellStyle name="汇总 2 4 3 2 7" xfId="20078"/>
    <cellStyle name="汇总 2 7 2 3 3 2 2" xfId="20079"/>
    <cellStyle name="差 2 6 4" xfId="20080"/>
    <cellStyle name="60% - 强调文字颜色 2 3 4 2 2" xfId="20081"/>
    <cellStyle name="60% - 强调文字颜色 4 3 4 2" xfId="20082"/>
    <cellStyle name="计算 2 8 7 2 2" xfId="20083"/>
    <cellStyle name="常规 10 2 2 4" xfId="20084"/>
    <cellStyle name="标题 3 2 4 3 3" xfId="20085"/>
    <cellStyle name="汇总 2 5 2 6 3 2" xfId="20086"/>
    <cellStyle name="计算 2 2 6 6 3 3" xfId="20087"/>
    <cellStyle name="常规 10 3 2 2 2 2" xfId="20088"/>
    <cellStyle name="注释 2 2 3 2 3" xfId="20089"/>
    <cellStyle name="40% - 强调文字颜色 1 2 2 2 3 2" xfId="20090"/>
    <cellStyle name="20% - 强调文字颜色 1 3 3 4" xfId="20091"/>
    <cellStyle name="强调文字颜色 2 2 2 2 3 4" xfId="20092"/>
    <cellStyle name="常规 12 3 2 3 2 2" xfId="20093"/>
    <cellStyle name="20% - 强调文字颜色 4 2 2 2 7" xfId="20094"/>
    <cellStyle name="标题 2 2 6 2 2 2" xfId="20095"/>
    <cellStyle name="输出 3 3 2 3" xfId="20096"/>
    <cellStyle name="常规 2 2 2 6 2 2" xfId="20097"/>
    <cellStyle name="60% - 强调文字颜色 4 2 2 2 2 2 4" xfId="20098"/>
    <cellStyle name="40% - 强调文字颜色 5 2 2 2 3 5" xfId="20099"/>
    <cellStyle name="超链接 2 3 3 2 2 2 2" xfId="20100"/>
    <cellStyle name="40% - 强调文字颜色 6 2 2 4 2 2 2" xfId="20101"/>
    <cellStyle name="输出 3 2 2 2 3" xfId="20102"/>
    <cellStyle name="20% - 强调文字颜色 2 2 3 2 4 2" xfId="20103"/>
    <cellStyle name="计算 2 2 6 9 2 2" xfId="20104"/>
    <cellStyle name="标题 3 2 7 2 2" xfId="20105"/>
    <cellStyle name="输出 2 2 5 2 5 2" xfId="20106"/>
    <cellStyle name="强调文字颜色 2 3 9" xfId="20107"/>
    <cellStyle name="20% - 强调文字颜色 5 2 2 3 4 2" xfId="20108"/>
    <cellStyle name="标题 1 5 2" xfId="20109"/>
    <cellStyle name="注释 4 7 2 2" xfId="20110"/>
    <cellStyle name="注释 2 2 2 2 3 2 2" xfId="20111"/>
    <cellStyle name="计算 2 2 8 2 2 5" xfId="20112"/>
    <cellStyle name="输入 3 2 2 2 4" xfId="20113"/>
    <cellStyle name="20% - 强调文字颜色 6 2 3 2 2 4 3 2" xfId="20114"/>
    <cellStyle name="20% - 强调文字颜色 4 2 3" xfId="20115"/>
    <cellStyle name="60% - 强调文字颜色 1 2 3 3 4" xfId="20116"/>
    <cellStyle name="计算 2 2 6 2 2 2 3 3" xfId="20117"/>
    <cellStyle name="计算 3 3 6 2 2" xfId="20118"/>
    <cellStyle name="汇总 3 3 6" xfId="20119"/>
    <cellStyle name="标题 5 2 3 6" xfId="20120"/>
    <cellStyle name="差 2 8 3" xfId="20121"/>
    <cellStyle name="链接单元格 2 3 2 3 2" xfId="20122"/>
    <cellStyle name="20% - 强调文字颜色 6 2 2" xfId="20123"/>
    <cellStyle name="汇总 2 5 3 2 2 4 2" xfId="20124"/>
    <cellStyle name="60% - 强调文字颜色 3 2 4 3 3 2" xfId="20125"/>
    <cellStyle name="输入 2 2 5 5 2 2" xfId="20126"/>
    <cellStyle name="计算 2 4 4 6 2" xfId="20127"/>
    <cellStyle name="20% - 强调文字颜色 3 2 2 6" xfId="20128"/>
    <cellStyle name="60% - 强调文字颜色 2 2 3 2 3 3 2" xfId="20129"/>
    <cellStyle name="40% - 强调文字颜色 2 2 3 3 5" xfId="20130"/>
    <cellStyle name="强调文字颜色 4 2 2 2 3 7" xfId="20131"/>
    <cellStyle name="说明文本 2 2 2 2" xfId="20132"/>
    <cellStyle name="输出 7 3" xfId="20133"/>
    <cellStyle name="强调文字颜色 5 3 6" xfId="20134"/>
    <cellStyle name="汇总 2 2 3 3 2 2 2" xfId="20135"/>
    <cellStyle name="40% - 强调文字颜色 4 2 2 9 2" xfId="20136"/>
    <cellStyle name="20% - 强调文字颜色 2 2 3 6 2 2 2" xfId="20137"/>
    <cellStyle name="计算 2 10 6" xfId="20138"/>
    <cellStyle name="40% - 强调文字颜色 5 2 2 2 4 3 2 2" xfId="20139"/>
    <cellStyle name="超链接 2 2 5" xfId="20140"/>
    <cellStyle name="警告文本 2 2 2 2 2 2 2 2 2" xfId="20141"/>
    <cellStyle name="常规 6 2 2 2 3 2 2 2" xfId="20142"/>
    <cellStyle name="解释性文本 2 2 6 4" xfId="20143"/>
    <cellStyle name="注释 2 2 2 5 3" xfId="20144"/>
    <cellStyle name="40% - 强调文字颜色 3 2 2 4 2" xfId="20145"/>
    <cellStyle name="计算 4 2 2 2 2" xfId="20146"/>
    <cellStyle name="40% - 强调文字颜色 3 2 3 2 5 2 2" xfId="20147"/>
    <cellStyle name="计算 2 2 7 5 5" xfId="20148"/>
    <cellStyle name="60% - 强调文字颜色 5 5 2" xfId="20149"/>
    <cellStyle name="标题 3 3 3 5" xfId="20150"/>
    <cellStyle name="输入 2 5 2 5 2" xfId="20151"/>
    <cellStyle name="汇总 3 2 4 5" xfId="20152"/>
    <cellStyle name="输出 2 4 2 2 10" xfId="20153"/>
    <cellStyle name="60% - 强调文字颜色 3 2 3 4 2 2" xfId="20154"/>
    <cellStyle name="20% - 强调文字颜色 2 2 2 2 3 2" xfId="20155"/>
    <cellStyle name="40% - 强调文字颜色 1 3 2 3 2" xfId="20156"/>
    <cellStyle name="60% - 强调文字颜色 5 2 3 3 2 2" xfId="20157"/>
    <cellStyle name="计算 2 2 8 2 4" xfId="20158"/>
    <cellStyle name="强调文字颜色 6 2 2 6 3 3" xfId="20159"/>
    <cellStyle name="汇总 2 7 4 3 3" xfId="20160"/>
    <cellStyle name="40% - 强调文字颜色 2 2 4 6" xfId="20161"/>
    <cellStyle name="输入 2 2 2 3 5" xfId="20162"/>
    <cellStyle name="汇总 2 2 6 2 2 2 5" xfId="20163"/>
    <cellStyle name="注释 2 2 2 3 2 2 2" xfId="20164"/>
    <cellStyle name="计算 2 2 5 4 3 2" xfId="20165"/>
    <cellStyle name="60% - 强调文字颜色 6 2 2 2 5 2 3" xfId="20166"/>
    <cellStyle name="强调文字颜色 3 4 2 3 2" xfId="20167"/>
    <cellStyle name="汇总 2 2 4 2 3 3 2 3" xfId="20168"/>
    <cellStyle name="常规 5 5 3 2" xfId="20169"/>
    <cellStyle name="汇总 2 2 5 2 2 3 2 3" xfId="20170"/>
    <cellStyle name="60% - 强调文字颜色 2 2 2 3 5 2" xfId="20171"/>
    <cellStyle name="强调文字颜色 3 2 3 2 2 2 3" xfId="20172"/>
    <cellStyle name="60% - 强调文字颜色 5 2 2 4 2 2" xfId="20173"/>
    <cellStyle name="汇总 2 4 2 7 3" xfId="20174"/>
    <cellStyle name="计算 2 6 2 2" xfId="20175"/>
    <cellStyle name="输出 2 4 6 3" xfId="20176"/>
    <cellStyle name="常规 2 3 4 3" xfId="20177"/>
    <cellStyle name="40% - 强调文字颜色 5 2 2 2 2 2 4" xfId="20178"/>
    <cellStyle name="标题 5 2 2 3 5" xfId="20179"/>
    <cellStyle name="汇总 2 2 4 2 16" xfId="20180"/>
    <cellStyle name="40% - 强调文字颜色 4 2 2 2 4 2" xfId="20181"/>
    <cellStyle name="40% - 强调文字颜色 2 2 3 2 2 5" xfId="20182"/>
    <cellStyle name="汇总 2 4 7" xfId="20183"/>
    <cellStyle name="标题 5 4 5" xfId="20184"/>
    <cellStyle name="标题 2 2 3 3 2 2 2 3" xfId="20185"/>
    <cellStyle name="标题 1 3 11" xfId="20186"/>
    <cellStyle name="强调文字颜色 3 2 2 3 4" xfId="20187"/>
    <cellStyle name="强调文字颜色 4 2 4 5 2 2" xfId="20188"/>
    <cellStyle name="标题 3 4 4 2" xfId="20189"/>
    <cellStyle name="计算 2 2 8 6 2" xfId="20190"/>
    <cellStyle name="强调文字颜色 4 3 2 3 2" xfId="20191"/>
    <cellStyle name="注释 2 6 10 2" xfId="20192"/>
    <cellStyle name="20% - 强调文字颜色 2 2 3 2 4 3" xfId="20193"/>
    <cellStyle name="链接单元格 2 3 2 5 2" xfId="20194"/>
    <cellStyle name="20% - 强调文字颜色 6 4 2" xfId="20195"/>
    <cellStyle name="适中 2 2 4 6" xfId="20196"/>
    <cellStyle name="强调文字颜色 6 2 8" xfId="20197"/>
    <cellStyle name="20% - 强调文字颜色 2 2 2 2 2 2 4 2 2" xfId="20198"/>
    <cellStyle name="60% - 强调文字颜色 1 2 2 4 2 2 2" xfId="20199"/>
    <cellStyle name="注释 2 2 6 3 2 2 2" xfId="20200"/>
    <cellStyle name="常规 13 4 3 3 2" xfId="20201"/>
    <cellStyle name="好 2 2 4 2 3 2" xfId="20202"/>
    <cellStyle name="汇总 2 2 2 6 2" xfId="20203"/>
    <cellStyle name="输入 2 4 2 3 3 2" xfId="20204"/>
    <cellStyle name="计算 2 2 4 3 3 3 2" xfId="20205"/>
    <cellStyle name="计算 2 2 2 4 4 2" xfId="20206"/>
    <cellStyle name="计算 2 2 6 4 5" xfId="20207"/>
    <cellStyle name="60% - 强调文字颜色 4 4 2" xfId="20208"/>
    <cellStyle name="标题 3 2 2 5" xfId="20209"/>
    <cellStyle name="60% - 强调文字颜色 4 2 2 3 4 2" xfId="20210"/>
    <cellStyle name="常规 5 2 2 3 3 4 2" xfId="20211"/>
    <cellStyle name="输入 2 3 8" xfId="20212"/>
    <cellStyle name="标题 2 2 3 2 2 2 2 2 3" xfId="20213"/>
    <cellStyle name="计算 2 2 3 3 3 2 2 2" xfId="20214"/>
    <cellStyle name="20% - 强调文字颜色 3 4 3 2 2" xfId="20215"/>
    <cellStyle name="标题 1 4 2 2 2 3" xfId="20216"/>
    <cellStyle name="强调文字颜色 2 2 2 3 3 3" xfId="20217"/>
    <cellStyle name="汇总 2 2 2 2 4 2" xfId="20218"/>
    <cellStyle name="输入 2 2 8 4 3" xfId="20219"/>
    <cellStyle name="标题 3 2 2 2 6 2 3" xfId="20220"/>
    <cellStyle name="计算 2 7 3 7" xfId="20221"/>
    <cellStyle name="强调文字颜色 6 2 2 2 2 2 2" xfId="20222"/>
    <cellStyle name="输入 2 2 5 4 7" xfId="20223"/>
    <cellStyle name="解释性文本 2 2 3 2 2 2" xfId="20224"/>
    <cellStyle name="输入 2 4 2 2 3 2 2" xfId="20225"/>
    <cellStyle name="检查单元格 2 2 3 2 3" xfId="20226"/>
    <cellStyle name="计算 2 6 4 2 4 2 2" xfId="20227"/>
    <cellStyle name="汇总 2 2 6 2 2 2 3 2" xfId="20228"/>
    <cellStyle name="好 3 3 3 2 3" xfId="20229"/>
    <cellStyle name="输入 2 18" xfId="20230"/>
    <cellStyle name="注释 2 5 2 4 2" xfId="20231"/>
    <cellStyle name="计算 2 2 9 3 5" xfId="20232"/>
    <cellStyle name="20% - 强调文字颜色 6 2 2 2 2 2 3 3" xfId="20233"/>
    <cellStyle name="60% - 强调文字颜色 6 2 6 2 2" xfId="20234"/>
    <cellStyle name="警告文本 2 2 2 2 2 2 3" xfId="20235"/>
    <cellStyle name="警告文本 2 2 5 2 2 2" xfId="20236"/>
    <cellStyle name="输出 2 2 2 3 9" xfId="20237"/>
    <cellStyle name="标题 2 2 4 4 2 2" xfId="20238"/>
    <cellStyle name="20% - 强调文字颜色 2 2 5 2 3" xfId="20239"/>
    <cellStyle name="40% - 强调文字颜色 5 2 3 4 2 2 2" xfId="20240"/>
    <cellStyle name="好 2 3 4 2 3" xfId="20241"/>
    <cellStyle name="标题 3 2 9 2" xfId="20242"/>
    <cellStyle name="汇总 2 5 5 2 3 2 2" xfId="20243"/>
    <cellStyle name="20% - 强调文字颜色 4 5 2 2 2 2" xfId="20244"/>
    <cellStyle name="常规 2 2 2 8 2" xfId="20245"/>
    <cellStyle name="标题 6 5 2 2" xfId="20246"/>
    <cellStyle name="强调文字颜色 5 4 2 4" xfId="20247"/>
    <cellStyle name="计算 2 3 2 2 2 2 3 3" xfId="20248"/>
    <cellStyle name="60% - 强调文字颜色 4 2 2 5 3 2" xfId="20249"/>
    <cellStyle name="强调文字颜色 5 2 4 3 2 2" xfId="20250"/>
    <cellStyle name="标题 2 2 3 2 2 2" xfId="20251"/>
    <cellStyle name="警告文本 4 5" xfId="20252"/>
    <cellStyle name="计算 2 2 4 2 3 2 3 3" xfId="20253"/>
    <cellStyle name="计算 2 2 2" xfId="20254"/>
    <cellStyle name="超链接 2 6 3" xfId="20255"/>
    <cellStyle name="20% - 强调文字颜色 3 2 2 2 2 5 2 2" xfId="20256"/>
    <cellStyle name="标题 2 3 10" xfId="20257"/>
    <cellStyle name="常规 12 3 5 2" xfId="20258"/>
    <cellStyle name="40% - 强调文字颜色 5 2 2 2 2 2 2 3 2" xfId="20259"/>
    <cellStyle name="标题 3 2 5 4" xfId="20260"/>
    <cellStyle name="输出 2 2 4 3 2 2 2 2" xfId="20261"/>
    <cellStyle name="计算 2 2 2 2 3 2 3" xfId="20262"/>
    <cellStyle name="20% - 强调文字颜色 4 2 5 3 2 2 2" xfId="20263"/>
    <cellStyle name="60% - 强调文字颜色 2 2 4 2 2 2" xfId="20264"/>
    <cellStyle name="60% - 强调文字颜色 3 3 4 2 2" xfId="20265"/>
    <cellStyle name="计算 2 2 4 5 2 2 3" xfId="20266"/>
    <cellStyle name="40% - 强调文字颜色 1 2 5 5 2 2" xfId="20267"/>
    <cellStyle name="汇总 2 2 4 2 7 2" xfId="20268"/>
    <cellStyle name="60% - 强调文字颜色 6 2 2 6 4" xfId="20269"/>
    <cellStyle name="60% - 强调文字颜色 1 2 2 3 8" xfId="20270"/>
    <cellStyle name="20% - 强调文字颜色 3 2 7" xfId="20271"/>
    <cellStyle name="输出 2 7 2" xfId="20272"/>
    <cellStyle name="注释 2 4 2 2 4 2 2" xfId="20273"/>
    <cellStyle name="注释 2 8 2 6" xfId="20274"/>
    <cellStyle name="常规 4 12" xfId="20275"/>
    <cellStyle name="40% - 强调文字颜色 4 2 2 2 2 4 2 2" xfId="20276"/>
    <cellStyle name="好 2 3 3 2 2 2 2 2" xfId="20277"/>
    <cellStyle name="计算 2 2 7 10" xfId="20278"/>
    <cellStyle name="汇总 2 6 4 2 2 2" xfId="20279"/>
    <cellStyle name="计算 2 5 2 3 2 6" xfId="20280"/>
    <cellStyle name="40% - 强调文字颜色 1 2 3 5 2" xfId="20281"/>
    <cellStyle name="计算 2 8 3 5" xfId="20282"/>
    <cellStyle name="60% - 强调文字颜色 2 2 3 6 2 2" xfId="20283"/>
    <cellStyle name="计算 3 3 2 2 3" xfId="20284"/>
    <cellStyle name="汇总 2 5 5 4 3" xfId="20285"/>
    <cellStyle name="常规 6 3 3 2 3" xfId="20286"/>
    <cellStyle name="计算 2 2 2 4 2 3 2" xfId="20287"/>
    <cellStyle name="注释 2 2 3 2 6 2 2" xfId="20288"/>
    <cellStyle name="20% - 强调文字颜色 1 2 2 4 3 2" xfId="20289"/>
    <cellStyle name="汇总 2 7 3 2 5" xfId="20290"/>
    <cellStyle name="40% - 强调文字颜色 1 4 5" xfId="20291"/>
    <cellStyle name="标题 2 2 2 2 6 2 2" xfId="20292"/>
    <cellStyle name="汇总 2 2 8 3 2 2 2 2" xfId="20293"/>
    <cellStyle name="注释 2 2 3 2 3 2 2 3" xfId="20294"/>
    <cellStyle name="40% - 强调文字颜色 6 2 3 5 2 2 2" xfId="20295"/>
    <cellStyle name="60% - 强调文字颜色 5 2 2 7 2 2" xfId="20296"/>
    <cellStyle name="汇总 2 2 8 7 2 2" xfId="20297"/>
    <cellStyle name="适中 2 2 4 3 3 2" xfId="20298"/>
    <cellStyle name="强调文字颜色 6 2 5 3 2" xfId="20299"/>
    <cellStyle name="注释 3 3 2 3" xfId="20300"/>
    <cellStyle name="常规 4 11" xfId="20301"/>
    <cellStyle name="注释 2 2 2 2 5 2 2" xfId="20302"/>
    <cellStyle name="常规 5 3 2 2 3" xfId="20303"/>
    <cellStyle name="20% - 强调文字颜色 4 2 2 2 6 2 2" xfId="20304"/>
    <cellStyle name="强调文字颜色 2 2 2 2 3 7" xfId="20305"/>
    <cellStyle name="计算 2 2 5 7 3" xfId="20306"/>
    <cellStyle name="常规 5 4 4 4 2" xfId="20307"/>
    <cellStyle name="常规 5 2 2 2 4 2 2" xfId="20308"/>
    <cellStyle name="60% - 强调文字颜色 6 4 3 2" xfId="20309"/>
    <cellStyle name="超链接 2 2 3 2 2 3" xfId="20310"/>
    <cellStyle name="差 2 3 2 2 5" xfId="20311"/>
    <cellStyle name="40% - 强调文字颜色 5 4" xfId="20312"/>
    <cellStyle name="40% - 强调文字颜色 1 2 2 2 4 2" xfId="20313"/>
    <cellStyle name="注释 2 2 3 3 3" xfId="20314"/>
    <cellStyle name="汇总 2 2 3 2 2 6" xfId="20315"/>
    <cellStyle name="40% - 强调文字颜色 3 2 3 2 2" xfId="20316"/>
    <cellStyle name="适中 2 2 2 2 2 2 2 2" xfId="20317"/>
    <cellStyle name="计算 2 6 3 3 3 3" xfId="20318"/>
    <cellStyle name="强调文字颜色 6 2 4 3 4" xfId="20319"/>
    <cellStyle name="计算 2 4 2 2 3 3 3" xfId="20320"/>
    <cellStyle name="输入 5 2 2 2" xfId="20321"/>
    <cellStyle name="输入 2 3 2" xfId="20322"/>
    <cellStyle name="常规 10 3" xfId="20323"/>
    <cellStyle name="汇总 4 6 2 2" xfId="20324"/>
    <cellStyle name="40% - 强调文字颜色 4 2 5 3" xfId="20325"/>
    <cellStyle name="解释性文本 2 6 2 2 2" xfId="20326"/>
    <cellStyle name="标题 4 4 2 4" xfId="20327"/>
    <cellStyle name="20% - 强调文字颜色 1 3 4 2 2 2" xfId="20328"/>
    <cellStyle name="强调文字颜色 2 2 2 2 4 2 2 2" xfId="20329"/>
    <cellStyle name="20% - 强调文字颜色 5 2 2" xfId="20330"/>
    <cellStyle name="60% - 强调文字颜色 1 2 4 3 3" xfId="20331"/>
    <cellStyle name="汇总 2 5 2 2 2 2 3 2" xfId="20332"/>
    <cellStyle name="40% - 强调文字颜色 4 4 2 3 2 2 2" xfId="20333"/>
    <cellStyle name="输出 2 4 4 6" xfId="20334"/>
    <cellStyle name="汇总 2 2 4 2 2 4 2 2" xfId="20335"/>
    <cellStyle name="汇总 4 4 2 2" xfId="20336"/>
    <cellStyle name="60% - 强调文字颜色 3 2 3 3 2 2 2 2 2" xfId="20337"/>
    <cellStyle name="注释 2 5 6 2 2" xfId="20338"/>
    <cellStyle name="强调文字颜色 4 2 2 3 4 3 2" xfId="20339"/>
    <cellStyle name="标题 1 2 6 3 2" xfId="20340"/>
    <cellStyle name="警告文本 2 6 3" xfId="20341"/>
    <cellStyle name="注释 2 7 3 2 4" xfId="20342"/>
    <cellStyle name="40% - 强调文字颜色 1 2 3 3 2" xfId="20343"/>
    <cellStyle name="20% - 强调文字颜色 4 2 3 2 3 3 2" xfId="20344"/>
    <cellStyle name="汇总 2 2 7 2 2 3 2 2" xfId="20345"/>
    <cellStyle name="警告文本 2 3 5" xfId="20346"/>
    <cellStyle name="好 2 5 3 2" xfId="20347"/>
    <cellStyle name="40% - 强调文字颜色 6 2 3 4 2" xfId="20348"/>
    <cellStyle name="常规 10 3 2 3 3" xfId="20349"/>
    <cellStyle name="强调文字颜色 1 2 5 3 2 2" xfId="20350"/>
    <cellStyle name="20% - 强调文字颜色 5 2 2 2 2 2 2 2 2 2 2" xfId="20351"/>
    <cellStyle name="常规 13 4 3 2 2" xfId="20352"/>
    <cellStyle name="好 2 2 4 2 2 2" xfId="20353"/>
    <cellStyle name="输入 2 2 9 2" xfId="20354"/>
    <cellStyle name="40% - 强调文字颜色 2 2 5 2 2" xfId="20355"/>
    <cellStyle name="强调文字颜色 4 2 2 4 2 4" xfId="20356"/>
    <cellStyle name="注释 2 6 4 3" xfId="20357"/>
    <cellStyle name="标题 2 3 3 3 3" xfId="20358"/>
    <cellStyle name="60% - 强调文字颜色 6 2 3 5 2 3" xfId="20359"/>
    <cellStyle name="60% - 强调文字颜色 3 2 3 3 2 2" xfId="20360"/>
    <cellStyle name="计算 2 3 4 5 2" xfId="20361"/>
    <cellStyle name="40% - 强调文字颜色 1 2 7 3 2" xfId="20362"/>
    <cellStyle name="解释性文本 2 3 2 4 2 2" xfId="20363"/>
    <cellStyle name="常规 5 4 2 3 2 2" xfId="20364"/>
    <cellStyle name="输入 2 4 3 2 2 3" xfId="20365"/>
    <cellStyle name="20% - 强调文字颜色 4 3 2 2 2 2 2 2" xfId="20366"/>
    <cellStyle name="40% - 强调文字颜色 1 2 6 3 2" xfId="20367"/>
    <cellStyle name="解释性文本 2 3 2 3 2 2" xfId="20368"/>
    <cellStyle name="标题 2 3 2 3 3" xfId="20369"/>
    <cellStyle name="注释 2 5 4 3" xfId="20370"/>
    <cellStyle name="输出 2 2 3 2 2 9" xfId="20371"/>
    <cellStyle name="60% - 强调文字颜色 6 2 3 4 2 3" xfId="20372"/>
    <cellStyle name="好 6 2 2 2" xfId="20373"/>
    <cellStyle name="输出 2 2 4 3 3 2 2" xfId="20374"/>
    <cellStyle name="标题 4 3 2 4 2" xfId="20375"/>
    <cellStyle name="常规 4 2 2 6" xfId="20376"/>
    <cellStyle name="输入 2 4 4 2 3" xfId="20377"/>
    <cellStyle name="汇总 2 2 2 8 3" xfId="20378"/>
    <cellStyle name="输入 2 2 4 4 2 3 2" xfId="20379"/>
    <cellStyle name="60% - 强调文字颜色 3 2 3 2 3 3 2" xfId="20380"/>
    <cellStyle name="计算 3 2 2 3 2 3" xfId="20381"/>
    <cellStyle name="输入 4 6 3" xfId="20382"/>
    <cellStyle name="汇总 2 6 4 2 6" xfId="20383"/>
    <cellStyle name="输入 2 5 4 3" xfId="20384"/>
    <cellStyle name="汇总 2 2 6 3 4 2" xfId="20385"/>
    <cellStyle name="汇总 2 2 3 2 3 4 3" xfId="20386"/>
    <cellStyle name="40% - 强调文字颜色 5 2 2 2 2 2 4 3" xfId="20387"/>
    <cellStyle name="计算 2 5 5 2 4 2" xfId="20388"/>
    <cellStyle name="常规 2 2 2 8" xfId="20389"/>
    <cellStyle name="输出 2 3 4 8" xfId="20390"/>
    <cellStyle name="20% - 强调文字颜色 2 2 3 2 4 3 2 2" xfId="20391"/>
    <cellStyle name="输入 2 2 2 3 7" xfId="20392"/>
    <cellStyle name="计算 2 2 8 2 6" xfId="20393"/>
    <cellStyle name="60% - 强调文字颜色 6 2 3" xfId="20394"/>
    <cellStyle name="20% - 强调文字颜色 5 2 2 2 2 2 3 2" xfId="20395"/>
    <cellStyle name="20% - 强调文字颜色 3 2 3 2 3" xfId="20396"/>
    <cellStyle name="标题 2 3 4 2 2 2" xfId="20397"/>
    <cellStyle name="注释 2 7 3 2 2" xfId="20398"/>
    <cellStyle name="常规 3 3 3 4 3" xfId="20399"/>
    <cellStyle name="标题 4 2 9 2" xfId="20400"/>
    <cellStyle name="强调文字颜色 2 2 2 4 5" xfId="20401"/>
    <cellStyle name="好 2 4 4 2 3" xfId="20402"/>
    <cellStyle name="计算 2 3 2 3 2 2" xfId="20403"/>
    <cellStyle name="计算 2 2 4 5 9" xfId="20404"/>
    <cellStyle name="20% - 强调文字颜色 5 3 5 2 2 2" xfId="20405"/>
    <cellStyle name="汇总 2 4 11 2" xfId="20406"/>
    <cellStyle name="输出 2 2 4 2 2 3 2 2" xfId="20407"/>
    <cellStyle name="输入 2 5 2 7" xfId="20408"/>
    <cellStyle name="输入 2 2 4 2 2 2 4 2" xfId="20409"/>
    <cellStyle name="20% - 强调文字颜色 3 2 2 2 2 3" xfId="20410"/>
    <cellStyle name="40% - 强调文字颜色 2 2 2 2 4 3 2 2" xfId="20411"/>
    <cellStyle name="输出 2 5 2 2 2" xfId="20412"/>
    <cellStyle name="60% - 强调文字颜色 6 2 4 5 2" xfId="20413"/>
    <cellStyle name="警告文本 2 2 4 2" xfId="20414"/>
    <cellStyle name="60% - 强调文字颜色 1 4 4 2 2 2" xfId="20415"/>
    <cellStyle name="强调文字颜色 3 2 6 2 3" xfId="20416"/>
    <cellStyle name="60% - 强调文字颜色 3 2 3 2 2 2 2" xfId="20417"/>
    <cellStyle name="标题 4 2 3 9" xfId="20418"/>
    <cellStyle name="计算 2 3 3 5 2 2" xfId="20419"/>
    <cellStyle name="强调文字颜色 3 2 2 2 2 4 2 3" xfId="20420"/>
    <cellStyle name="40% - 强调文字颜色 3 2 2 2 2 5 2 2 2" xfId="20421"/>
    <cellStyle name="20% - 强调文字颜色 6 2 4 4 2" xfId="20422"/>
    <cellStyle name="注释 3 3 2 2 2" xfId="20423"/>
    <cellStyle name="汇总 2 6 3 3 2 2" xfId="20424"/>
    <cellStyle name="常规 10 3 2 3 4 2" xfId="20425"/>
    <cellStyle name="40% - 强调文字颜色 3 2 2 5" xfId="20426"/>
    <cellStyle name="40% - 强调文字颜色 6 2 3 4 3 2" xfId="20427"/>
    <cellStyle name="40% - 强调文字颜色 5 2 2 2 3" xfId="20428"/>
    <cellStyle name="输入 2 2 5 2 2 6 2" xfId="20429"/>
    <cellStyle name="注释 2 2 3 8" xfId="20430"/>
    <cellStyle name="输出 2 3 2 2 3 2 2" xfId="20431"/>
    <cellStyle name="汇总 2 2 5 4 4 2" xfId="20432"/>
    <cellStyle name="强调文字颜色 3 4" xfId="20433"/>
    <cellStyle name="输出 2 2 2 2 3" xfId="20434"/>
    <cellStyle name="标题 2 2 2 5 2 2 3" xfId="20435"/>
    <cellStyle name="好 2 2 2 2 4 4" xfId="20436"/>
    <cellStyle name="常规 3 7 3" xfId="20437"/>
    <cellStyle name="输入 2 2 4 3 2 2 3" xfId="20438"/>
    <cellStyle name="警告文本 2 2 3 6 2" xfId="20439"/>
    <cellStyle name="20% - 强调文字颜色 2 2 2 2 2 2 2 2" xfId="20440"/>
    <cellStyle name="20% - 强调文字颜色 3 3 3 2 2 2 2" xfId="20441"/>
    <cellStyle name="注释 2 4 3 9" xfId="20442"/>
    <cellStyle name="强调文字颜色 4 5" xfId="20443"/>
    <cellStyle name="输出 2 2 2 3 4" xfId="20444"/>
    <cellStyle name="常规 7 4 3 2 2 2" xfId="20445"/>
    <cellStyle name="标题 5 2 6 3" xfId="20446"/>
    <cellStyle name="注释 2 5 3 5 2" xfId="20447"/>
    <cellStyle name="计算 2 5 4 10" xfId="20448"/>
    <cellStyle name="计算 2 7 2 3" xfId="20449"/>
    <cellStyle name="计算 2 2 5 2 2 9" xfId="20450"/>
    <cellStyle name="检查单元格 3 3" xfId="20451"/>
    <cellStyle name="20% - 强调文字颜色 2 2 3 5 2" xfId="20452"/>
    <cellStyle name="标题 5 2 10" xfId="20453"/>
    <cellStyle name="汇总 3 2 2 2 2 2 2" xfId="20454"/>
    <cellStyle name="标题 4 2 9" xfId="20455"/>
    <cellStyle name="计算 2 2 9 3 3 3" xfId="20456"/>
    <cellStyle name="输出 2 5 4 3 3" xfId="20457"/>
    <cellStyle name="40% - 强调文字颜色 2 2 2 2 3 2 2 2 2" xfId="20458"/>
    <cellStyle name="计算 2 2 3 4 5" xfId="20459"/>
    <cellStyle name="60% - 强调文字颜色 1 4 2" xfId="20460"/>
    <cellStyle name="40% - 强调文字颜色 4 4 3 2 2 2" xfId="20461"/>
    <cellStyle name="输入 2 2 4 4 4 2 2" xfId="20462"/>
    <cellStyle name="60% - 强调文字颜色 3 2 3 2 5 2 2" xfId="20463"/>
    <cellStyle name="60% - 强调文字颜色 4 2 3 2 4 3 2" xfId="20464"/>
    <cellStyle name="计算 2 2 7 4 2 2 2" xfId="20465"/>
    <cellStyle name="标题 3 3 2 2 2 2" xfId="20466"/>
    <cellStyle name="标题 3 2 3 2 2 2" xfId="20467"/>
    <cellStyle name="60% - 强调文字颜色 4 2 2 3 4 3 2" xfId="20468"/>
    <cellStyle name="计算 2 2 6 5 2 2 2" xfId="20469"/>
    <cellStyle name="计算 2 3 10" xfId="20470"/>
    <cellStyle name="汇总 2 2 4 7 3" xfId="20471"/>
    <cellStyle name="标题 7 3 3" xfId="20472"/>
    <cellStyle name="计算 2 2 2 2 6" xfId="20473"/>
    <cellStyle name="链接单元格 3 2 3" xfId="20474"/>
    <cellStyle name="20% - 强调文字颜色 5 2 2 2 3 2 2 2 2" xfId="20475"/>
    <cellStyle name="40% - 强调文字颜色 6 4 2 3 2" xfId="20476"/>
    <cellStyle name="常规 6 3 5 2" xfId="20477"/>
    <cellStyle name="链接单元格 2 2 4 5 2 2" xfId="20478"/>
    <cellStyle name="适中 2 2 2 2 2 2 2 2 2" xfId="20479"/>
    <cellStyle name="注释 2 2 3 3 3 2" xfId="20480"/>
    <cellStyle name="40% - 强调文字颜色 3 2 3 2 2 2" xfId="20481"/>
    <cellStyle name="汇总 2 2 3 2 2 6 2" xfId="20482"/>
    <cellStyle name="常规 3 2 2 4 2 2" xfId="20483"/>
    <cellStyle name="好 4 2" xfId="20484"/>
    <cellStyle name="40% - 强调文字颜色 5 2 3 2 2 2" xfId="20485"/>
    <cellStyle name="汇总 2 2 4 2 6 5" xfId="20486"/>
    <cellStyle name="20% - 强调文字颜色 1 2 2 2 2 2 4 3" xfId="20487"/>
    <cellStyle name="40% - 强调文字颜色 4 2 2 2 2 4" xfId="20488"/>
    <cellStyle name="好 2 3 3 2 2 2" xfId="20489"/>
    <cellStyle name="解释性文本 2 2 3 6" xfId="20490"/>
    <cellStyle name="60% - 强调文字颜色 3 2 2 9" xfId="20491"/>
    <cellStyle name="计算 2 7 5 3" xfId="20492"/>
    <cellStyle name="注释 2 4 2 3 2 2 2 2" xfId="20493"/>
    <cellStyle name="40% - 强调文字颜色 4 2 3 2 3 2" xfId="20494"/>
    <cellStyle name="计算 2 4 3 2 5" xfId="20495"/>
    <cellStyle name="输出 2 2 7 3 5" xfId="20496"/>
    <cellStyle name="输出 2 2 4 2 6 3" xfId="20497"/>
    <cellStyle name="常规 7 3 2 3" xfId="20498"/>
    <cellStyle name="20% - 强调文字颜色 1 2 10 2" xfId="20499"/>
    <cellStyle name="20% - 强调文字颜色 4 2 2 8 2" xfId="20500"/>
    <cellStyle name="20% - 强调文字颜色 6 2 3 2 2 4 2" xfId="20501"/>
    <cellStyle name="常规 14 3 2 2 2" xfId="20502"/>
    <cellStyle name="20% - 强调文字颜色 2 6 2 2 2" xfId="20503"/>
    <cellStyle name="强调文字颜色 2 2 3 5 2 2 2" xfId="20504"/>
    <cellStyle name="输入 2 2 4 2 14" xfId="20505"/>
    <cellStyle name="20% - 强调文字颜色 1 2 2 5" xfId="20506"/>
    <cellStyle name="汇总 2 2 4 3 2 8" xfId="20507"/>
    <cellStyle name="常规 3 2 4 3 3 2 2" xfId="20508"/>
    <cellStyle name="汇总 2 2 2 3 4" xfId="20509"/>
    <cellStyle name="差 2 2 3 3 3" xfId="20510"/>
    <cellStyle name="注释 2 2 7 2" xfId="20511"/>
    <cellStyle name="20% - 强调文字颜色 4 6 2 2" xfId="20512"/>
    <cellStyle name="输入 2 6 2 5 2" xfId="20513"/>
    <cellStyle name="计算 2 2 4 2 2 2 4 2 2" xfId="20514"/>
    <cellStyle name="60% - 强调文字颜色 1 2 3 7" xfId="20515"/>
    <cellStyle name="好 2 2 2 2 2 3 2" xfId="20516"/>
    <cellStyle name="20% - 强调文字颜色 5 3 2 2 3 2 2" xfId="20517"/>
    <cellStyle name="强调文字颜色 5 2 2 6 3 2 2" xfId="20518"/>
    <cellStyle name="输入 2 3 3 7" xfId="20519"/>
    <cellStyle name="说明文本 2" xfId="20520"/>
    <cellStyle name="强调文字颜色 4 3 4 3" xfId="20521"/>
    <cellStyle name="汇总 2 4 2 2 5 3" xfId="20522"/>
    <cellStyle name="20% - 强调文字颜色 3 3 2" xfId="20523"/>
    <cellStyle name="60% - 强调文字颜色 1 2 2 4 3" xfId="20524"/>
    <cellStyle name="强调文字颜色 2 2 4 2 2" xfId="20525"/>
    <cellStyle name="强调文字颜色 4 2 4 6" xfId="20526"/>
    <cellStyle name="60% - 强调文字颜色 4 2 2 3 2 2 2 2 2" xfId="20527"/>
    <cellStyle name="汇总 2 2 4 2 8 2" xfId="20528"/>
    <cellStyle name="计算 4" xfId="20529"/>
    <cellStyle name="60% - 强调文字颜色 6 2 3 4" xfId="20530"/>
    <cellStyle name="计算 2 3 10 2" xfId="20531"/>
    <cellStyle name="警告文本 2 2 5 2 3" xfId="20532"/>
    <cellStyle name="警告文本 2 4 2" xfId="20533"/>
    <cellStyle name="输入 2 2 6 2 2 3" xfId="20534"/>
    <cellStyle name="链接单元格 2 2 4 3 2" xfId="20535"/>
    <cellStyle name="输出 7 2 2" xfId="20536"/>
    <cellStyle name="20% - 强调文字颜色 3 2 2 2 2 3 3 2" xfId="20537"/>
    <cellStyle name="强调文字颜色 5 3 5 2" xfId="20538"/>
    <cellStyle name="汇总 2 4 3 2 3" xfId="20539"/>
    <cellStyle name="适中 2 4 7" xfId="20540"/>
    <cellStyle name="差 2 4 4 2 2" xfId="20541"/>
    <cellStyle name="60% - 强调文字颜色 4 3 2 2 2 2" xfId="20542"/>
    <cellStyle name="60% - 强调文字颜色 6 2 4 3" xfId="20543"/>
    <cellStyle name="输入 2 2 4 2 2 3 2" xfId="20544"/>
    <cellStyle name="常规 5 2 3 3 2 2 2" xfId="20545"/>
    <cellStyle name="标题 4 3 5 2 3" xfId="20546"/>
    <cellStyle name="注释 2 2 3 2 3 2 3 2" xfId="20547"/>
    <cellStyle name="输入 2 2 6 3 2 2" xfId="20548"/>
    <cellStyle name="计算 2 5 2 6 2" xfId="20549"/>
    <cellStyle name="注释 4 2 7" xfId="20550"/>
    <cellStyle name="注释 2 4 2 2 3" xfId="20551"/>
    <cellStyle name="20% - 强调文字颜色 6 6 2" xfId="20552"/>
    <cellStyle name="标题 5 2 2 2 4 3 2" xfId="20553"/>
    <cellStyle name="强调文字颜色 1 2 4 9" xfId="20554"/>
    <cellStyle name="计算 2 2 5 3 2 2" xfId="20555"/>
    <cellStyle name="计算 2 5 5 2 5" xfId="20556"/>
    <cellStyle name="标题 4 2 3 2 4 3" xfId="20557"/>
    <cellStyle name="警告文本 2 2 2" xfId="20558"/>
    <cellStyle name="百分比 2 2 2 2 3 2" xfId="20559"/>
    <cellStyle name="40% - 强调文字颜色 3 2 2 6 3 2" xfId="20560"/>
    <cellStyle name="常规 5 4 2 5 3" xfId="20561"/>
    <cellStyle name="常规 5 2 2 2 2 3 3" xfId="20562"/>
    <cellStyle name="汇总 2 4 2 2 6 2" xfId="20563"/>
    <cellStyle name="标题 3 2 2 2 4 3 2" xfId="20564"/>
    <cellStyle name="输入 2 2 6 5 2" xfId="20565"/>
    <cellStyle name="计算 2 5 4 6" xfId="20566"/>
    <cellStyle name="常规 4 4 3 2 2 2" xfId="20567"/>
    <cellStyle name="输入 2 2 6 7" xfId="20568"/>
    <cellStyle name="强调文字颜色 4 2 7 3" xfId="20569"/>
    <cellStyle name="常规 5 2 3 3 6" xfId="20570"/>
    <cellStyle name="40% - 强调文字颜色 3 2 3 2 5 2 2 2" xfId="20571"/>
    <cellStyle name="适中 2 2 2 2 4 2 3" xfId="20572"/>
    <cellStyle name="20% - 强调文字颜色 3 2 3 4" xfId="20573"/>
    <cellStyle name="汇总 2 2 5 4 2 4" xfId="20574"/>
    <cellStyle name="输入 2 2 2 4 6" xfId="20575"/>
    <cellStyle name="计算 2 2 8 3 5" xfId="20576"/>
    <cellStyle name="60% - 强调文字颜色 6 3 2" xfId="20577"/>
    <cellStyle name="20% - 强调文字颜色 6 2 3 4 2" xfId="20578"/>
    <cellStyle name="40% - 强调文字颜色 6 2 3 3 2 2 2 2" xfId="20579"/>
    <cellStyle name="40% - 强调文字颜色 4 2 3 2 4 3 2" xfId="20580"/>
    <cellStyle name="40% - 强调文字颜色 6 2 2 2 2 4 2" xfId="20581"/>
    <cellStyle name="常规 4 3 4 2 4 2" xfId="20582"/>
    <cellStyle name="60% - 强调文字颜色 2 5 2 2 2" xfId="20583"/>
    <cellStyle name="计算 2 2 4 5 5 2 2" xfId="20584"/>
    <cellStyle name="20% - 强调文字颜色 6 2 2 4 2 3 2" xfId="20585"/>
    <cellStyle name="适中 3 13" xfId="20586"/>
    <cellStyle name="计算 2 2 5 4 2 4 3" xfId="20587"/>
    <cellStyle name="输出 2 4 3 2 2 4" xfId="20588"/>
    <cellStyle name="20% - 强调文字颜色 2 4 2 3 2 2" xfId="20589"/>
    <cellStyle name="好 2 3 2 3 3 2" xfId="20590"/>
    <cellStyle name="计算 2 6 2 11" xfId="20591"/>
    <cellStyle name="汇总 2 2 10 4 2" xfId="20592"/>
    <cellStyle name="20% - 强调文字颜色 5 2 2 2 2 2 5" xfId="20593"/>
    <cellStyle name="常规 4 2 3 2 4" xfId="20594"/>
    <cellStyle name="标题 4 2 2 4 4 3" xfId="20595"/>
    <cellStyle name="检查单元格 2 2 2 3 6" xfId="20596"/>
    <cellStyle name="输出 2 9 2 2" xfId="20597"/>
    <cellStyle name="超链接 2 3 2 2 3 2" xfId="20598"/>
    <cellStyle name="60% - 强调文字颜色 3 2 2 4 3 2 2 2" xfId="20599"/>
    <cellStyle name="强调文字颜色 4 2 4 2 2 2 2 2" xfId="20600"/>
    <cellStyle name="强调文字颜色 5 2 3 2 3 3 2" xfId="20601"/>
    <cellStyle name="输入 2 7 2 2 7" xfId="20602"/>
    <cellStyle name="输出 3 2 2 6 2" xfId="20603"/>
    <cellStyle name="20% - 强调文字颜色 1 2 2 2 5 2 2" xfId="20604"/>
    <cellStyle name="强调文字颜色 4 2 2 3 9" xfId="20605"/>
    <cellStyle name="计算 2 6 2 2 2 4 3" xfId="20606"/>
    <cellStyle name="标题 4 2 3 4" xfId="20607"/>
    <cellStyle name="输入 2 2 8 2 2" xfId="20608"/>
    <cellStyle name="警告文本 2 2 2 2 4 3" xfId="20609"/>
    <cellStyle name="40% - 强调文字颜色 1 4 2 4" xfId="20610"/>
    <cellStyle name="60% - 强调文字颜色 1 2 4 4 2" xfId="20611"/>
    <cellStyle name="汇总 2 3 3 2 3 3" xfId="20612"/>
    <cellStyle name="汇总 2 2 2 2 4 2 2" xfId="20613"/>
    <cellStyle name="强调文字颜色 2 2 2 3 3 3 2" xfId="20614"/>
    <cellStyle name="计算 2 6 3 5 3" xfId="20615"/>
    <cellStyle name="60% - 强调文字颜色 5 4 2 3 2 2" xfId="20616"/>
    <cellStyle name="强调文字颜色 2 2 2 4 2 2 3" xfId="20617"/>
    <cellStyle name="注释 2 2 2 3 7" xfId="20618"/>
    <cellStyle name="60% - 强调文字颜色 5 2 2 6 2 2 2" xfId="20619"/>
    <cellStyle name="40% - 强调文字颜色 3 2 2 2 6" xfId="20620"/>
    <cellStyle name="常规 12 2 2 2 3 2" xfId="20621"/>
    <cellStyle name="输出 2 2 6 5 2 2" xfId="20622"/>
    <cellStyle name="计算 2 4 2 4 2 2" xfId="20623"/>
    <cellStyle name="输入 2 4 8 2" xfId="20624"/>
    <cellStyle name="计算 2 2 4 2 9 2" xfId="20625"/>
    <cellStyle name="60% - 强调文字颜色 2 2 6 2" xfId="20626"/>
    <cellStyle name="计算 2 2 2 2 2 6 2" xfId="20627"/>
    <cellStyle name="强调文字颜色 5 2 2 2 2 4 3 2" xfId="20628"/>
    <cellStyle name="汇总 2 7 2 2 2 2 2 2" xfId="20629"/>
    <cellStyle name="20% - 强调文字颜色 1 2 3 4 2 2 2" xfId="20630"/>
    <cellStyle name="40% - 强调文字颜色 5 2 3 4" xfId="20631"/>
    <cellStyle name="输出 2 2 2 2 2 3 2 2" xfId="20632"/>
    <cellStyle name="20% - 强调文字颜色 3 3 5 2 2 2" xfId="20633"/>
    <cellStyle name="常规 3 7 2 3 2 2" xfId="20634"/>
    <cellStyle name="常规 11 4 2" xfId="20635"/>
    <cellStyle name="汇总 2 7 9" xfId="20636"/>
    <cellStyle name="标题 5 3 2 4 3" xfId="20637"/>
    <cellStyle name="60% - 强调文字颜色 3 2 2 2 2 2 3" xfId="20638"/>
    <cellStyle name="20% - 强调文字颜色 5 3 4" xfId="20639"/>
    <cellStyle name="20% - 强调文字颜色 5 2 4 4 3" xfId="20640"/>
    <cellStyle name="警告文本 2 3 5 2" xfId="20641"/>
    <cellStyle name="好 2 5 3 2 2" xfId="20642"/>
    <cellStyle name="注释 2 4 2 3 4 2 2" xfId="20643"/>
    <cellStyle name="汇总 2 8 5" xfId="20644"/>
    <cellStyle name="20% - 强调文字颜色 3 2 4 5 2 2" xfId="20645"/>
    <cellStyle name="警告文本 2 2 2 2 2 2" xfId="20646"/>
    <cellStyle name="常规 13 2 2 2 2" xfId="20647"/>
    <cellStyle name="汇总 4 4 2 2 2" xfId="20648"/>
    <cellStyle name="常规 5 3 4 5" xfId="20649"/>
    <cellStyle name="20% - 强调文字颜色 5 2 2 2 6 2 2 2" xfId="20650"/>
    <cellStyle name="汇总 2 2 3 3 4 2 2" xfId="20651"/>
    <cellStyle name="常规 3 4 3 2 2" xfId="20652"/>
    <cellStyle name="链接单元格 2 2 5 2" xfId="20653"/>
    <cellStyle name="常规 4 5 5 2" xfId="20654"/>
    <cellStyle name="40% - 强调文字颜色 6 2 4 3 2" xfId="20655"/>
    <cellStyle name="标题 1 2 3 3 6" xfId="20656"/>
    <cellStyle name="强调文字颜色 1 3 3 3" xfId="20657"/>
    <cellStyle name="注释 2 2 15" xfId="20658"/>
    <cellStyle name="40% - 强调文字颜色 4 2 2 6 2" xfId="20659"/>
    <cellStyle name="输出 2 2 5 2 2 6" xfId="20660"/>
    <cellStyle name="Normal 3 2 2" xfId="20661"/>
    <cellStyle name="20% - 强调文字颜色 4 2 2 3 4 3" xfId="20662"/>
    <cellStyle name="输出 2 4 2 2 2 2 3 2" xfId="20663"/>
    <cellStyle name="输出 2 4 2 2 9" xfId="20664"/>
    <cellStyle name="计算 2 2 9 3 3 2" xfId="20665"/>
    <cellStyle name="标题 4 2 8" xfId="20666"/>
    <cellStyle name="40% - 强调文字颜色 3 6 2 2" xfId="20667"/>
    <cellStyle name="40% - 强调文字颜色 1 3 2 5 2" xfId="20668"/>
    <cellStyle name="计算 2 5 3 2 2 6" xfId="20669"/>
    <cellStyle name="强调文字颜色 5 2 3 2 7" xfId="20670"/>
    <cellStyle name="注释 2 2 7 4 5" xfId="20671"/>
    <cellStyle name="检查单元格 2 3 2 6" xfId="20672"/>
    <cellStyle name="计算 2 2 2 4 2 2 3" xfId="20673"/>
    <cellStyle name="标题 5 3 4 3 2" xfId="20674"/>
    <cellStyle name="40% - 强调文字颜色 2 2 4 4 2 2" xfId="20675"/>
    <cellStyle name="汇总 2 5 2 2 3 5 2" xfId="20676"/>
    <cellStyle name="链接单元格 2 4 4 2" xfId="20677"/>
    <cellStyle name="常规 10 2 2 2 2 2" xfId="20678"/>
    <cellStyle name="解释性文本 2 2 7" xfId="20679"/>
    <cellStyle name="标题 2 2 4 3 3" xfId="20680"/>
    <cellStyle name="60% - 强调文字颜色 3 2 2 4 2 2" xfId="20681"/>
    <cellStyle name="计算 2 2 5 5 2" xfId="20682"/>
    <cellStyle name="强调文字颜色 2 2 2 5 3 2 2" xfId="20683"/>
    <cellStyle name="强调文字颜色 4 2 3 2 2" xfId="20684"/>
    <cellStyle name="输入 2 2 2 6 2" xfId="20685"/>
    <cellStyle name="标题 1 2 2 2 2 3 3 3" xfId="20686"/>
    <cellStyle name="警告文本 2 3 2 5 2" xfId="20687"/>
    <cellStyle name="20% - 强调文字颜色 3 2 2 4 4" xfId="20688"/>
    <cellStyle name="60% - 强调文字颜色 4 2 6 3 2 2" xfId="20689"/>
    <cellStyle name="汇总 2 3 4 3 2 2" xfId="20690"/>
    <cellStyle name="计算 2 2 2 4 2 6" xfId="20691"/>
    <cellStyle name="输入 2 2 4 2 3 5 3" xfId="20692"/>
    <cellStyle name="强调文字颜色 1 2 4 6" xfId="20693"/>
    <cellStyle name="注释 4 2 4" xfId="20694"/>
    <cellStyle name="输入 2 8 2 2" xfId="20695"/>
    <cellStyle name="40% - 强调文字颜色 5 2 2 2 2 5 2 2" xfId="20696"/>
    <cellStyle name="汇总 2 2 5 3 2 4" xfId="20697"/>
    <cellStyle name="40% - 强调文字颜色 3 2 2 2 3 2 2 2 2 2" xfId="20698"/>
    <cellStyle name="输入 2 2 4 3 2" xfId="20699"/>
    <cellStyle name="计算 2 3 2 6" xfId="20700"/>
    <cellStyle name="40% - 强调文字颜色 4 2 2 2 3 5" xfId="20701"/>
    <cellStyle name="标题 1 2 6 2 2 2" xfId="20702"/>
    <cellStyle name="强调文字颜色 4 2 2 3 4 2 2 2" xfId="20703"/>
    <cellStyle name="常规 10 3 6" xfId="20704"/>
    <cellStyle name="超链接 2 2 3 2 2 2 2" xfId="20705"/>
    <cellStyle name="常规 11 2 3" xfId="20706"/>
    <cellStyle name="标题 5 3 2 2 4" xfId="20707"/>
    <cellStyle name="40% - 强调文字颜色 5 2 9" xfId="20708"/>
    <cellStyle name="输入 2 2 3 4 7" xfId="20709"/>
    <cellStyle name="60% - 强调文字颜色 3 2 2 2 8" xfId="20710"/>
    <cellStyle name="40% - 强调文字颜色 5 2 2 2 6 2" xfId="20711"/>
    <cellStyle name="计算 2 11" xfId="20712"/>
    <cellStyle name="40% - 强调文字颜色 3 2 2 2 2 5" xfId="20713"/>
    <cellStyle name="标题 1 2 2 2 2 2" xfId="20714"/>
    <cellStyle name="60% - 强调文字颜色 2 2 3" xfId="20715"/>
    <cellStyle name="计算 2 2 4 2 6" xfId="20716"/>
    <cellStyle name="20% - 强调文字颜色 3 2 3 2 4 2" xfId="20717"/>
    <cellStyle name="输入 2 2 2 2 9" xfId="20718"/>
    <cellStyle name="20% - 强调文字颜色 2 2 2 2 4 3 2" xfId="20719"/>
    <cellStyle name="20% - 强调文字颜色 2 2 2 2 3 5" xfId="20720"/>
    <cellStyle name="标题 1 2 2 2 3 2 2" xfId="20721"/>
    <cellStyle name="60% - 强调文字颜色 3 2 2 2 7 2" xfId="20722"/>
    <cellStyle name="标题 2 2 2 8 3" xfId="20723"/>
    <cellStyle name="强调文字颜色 5 2 2 2 2 2" xfId="20724"/>
    <cellStyle name="汇总 2 3 6" xfId="20725"/>
    <cellStyle name="计算 2 2 13 2" xfId="20726"/>
    <cellStyle name="60% - 强调文字颜色 3 2 3 3 4" xfId="20727"/>
    <cellStyle name="计算 2 3 4 7" xfId="20728"/>
    <cellStyle name="标题 3 2 2 2 2 3 3" xfId="20729"/>
    <cellStyle name="输入 2 2 4 5 3" xfId="20730"/>
    <cellStyle name="计算 2 2 5 8 3" xfId="20731"/>
    <cellStyle name="常规 9 2 3 2 2" xfId="20732"/>
    <cellStyle name="检查单元格 2 6 3 2" xfId="20733"/>
    <cellStyle name="20% - 强调文字颜色 4 2 5 4 2 2" xfId="20734"/>
    <cellStyle name="检查单元格 2 3 6" xfId="20735"/>
    <cellStyle name="20% - 强调文字颜色 4 2 2 2 6 2" xfId="20736"/>
    <cellStyle name="汇总 4 4 2 3" xfId="20737"/>
    <cellStyle name="计算 3 2 4 4 2" xfId="20738"/>
    <cellStyle name="输出 2 2 4 2 7" xfId="20739"/>
    <cellStyle name="60% - 强调文字颜色 1 3 2 3 2 2" xfId="20740"/>
    <cellStyle name="输入 2 2 3 2 2 8" xfId="20741"/>
    <cellStyle name="40% - 强调文字颜色 2 2 2 2 2 5 2 2" xfId="20742"/>
    <cellStyle name="输出 2 3 4 2 2" xfId="20743"/>
    <cellStyle name="常规 2 2 2 2 2" xfId="20744"/>
    <cellStyle name="计算 2 2 9 2 2 2" xfId="20745"/>
    <cellStyle name="计算 2 2 2 3 6" xfId="20746"/>
    <cellStyle name="20% - 强调文字颜色 2 2 2 2 6 2 2" xfId="20747"/>
    <cellStyle name="60% - 强调文字颜色 3 2 2 2 5 2 2 2" xfId="20748"/>
    <cellStyle name="常规 5 2 3 2 5 3" xfId="20749"/>
    <cellStyle name="计算 2 2 3 8 2 2" xfId="20750"/>
    <cellStyle name="输入 2 2 3 4 4 2 2" xfId="20751"/>
    <cellStyle name="60% - 强调文字颜色 3 2 2 2 5 2 2" xfId="20752"/>
    <cellStyle name="适中 2 2 2 3 5" xfId="20753"/>
    <cellStyle name="百分比 2 2 2 4 2 3" xfId="20754"/>
    <cellStyle name="Normal 2 2 4 2" xfId="20755"/>
    <cellStyle name="60% - 强调文字颜色 5 2 4 3 3 2" xfId="20756"/>
    <cellStyle name="60% - 强调文字颜色 1 2 3 4 3 2" xfId="20757"/>
    <cellStyle name="强调文字颜色 2 2 5 2 2 2" xfId="20758"/>
    <cellStyle name="20% - 强调文字颜色 4 3 2 2" xfId="20759"/>
    <cellStyle name="标题 2 2 7 2 3" xfId="20760"/>
    <cellStyle name="60% - 强调文字颜色 1 2 2 2 3 2" xfId="20761"/>
    <cellStyle name="计算 2 2 9 3 3 2 2" xfId="20762"/>
    <cellStyle name="标题 4 2 8 2" xfId="20763"/>
    <cellStyle name="20% - 强调文字颜色 1 4 5" xfId="20764"/>
    <cellStyle name="强调文字颜色 2 2 2 3 5" xfId="20765"/>
    <cellStyle name="60% - 强调文字颜色 4 2 2 2 4 3 2" xfId="20766"/>
    <cellStyle name="计算 2 2 6 4 2 2 2" xfId="20767"/>
    <cellStyle name="标题 3 2 2 2 2 2" xfId="20768"/>
    <cellStyle name="输入 2 2 4 4" xfId="20769"/>
    <cellStyle name="输入 2 2 5 2 8" xfId="20770"/>
    <cellStyle name="汇总 2 5 2 10" xfId="20771"/>
    <cellStyle name="常规 5 4 2 3 4 2" xfId="20772"/>
    <cellStyle name="强调文字颜色 4 2 2 2 5 2 2" xfId="20773"/>
    <cellStyle name="警告文本 2 2 2 6" xfId="20774"/>
    <cellStyle name="汇总 2 3 3 3 3" xfId="20775"/>
    <cellStyle name="20% - 强调文字颜色 5 2 2 4 2 3" xfId="20776"/>
    <cellStyle name="标题 2 3 3" xfId="20777"/>
    <cellStyle name="输出 2 2 5 3 3 3" xfId="20778"/>
    <cellStyle name="60% - 强调文字颜色 6 2 2 4 2" xfId="20779"/>
    <cellStyle name="链接单元格 2 6 2 2 2" xfId="20780"/>
    <cellStyle name="60% - 强调文字颜色 4 2 2 4 2 2" xfId="20781"/>
    <cellStyle name="常规 9 3 7 2" xfId="20782"/>
    <cellStyle name="常规 5 2 3 2 2" xfId="20783"/>
    <cellStyle name="输入 2 2 5 3" xfId="20784"/>
    <cellStyle name="汇总 2 3 2 2 2 2 5" xfId="20785"/>
    <cellStyle name="强调文字颜色 5 2 4 4 2 2 2" xfId="20786"/>
    <cellStyle name="60% - 强调文字颜色 4 2 2 6 3 2 2" xfId="20787"/>
    <cellStyle name="标题 1 2 2 3 4 2 2" xfId="20788"/>
    <cellStyle name="标题 6 2 2 3 3" xfId="20789"/>
    <cellStyle name="强调文字颜色 5 2 2 3 7" xfId="20790"/>
    <cellStyle name="适中 2 2 2 2 5 2 2" xfId="20791"/>
    <cellStyle name="输出 2 3 2 2 5 2 2" xfId="20792"/>
    <cellStyle name="注释 2 4 3 8" xfId="20793"/>
    <cellStyle name="汇总 2 2 5 2 2 5 2 2" xfId="20794"/>
    <cellStyle name="注释 2 4 3 3 2 2 2" xfId="20795"/>
    <cellStyle name="计算 2 5 14" xfId="20796"/>
    <cellStyle name="注释 2 2 6 2 6" xfId="20797"/>
    <cellStyle name="20% - 强调文字颜色 1 2 2 2 2 4 2 2 2" xfId="20798"/>
    <cellStyle name="输入 2 3 3 2 2" xfId="20799"/>
    <cellStyle name="标题 3 2 6" xfId="20800"/>
    <cellStyle name="计算 2 4 3 3 3 3" xfId="20801"/>
    <cellStyle name="强调文字颜色 4 2 4 3 4" xfId="20802"/>
    <cellStyle name="计算 2 2 6 8" xfId="20803"/>
    <cellStyle name="无色 2 2 3" xfId="20804"/>
    <cellStyle name="解释性文本 2 2 3 5 3" xfId="20805"/>
    <cellStyle name="标题 1 2 3 6 2 2 2" xfId="20806"/>
    <cellStyle name="注释 2 9 4 2" xfId="20807"/>
    <cellStyle name="20% - 强调文字颜色 6 2 4 3 2" xfId="20808"/>
    <cellStyle name="汇总 2 2 5 7 2 2" xfId="20809"/>
    <cellStyle name="注释 2 7 2 3 2 2" xfId="20810"/>
    <cellStyle name="检查单元格 2 3 2 6 2" xfId="20811"/>
    <cellStyle name="汇总 3 2 2 2" xfId="20812"/>
    <cellStyle name="常规 3 7 3 2" xfId="20813"/>
    <cellStyle name="汇总 2 4 3 2 4" xfId="20814"/>
    <cellStyle name="适中 2 4 8" xfId="20815"/>
    <cellStyle name="标题 2 2 2 5 2 3" xfId="20816"/>
    <cellStyle name="汇总 3 2 2 4 2" xfId="20817"/>
    <cellStyle name="常规 3 8" xfId="20818"/>
    <cellStyle name="链接单元格 2 2 7 3" xfId="20819"/>
    <cellStyle name="汇总 3 2 2 2 6" xfId="20820"/>
    <cellStyle name="60% - 强调文字颜色 6 2 2 3 3 3 2" xfId="20821"/>
    <cellStyle name="计算 2 5 2 2 2 4 3" xfId="20822"/>
    <cellStyle name="标题 1 2 3 3 2 2 2 2" xfId="20823"/>
    <cellStyle name="链接单元格 2 2 2 5" xfId="20824"/>
    <cellStyle name="超链接 2 2 3 2 4" xfId="20825"/>
    <cellStyle name="强调文字颜色 5 3 3 3 2" xfId="20826"/>
    <cellStyle name="检查单元格 4" xfId="20827"/>
    <cellStyle name="计算 2 7 3" xfId="20828"/>
    <cellStyle name="60% - 强调文字颜色 6 2 2 2 2 3 2" xfId="20829"/>
    <cellStyle name="注释 2 2 5 2 4" xfId="20830"/>
    <cellStyle name="40% - 强调文字颜色 5 2 2 5 2 2" xfId="20831"/>
    <cellStyle name="检查单元格 2 2 5 3" xfId="20832"/>
    <cellStyle name="注释 2 2 6 7 2" xfId="20833"/>
    <cellStyle name="40% - 强调文字颜色 6 2 5" xfId="20834"/>
    <cellStyle name="20% - 强调文字颜色 1 2 3 2 5 2 2 2" xfId="20835"/>
    <cellStyle name="标题 2 4 2 2" xfId="20836"/>
    <cellStyle name="20% - 强调文字颜色 5 2 2 4 3 2 2" xfId="20837"/>
    <cellStyle name="注释 3 5 3" xfId="20838"/>
    <cellStyle name="60% - 强调文字颜色 6 2 3 6 2 2 2" xfId="20839"/>
    <cellStyle name="40% - 强调文字颜色 2 2 4 4 2" xfId="20840"/>
    <cellStyle name="注释 2 5 6 3" xfId="20841"/>
    <cellStyle name="常规 13 4 2 4 2" xfId="20842"/>
    <cellStyle name="计算 2 5 2 2 2 2 2" xfId="20843"/>
    <cellStyle name="常规 2 2 4 3 2 2 2" xfId="20844"/>
    <cellStyle name="标题 5 3 2 2" xfId="20845"/>
    <cellStyle name="超链接 2 3 9" xfId="20846"/>
    <cellStyle name="常规 6 3 4 3 2" xfId="20847"/>
    <cellStyle name="解释性文本 2 3 4 2 3" xfId="20848"/>
    <cellStyle name="60% - 强调文字颜色 3 2 2 10" xfId="20849"/>
    <cellStyle name="常规 6 2 2 2 4 2" xfId="20850"/>
    <cellStyle name="输入 2 6 2 2 7" xfId="20851"/>
    <cellStyle name="注释 2 2 4 7" xfId="20852"/>
    <cellStyle name="40% - 强调文字颜色 5 2 2 3 2" xfId="20853"/>
    <cellStyle name="输出 2 7 8 2" xfId="20854"/>
    <cellStyle name="强调文字颜色 1 2 3 5 2 2" xfId="20855"/>
    <cellStyle name="20% - 强调文字颜色 2 2 2 3 2 2 2 2" xfId="20856"/>
    <cellStyle name="常规 11 6 2" xfId="20857"/>
    <cellStyle name="汇总 2 9 9" xfId="20858"/>
    <cellStyle name="计算 2 5 2 3 10" xfId="20859"/>
    <cellStyle name="输出 2 2 2 2 2 2 4 2" xfId="20860"/>
    <cellStyle name="60% - 强调文字颜色 2 2 2 2 2 3 3 2 2" xfId="20861"/>
    <cellStyle name="20% - 强调文字颜色 4 2 4 4 2" xfId="20862"/>
    <cellStyle name="强调文字颜色 1 2 2 6 2" xfId="20863"/>
    <cellStyle name="标题 4 2 2 8" xfId="20864"/>
    <cellStyle name="60% - 强调文字颜色 2 2 4 3 3" xfId="20865"/>
    <cellStyle name="百分比 2 3 2 2 3" xfId="20866"/>
    <cellStyle name="常规 5 3 4 2 3 2" xfId="20867"/>
    <cellStyle name="差 2 10" xfId="20868"/>
    <cellStyle name="注释 2 5 2 2 5" xfId="20869"/>
    <cellStyle name="60% - 强调文字颜色 2 5" xfId="20870"/>
    <cellStyle name="60% - 强调文字颜色 6 2 10" xfId="20871"/>
    <cellStyle name="输入 2 5 8 2" xfId="20872"/>
    <cellStyle name="常规 2 2 3 7" xfId="20873"/>
    <cellStyle name="输入 2 2 6 2 2" xfId="20874"/>
    <cellStyle name="20% - 强调文字颜色 5 3 3 4 2" xfId="20875"/>
    <cellStyle name="标题 3 3 2 2 2 2 2" xfId="20876"/>
    <cellStyle name="计算 2 3 2 5 3" xfId="20877"/>
    <cellStyle name="20% - 强调文字颜色 4 2 2 2 2 2 4 2 2 2" xfId="20878"/>
    <cellStyle name="汇总 2 2 2 2 4 3 2 2" xfId="20879"/>
    <cellStyle name="好 2 2 8" xfId="20880"/>
    <cellStyle name="汇总 2 2 6 3 3 2 2" xfId="20881"/>
    <cellStyle name="输出 2 9 3" xfId="20882"/>
    <cellStyle name="40% - 强调文字颜色 2 2 2 3 3 3 2" xfId="20883"/>
    <cellStyle name="输出 3 4 2 2" xfId="20884"/>
    <cellStyle name="解释性文本 2 3 2 3 2 2 2" xfId="20885"/>
    <cellStyle name="40% - 强调文字颜色 1 2 6 3 2 2" xfId="20886"/>
    <cellStyle name="计算 2 2 4 4 6 2 2" xfId="20887"/>
    <cellStyle name="60% - 强调文字颜色 5 2 4 2" xfId="20888"/>
    <cellStyle name="60% - 强调文字颜色 2 4 3 2 2" xfId="20889"/>
    <cellStyle name="注释 2 7 8" xfId="20890"/>
    <cellStyle name="标题 3 3 2 6" xfId="20891"/>
    <cellStyle name="计算 2 2 7 4 6" xfId="20892"/>
    <cellStyle name="60% - 强调文字颜色 5 4 3" xfId="20893"/>
    <cellStyle name="输出 3 2 9" xfId="20894"/>
    <cellStyle name="常规 5 3 2 5 2" xfId="20895"/>
    <cellStyle name="输出 2 2 4 2 2 3 2" xfId="20896"/>
    <cellStyle name="20% - 强调文字颜色 5 3 5 2 2" xfId="20897"/>
    <cellStyle name="汇总 2 4 11" xfId="20898"/>
    <cellStyle name="输出 2 5 4 2 4" xfId="20899"/>
    <cellStyle name="60% - 强调文字颜色 6 2 2 3 3 3" xfId="20900"/>
    <cellStyle name="适中 2 7 4" xfId="20901"/>
    <cellStyle name="输出 4 7 3" xfId="20902"/>
    <cellStyle name="计算 2 10 5 2" xfId="20903"/>
    <cellStyle name="20% - 强调文字颜色 1 3 9" xfId="20904"/>
    <cellStyle name="标题 4 2 2 3 5 2" xfId="20905"/>
    <cellStyle name="汇总 2 3 2 2 3 2" xfId="20906"/>
    <cellStyle name="差 2 3 3 2 2 2" xfId="20907"/>
    <cellStyle name="汇总 2 2 5 2 3 2 2 2" xfId="20908"/>
    <cellStyle name="强调文字颜色 3 2 3 2 5" xfId="20909"/>
    <cellStyle name="标题 5 2 2 2 6" xfId="20910"/>
    <cellStyle name="标题 5 3 6" xfId="20911"/>
    <cellStyle name="40% - 强调文字颜色 1 2 3 2 2 2 2 2" xfId="20912"/>
    <cellStyle name="汇总 2 3 2 2 4" xfId="20913"/>
    <cellStyle name="40% - 强调文字颜色 4 2 3 2 2 4 2" xfId="20914"/>
    <cellStyle name="标题 5 3 3 2 2 2 3" xfId="20915"/>
    <cellStyle name="差 2 2 4 3 3" xfId="20916"/>
    <cellStyle name="40% - 强调文字颜色 2 4 2 3 2 2 2" xfId="20917"/>
    <cellStyle name="20% - 强调文字颜色 5 2 4 3 3 2" xfId="20918"/>
    <cellStyle name="汇总 2 2 3 3 4" xfId="20919"/>
    <cellStyle name="20% - 强调文字颜色 5 2 2 2 6 2" xfId="20920"/>
    <cellStyle name="警告文本 2 3 4 2 2" xfId="20921"/>
    <cellStyle name="注释 2 3 3 2 2 2 2" xfId="20922"/>
    <cellStyle name="60% - 强调文字颜色 2 2 2 5 2" xfId="20923"/>
    <cellStyle name="说明文本 2 4" xfId="20924"/>
    <cellStyle name="输入 2 2 2 3 2 2 3" xfId="20925"/>
    <cellStyle name="40% - 强调文字颜色 5 4 5 2" xfId="20926"/>
    <cellStyle name="输入 2 2 5 2 7 2" xfId="20927"/>
    <cellStyle name="汇总 2 4 3 2 4 3" xfId="20928"/>
    <cellStyle name="差 2 2 2 2 3 3 2 2" xfId="20929"/>
    <cellStyle name="输入 2 2 8 11" xfId="20930"/>
    <cellStyle name="注释 2 2 3 2 2 2 2 2 3" xfId="20931"/>
    <cellStyle name="标题 3 3 3 3 2 2 2" xfId="20932"/>
    <cellStyle name="标题 2 2 2 2 2 4 4" xfId="20933"/>
    <cellStyle name="检查单元格 2 2 4 2 4" xfId="20934"/>
    <cellStyle name="20% - 强调文字颜色 2 3 3 3 2 2" xfId="20935"/>
    <cellStyle name="强调文字颜色 2 2 3 2 3 3 2 2" xfId="20936"/>
    <cellStyle name="计算 2 2 3 2 2 2 3 2 2" xfId="20937"/>
    <cellStyle name="常规 8 2 3 2 2 2 2" xfId="20938"/>
    <cellStyle name="输入 3 3 2 3 2" xfId="20939"/>
    <cellStyle name="差 2 3 3 3" xfId="20940"/>
    <cellStyle name="标题 5 3 2 3" xfId="20941"/>
    <cellStyle name="20% - 强调文字颜色 2 2 2 2 2 2 4 2 2 2" xfId="20942"/>
    <cellStyle name="40% - 强调文字颜色 1 4 2 2 2 2" xfId="20943"/>
    <cellStyle name="输出 2 2 6 5" xfId="20944"/>
    <cellStyle name="计算 2 4 2 4" xfId="20945"/>
    <cellStyle name="标题 5 2 2 2 2 3" xfId="20946"/>
    <cellStyle name="20% - 强调文字颜色 4 6" xfId="20947"/>
    <cellStyle name="60% - 强调文字颜色 5 2 5 3 2 2" xfId="20948"/>
    <cellStyle name="40% - 强调文字颜色 2 2 2 2 2 2 5 2 2" xfId="20949"/>
    <cellStyle name="标题 5 2 8 3" xfId="20950"/>
    <cellStyle name="警告文本 2 4 4 4" xfId="20951"/>
    <cellStyle name="20% - 强调文字颜色 1 2 3 2 2 2 2 2" xfId="20952"/>
    <cellStyle name="注释 2 2 3 5 3" xfId="20953"/>
    <cellStyle name="40% - 强调文字颜色 3 2 3 4 2" xfId="20954"/>
    <cellStyle name="好 2 9" xfId="20955"/>
    <cellStyle name="20% - 强调文字颜色 5 2 5 3" xfId="20956"/>
    <cellStyle name="链接单元格 2 2 3 9" xfId="20957"/>
    <cellStyle name="40% - 强调文字颜色 3 3 3 3" xfId="20958"/>
    <cellStyle name="适中 2 2 2 2 3 2 3" xfId="20959"/>
    <cellStyle name="计算 4 2 3 2 2" xfId="20960"/>
    <cellStyle name="计算 2 8 6 3" xfId="20961"/>
    <cellStyle name="好 2 3 5 2 2" xfId="20962"/>
    <cellStyle name="计算 2 2 2 2 4 3" xfId="20963"/>
    <cellStyle name="计算 2 2 2 4 3" xfId="20964"/>
    <cellStyle name="注释 2 6 2 4 2" xfId="20965"/>
    <cellStyle name="汇总 2 8 3 2 2 2" xfId="20966"/>
    <cellStyle name="汇总 2 2 4 3 3 5 2" xfId="20967"/>
    <cellStyle name="注释 2 2 5 7 3" xfId="20968"/>
    <cellStyle name="40% - 强调文字颜色 5 2 2 4 2 3" xfId="20969"/>
    <cellStyle name="百分比 2 2 5 2 2" xfId="20970"/>
    <cellStyle name="输入 2 5 2 14" xfId="20971"/>
    <cellStyle name="输入 2 2 3 3 2 6" xfId="20972"/>
    <cellStyle name="标题 2 2 2 3 2 2 2 3" xfId="20973"/>
    <cellStyle name="标题 2 2 2 3 2" xfId="20974"/>
    <cellStyle name="计算 2 2 5 2 2 4 2 2" xfId="20975"/>
    <cellStyle name="输入 3 7 3" xfId="20976"/>
    <cellStyle name="注释 4 3 3 2" xfId="20977"/>
    <cellStyle name="汇总 2 4 2 2 3 3 2" xfId="20978"/>
    <cellStyle name="无色 3 2 2" xfId="20979"/>
    <cellStyle name="检查单元格 2 3 4 3 2 2" xfId="20980"/>
    <cellStyle name="20% - 强调文字颜色 2 2 3 2 2 2 2 2 2 2" xfId="20981"/>
    <cellStyle name="输出 2 2 3 2 7 2" xfId="20982"/>
    <cellStyle name="计算 2 3 3 3 4" xfId="20983"/>
    <cellStyle name="60% - 强调文字颜色 1 3 2 2 2 2 2" xfId="20984"/>
    <cellStyle name="常规 6 3 2 2 4 2" xfId="20985"/>
    <cellStyle name="强调文字颜色 5 2 3 5 2 3" xfId="20986"/>
    <cellStyle name="标题 3 4 2 2" xfId="20987"/>
    <cellStyle name="计算 2 2 8 4 2" xfId="20988"/>
    <cellStyle name="20% - 强调文字颜色 5 2 2 5 3 2 2" xfId="20989"/>
    <cellStyle name="强调文字颜色 1 2 2 2 5 2" xfId="20990"/>
    <cellStyle name="60% - 强调文字颜色 2 3 9" xfId="20991"/>
    <cellStyle name="40% - 强调文字颜色 2 2 3 4" xfId="20992"/>
    <cellStyle name="强调文字颜色 2 2 2 4 3 2 2 2" xfId="20993"/>
    <cellStyle name="汇总 2 7 7" xfId="20994"/>
    <cellStyle name="60% - 强调文字颜色 3 3 2 3 2 2 2" xfId="20995"/>
    <cellStyle name="输入 2 4 2 2 2 6" xfId="20996"/>
    <cellStyle name="汇总 2 5 10" xfId="20997"/>
    <cellStyle name="计算 2 6 4 2 3 3" xfId="20998"/>
    <cellStyle name="计算 2 2 4 2 6 3 3" xfId="20999"/>
    <cellStyle name="60% - 强调文字颜色 3 2 5 3" xfId="21000"/>
    <cellStyle name="60% - 强调文字颜色 2 2 3 3 3" xfId="21001"/>
    <cellStyle name="标题 1 2 2 8 2" xfId="21002"/>
    <cellStyle name="百分比 2 5 3" xfId="21003"/>
    <cellStyle name="警告文本 2 2 3 2 3" xfId="21004"/>
    <cellStyle name="20% - 强调文字颜色 4 2 2 2 3 5" xfId="21005"/>
    <cellStyle name="40% - 强调文字颜色 2 2 2 3 6" xfId="21006"/>
    <cellStyle name="60% - 强调文字颜色 5 3 2 2 2 2 2 2" xfId="21007"/>
    <cellStyle name="汇总 2 2 7 3 2 7" xfId="21008"/>
    <cellStyle name="20% - 强调文字颜色 3 2 3 3 2 2 2" xfId="21009"/>
    <cellStyle name="注释 2 4 2 4 2 4" xfId="21010"/>
    <cellStyle name="计算 2 5 2 4 4" xfId="21011"/>
    <cellStyle name="计算 2 4 4 5" xfId="21012"/>
    <cellStyle name="60% - 强调文字颜色 2 2 3 2 3 2" xfId="21013"/>
    <cellStyle name="输出 2 2 8 6" xfId="21014"/>
    <cellStyle name="60% - 强调文字颜色 3 2 4 3 2" xfId="21015"/>
    <cellStyle name="计算 2 2 4 4 2 3 3" xfId="21016"/>
    <cellStyle name="40% - 强调文字颜色 6 2 2 2 2 3 2 2" xfId="21017"/>
    <cellStyle name="常规 4 3 4 2 3 2 2" xfId="21018"/>
    <cellStyle name="计算 4 4 4" xfId="21019"/>
    <cellStyle name="汇总 2 4 2 2 2 6" xfId="21020"/>
    <cellStyle name="20% - 强调文字颜色 5 4 2 3 2 2" xfId="21021"/>
    <cellStyle name="计算 2 7 4 2 4 2" xfId="21022"/>
    <cellStyle name="注释 2 2 2 2 4 3" xfId="21023"/>
    <cellStyle name="链接单元格 2 2 3" xfId="21024"/>
    <cellStyle name="60% - 强调文字颜色 5 3 9" xfId="21025"/>
    <cellStyle name="差 2 2 3 2 2 2 3" xfId="21026"/>
    <cellStyle name="常规 5 2 5 3 3 2 2" xfId="21027"/>
    <cellStyle name="链接单元格 2 2 4 4 2 2" xfId="21028"/>
    <cellStyle name="常规 6 4 4" xfId="21029"/>
    <cellStyle name="40% - 强调文字颜色 6 4 3 2" xfId="21030"/>
    <cellStyle name="常规 5 2 2 2 5 2" xfId="21031"/>
    <cellStyle name="解释性文本 2 2 2 2 2 5" xfId="21032"/>
    <cellStyle name="60% - 强调文字颜色 6 2 6 2 2 3" xfId="21033"/>
    <cellStyle name="注释 2 4 7 2" xfId="21034"/>
    <cellStyle name="输入 2 6 4 5 2" xfId="21035"/>
    <cellStyle name="强调文字颜色 2 6 2" xfId="21036"/>
    <cellStyle name="60% - 强调文字颜色 2 3 3 2 2 2" xfId="21037"/>
    <cellStyle name="60% - 强调文字颜色 4 2 4 2 2" xfId="21038"/>
    <cellStyle name="计算 2 2 5 4 2 2 3" xfId="21039"/>
    <cellStyle name="常规 8 3 2 2 2 2" xfId="21040"/>
    <cellStyle name="计算 3 4 2 2" xfId="21041"/>
    <cellStyle name="输出 3 2 6 3" xfId="21042"/>
    <cellStyle name="计算 2 6 3 3 2 3" xfId="21043"/>
    <cellStyle name="60% - 强调文字颜色 5 2 2 4 5" xfId="21044"/>
    <cellStyle name="汇总 3 5 2" xfId="21045"/>
    <cellStyle name="60% - 强调文字颜色 6 2 2 5" xfId="21046"/>
    <cellStyle name="输入 2 6 4 7" xfId="21047"/>
    <cellStyle name="注释 2 4 9" xfId="21048"/>
    <cellStyle name="超链接 3 2" xfId="21049"/>
    <cellStyle name="20% - 强调文字颜色 5 4 2 4 2" xfId="21050"/>
    <cellStyle name="输出 2 4 5 3 3" xfId="21051"/>
    <cellStyle name="注释 2 6 6 2 2" xfId="21052"/>
    <cellStyle name="汇总 2 2 2 2 3 2 3" xfId="21053"/>
    <cellStyle name="汇总 2 2 6 3 2 3 2" xfId="21054"/>
    <cellStyle name="20% - 强调文字颜色 4 2 2 2 2 2 2 2 2 2 2" xfId="21055"/>
    <cellStyle name="汇总 2 2 2 2 2 3 2 2 2" xfId="21056"/>
    <cellStyle name="40% - 强调文字颜色 1 2 2 2 7" xfId="21057"/>
    <cellStyle name="解释性文本 3 2 2 2 2" xfId="21058"/>
    <cellStyle name="标题 6 2 2 2 3" xfId="21059"/>
    <cellStyle name="汇总 2 8 2 4 2 2" xfId="21060"/>
    <cellStyle name="注释 2 3 2 2 2 2" xfId="21061"/>
    <cellStyle name="60% - 强调文字颜色 1 2 2 5" xfId="21062"/>
    <cellStyle name="20% - 强调文字颜色 2 2 3 3 2" xfId="21063"/>
    <cellStyle name="标题 3 2 4 3 2" xfId="21064"/>
    <cellStyle name="计算 2 2 6 6 3 2" xfId="21065"/>
    <cellStyle name="超链接 2 2 2 3 2 2" xfId="21066"/>
    <cellStyle name="常规 9 5 4 2" xfId="21067"/>
    <cellStyle name="链接单元格 2 5 2 3" xfId="21068"/>
    <cellStyle name="强调文字颜色 5 2 3 2 2" xfId="21069"/>
    <cellStyle name="输入 3 2 2 6 2" xfId="21070"/>
    <cellStyle name="20% - 强调文字颜色 3 2 3 4 3 2" xfId="21071"/>
    <cellStyle name="40% - 强调文字颜色 4 2 2 2 2 2 4 2 2 2" xfId="21072"/>
    <cellStyle name="40% - 强调文字颜色 1 2 3 6" xfId="21073"/>
    <cellStyle name="适中 2 4 2 2 2 2 2" xfId="21074"/>
    <cellStyle name="汇总 2 6 4 2 3" xfId="21075"/>
    <cellStyle name="60% - 强调文字颜色 4 3 3" xfId="21076"/>
    <cellStyle name="计算 2 2 6 3 6" xfId="21077"/>
    <cellStyle name="常规 5 2 3 4" xfId="21078"/>
    <cellStyle name="解释性文本 4 6" xfId="21079"/>
    <cellStyle name="汇总 2 2 2 2 3 7" xfId="21080"/>
    <cellStyle name="60% - 强调文字颜色 6 5 2 3" xfId="21081"/>
    <cellStyle name="输出 2 4 5 8" xfId="21082"/>
    <cellStyle name="60% - 强调文字颜色 1 2 2 2 4 2 2" xfId="21083"/>
    <cellStyle name="输入 2 2 7 2 3" xfId="21084"/>
    <cellStyle name="注释 2 2 9 3" xfId="21085"/>
    <cellStyle name="输入 3 2 2 3 2 2" xfId="21086"/>
    <cellStyle name="40% - 强调文字颜色 2 2 4" xfId="21087"/>
    <cellStyle name="输出 2 4 5 3 2 2" xfId="21088"/>
    <cellStyle name="常规 2 3 3 3 2 2" xfId="21089"/>
    <cellStyle name="20% - 强调文字颜色 5 2 4 5 2 2" xfId="21090"/>
    <cellStyle name="汇总 2 3 7 3" xfId="21091"/>
    <cellStyle name="差 2 2 6 2 3" xfId="21092"/>
    <cellStyle name="计算 2 10 3 3 2 2" xfId="21093"/>
    <cellStyle name="20% - 强调文字颜色 2 2 2 4 2" xfId="21094"/>
    <cellStyle name="20% - 强调文字颜色 5 5 2" xfId="21095"/>
    <cellStyle name="标题 5 2 2 2 3 2 2" xfId="21096"/>
    <cellStyle name="警告文本 2 4 2 2" xfId="21097"/>
    <cellStyle name="40% - 强调文字颜色 6 2 3 2 2 3 3 2" xfId="21098"/>
    <cellStyle name="常规 6 4 2 2" xfId="21099"/>
    <cellStyle name="计算 2 2 2 5 2 2" xfId="21100"/>
    <cellStyle name="40% - 强调文字颜色 1 2 3 2 2 4 2 2 2" xfId="21101"/>
    <cellStyle name="汇总 2 3 4 2 4 2" xfId="21102"/>
    <cellStyle name="计算 2 2 6 2 2 4" xfId="21103"/>
    <cellStyle name="链接单元格 2 3 2" xfId="21104"/>
    <cellStyle name="汇总 2 5 2 2 2 3" xfId="21105"/>
    <cellStyle name="汇总 2 2 4 2 10" xfId="21106"/>
    <cellStyle name="计算 2 2 5 2 9" xfId="21107"/>
    <cellStyle name="计算 2 2 4 2 6 4" xfId="21108"/>
    <cellStyle name="60% - 强调文字颜色 2 2 3 4" xfId="21109"/>
    <cellStyle name="60% - 强调文字颜色 3 2 6" xfId="21110"/>
    <cellStyle name="60% - 强调文字颜色 2 3" xfId="21111"/>
    <cellStyle name="强调文字颜色 1 2 2 4 5 2" xfId="21112"/>
    <cellStyle name="60% - 强调文字颜色 4 3 9" xfId="21113"/>
    <cellStyle name="20% - 强调文字颜色 4 2 2 3 5 2 2" xfId="21114"/>
    <cellStyle name="差 2 5 3 3" xfId="21115"/>
    <cellStyle name="超链接 2 2 2 5" xfId="21116"/>
    <cellStyle name="汇总 2 7 2 2 6 2" xfId="21117"/>
    <cellStyle name="20% - 强调文字颜色 1 2 4 2 2" xfId="21118"/>
    <cellStyle name="警告文本 2 2 4 5 2" xfId="21119"/>
    <cellStyle name="汇总 2 3 3 5 2 2" xfId="21120"/>
    <cellStyle name="好 2 2 4 2" xfId="21121"/>
    <cellStyle name="标题 1 3 3 2 3" xfId="21122"/>
    <cellStyle name="输入 2 2 3 2 2 2 6" xfId="21123"/>
    <cellStyle name="40% - 强调文字颜色 1 2 4 3" xfId="21124"/>
    <cellStyle name="60% - 强调文字颜色 5 2 2 5 2" xfId="21125"/>
    <cellStyle name="超链接 3 2 5" xfId="21126"/>
    <cellStyle name="输入 2 6 6" xfId="21127"/>
    <cellStyle name="汇总 5 4" xfId="21128"/>
    <cellStyle name="40% - 强调文字颜色 1 2 3 2 2 3 3 2 2" xfId="21129"/>
    <cellStyle name="汇总 2 3 3 3 4 2" xfId="21130"/>
    <cellStyle name="20% - 强调文字颜色 6 2 4 2 2 2 2" xfId="21131"/>
    <cellStyle name="链接单元格 2 2 2 2 4 2 3" xfId="21132"/>
    <cellStyle name="60% - 强调文字颜色 2 2 2 4 3 2 2 2" xfId="21133"/>
    <cellStyle name="强调文字颜色 3 2 4 2 2 2 2 2" xfId="21134"/>
    <cellStyle name="输出 2 4 5 2" xfId="21135"/>
    <cellStyle name="常规 2 3 3 2" xfId="21136"/>
    <cellStyle name="解释性文本 2 4 4 2 2 2" xfId="21137"/>
    <cellStyle name="60% - 强调文字颜色 6 2 2 3 2 2 2 3" xfId="21138"/>
    <cellStyle name="链接单元格 2 2 4 2 2 2 2" xfId="21139"/>
    <cellStyle name="60% - 强调文字颜色 2 2 4 6" xfId="21140"/>
    <cellStyle name="60% - 强调文字颜色 3 3 8" xfId="21141"/>
    <cellStyle name="标题 4 2 4 3 2 2 2" xfId="21142"/>
    <cellStyle name="60% - 强调文字颜色 2 2 4 4 2 2" xfId="21143"/>
    <cellStyle name="标题 4 2 3 7 2" xfId="21144"/>
    <cellStyle name="汇总 2 6 3 4 3" xfId="21145"/>
    <cellStyle name="20% - 强调文字颜色 1 2 3 2 3 2" xfId="21146"/>
    <cellStyle name="20% - 强调文字颜色 5 2 2 3 5" xfId="21147"/>
    <cellStyle name="标题 1 6" xfId="21148"/>
    <cellStyle name="输出 2 2 5 2 6" xfId="21149"/>
    <cellStyle name="常规 5 2 2 2 2 2 3 3" xfId="21150"/>
    <cellStyle name="常规 8 6 2" xfId="21151"/>
    <cellStyle name="40% - 强调文字颜色 1 2 2 2 4 2 2 2" xfId="21152"/>
    <cellStyle name="60% - 强调文字颜色 6 6 2 2" xfId="21153"/>
    <cellStyle name="40% - 强调文字颜色 6 2 5 2 2" xfId="21154"/>
    <cellStyle name="常规 4 6 4 2" xfId="21155"/>
    <cellStyle name="60% - 强调文字颜色 6 2 2 4 5" xfId="21156"/>
    <cellStyle name="汇总 2 2 4 2 5 3" xfId="21157"/>
    <cellStyle name="输入 2 5 4 2 4" xfId="21158"/>
    <cellStyle name="20% - 强调文字颜色 6 2 3 2 5 2" xfId="21159"/>
    <cellStyle name="40% - 强调文字颜色 6 2 2 2 2 3 2" xfId="21160"/>
    <cellStyle name="常规 4 3 4 2 3 2" xfId="21161"/>
    <cellStyle name="汇总 2 2 8 3 5" xfId="21162"/>
    <cellStyle name="标题 5 7 3" xfId="21163"/>
    <cellStyle name="40% - 强调文字颜色 1 2 3 4 2" xfId="21164"/>
    <cellStyle name="好 2 2 3 6 2 2" xfId="21165"/>
    <cellStyle name="计算 2 7 11 2" xfId="21166"/>
    <cellStyle name="强调文字颜色 5 2 2 2 2 3 4" xfId="21167"/>
    <cellStyle name="汇总 2 2 5 2 4 2" xfId="21168"/>
    <cellStyle name="20% - 强调文字颜色 5 2 2 4 5 2 2" xfId="21169"/>
    <cellStyle name="标题 2 6 2 2" xfId="21170"/>
    <cellStyle name="标题 3 3 4 2 3" xfId="21171"/>
    <cellStyle name="汇总 2 5 3 6 2 2" xfId="21172"/>
    <cellStyle name="40% - 强调文字颜色 2 2 8 2 2" xfId="21173"/>
    <cellStyle name="输出 2 2 3 3 8" xfId="21174"/>
    <cellStyle name="20% - 强调文字颜色 5 2 4 2 2 2 2" xfId="21175"/>
    <cellStyle name="输出 2 4 3 2 4 2 2" xfId="21176"/>
    <cellStyle name="输出 2 3 3 6 2" xfId="21177"/>
    <cellStyle name="汇总 2 2 3 3 2 3" xfId="21178"/>
    <cellStyle name="20% - 强调文字颜色 4 2 2 2 3 3 2 2" xfId="21179"/>
    <cellStyle name="说明文本 2 2 3" xfId="21180"/>
    <cellStyle name="常规 10 2 2 2 2 3" xfId="21181"/>
    <cellStyle name="链接单元格 2 4 4 3" xfId="21182"/>
    <cellStyle name="强调文字颜色 5 2 2 4 2" xfId="21183"/>
    <cellStyle name="标题 2 2 4 3 4" xfId="21184"/>
    <cellStyle name="60% - 强调文字颜色 3 2 2 4 2 3" xfId="21185"/>
    <cellStyle name="计算 2 2 5 5 3" xfId="21186"/>
    <cellStyle name="20% - 强调文字颜色 3 3 2 2 2" xfId="21187"/>
    <cellStyle name="强调文字颜色 2 2 4 2 2 2 2" xfId="21188"/>
    <cellStyle name="60% - 强调文字颜色 1 2 2 4 3 2 2" xfId="21189"/>
    <cellStyle name="60% - 强调文字颜色 4 3 2 5 2" xfId="21190"/>
    <cellStyle name="汇总 2 11 2 2 2" xfId="21191"/>
    <cellStyle name="40% - 强调文字颜色 1 2 2 3 2" xfId="21192"/>
    <cellStyle name="60% - 强调文字颜色 5 2 2 3 2 2" xfId="21193"/>
    <cellStyle name="汇总 2 8 5 2 3" xfId="21194"/>
    <cellStyle name="百分比 2 3 3 2" xfId="21195"/>
    <cellStyle name="标题 1 2 2 6 2 2" xfId="21196"/>
    <cellStyle name="输入 2 3 3 2 5" xfId="21197"/>
    <cellStyle name="计算 2 3 3 2 4 2 2" xfId="21198"/>
    <cellStyle name="强调文字颜色 3 2 3 4 3 2" xfId="21199"/>
    <cellStyle name="60% - 强调文字颜色 4 5" xfId="21200"/>
    <cellStyle name="40% - 强调文字颜色 4 2 2 2 2 2" xfId="21201"/>
    <cellStyle name="计算 2 2 3 2 2 2 4" xfId="21202"/>
    <cellStyle name="强调文字颜色 2 2 3 2 3 4" xfId="21203"/>
    <cellStyle name="20% - 强调文字颜色 2 3 3 4" xfId="21204"/>
    <cellStyle name="输入 2 2 12 3" xfId="21205"/>
    <cellStyle name="解释性文本 2 2 4 5 3" xfId="21206"/>
    <cellStyle name="20% - 强调文字颜色 6 2 5 3 2" xfId="21207"/>
    <cellStyle name="汇总 2 2 5 8 2 2" xfId="21208"/>
    <cellStyle name="标题 2 2 4 4 2 2 2" xfId="21209"/>
    <cellStyle name="40% - 强调文字颜色 1 3 2 2 2 2 2" xfId="21210"/>
    <cellStyle name="计算 3 3 2 5" xfId="21211"/>
    <cellStyle name="汇总 2 2 6 3 6 2" xfId="21212"/>
    <cellStyle name="注释 2 2 3 4 3 3" xfId="21213"/>
    <cellStyle name="40% - 强调文字颜色 6 2 3 2 3 2 2" xfId="21214"/>
    <cellStyle name="常规 4 4 4 3 2 2" xfId="21215"/>
    <cellStyle name="40% - 强调文字颜色 4 2 2 3 4 3" xfId="21216"/>
    <cellStyle name="汇总 4 3 4 2 2" xfId="21217"/>
    <cellStyle name="汇总 2 2 5 4 3 2" xfId="21218"/>
    <cellStyle name="20% - 强调文字颜色 1 2 3 2 3" xfId="21219"/>
    <cellStyle name="注释 2 2 5 5 2 2" xfId="21220"/>
    <cellStyle name="20% - 强调文字颜色 5 2 5 3 2 2 2" xfId="21221"/>
    <cellStyle name="常规 13 3 2 5" xfId="21222"/>
    <cellStyle name="超链接 3 6 2 3" xfId="21223"/>
    <cellStyle name="强调文字颜色 4 2 7 2" xfId="21224"/>
    <cellStyle name="标题 3 2 2 2 4 4" xfId="21225"/>
    <cellStyle name="输入 2 2 6 6" xfId="21226"/>
    <cellStyle name="常规 4 9" xfId="21227"/>
    <cellStyle name="注释 2 2 6 3 3" xfId="21228"/>
    <cellStyle name="40% - 强调文字颜色 3 2 6 2 2" xfId="21229"/>
    <cellStyle name="输出 2 3 2 5" xfId="21230"/>
    <cellStyle name="60% - 强调文字颜色 5 2 6 3" xfId="21231"/>
    <cellStyle name="20% - 强调文字颜色 4 3 2 4 2 2" xfId="21232"/>
    <cellStyle name="标题 4 2 2 2 3 2 2 2 2 2" xfId="21233"/>
    <cellStyle name="解释性文本 2 2 3 2" xfId="21234"/>
    <cellStyle name="40% - 强调文字颜色 1 2 3 4 3 2" xfId="21235"/>
    <cellStyle name="60% - 强调文字颜色 5 2 2 3 3 3 2" xfId="21236"/>
    <cellStyle name="注释 2 2 3 2 2 6" xfId="21237"/>
    <cellStyle name="注释 2 5 2 6 2" xfId="21238"/>
    <cellStyle name="标题 2 4 2 4" xfId="21239"/>
    <cellStyle name="40% - 强调文字颜色 2 3 5" xfId="21240"/>
    <cellStyle name="汇总 2 2 8 2 2 6" xfId="21241"/>
    <cellStyle name="常规 9 3 2 3 3 2" xfId="21242"/>
    <cellStyle name="常规 10 5 4 2" xfId="21243"/>
    <cellStyle name="输入 2 5 11" xfId="21244"/>
    <cellStyle name="汇总 2 2 4 5 4 3" xfId="21245"/>
    <cellStyle name="60% - 强调文字颜色 2 2 3 3 2 2 2 2" xfId="21246"/>
    <cellStyle name="强调文字颜色 5 2 6 2 3" xfId="21247"/>
    <cellStyle name="计算 2 5 3 5 2 2" xfId="21248"/>
    <cellStyle name="强调文字颜色 1 2 2 2 2 3 2 3" xfId="21249"/>
    <cellStyle name="强调文字颜色 4 2 3 2 3 3 3" xfId="21250"/>
    <cellStyle name="警告文本 2 8" xfId="21251"/>
    <cellStyle name="计算 2 6 2 4 2 2" xfId="21252"/>
    <cellStyle name="适中 2 2 3 3 2 3" xfId="21253"/>
    <cellStyle name="强调文字颜色 5 2 2 4 3" xfId="21254"/>
    <cellStyle name="常规 10 2 2 2 2 4" xfId="21255"/>
    <cellStyle name="输出 2 2 5 2 5 2 2" xfId="21256"/>
    <cellStyle name="链接单元格 2 4 4 4" xfId="21257"/>
    <cellStyle name="标题 4 4 2 3 2" xfId="21258"/>
    <cellStyle name="输入 2 2 6 4 6" xfId="21259"/>
    <cellStyle name="40% - 强调文字颜色 3 2 2 2 4 2 2 2" xfId="21260"/>
    <cellStyle name="常规 5 4 2 2 3 2" xfId="21261"/>
    <cellStyle name="汇总 2 2 3 2 4" xfId="21262"/>
    <cellStyle name="20% - 强调文字颜色 5 2 2 2 5 2" xfId="21263"/>
    <cellStyle name="20% - 强调文字颜色 5 2 4 3 2 2" xfId="21264"/>
    <cellStyle name="差 2 2 4 2 3" xfId="21265"/>
    <cellStyle name="60% - 强调文字颜色 4 2 4 4" xfId="21266"/>
    <cellStyle name="标题 2 2 2 2" xfId="21267"/>
    <cellStyle name="解释性文本 2 2 2 4 4" xfId="21268"/>
    <cellStyle name="汇总 2 5 4 6 2" xfId="21269"/>
    <cellStyle name="计算 2 6 3 6 2 2" xfId="21270"/>
    <cellStyle name="强调文字颜色 6 2 7 2 3" xfId="21271"/>
    <cellStyle name="强调文字颜色 3 2 3 2 2 2 2 2" xfId="21272"/>
    <cellStyle name="计算 3 2 2 3 3 2" xfId="21273"/>
    <cellStyle name="输入 4 7 2" xfId="21274"/>
    <cellStyle name="常规 3 3 7 4 2 2" xfId="21275"/>
    <cellStyle name="汇总 2 3 2 2 2 5 3" xfId="21276"/>
    <cellStyle name="标题 5 3 3 2 2" xfId="21277"/>
    <cellStyle name="40% - 强调文字颜色 6 2 7" xfId="21278"/>
    <cellStyle name="40% - 强调文字颜色 2 2 2 2 2 3" xfId="21279"/>
    <cellStyle name="输出 2 3 2" xfId="21280"/>
    <cellStyle name="20% - 强调文字颜色 4 3 3 2 2 2" xfId="21281"/>
    <cellStyle name="注释 2 2 3 5 2 2" xfId="21282"/>
    <cellStyle name="60% - 强调文字颜色 6 2 3 5" xfId="21283"/>
    <cellStyle name="计算 2 3 10 3" xfId="21284"/>
    <cellStyle name="60% - 强调文字颜色 1 5 2 2 2 2" xfId="21285"/>
    <cellStyle name="注释 2 2 5 2" xfId="21286"/>
    <cellStyle name="输入 2 6 2 3 2" xfId="21287"/>
    <cellStyle name="汇总 4 2 2 5" xfId="21288"/>
    <cellStyle name="好 3 5 2 3" xfId="21289"/>
    <cellStyle name="40% - 强调文字颜色 1 2 4 4" xfId="21290"/>
    <cellStyle name="常规 12 2 2 2 3 2 2" xfId="21291"/>
    <cellStyle name="60% - 强调文字颜色 2 2 2 4 2 2 2" xfId="21292"/>
    <cellStyle name="60% - 强调文字颜色 3 2 6 3 2" xfId="21293"/>
    <cellStyle name="强调文字颜色 3 2 5 2 2 2" xfId="21294"/>
    <cellStyle name="60% - 强调文字颜色 2 2 3 4 3 2" xfId="21295"/>
    <cellStyle name="计算 2 6 4 5" xfId="21296"/>
    <cellStyle name="超链接 3 4" xfId="21297"/>
    <cellStyle name="计算 2 2 5 2 2 3 3" xfId="21298"/>
    <cellStyle name="60% - 强调文字颜色 5 2 2 4 2 3 2" xfId="21299"/>
    <cellStyle name="40% - 强调文字颜色 6 2 3 2 3 3" xfId="21300"/>
    <cellStyle name="常规 4 4 4 3 3" xfId="21301"/>
    <cellStyle name="60% - 强调文字颜色 4 3 2 3 2 2 2" xfId="21302"/>
    <cellStyle name="60% - 强调文字颜色 5 2 4 4" xfId="21303"/>
    <cellStyle name="差 2 3 4 2 3" xfId="21304"/>
    <cellStyle name="差 2 2 3 5 3" xfId="21305"/>
    <cellStyle name="计算 2 2 4 2 2 2 6" xfId="21306"/>
    <cellStyle name="输入 3 14" xfId="21307"/>
    <cellStyle name="40% - 强调文字颜色 1 2 3 2 2 3 2 2" xfId="21308"/>
    <cellStyle name="汇总 2 3 3 2 4" xfId="21309"/>
    <cellStyle name="20% - 强调文字颜色 5 2 3 2 5 2" xfId="21310"/>
    <cellStyle name="汇总 5 2 2 2" xfId="21311"/>
    <cellStyle name="注释 2 6 4 2 2" xfId="21312"/>
    <cellStyle name="标题 2 3 3 3 2 2" xfId="21313"/>
    <cellStyle name="强调文字颜色 4 2 2 4 2 3 2" xfId="21314"/>
    <cellStyle name="输入 2 10 5" xfId="21315"/>
    <cellStyle name="汇总 2 2 3 2 5 3" xfId="21316"/>
    <cellStyle name="计算 2 2 4 4 5 2 2" xfId="21317"/>
    <cellStyle name="60% - 强调文字颜色 2 4 2 2 2" xfId="21318"/>
    <cellStyle name="注释 2 2 3 5 2 2 3" xfId="21319"/>
    <cellStyle name="汇总 2 2 4 3 4" xfId="21320"/>
    <cellStyle name="40% - 强调文字颜色 3 2 3 3 2 2 2 2 2" xfId="21321"/>
    <cellStyle name="计算 2 2 4 3 2 4 3" xfId="21322"/>
    <cellStyle name="输出 2 3 2 2 2 4" xfId="21323"/>
    <cellStyle name="差 2 2 5 3 3" xfId="21324"/>
    <cellStyle name="标题 5 2 2 9" xfId="21325"/>
    <cellStyle name="20% - 强调文字颜色 5 2 4 4 3 2" xfId="21326"/>
    <cellStyle name="汇总 2 2 8 3" xfId="21327"/>
    <cellStyle name="警告文本 2 3 5 2 2" xfId="21328"/>
    <cellStyle name="40% - 强调文字颜色 5 4 3 2 2 2" xfId="21329"/>
    <cellStyle name="注释 2 2 7 2 3 3" xfId="21330"/>
    <cellStyle name="好 2 2 2 6" xfId="21331"/>
    <cellStyle name="汇总 2 2 6 2 2 2 2 2 2" xfId="21332"/>
    <cellStyle name="百分比 2 2 2 3 3" xfId="21333"/>
    <cellStyle name="警告文本 3 2" xfId="21334"/>
    <cellStyle name="标题 2 2 2 6 2 2" xfId="21335"/>
    <cellStyle name="输出 2 5 2 2 7" xfId="21336"/>
    <cellStyle name="超链接 3 4 3 2 3" xfId="21337"/>
    <cellStyle name="常规 5 2 3 4 3 2" xfId="21338"/>
    <cellStyle name="输入 2 2 4 3 3 3" xfId="21339"/>
    <cellStyle name="计算 2 3 2 7 3" xfId="21340"/>
    <cellStyle name="常规 5 3 4 3" xfId="21341"/>
    <cellStyle name="40% - 强调文字颜色 6 3 2 2 3" xfId="21342"/>
    <cellStyle name="标题 4 3 3 2 2 2 2" xfId="21343"/>
    <cellStyle name="计算 2 4 2 4 2 3" xfId="21344"/>
    <cellStyle name="60% - 强调文字颜色 2 2 2 2 4 2" xfId="21345"/>
    <cellStyle name="汇总 2 2 2 2 2 4 2" xfId="21346"/>
    <cellStyle name="20% - 强调文字颜色 4 2 2 2 2 2 2 3 2" xfId="21347"/>
    <cellStyle name="解释性文本 3 3 2" xfId="21348"/>
    <cellStyle name="60% - 强调文字颜色 3 2 6 2 2" xfId="21349"/>
    <cellStyle name="计算 2 6 3 5" xfId="21350"/>
    <cellStyle name="60% - 强调文字颜色 2 2 3 4 2 2" xfId="21351"/>
    <cellStyle name="检查单元格 3 2 2 2 2" xfId="21352"/>
    <cellStyle name="60% - 强调文字颜色 3 2 2 2 2 4 3" xfId="21353"/>
    <cellStyle name="计算 4 4 3 2 2" xfId="21354"/>
    <cellStyle name="Normal 4 2" xfId="21355"/>
    <cellStyle name="20% - 强调文字颜色 2 2 5 5 2 2" xfId="21356"/>
    <cellStyle name="输出 4 2 4 2 2" xfId="21357"/>
    <cellStyle name="警告文本 2 3 3" xfId="21358"/>
    <cellStyle name="计算 2 8 3 2 2" xfId="21359"/>
    <cellStyle name="60% - 强调文字颜色 6 2 2 2 2 4 2 2 2" xfId="21360"/>
    <cellStyle name="适中 2 2 5 2 2" xfId="21361"/>
    <cellStyle name="强调文字颜色 6 3 4 2" xfId="21362"/>
    <cellStyle name="20% - 强调文字颜色 3 2 2 2 3 3 2 2" xfId="21363"/>
    <cellStyle name="汇总 2 2 6 6 3" xfId="21364"/>
    <cellStyle name="20% - 强调文字颜色 6 3 3 4" xfId="21365"/>
    <cellStyle name="计算 3 2 2 8" xfId="21366"/>
    <cellStyle name="解释性文本 2 2 6 3 3" xfId="21367"/>
    <cellStyle name="百分比 2 2 2 3 2 2 2" xfId="21368"/>
    <cellStyle name="注释 2 2 6 2 2 2" xfId="21369"/>
    <cellStyle name="好 2 2 3 2 3" xfId="21370"/>
    <cellStyle name="20% - 强调文字颜色 1 4 2 4" xfId="21371"/>
    <cellStyle name="40% - 强调文字颜色 1 2 2 3 2 2" xfId="21372"/>
    <cellStyle name="计算 3 10 2" xfId="21373"/>
    <cellStyle name="标题 3 3 3 2 2 2" xfId="21374"/>
    <cellStyle name="计算 2 2 7 5 2 2 2" xfId="21375"/>
    <cellStyle name="注释 2 7 3 2 3" xfId="21376"/>
    <cellStyle name="20% - 强调文字颜色 4 2 2 2 3 3 2" xfId="21377"/>
    <cellStyle name="标题 2 2 2 2 3 3 3" xfId="21378"/>
    <cellStyle name="注释 2 8 4 2 2" xfId="21379"/>
    <cellStyle name="注释 2 5 2 9" xfId="21380"/>
    <cellStyle name="链接单元格 2 3 3 2 2 2" xfId="21381"/>
    <cellStyle name="好 3 2 3" xfId="21382"/>
    <cellStyle name="差 3 5 2 2" xfId="21383"/>
    <cellStyle name="输入 2 6 2 4" xfId="21384"/>
    <cellStyle name="链接单元格 2 2 2 4 3 2" xfId="21385"/>
    <cellStyle name="输入 2 2 3 3 2 2 2 2" xfId="21386"/>
    <cellStyle name="60% - 强调文字颜色 6 2 2 2 5 2 2 2" xfId="21387"/>
    <cellStyle name="汇总 2 2 4 2 3 3 2 2 2" xfId="21388"/>
    <cellStyle name="计算 2 2 2 3 2 2 2 2" xfId="21389"/>
    <cellStyle name="汇总 2 2 6 2 3" xfId="21390"/>
    <cellStyle name="20% - 强调文字颜色 3 5 2 2 2" xfId="21391"/>
    <cellStyle name="60% - 强调文字颜色 1 2 2 6 3 2 2" xfId="21392"/>
    <cellStyle name="强调文字颜色 2 2 4 4 2 2 2" xfId="21393"/>
    <cellStyle name="汇总 2 6 4 2" xfId="21394"/>
    <cellStyle name="常规 4 2 6 4" xfId="21395"/>
    <cellStyle name="40% - 强调文字颜色 2 2 3 2 4 2 2" xfId="21396"/>
    <cellStyle name="40% - 强调文字颜色 3 2 2 2 2 2 4 2 2 2" xfId="21397"/>
    <cellStyle name="汇总 2 2 3 3 2" xfId="21398"/>
    <cellStyle name="检查单元格 2 3" xfId="21399"/>
    <cellStyle name="20% - 强调文字颜色 2 2 3 4 2" xfId="21400"/>
    <cellStyle name="汇总 2 2 3 3 2 4 2" xfId="21401"/>
    <cellStyle name="标题 1 2 4 2 2 2 2" xfId="21402"/>
    <cellStyle name="强调文字颜色 4 2 2 3 2 2 2 2 2" xfId="21403"/>
    <cellStyle name="注释 2 2 3 2 3 4" xfId="21404"/>
    <cellStyle name="20% - 强调文字颜色 3 3 2 2 4" xfId="21405"/>
    <cellStyle name="常规 5 2 3 4 4 3" xfId="21406"/>
    <cellStyle name="计算 2 3 2 2 4" xfId="21407"/>
    <cellStyle name="标题 2 2 3 3 2 2" xfId="21408"/>
    <cellStyle name="计算 4 8 2" xfId="21409"/>
    <cellStyle name="链接单元格 3 4" xfId="21410"/>
    <cellStyle name="计算 2 2 4 4 2 2 3" xfId="21411"/>
    <cellStyle name="计算 4 3 4" xfId="21412"/>
    <cellStyle name="好 2" xfId="21413"/>
    <cellStyle name="20% - 强调文字颜色 1 2 3 2 5" xfId="21414"/>
    <cellStyle name="60% - 强调文字颜色 1 3 2 2 4 2" xfId="21415"/>
    <cellStyle name="输出 2 2 3 4 7" xfId="21416"/>
    <cellStyle name="标题 5 4 4 2 3" xfId="21417"/>
    <cellStyle name="注释 2 5 4 2 3 2" xfId="21418"/>
    <cellStyle name="输出 3 2 2 3 2" xfId="21419"/>
    <cellStyle name="常规 2 2 2 5 2 2 2" xfId="21420"/>
    <cellStyle name="20% - 强调文字颜色 5 4 4 2 2 2" xfId="21421"/>
    <cellStyle name="60% - 强调文字颜色 6 2 2 3 2 3" xfId="21422"/>
    <cellStyle name="输出 2 2 4 2 2 2 2" xfId="21423"/>
    <cellStyle name="40% - 强调文字颜色 4 2 2 2 4 2 2 2" xfId="21424"/>
    <cellStyle name="标题 4 2 2 4 5 3" xfId="21425"/>
    <cellStyle name="注释 2 3 2 2 3 2" xfId="21426"/>
    <cellStyle name="60% - 强调文字颜色 1 2 3 5" xfId="21427"/>
    <cellStyle name="常规 11 2 6" xfId="21428"/>
    <cellStyle name="60% - 强调文字颜色 4 2 3 6 2 2 2" xfId="21429"/>
    <cellStyle name="输入 3 2 2 5" xfId="21430"/>
    <cellStyle name="计算 2 6 2 2 3 3 2" xfId="21431"/>
    <cellStyle name="输入 2 2 6 2 4 2" xfId="21432"/>
    <cellStyle name="注释 2 2 4 2 2 2 6" xfId="21433"/>
    <cellStyle name="检查单元格 2 4 3" xfId="21434"/>
    <cellStyle name="40% - 强调文字颜色 4 2 2 2 2 2 4" xfId="21435"/>
    <cellStyle name="20% - 强调文字颜色 5 2 2 5 3 2" xfId="21436"/>
    <cellStyle name="标题 3 4 2" xfId="21437"/>
    <cellStyle name="计算 2 2 8 4" xfId="21438"/>
    <cellStyle name="汇总 2 2 4 2 2 2 4 2" xfId="21439"/>
    <cellStyle name="输出 2 3 2 2 5 3" xfId="21440"/>
    <cellStyle name="40% - 强调文字颜色 6 2" xfId="21441"/>
    <cellStyle name="差 2 3 2 3 3" xfId="21442"/>
    <cellStyle name="汇总 2 2 3 2 2 2 3 3" xfId="21443"/>
    <cellStyle name="汇总 2 5 6 2 2 2" xfId="21444"/>
    <cellStyle name="汇总 2 2 6 2 2 2 3" xfId="21445"/>
    <cellStyle name="常规 4" xfId="21446"/>
    <cellStyle name="60% - 强调文字颜色 1 2 2 3 6" xfId="21447"/>
    <cellStyle name="20% - 强调文字颜色 3 2 5" xfId="21448"/>
    <cellStyle name="标题 3 3 5 2 3" xfId="21449"/>
    <cellStyle name="20% - 强调文字颜色 2 3 2 3 2 2" xfId="21450"/>
    <cellStyle name="常规 5 2 3 2 3 2" xfId="21451"/>
    <cellStyle name="20% - 强调文字颜色 4 4 3 2 2 2" xfId="21452"/>
    <cellStyle name="注释 2 2 2 3 2 5" xfId="21453"/>
    <cellStyle name="注释 2 2 3 2 2 3 3" xfId="21454"/>
    <cellStyle name="汇总 2 5 5 5 2 2" xfId="21455"/>
    <cellStyle name="标题 1 2 2 4 3 2 2" xfId="21456"/>
    <cellStyle name="标题 4 3 10" xfId="21457"/>
    <cellStyle name="常规 11 4" xfId="21458"/>
    <cellStyle name="强调文字颜色 1 2 2 2 2 4 2 2 2" xfId="21459"/>
    <cellStyle name="标题 4 2 2 2 2 2 2 2 3" xfId="21460"/>
    <cellStyle name="汇总 2 6 3 7" xfId="21461"/>
    <cellStyle name="输入 2 5 4 4 2 2" xfId="21462"/>
    <cellStyle name="60% - 强调文字颜色 4 4 2 2 2 2 2" xfId="21463"/>
    <cellStyle name="计算 3 2 2 2 5 2" xfId="21464"/>
    <cellStyle name="标题 2 2 2 3 8" xfId="21465"/>
    <cellStyle name="输入 3 9 2" xfId="21466"/>
    <cellStyle name="计算 2 2 2 4 3 3" xfId="21467"/>
    <cellStyle name="注释 2 2 3 2 7 2" xfId="21468"/>
    <cellStyle name="检查单元格 2 4 3 3 2" xfId="21469"/>
    <cellStyle name="强调文字颜色 2 2 2 4 3 2 3" xfId="21470"/>
    <cellStyle name="常规 12 2 2 3 3 2" xfId="21471"/>
    <cellStyle name="20% - 强调文字颜色 3 3 8" xfId="21472"/>
    <cellStyle name="计算 2 2 3 3 2 7" xfId="21473"/>
    <cellStyle name="60% - 强调文字颜色 2 3 2 5" xfId="21474"/>
    <cellStyle name="注释 2 3 3 3 2 2" xfId="21475"/>
    <cellStyle name="汇总 2 2 4 2 2 5 2" xfId="21476"/>
    <cellStyle name="注释 3 3" xfId="21477"/>
    <cellStyle name="好 2 6 2 2 2" xfId="21478"/>
    <cellStyle name="检查单元格 2 2 2 2 6" xfId="21479"/>
    <cellStyle name="汇总 2 2 3 2 2 4 2 2" xfId="21480"/>
    <cellStyle name="输入 2 2 10 4" xfId="21481"/>
    <cellStyle name="汇总 2 8 6" xfId="21482"/>
    <cellStyle name="计算 2 19" xfId="21483"/>
    <cellStyle name="计算 2 2 3 2 2 3 2" xfId="21484"/>
    <cellStyle name="20% - 强调文字颜色 2 3 4 2" xfId="21485"/>
    <cellStyle name="强调文字颜色 2 2 3 2 4 2" xfId="21486"/>
    <cellStyle name="标题 6 2 2 3 2 2" xfId="21487"/>
    <cellStyle name="60% - 强调文字颜色 6 2 2 3 5" xfId="21488"/>
    <cellStyle name="汇总 2 2 4 2 4 3" xfId="21489"/>
    <cellStyle name="标题 1 6 2 3" xfId="21490"/>
    <cellStyle name="汇总 2 7 4 2 3 3" xfId="21491"/>
    <cellStyle name="好 3 2 3 2 2 2" xfId="21492"/>
    <cellStyle name="输入 2 2 2 2 5 3" xfId="21493"/>
    <cellStyle name="20% - 强调文字颜色 2 2 2 3 2 2 2 2 2" xfId="21494"/>
    <cellStyle name="常规 11 6 2 2" xfId="21495"/>
    <cellStyle name="计算 2 5 4" xfId="21496"/>
    <cellStyle name="强调文字颜色 2 2 2 3 4 2" xfId="21497"/>
    <cellStyle name="20% - 强调文字颜色 1 4 4 2" xfId="21498"/>
    <cellStyle name="输出 2 4 7 2" xfId="21499"/>
    <cellStyle name="常规 2 3 5 2" xfId="21500"/>
    <cellStyle name="汇总 2 2 6 3 4 2 2" xfId="21501"/>
    <cellStyle name="40% - 强调文字颜色 3 3 2 2 4" xfId="21502"/>
    <cellStyle name="注释 2 3 2 3 5" xfId="21503"/>
    <cellStyle name="强调文字颜色 5 2 3 2 4 3 2" xfId="21504"/>
    <cellStyle name="20% - 强调文字颜色 1 2 4 3 3" xfId="21505"/>
    <cellStyle name="40% - 强调文字颜色 3 2 5 5 2 2" xfId="21506"/>
    <cellStyle name="40% - 强调文字颜色 5 2 2 2 2 5 2 2 2" xfId="21507"/>
    <cellStyle name="链接单元格 4 2 2 2" xfId="21508"/>
    <cellStyle name="60% - 强调文字颜色 6 2 9" xfId="21509"/>
    <cellStyle name="计算 2 3 2 3 2 2 2" xfId="21510"/>
    <cellStyle name="注释 2 9 7" xfId="21511"/>
    <cellStyle name="解释性文本 2 4 2 4" xfId="21512"/>
    <cellStyle name="60% - 强调文字颜色 2 2 2 4 3 3 2" xfId="21513"/>
    <cellStyle name="标题 1 2 3 2 3 4" xfId="21514"/>
    <cellStyle name="60% - 强调文字颜色 6 2 3 7 2" xfId="21515"/>
    <cellStyle name="60% - 强调文字颜色 5 3 6" xfId="21516"/>
    <cellStyle name="输出 2 2 5 4 4" xfId="21517"/>
    <cellStyle name="20% - 强调文字颜色 5 2 2 5 3" xfId="21518"/>
    <cellStyle name="标题 3 4" xfId="21519"/>
    <cellStyle name="标题 5 2 3 4 3" xfId="21520"/>
    <cellStyle name="40% - 强调文字颜色 5 2 2 2 3 3 2" xfId="21521"/>
    <cellStyle name="标题 4 2 4 3 3 3" xfId="21522"/>
    <cellStyle name="20% - 强调文字颜色 3 3 3 3" xfId="21523"/>
    <cellStyle name="计算 2 2 3 3 2 2 3" xfId="21524"/>
    <cellStyle name="汇总 2 11 3 3" xfId="21525"/>
    <cellStyle name="标题 1 2 2 3 10" xfId="21526"/>
    <cellStyle name="适中 3 4 2" xfId="21527"/>
    <cellStyle name="警告文本 2 2 2 2 8" xfId="21528"/>
    <cellStyle name="40% - 强调文字颜色 3 2 10 2" xfId="21529"/>
    <cellStyle name="解释性文本 2 3 4 3" xfId="21530"/>
    <cellStyle name="标题 4 2 2 4 3 3 2" xfId="21531"/>
    <cellStyle name="注释 2 2 3 2 5 5" xfId="21532"/>
    <cellStyle name="40% - 强调文字颜色 1 2 2 4 3 2 2 2" xfId="21533"/>
    <cellStyle name="注释 2 4 3 2 2" xfId="21534"/>
    <cellStyle name="计算 2 3 5" xfId="21535"/>
    <cellStyle name="60% - 强调文字颜色 2 2 2 3 2 2 2 2" xfId="21536"/>
    <cellStyle name="60% - 强调文字颜色 2 2 2 4 2 2" xfId="21537"/>
    <cellStyle name="输出 3 2 2 6" xfId="21538"/>
    <cellStyle name="输入 2 6 2 2 3" xfId="21539"/>
    <cellStyle name="40% - 强调文字颜色 2 2" xfId="21540"/>
    <cellStyle name="汇总 2 2 5 6 2" xfId="21541"/>
    <cellStyle name="20% - 强调文字颜色 6 2 3 3" xfId="21542"/>
    <cellStyle name="链接单元格 2 3 2 3 3 3" xfId="21543"/>
    <cellStyle name="注释 3 2 2 3 2 2" xfId="21544"/>
    <cellStyle name="计算 2 3 2 2 4 2 2" xfId="21545"/>
    <cellStyle name="常规 3 3 2 2 2 2 2" xfId="21546"/>
    <cellStyle name="注释 2 2 2 4 4 2" xfId="21547"/>
    <cellStyle name="40% - 强调文字颜色 3 2 2 3 3 2" xfId="21548"/>
    <cellStyle name="标题 4 4 4 2 2 2" xfId="21549"/>
    <cellStyle name="强调文字颜色 5 2 4 3 3 2" xfId="21550"/>
    <cellStyle name="输入 2 2 4 2 3 2 2 3" xfId="21551"/>
    <cellStyle name="标题 1 2 2 2 5 2" xfId="21552"/>
    <cellStyle name="20% - 强调文字颜色 5 2 2 2 2 2 2 2 2 2" xfId="21553"/>
    <cellStyle name="20% - 强调文字颜色 4 3 2 2 2 2" xfId="21554"/>
    <cellStyle name="输入 2 6 2 2 3 3" xfId="21555"/>
    <cellStyle name="输入 2 2 4 2 2 2 8" xfId="21556"/>
    <cellStyle name="注释 2 6 3 5" xfId="21557"/>
    <cellStyle name="40% - 强调文字颜色 2 2 3" xfId="21558"/>
    <cellStyle name="20% - 强调文字颜色 6 5" xfId="21559"/>
    <cellStyle name="链接单元格 2 3 2 6" xfId="21560"/>
    <cellStyle name="标题 5 2 2 2 4 2" xfId="21561"/>
    <cellStyle name="常规 4 3 2 2" xfId="21562"/>
    <cellStyle name="60% - 强调文字颜色 3 3 3 3 2 2" xfId="21563"/>
    <cellStyle name="40% - 强调文字颜色 2 2 7 3 2" xfId="21564"/>
    <cellStyle name="输出 2 2 2 4 8" xfId="21565"/>
    <cellStyle name="标题 3 3 3 3 3" xfId="21566"/>
    <cellStyle name="计算 2 2 7 5 3 3" xfId="21567"/>
    <cellStyle name="Normal 4 4 2" xfId="21568"/>
    <cellStyle name="注释 2 7 2 2 2" xfId="21569"/>
    <cellStyle name="汇总 2 5 3 6 3" xfId="21570"/>
    <cellStyle name="20% - 强调文字颜色 1 2 2 2 5 2" xfId="21571"/>
    <cellStyle name="60% - 强调文字颜色 2 2 2 2 2 4" xfId="21572"/>
    <cellStyle name="计算 2 2 4 3 2 2 5" xfId="21573"/>
    <cellStyle name="20% - 强调文字颜色 6 4 4 2 2 2" xfId="21574"/>
    <cellStyle name="60% - 强调文字颜色 4 2 9" xfId="21575"/>
    <cellStyle name="强调文字颜色 1 2 2 4 4 2" xfId="21576"/>
    <cellStyle name="强调文字颜色 1 2 3 2 5 2" xfId="21577"/>
    <cellStyle name="60% - 强调文字颜色 2 2 2 2 7" xfId="21578"/>
    <cellStyle name="标题 4 4 2 2" xfId="21579"/>
    <cellStyle name="20% - 强调文字颜色 5 2 2 6 3 2 2" xfId="21580"/>
    <cellStyle name="40% - 强调文字颜色 2 2 2 3" xfId="21581"/>
    <cellStyle name="60% - 强调文字颜色 5 3 2 3 2" xfId="21582"/>
    <cellStyle name="计算 2 5 2 4 6" xfId="21583"/>
    <cellStyle name="计算 5 4 2" xfId="21584"/>
    <cellStyle name="常规 8 3 4 2 2" xfId="21585"/>
    <cellStyle name="汇总 2 6 2 6 2" xfId="21586"/>
    <cellStyle name="20% - 强调文字颜色 3 3 2 3 2 2" xfId="21587"/>
    <cellStyle name="汇总 2 5 2 5 2 2" xfId="21588"/>
    <cellStyle name="计算 2 2 6 5 2 3" xfId="21589"/>
    <cellStyle name="标题 3 2 3 2 3" xfId="21590"/>
    <cellStyle name="60% - 强调文字颜色 1 6" xfId="21591"/>
    <cellStyle name="输入 3 4 5" xfId="21592"/>
    <cellStyle name="超链接 3 3 2 4 2 2" xfId="21593"/>
    <cellStyle name="计算 2 2 5 2 6" xfId="21594"/>
    <cellStyle name="60% - 强调文字颜色 3 2 3" xfId="21595"/>
    <cellStyle name="计算 2 2 2 3 2 3" xfId="21596"/>
    <cellStyle name="强调文字颜色 4 2 6 2" xfId="21597"/>
    <cellStyle name="标题 3 2 2 2 3 4" xfId="21598"/>
    <cellStyle name="输入 2 2 5 6" xfId="21599"/>
    <cellStyle name="输出 2 6 9 2" xfId="21600"/>
    <cellStyle name="强调文字颜色 1 2 3 4 3 2" xfId="21601"/>
    <cellStyle name="60% - 强调文字颜色 3 2 2 2 2 4 3 2" xfId="21602"/>
    <cellStyle name="链接单元格 2 3 2 2 3" xfId="21603"/>
    <cellStyle name="标题 5 2 2 7" xfId="21604"/>
    <cellStyle name="60% - 强调文字颜色 4 3 5 2" xfId="21605"/>
    <cellStyle name="标题 5 8" xfId="21606"/>
    <cellStyle name="标题 5 2 4 4 2 2" xfId="21607"/>
    <cellStyle name="输入 2 4 4 8" xfId="21608"/>
    <cellStyle name="输出 2 2 4 3 4 2" xfId="21609"/>
    <cellStyle name="解释性文本 2 2 3 8" xfId="21610"/>
    <cellStyle name="汇总 2 2 6 5 2 2" xfId="21611"/>
    <cellStyle name="20% - 强调文字颜色 6 3 2 3 2" xfId="21612"/>
    <cellStyle name="60% - 强调文字颜色 1 2 2 2 6 2 2 2" xfId="21613"/>
    <cellStyle name="40% - 强调文字颜色 4 2 7" xfId="21614"/>
    <cellStyle name="40% - 强调文字颜色 5 2 2 2 3 2 2 2" xfId="21615"/>
    <cellStyle name="适中 3 2 3" xfId="21616"/>
    <cellStyle name="注释 2 12 2 2" xfId="21617"/>
    <cellStyle name="常规 4 4 2 2 3 2 2" xfId="21618"/>
    <cellStyle name="输出 5 2 2" xfId="21619"/>
    <cellStyle name="差 2 4 2 2 2" xfId="21620"/>
    <cellStyle name="汇总 2 2 4 3 2 4" xfId="21621"/>
    <cellStyle name="注释 2 6 2 4" xfId="21622"/>
    <cellStyle name="检查单元格 2 2 2 5" xfId="21623"/>
    <cellStyle name="注释 2 2 6 4 4" xfId="21624"/>
    <cellStyle name="超链接 2 2 2 4 2 2" xfId="21625"/>
    <cellStyle name="汇总 2 8 3 2 5" xfId="21626"/>
    <cellStyle name="标题 1 2 2 4 2 4" xfId="21627"/>
    <cellStyle name="常规 10 2 4 5" xfId="21628"/>
    <cellStyle name="输出 2 2 16" xfId="21629"/>
    <cellStyle name="标题 4 3 2 3 2 2" xfId="21630"/>
    <cellStyle name="输出 2 2 4 3 2" xfId="21631"/>
    <cellStyle name="常规 5 8 2" xfId="21632"/>
    <cellStyle name="汇总 2 2 5 5 3" xfId="21633"/>
    <cellStyle name="20% - 强调文字颜色 6 2 2 4" xfId="21634"/>
    <cellStyle name="计算 2 8 2 2 3" xfId="21635"/>
    <cellStyle name="适中 2 2 4 2 3" xfId="21636"/>
    <cellStyle name="强调文字颜色 6 2 4 3" xfId="21637"/>
    <cellStyle name="汇总 2 2 5 2 3 4 2" xfId="21638"/>
    <cellStyle name="标题 3 3 2 4 2 2 2" xfId="21639"/>
    <cellStyle name="计算 2 5 2 5 3" xfId="21640"/>
    <cellStyle name="常规 4 3 3 2 4" xfId="21641"/>
    <cellStyle name="输入 2 6 13" xfId="21642"/>
    <cellStyle name="汇总 2 2 4 2 4 2" xfId="21643"/>
    <cellStyle name="标题 1 6 2 2" xfId="21644"/>
    <cellStyle name="20% - 强调文字颜色 5 2 2 3 5 2 2" xfId="21645"/>
    <cellStyle name="60% - 强调文字颜色 6 2 2 3 4" xfId="21646"/>
    <cellStyle name="计算 2 2 11 2" xfId="21647"/>
    <cellStyle name="输出 4 7 2 2" xfId="21648"/>
    <cellStyle name="标题 5 2 4" xfId="21649"/>
    <cellStyle name="强调文字颜色 4 2 6 3 2" xfId="21650"/>
    <cellStyle name="输入 2 2 5 7 2" xfId="21651"/>
    <cellStyle name="适中 2 7 3 2" xfId="21652"/>
    <cellStyle name="60% - 强调文字颜色 1 3 3 4" xfId="21653"/>
    <cellStyle name="汇总 2 6 3 5 2 2" xfId="21654"/>
    <cellStyle name="标题 4 3 3 2 3" xfId="21655"/>
    <cellStyle name="汇总 5 5" xfId="21656"/>
    <cellStyle name="汇总 2 9 2 5" xfId="21657"/>
    <cellStyle name="20% - 强调文字颜色 6 2 3 5 2 2 2" xfId="21658"/>
    <cellStyle name="20% - 强调文字颜色 3 2 3 2 2 2 2 2 2 2" xfId="21659"/>
    <cellStyle name="常规 9 4 3 2 3" xfId="21660"/>
    <cellStyle name="标题 1 3 2 4 3" xfId="21661"/>
    <cellStyle name="标题 3 2 2 4 3 4" xfId="21662"/>
    <cellStyle name="常规 5 2 3 4 3" xfId="21663"/>
    <cellStyle name="输入 2 2 5 2 7" xfId="21664"/>
    <cellStyle name="40% - 强调文字颜色 5 4 5" xfId="21665"/>
    <cellStyle name="40% - 强调文字颜色 3 2 3 2 2 5" xfId="21666"/>
    <cellStyle name="输入 2 4 2 2 3 3" xfId="21667"/>
    <cellStyle name="检查单元格 2 2 2 2 4" xfId="21668"/>
    <cellStyle name="40% - 强调文字颜色 5 2 5 4 2" xfId="21669"/>
    <cellStyle name="汇总 2 8 4" xfId="21670"/>
    <cellStyle name="强调文字颜色 6 2 3 6" xfId="21671"/>
    <cellStyle name="百分比 2 2 2" xfId="21672"/>
    <cellStyle name="常规 2 2 4" xfId="21673"/>
    <cellStyle name="输出 2 3 6" xfId="21674"/>
    <cellStyle name="40% - 强调文字颜色 4 2 3 2 4 2" xfId="21675"/>
    <cellStyle name="注释 2 3 5 2" xfId="21676"/>
    <cellStyle name="超链接 2 3 2 2 2 3" xfId="21677"/>
    <cellStyle name="输入 2 6 3 3 2" xfId="21678"/>
    <cellStyle name="注释 2 6 2 2 3 3" xfId="21679"/>
    <cellStyle name="超链接 3 2 2 3 2" xfId="21680"/>
    <cellStyle name="40% - 强调文字颜色 4 2 3 2 2 5 2" xfId="21681"/>
    <cellStyle name="标题 4 3 2 3" xfId="21682"/>
    <cellStyle name="40% - 强调文字颜色 4 2 3 2" xfId="21683"/>
    <cellStyle name="适中 2 2 2 3 2 2 2" xfId="21684"/>
    <cellStyle name="计算 4 3 3 2" xfId="21685"/>
    <cellStyle name="计算 2 2 4 4 2 2 2 2" xfId="21686"/>
    <cellStyle name="20% - 强调文字颜色 3 2 6 3 2" xfId="21687"/>
    <cellStyle name="计算 2 5 3 4 2" xfId="21688"/>
    <cellStyle name="注释 2 4 2 5 2 2" xfId="21689"/>
    <cellStyle name="常规 5 2 3 6 2" xfId="21690"/>
    <cellStyle name="输入 2 2 9 3" xfId="21691"/>
    <cellStyle name="好 2 2 4 2 2 3" xfId="21692"/>
    <cellStyle name="强调文字颜色 3 2 2 9" xfId="21693"/>
    <cellStyle name="60% - 强调文字颜色 5 3 3 3 2" xfId="21694"/>
    <cellStyle name="适中 2 7 2 2 2" xfId="21695"/>
    <cellStyle name="60% - 强调文字颜色 1 3 2 4 2" xfId="21696"/>
    <cellStyle name="汇总 2 2 8 2 2 3 3" xfId="21697"/>
    <cellStyle name="60% - 强调文字颜色 5 2 2 2 3 4" xfId="21698"/>
    <cellStyle name="标题 4 2 2 2 2 2 4" xfId="21699"/>
    <cellStyle name="常规 5 8 2 2" xfId="21700"/>
    <cellStyle name="40% - 强调文字颜色 2 3 2 3" xfId="21701"/>
    <cellStyle name="解释性文本 2" xfId="21702"/>
    <cellStyle name="60% - 强调文字颜色 2 2 2 2 3 5" xfId="21703"/>
    <cellStyle name="40% - 强调文字颜色 4 2 2 2 4" xfId="21704"/>
    <cellStyle name="40% - 强调文字颜色 5 2 5 2 2 2" xfId="21705"/>
    <cellStyle name="计算 2 10 2 7" xfId="21706"/>
    <cellStyle name="标题 1 2 2 2 3 2 2 2 2" xfId="21707"/>
    <cellStyle name="输出 2 2 3 2 2 2 3 2 2" xfId="21708"/>
    <cellStyle name="常规 4 2 3 2 2 4" xfId="21709"/>
    <cellStyle name="强调文字颜色 2 2 2 2 4" xfId="21710"/>
    <cellStyle name="计算 2 4 12" xfId="21711"/>
    <cellStyle name="20% - 强调文字颜色 1 3 4" xfId="21712"/>
    <cellStyle name="强调文字颜色 5 2 4 3 2 2 2" xfId="21713"/>
    <cellStyle name="60% - 强调文字颜色 4 2 2 5 3 2 2" xfId="21714"/>
    <cellStyle name="计算 2 2 12 3" xfId="21715"/>
    <cellStyle name="60% - 强调文字颜色 6 2 3 3 2 2 2 2 2" xfId="21716"/>
    <cellStyle name="适中 3 3" xfId="21717"/>
    <cellStyle name="标题 1 2 4 2 2" xfId="21718"/>
    <cellStyle name="强调文字颜色 4 2 2 3 2 2 2" xfId="21719"/>
    <cellStyle name="适中 2 3 3 2 2 2" xfId="21720"/>
    <cellStyle name="汇总 2 2 10 2 2 2" xfId="21721"/>
    <cellStyle name="标题 2 2 2 2 3 6" xfId="21722"/>
    <cellStyle name="60% - 强调文字颜色 1 2 3 2 4 2 2" xfId="21723"/>
    <cellStyle name="标题 8 2 2 3" xfId="21724"/>
    <cellStyle name="汇总 2 2 7 3 6" xfId="21725"/>
    <cellStyle name="60% - 强调文字颜色 5 2 2 2 2 2 2 2 2" xfId="21726"/>
    <cellStyle name="输入 2 4 3 3 2 2" xfId="21727"/>
    <cellStyle name="汇总 2 3 2 5 2" xfId="21728"/>
    <cellStyle name="20% - 强调文字颜色 6 2 2 2 2 3 2 2" xfId="21729"/>
    <cellStyle name="说明文本 3" xfId="21730"/>
    <cellStyle name="输入 2 3 3 8" xfId="21731"/>
    <cellStyle name="20% - 强调文字颜色 2 2 2 2 2 5 2 2" xfId="21732"/>
    <cellStyle name="60% - 强调文字颜色 1 4 5 2" xfId="21733"/>
    <cellStyle name="注释 2 5 8" xfId="21734"/>
    <cellStyle name="输入 2 6 2 5" xfId="21735"/>
    <cellStyle name="差 3 5 2 3" xfId="21736"/>
    <cellStyle name="标题 3 2 4 3 3 2" xfId="21737"/>
    <cellStyle name="汇总 2 5 2 6 3 2 2" xfId="21738"/>
    <cellStyle name="输出 2 4 4 6 2" xfId="21739"/>
    <cellStyle name="强调文字颜色 5 2 2 2 5 2 3" xfId="21740"/>
    <cellStyle name="输入 2 5 2 9 2 2" xfId="21741"/>
    <cellStyle name="汇总 2 2 7 3 2 3 2" xfId="21742"/>
    <cellStyle name="输出 2 6 2 2 4 2" xfId="21743"/>
    <cellStyle name="20% - 强调文字颜色 5 4 3 2 2 2" xfId="21744"/>
    <cellStyle name="20% - 强调文字颜色 6 3 3 3 2 2 2" xfId="21745"/>
    <cellStyle name="汇总 2 8 5 2 2 2" xfId="21746"/>
    <cellStyle name="汇总 2 2 4 2 5 6" xfId="21747"/>
    <cellStyle name="40% - 强调文字颜色 4 3 3 3 2" xfId="21748"/>
    <cellStyle name="常规 5 2 3 2 5 2 2" xfId="21749"/>
    <cellStyle name="汇总 2 4 2 4" xfId="21750"/>
    <cellStyle name="40% - 强调文字颜色 1 3 2 3 2 2 2" xfId="21751"/>
    <cellStyle name="警告文本 2 4 2 2 2" xfId="21752"/>
    <cellStyle name="20% - 强调文字颜色 1 2 2 2 6 2" xfId="21753"/>
    <cellStyle name="强调文字颜色 3 2 2 3 5 2" xfId="21754"/>
    <cellStyle name="20% - 强调文字颜色 5 2 2 2 2 2 3 2 2 2" xfId="21755"/>
    <cellStyle name="常规 5 2 3 3 4" xfId="21756"/>
    <cellStyle name="60% - 强调文字颜色 4 3 2 4" xfId="21757"/>
    <cellStyle name="汇总 2 5 2 3 5 3" xfId="21758"/>
    <cellStyle name="差 2 4 6" xfId="21759"/>
    <cellStyle name="标题 3 2 3 2 4 2 3" xfId="21760"/>
    <cellStyle name="汇总 2 2 8 3 2 3 3" xfId="21761"/>
    <cellStyle name="标题 4 2 2 4 2 2 3" xfId="21762"/>
    <cellStyle name="解释性文本 2 2 3 4" xfId="21763"/>
    <cellStyle name="40% - 强调文字颜色 4 3 2 2" xfId="21764"/>
    <cellStyle name="注释 3 5" xfId="21765"/>
    <cellStyle name="解释性文本 2 2 2 4 3 2" xfId="21766"/>
    <cellStyle name="计算 2 4 3 6 2" xfId="21767"/>
    <cellStyle name="60% - 强调文字颜色 1 2 2 2 3 6" xfId="21768"/>
    <cellStyle name="60% - 强调文字颜色 2 2 3 2 2 3 2" xfId="21769"/>
    <cellStyle name="输出 2 2 7 7 2" xfId="21770"/>
    <cellStyle name="标题 3 2 2 2 3 2 2 2" xfId="21771"/>
    <cellStyle name="输入 2 2 5 4 2 2" xfId="21772"/>
    <cellStyle name="40% - 强调文字颜色 2 4 5" xfId="21773"/>
    <cellStyle name="汇总 2 7 4 2 5" xfId="21774"/>
    <cellStyle name="输入 2 2 2 2 7" xfId="21775"/>
    <cellStyle name="60% - 强调文字颜色 5 3 3 4 2" xfId="21776"/>
    <cellStyle name="标题 4 2 2 2 2 3 4" xfId="21777"/>
    <cellStyle name="40% - 强调文字颜色 2 3 3 3" xfId="21778"/>
    <cellStyle name="20% - 强调文字颜色 5 2 3 3 2 2 2 2 2" xfId="21779"/>
    <cellStyle name="20% - 强调文字颜色 1 2 3 2 4 3 2" xfId="21780"/>
    <cellStyle name="40% - 强调文字颜色 1 4 4 2 2 2" xfId="21781"/>
    <cellStyle name="汇总 2 5 2 3" xfId="21782"/>
    <cellStyle name="标题 7 3 2 3" xfId="21783"/>
    <cellStyle name="40% - 强调文字颜色 2 3 2 2 4 2" xfId="21784"/>
    <cellStyle name="解释性文本 3 12" xfId="21785"/>
    <cellStyle name="汇总 2 2 2 2 2 6 2 2" xfId="21786"/>
    <cellStyle name="40% - 强调文字颜色 3 2 6" xfId="21787"/>
    <cellStyle name="输入 2 6 2 6 2" xfId="21788"/>
    <cellStyle name="适中 2 2 2 2 2 5" xfId="21789"/>
    <cellStyle name="强调文字颜色 3 2 2 2 2 4 4" xfId="21790"/>
    <cellStyle name="适中 3 5 2" xfId="21791"/>
    <cellStyle name="标题 6 2 2 4" xfId="21792"/>
    <cellStyle name="40% - 强调文字颜色 1 2 3 6 2" xfId="21793"/>
    <cellStyle name="汇总 2 6 4 2 3 2" xfId="21794"/>
    <cellStyle name="60% - 强调文字颜色 5 2 2 4 5 2" xfId="21795"/>
    <cellStyle name="计算 2 2 2 2 4 4" xfId="21796"/>
    <cellStyle name="好 2 3 5 2 3" xfId="21797"/>
    <cellStyle name="汇总 2 5 5 2 4 2 2" xfId="21798"/>
    <cellStyle name="计算 2 2 4 4 7" xfId="21799"/>
    <cellStyle name="警告文本 2 4 6 2 2" xfId="21800"/>
    <cellStyle name="60% - 强调文字颜色 2 4 4" xfId="21801"/>
    <cellStyle name="常规 8 4 3 2 2" xfId="21802"/>
    <cellStyle name="注释 2 2 8 2" xfId="21803"/>
    <cellStyle name="60% - 强调文字颜色 1 4 2 2 2" xfId="21804"/>
    <cellStyle name="计算 2 2 3 4 5 2 2" xfId="21805"/>
    <cellStyle name="标题 2 3 2 2 4 2" xfId="21806"/>
    <cellStyle name="汇总 2 2 6 2 3 5" xfId="21807"/>
    <cellStyle name="注释 2 5 3 4 2" xfId="21808"/>
    <cellStyle name="注释 2 2 7 7" xfId="21809"/>
    <cellStyle name="40% - 强调文字颜色 5 2 2 6 2" xfId="21810"/>
    <cellStyle name="输出 2 6 2 8" xfId="21811"/>
    <cellStyle name="强调文字颜色 6 2 2 2" xfId="21812"/>
    <cellStyle name="强调文字颜色 2 2 4 5 2 2" xfId="21813"/>
    <cellStyle name="计算 2 2 6 10 3" xfId="21814"/>
    <cellStyle name="20% - 强调文字颜色 3 6 2 2" xfId="21815"/>
    <cellStyle name="60% - 强调文字颜色 6 2 5 2 3" xfId="21816"/>
    <cellStyle name="标题 1 2 2 6 3 2 2" xfId="21817"/>
    <cellStyle name="百分比 2 3 4 2 2" xfId="21818"/>
    <cellStyle name="汇总 2 7 3 4 2" xfId="21819"/>
    <cellStyle name="计算 2 2 7 3 3" xfId="21820"/>
    <cellStyle name="40% - 强调文字颜色 1 6 2" xfId="21821"/>
    <cellStyle name="常规 4 2 5 3 2" xfId="21822"/>
    <cellStyle name="20% - 强调文字颜色 3 2 2 2 2 3 2 2 2 2" xfId="21823"/>
    <cellStyle name="计算 2 4 2 2 5 2" xfId="21824"/>
    <cellStyle name="汇总 2 3 6 3" xfId="21825"/>
    <cellStyle name="常规 9 3 4" xfId="21826"/>
    <cellStyle name="60% - 强调文字颜色 1 2 6 2" xfId="21827"/>
    <cellStyle name="计算 2 2 3 2 9 2" xfId="21828"/>
    <cellStyle name="汇总 2 10 3 2 3" xfId="21829"/>
    <cellStyle name="60% - 强调文字颜色 1 2 3 3 2 2 2 2 2" xfId="21830"/>
    <cellStyle name="计算 2 5 2 3 2 4 2" xfId="21831"/>
    <cellStyle name="常规 10 2" xfId="21832"/>
    <cellStyle name="常规 6 2 4 3" xfId="21833"/>
    <cellStyle name="40% - 强调文字颜色 4 2 5 2" xfId="21834"/>
    <cellStyle name="汇总 2 3 4 2 3 2" xfId="21835"/>
    <cellStyle name="差 2 2 6 3 2 2" xfId="21836"/>
    <cellStyle name="汇总 2 2 5 3 3 2" xfId="21837"/>
    <cellStyle name="40% - 强调文字颜色 6 2 3 2 2 2 2" xfId="21838"/>
    <cellStyle name="强调文字颜色 5 2 7 3" xfId="21839"/>
    <cellStyle name="40% - 强调文字颜色 4 2 2 2 4 3" xfId="21840"/>
    <cellStyle name="汇总 4 3 3 2 2" xfId="21841"/>
    <cellStyle name="常规 6 3 2 3 3 2" xfId="21842"/>
    <cellStyle name="超链接 2 6 2 3" xfId="21843"/>
    <cellStyle name="常规 12 3 2 5" xfId="21844"/>
    <cellStyle name="汇总 2 2 6 2 6 2" xfId="21845"/>
    <cellStyle name="40% - 强调文字颜色 3 2 3 2 2 3" xfId="21846"/>
    <cellStyle name="注释 2 2 3 3 3 3" xfId="21847"/>
    <cellStyle name="汇总 2 2 3 2 2 6 3" xfId="21848"/>
    <cellStyle name="20% - 强调文字颜色 3 2 2 4 3 2 2 2" xfId="21849"/>
    <cellStyle name="计算 2 4 7 2 2" xfId="21850"/>
    <cellStyle name="20% - 强调文字颜色 5 2 2 2 3 3 2" xfId="21851"/>
    <cellStyle name="常规 2 4 4 2 2 2" xfId="21852"/>
    <cellStyle name="好 2 3 2 3 2 2" xfId="21853"/>
    <cellStyle name="40% - 强调文字颜色 6 2 3 3 2 2 2" xfId="21854"/>
    <cellStyle name="常规 10 3 2 2 3 2 2" xfId="21855"/>
    <cellStyle name="适中 2 2 4 5 3" xfId="21856"/>
    <cellStyle name="强调文字颜色 6 2 7 3" xfId="21857"/>
    <cellStyle name="汇总 2 2 6 7 2 2" xfId="21858"/>
    <cellStyle name="40% - 强调文字颜色 4 2 3 2 4 3" xfId="21859"/>
    <cellStyle name="汇总 4 4 3 2 2" xfId="21860"/>
    <cellStyle name="输出 2 2 6 2 2 2 2" xfId="21861"/>
    <cellStyle name="60% - 强调文字颜色 6 4 2 3 2 3" xfId="21862"/>
    <cellStyle name="解释性文本 2 2 4 2 2 2" xfId="21863"/>
    <cellStyle name="输入 2 4 2 9" xfId="21864"/>
    <cellStyle name="输入 2 2 12 2" xfId="21865"/>
    <cellStyle name="20% - 强调文字颜色 5 3 9" xfId="21866"/>
    <cellStyle name="常规 5 2 5" xfId="21867"/>
    <cellStyle name="60% - 强调文字颜色 3 3 10" xfId="21868"/>
    <cellStyle name="汇总 2 2 3 2 3" xfId="21869"/>
    <cellStyle name="适中 2 3 2 3" xfId="21870"/>
    <cellStyle name="40% - 强调文字颜色 4 3 4" xfId="21871"/>
    <cellStyle name="输入 2 3 2 3 6" xfId="21872"/>
    <cellStyle name="强调文字颜色 2 5" xfId="21873"/>
    <cellStyle name="常规 8 2 3 2" xfId="21874"/>
    <cellStyle name="60% - 强调文字颜色 6 2 2 5 2 2 3" xfId="21875"/>
    <cellStyle name="输出 2 2 3 8 2" xfId="21876"/>
    <cellStyle name="汇总 2 2 5 8 3" xfId="21877"/>
    <cellStyle name="20% - 强调文字颜色 6 2 5 4" xfId="21878"/>
    <cellStyle name="Normal 4 2 3 2" xfId="21879"/>
    <cellStyle name="检查单元格 2 2 3 7" xfId="21880"/>
    <cellStyle name="20% - 强调文字颜色 6 2 2 3 5 2 2" xfId="21881"/>
    <cellStyle name="40% - 强调文字颜色 6 4 3" xfId="21882"/>
    <cellStyle name="输入 2 2 6 2 5" xfId="21883"/>
    <cellStyle name="标题 5 4 3 4" xfId="21884"/>
    <cellStyle name="计算 2 6 2 2 3 2 2 2" xfId="21885"/>
    <cellStyle name="汇总 2 4 2 3 8" xfId="21886"/>
    <cellStyle name="汇总 2 5 2 2 3 2 3" xfId="21887"/>
    <cellStyle name="40% - 强调文字颜色 1 2 3 4 3" xfId="21888"/>
    <cellStyle name="输出 2 4 10" xfId="21889"/>
    <cellStyle name="计算 2 2 4 3 3 2 2 2" xfId="21890"/>
    <cellStyle name="输入 2 2 2 2 2 3 3" xfId="21891"/>
    <cellStyle name="计算 2 4 4 2 3 2" xfId="21892"/>
    <cellStyle name="强调文字颜色 6 2" xfId="21893"/>
    <cellStyle name="输入 2 2 4 2 8 2" xfId="21894"/>
    <cellStyle name="好 2 2 2 4 2" xfId="21895"/>
    <cellStyle name="计算 2 9 2 8" xfId="21896"/>
    <cellStyle name="强调文字颜色 3 2 2 3 3 3" xfId="21897"/>
    <cellStyle name="标题 2 4 2 2 2 3" xfId="21898"/>
    <cellStyle name="20% - 强调文字颜色 4 2 2 5 3 2" xfId="21899"/>
    <cellStyle name="解释性文本 2 2 2 4 3" xfId="21900"/>
    <cellStyle name="20% - 强调文字颜色 6 2 3 2 2" xfId="21901"/>
    <cellStyle name="链接单元格 2 3 2 3 3 2 2" xfId="21902"/>
    <cellStyle name="常规 6 3 2 2 3 2 2 2" xfId="21903"/>
    <cellStyle name="40% - 强调文字颜色 6 2 3 2 2 4 2 2" xfId="21904"/>
    <cellStyle name="解释性文本 2 2 2 5 3" xfId="21905"/>
    <cellStyle name="注释 2 7 2 2 2 2" xfId="21906"/>
    <cellStyle name="40% - 强调文字颜色 3 2 7 2 2" xfId="21907"/>
    <cellStyle name="注释 2 2 7 3 3" xfId="21908"/>
    <cellStyle name="40% - 强调文字颜色 6 2 3 2 2 3 2 2" xfId="21909"/>
    <cellStyle name="20% - 强调文字颜色 5 4 2" xfId="21910"/>
    <cellStyle name="强调文字颜色 2 2 6 3 2" xfId="21911"/>
    <cellStyle name="汇总 2 5 2 2 2 2 5 2" xfId="21912"/>
    <cellStyle name="计算 3 2 5 3" xfId="21913"/>
    <cellStyle name="20% - 强调文字颜色 4 2 2 3 5" xfId="21914"/>
    <cellStyle name="计算 2 6 3 7 2" xfId="21915"/>
    <cellStyle name="常规 5 2 3 9" xfId="21916"/>
    <cellStyle name="60% - 强调文字颜色 4 3 8" xfId="21917"/>
    <cellStyle name="60% - 强调文字颜色 2 3 2 2 2 2 2" xfId="21918"/>
    <cellStyle name="输入 2 5 4 5 3" xfId="21919"/>
    <cellStyle name="标题 3 2 2 2 7 2" xfId="21920"/>
    <cellStyle name="输入 2 2 9 4" xfId="21921"/>
    <cellStyle name="标题 4 2 2 6 3 3" xfId="21922"/>
    <cellStyle name="20% - 强调文字颜色 6 2 8" xfId="21923"/>
    <cellStyle name="好 4 2 3 3" xfId="21924"/>
    <cellStyle name="常规 16 2 2 2" xfId="21925"/>
    <cellStyle name="标题 8 2" xfId="21926"/>
    <cellStyle name="输出 2 2 12 2 2" xfId="21927"/>
    <cellStyle name="输入 2 2 8 4" xfId="21928"/>
    <cellStyle name="标题 3 2 2 2 6 2" xfId="21929"/>
    <cellStyle name="20% - 强调文字颜色 5 3 2 2 4 2" xfId="21930"/>
    <cellStyle name="好 2 2 2 2 3 3" xfId="21931"/>
    <cellStyle name="输出 2 2 2 2 2 2 2" xfId="21932"/>
    <cellStyle name="常规 7 2 3 3 2 2" xfId="21933"/>
    <cellStyle name="强调文字颜色 3 3 2 2" xfId="21934"/>
    <cellStyle name="20% - 强调文字颜色 2 2 3 2 2 3 3" xfId="21935"/>
    <cellStyle name="检查单元格 3 2 4" xfId="21936"/>
    <cellStyle name="强调文字颜色 1 2 2 7 2" xfId="21937"/>
    <cellStyle name="汇总 2 2 6 2 8" xfId="21938"/>
    <cellStyle name="强调文字颜色 6 2 2 2 2 2 5" xfId="21939"/>
    <cellStyle name="20% - 强调文字颜色 2 2 2 2 2 5 2" xfId="21940"/>
    <cellStyle name="输出 2 2 3 2 4 2 3" xfId="21941"/>
    <cellStyle name="标题 4 2 2 2 2 6" xfId="21942"/>
    <cellStyle name="20% - 强调文字颜色 2 2 3 2 2 4 3 2" xfId="21943"/>
    <cellStyle name="标题 6 2 4 2 2 2" xfId="21944"/>
    <cellStyle name="20% - 强调文字颜色 4 2 3 5 2" xfId="21945"/>
    <cellStyle name="注释 2 5 2 2 4 2" xfId="21946"/>
    <cellStyle name="60% - 强调文字颜色 2 6 2 2 2" xfId="21947"/>
    <cellStyle name="常规 5 2 7 2" xfId="21948"/>
    <cellStyle name="注释 2 4 2 2 2 4" xfId="21949"/>
    <cellStyle name="汇总 2 2 9 4 3" xfId="21950"/>
    <cellStyle name="20% - 强调文字颜色 6 2 2 2 4 2" xfId="21951"/>
    <cellStyle name="20% - 强调文字颜色 5 4 4 2" xfId="21952"/>
    <cellStyle name="60% - 强调文字颜色 3 2 2 2 2 3 3 2" xfId="21953"/>
    <cellStyle name="适中 2 3 2 2 4" xfId="21954"/>
    <cellStyle name="20% - 强调文字颜色 2 2 2 2 5 2 2 2" xfId="21955"/>
    <cellStyle name="常规 9 2 5 2" xfId="21956"/>
    <cellStyle name="60% - 强调文字颜色 1 3 4 2 2" xfId="21957"/>
    <cellStyle name="40% - 强调文字颜色 1 2 3 2 3 3" xfId="21958"/>
    <cellStyle name="60% - 强调文字颜色 4 2 4 3 3 2" xfId="21959"/>
    <cellStyle name="标题 3 2 3 2 3 3 2 2" xfId="21960"/>
    <cellStyle name="标题 1 2 2 2 2 3 2 2" xfId="21961"/>
    <cellStyle name="汇总 2 2 3 4 4 2" xfId="21962"/>
    <cellStyle name="20% - 强调文字颜色 5 2 2 2 2 2 4 3" xfId="21963"/>
    <cellStyle name="标题 2 2 3 2 6 3" xfId="21964"/>
    <cellStyle name="计算 2 5 3 3 4" xfId="21965"/>
    <cellStyle name="60% - 强调文字颜色 1 3 2 4 2 2 2" xfId="21966"/>
    <cellStyle name="标题 2 2 2 3 2 2" xfId="21967"/>
    <cellStyle name="常规 13 3 2 4 3" xfId="21968"/>
    <cellStyle name="汇总 2 2 3 2 11" xfId="21969"/>
    <cellStyle name="注释 2 4 2 12" xfId="21970"/>
    <cellStyle name="60% - 强调文字颜色 1 2 3 3 2 2" xfId="21971"/>
    <cellStyle name="标题 2 2 3 4 2" xfId="21972"/>
    <cellStyle name="输出 2 2 3 3 2" xfId="21973"/>
    <cellStyle name="常规 7 3 4 3" xfId="21974"/>
    <cellStyle name="常规 4 8 2" xfId="21975"/>
    <cellStyle name="标题 1 2 3 3 3" xfId="21976"/>
    <cellStyle name="输入 2 3 3 2 6" xfId="21977"/>
    <cellStyle name="常规 12 2 5 2" xfId="21978"/>
    <cellStyle name="常规 3 2 3 4" xfId="21979"/>
    <cellStyle name="60% - 强调文字颜色 6 2 9 2" xfId="21980"/>
    <cellStyle name="20% - 强调文字颜色 5 2 2 2 2 3 3 2" xfId="21981"/>
    <cellStyle name="注释 2 4 11" xfId="21982"/>
    <cellStyle name="适中 2 2 2 2 2 3 2" xfId="21983"/>
    <cellStyle name="40% - 强调文字颜色 3 2 4 2" xfId="21984"/>
    <cellStyle name="汇总 2 6 2 6 2 2" xfId="21985"/>
    <cellStyle name="标题 4 2 4 2 3" xfId="21986"/>
    <cellStyle name="20% - 强调文字颜色 3 3 2 3 2 2 2" xfId="21987"/>
    <cellStyle name="计算 2 2 3 3 5 2 2" xfId="21988"/>
    <cellStyle name="60% - 强调文字颜色 1 3 2 2 2" xfId="21989"/>
    <cellStyle name="常规 13 2 2 3" xfId="21990"/>
    <cellStyle name="常规 2 2 2 2 3 2 2" xfId="21991"/>
    <cellStyle name="适中 2 4 4 3" xfId="21992"/>
    <cellStyle name="标题 4 2 2 3 2 2 3" xfId="21993"/>
    <cellStyle name="40% - 强调文字颜色 5 2 2 4 2 2 2 2" xfId="21994"/>
    <cellStyle name="20% - 强调文字颜色 1 2 5 2 3 2" xfId="21995"/>
    <cellStyle name="40% - 强调文字颜色 5 2 5 3 2" xfId="21996"/>
    <cellStyle name="汇总 2 2 9 3 3 3" xfId="21997"/>
    <cellStyle name="注释 2 5 4 7" xfId="21998"/>
    <cellStyle name="注释 2 2 2 4 2 2 2" xfId="21999"/>
    <cellStyle name="20% - 强调文字颜色 4 4 2 2 2 2 2" xfId="22000"/>
    <cellStyle name="汇总 2 2 4 2 5 4 2" xfId="22001"/>
    <cellStyle name="输入 2 3 2 3 5" xfId="22002"/>
    <cellStyle name="强调文字颜色 2 4" xfId="22003"/>
    <cellStyle name="汇总 2 8 4 3 3" xfId="22004"/>
    <cellStyle name="40% - 强调文字颜色 3 2 4 6" xfId="22005"/>
    <cellStyle name="百分比 2 2 4 2" xfId="22006"/>
    <cellStyle name="标题 1 2 2 5 3 2" xfId="22007"/>
    <cellStyle name="40% - 强调文字颜色 6 2 7 3 2" xfId="22008"/>
    <cellStyle name="20% - 强调文字颜色 1 2 5 3 2 2" xfId="22009"/>
    <cellStyle name="60% - 强调文字颜色 1 2 2 2 3" xfId="22010"/>
    <cellStyle name="常规 5 2 2 4 5" xfId="22011"/>
    <cellStyle name="计算 2 2 4 3 2 2 3 2" xfId="22012"/>
    <cellStyle name="常规 5 2 4 3" xfId="22013"/>
    <cellStyle name="60% - 强调文字颜色 1 2 9" xfId="22014"/>
    <cellStyle name="警告文本 2 2 4 4 3" xfId="22015"/>
    <cellStyle name="60% - 强调文字颜色 1 2 7 2 2" xfId="22016"/>
    <cellStyle name="计算 2 5 3 2 6 2" xfId="22017"/>
    <cellStyle name="好 2 4 3 2" xfId="22018"/>
    <cellStyle name="60% - 强调文字颜色 1 2 6" xfId="22019"/>
    <cellStyle name="计算 2 2 3 2 9" xfId="22020"/>
    <cellStyle name="汇总 2 5 2" xfId="22021"/>
    <cellStyle name="计算 2 2 4 2 15" xfId="22022"/>
    <cellStyle name="20% - 强调文字颜色 6 2 2 4 5 2" xfId="22023"/>
    <cellStyle name="强调文字颜色 2 2 4 2 2 2 3" xfId="22024"/>
    <cellStyle name="20% - 强调文字颜色 3 3 2 2 3" xfId="22025"/>
    <cellStyle name="计算 2 6 4 6" xfId="22026"/>
    <cellStyle name="输入 2 2 7 5 2" xfId="22027"/>
    <cellStyle name="常规 5 2 3 4 4 2" xfId="22028"/>
    <cellStyle name="计算 2 3 2 2 3" xfId="22029"/>
    <cellStyle name="输入 2 2 4 3 4 3" xfId="22030"/>
    <cellStyle name="注释 3 2 3 4" xfId="22031"/>
    <cellStyle name="常规 6 2 2 4 2 2" xfId="22032"/>
    <cellStyle name="计算 2 3 2 2 2 7" xfId="22033"/>
    <cellStyle name="60% - 强调文字颜色 6 2 2 4 2 2 2 2" xfId="22034"/>
    <cellStyle name="20% - 强调文字颜色 1 2 2 4 5 2 2" xfId="22035"/>
    <cellStyle name="强调文字颜色 3 2 4 4 2 2 2" xfId="22036"/>
    <cellStyle name="60% - 强调文字颜色 2 2 2 6 3 2 2" xfId="22037"/>
    <cellStyle name="20% - 强调文字颜色 3 2 9" xfId="22038"/>
    <cellStyle name="适中 2 2 3 6 3" xfId="22039"/>
    <cellStyle name="强调文字颜色 6 2 2 4 2 2" xfId="22040"/>
    <cellStyle name="计算 2 6 4 5 2" xfId="22041"/>
    <cellStyle name="60% - 强调文字颜色 2 2 3 4 3 2 2" xfId="22042"/>
    <cellStyle name="60% - 强调文字颜色 3 2 6 3 2 2" xfId="22043"/>
    <cellStyle name="链接单元格 2 4 3 4" xfId="22044"/>
    <cellStyle name="强调文字颜色 5 2 2 3 3" xfId="22045"/>
    <cellStyle name="20% - 强调文字颜色 4 2 2 4 5 2 2" xfId="22046"/>
    <cellStyle name="常规 6 2 3 5 2" xfId="22047"/>
    <cellStyle name="汇总 2 5 2 14" xfId="22048"/>
    <cellStyle name="输入 2 5 3 2 2 4" xfId="22049"/>
    <cellStyle name="好 2 2 2 2 4 3 2" xfId="22050"/>
    <cellStyle name="计算 2 2 4 3 2 2 5 2" xfId="22051"/>
    <cellStyle name="标题 4 4 2 2 2" xfId="22052"/>
    <cellStyle name="输入 2 2 5 2 2 2 2 2" xfId="22053"/>
    <cellStyle name="20% - 强调文字颜色 6 2 3 5" xfId="22054"/>
    <cellStyle name="20% - 强调文字颜色 3 2 3 2 2 2 2" xfId="22055"/>
    <cellStyle name="适中 2 3 2 4 4" xfId="22056"/>
    <cellStyle name="标题 4 2 3 3 2 2 2 2 2" xfId="22057"/>
    <cellStyle name="输入 5 3 2 2" xfId="22058"/>
    <cellStyle name="注释 4 2" xfId="22059"/>
    <cellStyle name="注释 2 2 4 3 6" xfId="22060"/>
    <cellStyle name="汇总 2 6 3 3 3 2 2" xfId="22061"/>
    <cellStyle name="汇总 2 2 3 4 2 4 2" xfId="22062"/>
    <cellStyle name="差 2 3 2 3 4" xfId="22063"/>
    <cellStyle name="40% - 强调文字颜色 6 3" xfId="22064"/>
    <cellStyle name="标题 1 2 4 3 2 2 2" xfId="22065"/>
    <cellStyle name="注释 2 2 4 2 3 4" xfId="22066"/>
    <cellStyle name="注释 6 3" xfId="22067"/>
    <cellStyle name="汇总 2 2 5 2 2 2 4 2 2" xfId="22068"/>
    <cellStyle name="20% - 强调文字颜色 1 2 2 4 3 2 2" xfId="22069"/>
    <cellStyle name="60% - 强调文字颜色 1 3 2 2 3 2 2 2" xfId="22070"/>
    <cellStyle name="差 2 2 3 6 3" xfId="22071"/>
    <cellStyle name="60% - 强调文字颜色 1 3 4 2" xfId="22072"/>
    <cellStyle name="计算 2 2 3 3 7 2" xfId="22073"/>
    <cellStyle name="计算 6 3" xfId="22074"/>
    <cellStyle name="汇总 2 2 3 2 3 3" xfId="22075"/>
    <cellStyle name="40% - 强调文字颜色 4 2 3 2 4 2 2" xfId="22076"/>
    <cellStyle name="60% - 强调文字颜色 6 3 3 2 3" xfId="22077"/>
    <cellStyle name="输出 2 2 6 7 3" xfId="22078"/>
    <cellStyle name="输入 2 2 5 3 2 3" xfId="22079"/>
    <cellStyle name="计算 2 4 2 6 3" xfId="22080"/>
    <cellStyle name="注释 2 2 3 2 2 2 3 3" xfId="22081"/>
    <cellStyle name="20% - 强调文字颜色 6 2 3" xfId="22082"/>
    <cellStyle name="链接单元格 2 3 2 3 3" xfId="22083"/>
    <cellStyle name="40% - 强调文字颜色 5 2 3 3 2" xfId="22084"/>
    <cellStyle name="注释 2 3 4 7" xfId="22085"/>
    <cellStyle name="注释 2 2 8 2 4" xfId="22086"/>
    <cellStyle name="检查单元格 2 4 4 2 3" xfId="22087"/>
    <cellStyle name="标题 3 2 2 2 2 4 2" xfId="22088"/>
    <cellStyle name="强调文字颜色 4 2 5 2 2" xfId="22089"/>
    <cellStyle name="输入 2 2 4 6 2" xfId="22090"/>
    <cellStyle name="60% - 强调文字颜色 3 2 3 4 3" xfId="22091"/>
    <cellStyle name="60% - 强调文字颜色 5 2 2 2 2 5 2 2" xfId="22092"/>
    <cellStyle name="常规 7 3 4 2 2" xfId="22093"/>
    <cellStyle name="40% - 强调文字颜色 6 5 2 2 2 2" xfId="22094"/>
    <cellStyle name="60% - 强调文字颜色 2 2 2 2 2 2 2 2" xfId="22095"/>
    <cellStyle name="强调文字颜色 6 2 3 2 4" xfId="22096"/>
    <cellStyle name="计算 2 6 3 2 2 3" xfId="22097"/>
    <cellStyle name="输出 2 6 8 2 2" xfId="22098"/>
    <cellStyle name="强调文字颜色 1 2 3 4 2 2 2" xfId="22099"/>
    <cellStyle name="注释 2 6 2 2 3 2" xfId="22100"/>
    <cellStyle name="60% - 强调文字颜色 6 2 5" xfId="22101"/>
    <cellStyle name="计算 2 2 8 2 8" xfId="22102"/>
    <cellStyle name="常规 10 2 3 3 5" xfId="22103"/>
    <cellStyle name="40% - 强调文字颜色 4 2 3 5 2 2" xfId="22104"/>
    <cellStyle name="常规 10 2 2 2 3" xfId="22105"/>
    <cellStyle name="链接单元格 2 4 5" xfId="22106"/>
    <cellStyle name="汇总 2 5 2 2 3 6" xfId="22107"/>
    <cellStyle name="标题 5 5 2" xfId="22108"/>
    <cellStyle name="标题 5 2 2 4 2" xfId="22109"/>
    <cellStyle name="计算 2 5 2 2 4 2" xfId="22110"/>
    <cellStyle name="计算 2 2 5 9 2" xfId="22111"/>
    <cellStyle name="输出 2 4 2 2 4 3" xfId="22112"/>
    <cellStyle name="汇总 2 2 4 3 2 2 3 2" xfId="22113"/>
    <cellStyle name="20% - 强调文字颜色 5 2 3 2 2 3" xfId="22114"/>
    <cellStyle name="40% - 强调文字颜色 5 2 2 8" xfId="22115"/>
    <cellStyle name="计算 3 3 5 2 2" xfId="22116"/>
    <cellStyle name="20% - 强调文字颜色 6 2 3 2 2 3 3 2" xfId="22117"/>
    <cellStyle name="强调文字颜色 2 3 3 3" xfId="22118"/>
    <cellStyle name="注释 2 2 5 10" xfId="22119"/>
    <cellStyle name="输出 2 2 3 4 4 2 2" xfId="22120"/>
    <cellStyle name="汇总 3 2 3 4 3" xfId="22121"/>
    <cellStyle name="好 2 2 2 2 6 2" xfId="22122"/>
    <cellStyle name="输出 2 5 2 2 9" xfId="22123"/>
    <cellStyle name="标题 3 2 3 3 2 2" xfId="22124"/>
    <cellStyle name="计算 2 2 6 5 3 2 2" xfId="22125"/>
    <cellStyle name="差 4 2 4 2" xfId="22126"/>
    <cellStyle name="汇总 2 7 2 2 7" xfId="22127"/>
    <cellStyle name="计算 2 8 10" xfId="22128"/>
    <cellStyle name="汇总 2 2 5 7 3" xfId="22129"/>
    <cellStyle name="20% - 强调文字颜色 6 2 4 4" xfId="22130"/>
    <cellStyle name="输入 2 2 4 4 5 2 2" xfId="22131"/>
    <cellStyle name="Normal 4 2 2 2" xfId="22132"/>
    <cellStyle name="汇总 2 7 4 7" xfId="22133"/>
    <cellStyle name="注释 2 5 2 5 3" xfId="22134"/>
    <cellStyle name="常规 5 9" xfId="22135"/>
    <cellStyle name="注释 2 2 5 5 2" xfId="22136"/>
    <cellStyle name="输出 2 2 4 4" xfId="22137"/>
    <cellStyle name="常规 6 3 2 4 3 2" xfId="22138"/>
    <cellStyle name="超链接 3 3 3 3 3" xfId="22139"/>
    <cellStyle name="输出 2 2 6 2 6" xfId="22140"/>
    <cellStyle name="60% - 强调文字颜色 2 2 6 3" xfId="22141"/>
    <cellStyle name="计算 2 2 4 2 9 3" xfId="22142"/>
    <cellStyle name="汇总 2 2 4 2 7 2 2" xfId="22143"/>
    <cellStyle name="计算 2 2 14 2 2" xfId="22144"/>
    <cellStyle name="20% - 强调文字颜色 6 2 4 3 3 2" xfId="22145"/>
    <cellStyle name="强调文字颜色 4 2 5 2" xfId="22146"/>
    <cellStyle name="标题 3 2 2 2 2 4" xfId="22147"/>
    <cellStyle name="输入 2 2 4 6" xfId="22148"/>
    <cellStyle name="输出 2 2 3 3 2 4 2" xfId="22149"/>
    <cellStyle name="汇总 2 2 2 9 2 2" xfId="22150"/>
    <cellStyle name="计算 2 9 2" xfId="22151"/>
    <cellStyle name="60% - 强调文字颜色 3 2 2 2 2 2 4" xfId="22152"/>
    <cellStyle name="20% - 强调文字颜色 5 3 5" xfId="22153"/>
    <cellStyle name="输出 4 3 3" xfId="22154"/>
    <cellStyle name="输出 2 7 4 4" xfId="22155"/>
    <cellStyle name="20% - 强调文字颜色 6 2 2 3 4 2 2" xfId="22156"/>
    <cellStyle name="标题 5 4 3 2 2" xfId="22157"/>
    <cellStyle name="常规 5 4 4" xfId="22158"/>
    <cellStyle name="40% - 强调文字颜色 6 3 3 2" xfId="22159"/>
    <cellStyle name="常规 10 2 2 6 3" xfId="22160"/>
    <cellStyle name="60% - 强调文字颜色 4 2 4 7" xfId="22161"/>
    <cellStyle name="60% - 强调文字颜色 6 3 2 2 2 2" xfId="22162"/>
    <cellStyle name="汇总 2 2 12 2" xfId="22163"/>
    <cellStyle name="注释 2 2 2 3" xfId="22164"/>
    <cellStyle name="适中 2 3 5 2" xfId="22165"/>
    <cellStyle name="20% - 强调文字颜色 3 2 2 2 4 3 2" xfId="22166"/>
    <cellStyle name="60% - 强调文字颜色 6 2 2 2 7 2" xfId="22167"/>
    <cellStyle name="汇总 2 2 4 2 3 5 2" xfId="22168"/>
    <cellStyle name="注释 2 3 3 4 2 2" xfId="22169"/>
    <cellStyle name="注释 2 2 4 2 5 2 2" xfId="22170"/>
    <cellStyle name="20% - 强调文字颜色 4 2 4 2" xfId="22171"/>
    <cellStyle name="常规 3 4 4" xfId="22172"/>
    <cellStyle name="40% - 强调文字颜色 5 3 2 3 2" xfId="22173"/>
    <cellStyle name="标题 5 2 5 2 2 3" xfId="22174"/>
    <cellStyle name="40% - 强调文字颜色 5 3 2 3 2 2 2" xfId="22175"/>
    <cellStyle name="汇总 2 2 10 3 2 2" xfId="22176"/>
    <cellStyle name="60% - 强调文字颜色 1 2 3 2 5 2 2" xfId="22177"/>
    <cellStyle name="强调文字颜色 3 2 3 3 2" xfId="22178"/>
    <cellStyle name="标题 2 2 2 2 6 2 3" xfId="22179"/>
    <cellStyle name="汇总 2 2 10 2 3 2" xfId="22180"/>
    <cellStyle name="60% - 强调文字颜色 1 2 3 2 4 3 2" xfId="22181"/>
    <cellStyle name="40% - 强调文字颜色 3 2 2 2 2 2 2 2 2 2 2" xfId="22182"/>
    <cellStyle name="解释性文本 2 5" xfId="22183"/>
    <cellStyle name="标题 5 5 3" xfId="22184"/>
    <cellStyle name="计算 2 7 7 2 2" xfId="22185"/>
    <cellStyle name="计算 2 5 2 2 4 3" xfId="22186"/>
    <cellStyle name="20% - 强调文字颜色 4 2 2 6 3 2 2" xfId="22187"/>
    <cellStyle name="链接单元格 2 4 6" xfId="22188"/>
    <cellStyle name="常规 10 2 2 2 4" xfId="22189"/>
    <cellStyle name="常规 5 2 3 2 5 2" xfId="22190"/>
    <cellStyle name="40% - 强调文字颜色 4 3 3 3" xfId="22191"/>
    <cellStyle name="60% - 强调文字颜色 2 3 2 2 4" xfId="22192"/>
    <cellStyle name="差 2 2 3 2 3" xfId="22193"/>
    <cellStyle name="常规 7 2 4 3 2 2" xfId="22194"/>
    <cellStyle name="输出 2 2 2 3 2 2 2" xfId="22195"/>
    <cellStyle name="40% - 强调文字颜色 4 2 2 3 2 2 2 2 2" xfId="22196"/>
    <cellStyle name="计算 3 2 2 6 2" xfId="22197"/>
    <cellStyle name="输入 2 3 3 3 2 2" xfId="22198"/>
    <cellStyle name="注释 2 6 2 2 2 2 2" xfId="22199"/>
    <cellStyle name="输出 2 2 6 2 3 2" xfId="22200"/>
    <cellStyle name="20% - 强调文字颜色 5 2 3 3 2 2" xfId="22201"/>
    <cellStyle name="输出 2 4 2 3 4 2" xfId="22202"/>
    <cellStyle name="40% - 强调文字颜色 2 6 2 2 2" xfId="22203"/>
    <cellStyle name="计算 2 2 2 10 2" xfId="22204"/>
    <cellStyle name="计算 2 5 2 2 2 6 2" xfId="22205"/>
    <cellStyle name="40% - 强调文字颜色 1 2 2 5 2 2" xfId="22206"/>
    <cellStyle name="输入 2 2 2 4 4 2 2" xfId="22207"/>
    <cellStyle name="输入 2 7 9 2" xfId="22208"/>
    <cellStyle name="输出 2 2 4 4 3" xfId="22209"/>
    <cellStyle name="40% - 强调文字颜色 6 3 4 2 2 2" xfId="22210"/>
    <cellStyle name="常规 5 5 4 2 2" xfId="22211"/>
    <cellStyle name="60% - 强调文字颜色 4 2 3 2 2 3" xfId="22212"/>
    <cellStyle name="解释性文本 2 2 2 2 4 2 2 2" xfId="22213"/>
    <cellStyle name="强调文字颜色 1 4 2 4" xfId="22214"/>
    <cellStyle name="汇总 2 7 2 6 2" xfId="22215"/>
    <cellStyle name="20% - 强调文字颜色 3 3 3 3 2 2" xfId="22216"/>
    <cellStyle name="40% - 强调文字颜色 2 2 3 3" xfId="22217"/>
    <cellStyle name="60% - 强调文字颜色 5 3 2 4 2" xfId="22218"/>
    <cellStyle name="60% - 强调文字颜色 6 2 3 2 2 2 2 2 3" xfId="22219"/>
    <cellStyle name="计算 2 2 10 5 2" xfId="22220"/>
    <cellStyle name="计算 2 2 2 5 3 3" xfId="22221"/>
    <cellStyle name="输出 2 5 4 4" xfId="22222"/>
    <cellStyle name="输入 4 2 2 3 2" xfId="22223"/>
    <cellStyle name="40% - 强调文字颜色 4 2 2 2 2 2 2 2 2 2" xfId="22224"/>
    <cellStyle name="汇总 2 2 2" xfId="22225"/>
    <cellStyle name="计算 2 3 5 3 3" xfId="22226"/>
    <cellStyle name="输入 2 2 7 2 5" xfId="22227"/>
    <cellStyle name="输入 2 2 2 2 8 2" xfId="22228"/>
    <cellStyle name="60% - 强调文字颜色 1 2 2 9 2" xfId="22229"/>
    <cellStyle name="20% - 强调文字颜色 1 6 2 2" xfId="22230"/>
    <cellStyle name="强调文字颜色 2 2 2 5 2 2" xfId="22231"/>
    <cellStyle name="输出 2 2 4 3 2 3 2" xfId="22232"/>
    <cellStyle name="输出 2 6 4 2 4" xfId="22233"/>
    <cellStyle name="60% - 强调文字颜色 6 2 3 3 3 3" xfId="22234"/>
    <cellStyle name="60% - 强调文字颜色 1 2 3 2 3 3 2" xfId="22235"/>
    <cellStyle name="60% - 强调文字颜色 1 2 2 7 2 2" xfId="22236"/>
    <cellStyle name="警告文本 2 2 2 2 2 3" xfId="22237"/>
    <cellStyle name="标题 7 2 2 2 2 2" xfId="22238"/>
    <cellStyle name="标题 4 2 2 6 2 3" xfId="22239"/>
    <cellStyle name="链接单元格 2 2 2 2 2 2 3" xfId="22240"/>
    <cellStyle name="输入 2 2 4 3 2 2 2" xfId="22241"/>
    <cellStyle name="计算 2 3 2 6 2 2" xfId="22242"/>
    <cellStyle name="警告文本 2 5" xfId="22243"/>
    <cellStyle name="常规 5 5 2 2 2 2" xfId="22244"/>
    <cellStyle name="输入 2 2 2 2 6 2" xfId="22245"/>
    <cellStyle name="40% - 强调文字颜色 2 4 4 2" xfId="22246"/>
    <cellStyle name="60% - 强调文字颜色 1 2 2 7" xfId="22247"/>
    <cellStyle name="注释 2 3 2 2 2 4" xfId="22248"/>
    <cellStyle name="20% - 强调文字颜色 1 2 3 2 3 2 2 2" xfId="22249"/>
    <cellStyle name="60% - 强调文字颜色 6 2 2 3 8" xfId="22250"/>
    <cellStyle name="40% - 强调文字颜色 3 3 3 4 2" xfId="22251"/>
    <cellStyle name="汇总 2 2 4 2 4 6" xfId="22252"/>
    <cellStyle name="60% - 强调文字颜色 5 2 6 3 2 2" xfId="22253"/>
    <cellStyle name="输出 2 3 2 5 2 2" xfId="22254"/>
    <cellStyle name="计算 2 2 2 9 3" xfId="22255"/>
    <cellStyle name="输入 2 2 3 3 5 3" xfId="22256"/>
    <cellStyle name="60% - 强调文字颜色 3 2 2 2 2 2 2 2" xfId="22257"/>
    <cellStyle name="20% - 强调文字颜色 5 3 3 2" xfId="22258"/>
    <cellStyle name="汇总 2 2 2 3 3 2 2 2" xfId="22259"/>
    <cellStyle name="输入 2 5 2 3 2 6" xfId="22260"/>
    <cellStyle name="40% - 强调文字颜色 1 3 3 4" xfId="22261"/>
    <cellStyle name="常规 10 2 2 2 2 7" xfId="22262"/>
    <cellStyle name="强调文字颜色 5 2 2 4 6" xfId="22263"/>
    <cellStyle name="超链接 3 2 4 2 3" xfId="22264"/>
    <cellStyle name="60% - 强调文字颜色 1 2 2 6 2 2 2" xfId="22265"/>
    <cellStyle name="汇总 2 5 4 2" xfId="22266"/>
    <cellStyle name="40% - 强调文字颜色 2 2 3 2 3 2 2" xfId="22267"/>
    <cellStyle name="40% - 强调文字颜色 5 3 2 2 4 2" xfId="22268"/>
    <cellStyle name="常规 3 3 6 2" xfId="22269"/>
    <cellStyle name="强调文字颜色 1 2 4 2 2 2" xfId="22270"/>
    <cellStyle name="检查单元格 2 4 2 2 2 2" xfId="22271"/>
    <cellStyle name="常规 5 5 2 3 3" xfId="22272"/>
    <cellStyle name="40% - 强调文字颜色 3 2 2 3 4 3 2" xfId="22273"/>
    <cellStyle name="20% - 强调文字颜色 4 2 3 2 2" xfId="22274"/>
    <cellStyle name="汇总 2 9 5 2 2" xfId="22275"/>
    <cellStyle name="60% - 强调文字颜色 4 2 3 2 2 2 2 2 2" xfId="22276"/>
    <cellStyle name="输入 2 4 3 2 4" xfId="22277"/>
    <cellStyle name="40% - 强调文字颜色 5 3 3" xfId="22278"/>
    <cellStyle name="适中 2 2 2 4 3 2" xfId="22279"/>
    <cellStyle name="注释 2 3 2 2 4 2" xfId="22280"/>
    <cellStyle name="60% - 强调文字颜色 1 2 4 5" xfId="22281"/>
    <cellStyle name="警告文本 2 2 5 3 3" xfId="22282"/>
    <cellStyle name="60% - 强调文字颜色 5 2 2 2 2 4" xfId="22283"/>
    <cellStyle name="注释 2 3 2 2 2 2 2 2" xfId="22284"/>
    <cellStyle name="60% - 强调文字颜色 1 2 2 5 2 2" xfId="22285"/>
    <cellStyle name="20% - 强调文字颜色 5 2 2 2 2 2 4" xfId="22286"/>
    <cellStyle name="40% - 强调文字颜色 2 2 4 5 2 2" xfId="22287"/>
    <cellStyle name="计算 8" xfId="22288"/>
    <cellStyle name="适中 2 12" xfId="22289"/>
    <cellStyle name="标题 5 2 2 5 3" xfId="22290"/>
    <cellStyle name="差 2 7 2 3" xfId="22291"/>
    <cellStyle name="40% - 强调文字颜色 5 2 2 2 2 4 2" xfId="22292"/>
    <cellStyle name="60% - 强调文字颜色 1 3" xfId="22293"/>
    <cellStyle name="差 2 3 5 2 2 2" xfId="22294"/>
    <cellStyle name="汇总 4 2 2 2 2" xfId="22295"/>
    <cellStyle name="注释 2 3 2 2 6" xfId="22296"/>
    <cellStyle name="标题 1 2 2 3 3" xfId="22297"/>
    <cellStyle name="汇总 2 3 2 4 3 2" xfId="22298"/>
    <cellStyle name="检查单元格 5" xfId="22299"/>
    <cellStyle name="好 2 4 3 4" xfId="22300"/>
    <cellStyle name="输出 2 8 2 2 3" xfId="22301"/>
    <cellStyle name="60% - 强调文字颜色 1 2 8" xfId="22302"/>
    <cellStyle name="说明文本 3 2 2" xfId="22303"/>
    <cellStyle name="标题 2 2 3 2 4 3" xfId="22304"/>
    <cellStyle name="40% - 强调文字颜色 1 2 2 6 3 2" xfId="22305"/>
    <cellStyle name="汇总 2 2 3 4 2 2" xfId="22306"/>
    <cellStyle name="20% - 强调文字颜色 5 2 2 2 2 2 2 3" xfId="22307"/>
    <cellStyle name="注释 2 2 3 5 2 4" xfId="22308"/>
    <cellStyle name="60% - 强调文字颜色 6 2 3 7" xfId="22309"/>
    <cellStyle name="注释 2 2 7 2 3" xfId="22310"/>
    <cellStyle name="20% - 强调文字颜色 3 2 3 3 2 2" xfId="22311"/>
    <cellStyle name="警告文本 2 2 4 3 3" xfId="22312"/>
    <cellStyle name="60% - 强调文字颜色 4 2 3 6 2 2" xfId="22313"/>
    <cellStyle name="汇总 2 10 3 3 2 2" xfId="22314"/>
    <cellStyle name="注释 2 3 2 2 2 7" xfId="22315"/>
    <cellStyle name="输入 2 2 2 2 2 2 2 2" xfId="22316"/>
    <cellStyle name="20% - 强调文字颜色 2 2 2 2 3 2 2 2 2 2" xfId="22317"/>
    <cellStyle name="40% - 强调文字颜色 4 2 3 3 2 2" xfId="22318"/>
    <cellStyle name="20% - 强调文字颜色 1 2 4 2 2 2 2 2" xfId="22319"/>
    <cellStyle name="20% - 强调文字颜色 5 2 9" xfId="22320"/>
    <cellStyle name="输入 2 2 11 2" xfId="22321"/>
    <cellStyle name="输出 2 2 9 2 3" xfId="22322"/>
    <cellStyle name="20% - 强调文字颜色 5 2 6 3 2" xfId="22323"/>
    <cellStyle name="计算 2 2 8 3 6" xfId="22324"/>
    <cellStyle name="60% - 强调文字颜色 6 3 3" xfId="22325"/>
    <cellStyle name="输入 2 2 2 4 7" xfId="22326"/>
    <cellStyle name="标题 6 4 2 3" xfId="22327"/>
    <cellStyle name="注释 2 2 5 7" xfId="22328"/>
    <cellStyle name="40% - 强调文字颜色 5 2 2 4 2" xfId="22329"/>
    <cellStyle name="汇总 2 6 10 2 2" xfId="22330"/>
    <cellStyle name="40% - 强调文字颜色 5 2 7 2 2 2" xfId="22331"/>
    <cellStyle name="标题 5 3 2 2 2 2 2 2" xfId="22332"/>
    <cellStyle name="20% - 强调文字颜色 6 2 3 2 2 3 2" xfId="22333"/>
    <cellStyle name="检查单元格 2 2 2 2 3 3 3" xfId="22334"/>
    <cellStyle name="20% - 强调文字颜色 6 2 3 2 2 4 2 2 2" xfId="22335"/>
    <cellStyle name="强调文字颜色 2 4 2 3 2" xfId="22336"/>
    <cellStyle name="输出 2 2 3 3 3 4" xfId="22337"/>
    <cellStyle name="40% - 强调文字颜色 1 2 3 2 4" xfId="22338"/>
    <cellStyle name="40% - 强调文字颜色 2 2 2 2 2 2 3 2" xfId="22339"/>
    <cellStyle name="输入 2 2 7 2" xfId="22340"/>
    <cellStyle name="40% - 强调文字颜色 2 2 3 2 2 4 2 2 2" xfId="22341"/>
    <cellStyle name="汇总 2 2 5 2 2 2 3" xfId="22342"/>
    <cellStyle name="常规 5 4 4 2" xfId="22343"/>
    <cellStyle name="汇总 2 2 5 2 2 2 3 3" xfId="22344"/>
    <cellStyle name="40% - 强调文字颜色 6 3 3 2 2" xfId="22345"/>
    <cellStyle name="计算 2 2 8 2 2 7" xfId="22346"/>
    <cellStyle name="注释 2 2 3 2 4 2 4" xfId="22347"/>
    <cellStyle name="计算 2 6 2 7" xfId="22348"/>
    <cellStyle name="输入 2 2 7 3 3" xfId="22349"/>
    <cellStyle name="60% - 强调文字颜色 1 2 2 2 4 3 2" xfId="22350"/>
    <cellStyle name="常规 3" xfId="22351"/>
    <cellStyle name="输入 2 2 4 3 2 4" xfId="22352"/>
    <cellStyle name="常规 5 2 3 4 2 3" xfId="22353"/>
    <cellStyle name="汇总 2 2 3 4 2 2 3" xfId="22354"/>
    <cellStyle name="汇总 2 2 8 2 2 2" xfId="22355"/>
    <cellStyle name="输入 2 2 8" xfId="22356"/>
    <cellStyle name="常规 5 2 2 3 3 3 2" xfId="22357"/>
    <cellStyle name="输出 2 7 2 2 2" xfId="22358"/>
    <cellStyle name="标题 4 2 2 3 4 2 2 2" xfId="22359"/>
    <cellStyle name="注释 5 2 3 2" xfId="22360"/>
    <cellStyle name="20% - 强调文字颜色 5 2 4 3 2 2 2" xfId="22361"/>
    <cellStyle name="标题 5 3 2 6 3" xfId="22362"/>
    <cellStyle name="输入 2 8 3 5" xfId="22363"/>
    <cellStyle name="汇总 3 4 4 2 2" xfId="22364"/>
    <cellStyle name="40% - 强调文字颜色 2 2 3 3 2 2 2 2" xfId="22365"/>
    <cellStyle name="百分比 2 2 2 2 2 3" xfId="22366"/>
    <cellStyle name="标题 4 2 3 2 3 4" xfId="22367"/>
    <cellStyle name="20% - 强调文字颜色 6 2 3 7 2" xfId="22368"/>
    <cellStyle name="强调文字颜色 2 2 2 6 2 2" xfId="22369"/>
    <cellStyle name="20% - 强调文字颜色 4 2 7" xfId="22370"/>
    <cellStyle name="标题 5 3 5 3" xfId="22371"/>
    <cellStyle name="40% - 强调文字颜色 6 2 2 6 2 2 2" xfId="22372"/>
    <cellStyle name="标题 5 2 2 2 5 3" xfId="22373"/>
    <cellStyle name="链接单元格 2 3 3 7" xfId="22374"/>
    <cellStyle name="计算 2 7 4 2 2 2" xfId="22375"/>
    <cellStyle name="注释 2 2 2 2 2 3" xfId="22376"/>
    <cellStyle name="注释 4 6 3" xfId="22377"/>
    <cellStyle name="超链接 2 2 4 2 2 2" xfId="22378"/>
    <cellStyle name="40% - 强调文字颜色 4 4 4 2 2" xfId="22379"/>
    <cellStyle name="输入 2 2 4 2 6 2 2" xfId="22380"/>
    <cellStyle name="计算 2 5 5 3 3" xfId="22381"/>
    <cellStyle name="强调文字颜色 2 2 2 3 2 2 2 2 2" xfId="22382"/>
    <cellStyle name="20% - 强调文字颜色 1 4 2 2 2 2 2" xfId="22383"/>
    <cellStyle name="汇总 2 3 3 2" xfId="22384"/>
    <cellStyle name="计算 4 2 3 3" xfId="22385"/>
    <cellStyle name="输出 2 6 3 2 2 2" xfId="22386"/>
    <cellStyle name="标题 3 2 2 3 4 4" xfId="22387"/>
    <cellStyle name="强调文字颜色 1 2 2 2 2 2 5" xfId="22388"/>
    <cellStyle name="计算 2 3 2 2 5 3" xfId="22389"/>
    <cellStyle name="输入 2 7 4 2 5" xfId="22390"/>
    <cellStyle name="标题 4 3 4 3" xfId="22391"/>
    <cellStyle name="40% - 强调文字颜色 6 2 2 2 2 5 2 2" xfId="22392"/>
    <cellStyle name="输入 3 3 2 2 2 2" xfId="22393"/>
    <cellStyle name="差 2 3 2 3 2" xfId="22394"/>
    <cellStyle name="汇总 2 9 3 3 2" xfId="22395"/>
    <cellStyle name="强调文字颜色 1 3 2 3" xfId="22396"/>
    <cellStyle name="标题 1 2 3 2 6" xfId="22397"/>
    <cellStyle name="强调文字颜色 6 2 2 2 2 3 2 3" xfId="22398"/>
    <cellStyle name="20% - 强调文字颜色 3 2 8 2 2" xfId="22399"/>
    <cellStyle name="差 2 4 3 3" xfId="22400"/>
    <cellStyle name="常规 6 7 2 2" xfId="22401"/>
    <cellStyle name="输出 2 2 5 2 2 2" xfId="22402"/>
    <cellStyle name="40% - 强调文字颜色 3 2 7 3 2 2" xfId="22403"/>
    <cellStyle name="检查单元格 2 3 2 4 2" xfId="22404"/>
    <cellStyle name="40% - 强调文字颜色 1 2 2 4 5" xfId="22405"/>
    <cellStyle name="40% - 强调文字颜色 5 5 2 2" xfId="22406"/>
    <cellStyle name="输入 2 2 5 3 4 2" xfId="22407"/>
    <cellStyle name="标题 4 2 3 2 2 3 3" xfId="22408"/>
    <cellStyle name="60% - 强调文字颜色 1 2 2 2 2 3 3 2" xfId="22409"/>
    <cellStyle name="计算 2 4 2 8 2" xfId="22410"/>
    <cellStyle name="输入 2 2 5 10" xfId="22411"/>
    <cellStyle name="计算 2 9 4 3" xfId="22412"/>
    <cellStyle name="差 2 6" xfId="22413"/>
    <cellStyle name="适中 2 8 2 3" xfId="22414"/>
    <cellStyle name="输出 2 2 2 3 2 3 2" xfId="22415"/>
    <cellStyle name="强调文字颜色 2 2 2 6 3 2" xfId="22416"/>
    <cellStyle name="20% - 强调文字颜色 5 2 5 4 2" xfId="22417"/>
    <cellStyle name="标题 3 3 2 2 4 2" xfId="22418"/>
    <cellStyle name="输入 2 6 3 8" xfId="22419"/>
    <cellStyle name="常规 7 4 3 2 3" xfId="22420"/>
    <cellStyle name="20% - 强调文字颜色 5 3 4 2" xfId="22421"/>
    <cellStyle name="60% - 强调文字颜色 3 2 2 2 2 2 3 2" xfId="22422"/>
    <cellStyle name="计算 2 3 2 14" xfId="22423"/>
    <cellStyle name="输入 2 2 5 3 5 3" xfId="22424"/>
    <cellStyle name="标题 6 2" xfId="22425"/>
    <cellStyle name="标题 3 3 3 2 2 2 2" xfId="22426"/>
    <cellStyle name="好 4" xfId="22427"/>
    <cellStyle name="常规 3 2 2 4 2" xfId="22428"/>
    <cellStyle name="输入 2 5 2 11" xfId="22429"/>
    <cellStyle name="输出 2 2 5 8 2 2" xfId="22430"/>
    <cellStyle name="输入 2 2 5 2 3 2 2" xfId="22431"/>
    <cellStyle name="强调文字颜色 3 2 3 2 3 4" xfId="22432"/>
    <cellStyle name="60% - 强调文字颜色 1 2 2 2 2 2 2 2 2" xfId="22433"/>
    <cellStyle name="强调文字颜色 4 3 3 4" xfId="22434"/>
    <cellStyle name="输入 2 3 2 8" xfId="22435"/>
    <cellStyle name="汇总 2 6 7 2 2" xfId="22436"/>
    <cellStyle name="计算 2 2 4 3" xfId="22437"/>
    <cellStyle name="常规 3 3 4 3 2" xfId="22438"/>
    <cellStyle name="汇总 2 4 4 2 3 3" xfId="22439"/>
    <cellStyle name="60% - 强调文字颜色 3 2 2 4 4 2" xfId="22440"/>
    <cellStyle name="计算 2 4 3 3 2 2 2" xfId="22441"/>
    <cellStyle name="计算 2 2 5 7 2" xfId="22442"/>
    <cellStyle name="强调文字颜色 2 2 2 2 3 6" xfId="22443"/>
    <cellStyle name="20% - 强调文字颜色 5 2 2 5" xfId="22444"/>
    <cellStyle name="计算 2 2 4 2 2 2 3 2" xfId="22445"/>
    <cellStyle name="超链接 3 3 4 2 3" xfId="22446"/>
    <cellStyle name="60% - 强调文字颜色 6 2 3 2 3 3 3" xfId="22447"/>
    <cellStyle name="检查单元格 3 2 2 2" xfId="22448"/>
    <cellStyle name="40% - 强调文字颜色 3 2 2 2 2 2 2 2" xfId="22449"/>
    <cellStyle name="汇总 2 2 2 3 6 3" xfId="22450"/>
    <cellStyle name="注释 2 2 3 2 3 2" xfId="22451"/>
    <cellStyle name="强调文字颜色 5 2 8" xfId="22452"/>
    <cellStyle name="20% - 强调文字颜色 2 2 2 2 2 2 3 2 2" xfId="22453"/>
    <cellStyle name="20% - 强调文字颜色 1 3 3 4 2" xfId="22454"/>
    <cellStyle name="标题 1 2 3 2 4 2 2 2" xfId="22455"/>
    <cellStyle name="汇总 2 2 10 2 4" xfId="22456"/>
    <cellStyle name="计算 2 10 7" xfId="22457"/>
    <cellStyle name="百分比 2 3 2 3 3" xfId="22458"/>
    <cellStyle name="汇总 2 2 5 2 3 2 2" xfId="22459"/>
    <cellStyle name="60% - 强调文字颜色 6 3 2 2 4 2" xfId="22460"/>
    <cellStyle name="计算 2 7 10 2 2" xfId="22461"/>
    <cellStyle name="适中 2 5 2 3" xfId="22462"/>
    <cellStyle name="注释 2 3 2 2 2 6" xfId="22463"/>
    <cellStyle name="60% - 强调文字颜色 1 2 2 9" xfId="22464"/>
    <cellStyle name="注释 2 3 2 2 3 3" xfId="22465"/>
    <cellStyle name="60% - 强调文字颜色 1 2 3 6" xfId="22466"/>
    <cellStyle name="常规 4 2 2 4 2 2" xfId="22467"/>
    <cellStyle name="差 2 2 2 4 4" xfId="22468"/>
    <cellStyle name="计算 2 3 4 2 2 3" xfId="22469"/>
    <cellStyle name="40% - 强调文字颜色 2 2 6 3" xfId="22470"/>
    <cellStyle name="20% - 强调文字颜色 1 4 3 2" xfId="22471"/>
    <cellStyle name="强调文字颜色 2 2 2 3 3 2" xfId="22472"/>
    <cellStyle name="输出 2 5 3 5 3" xfId="22473"/>
    <cellStyle name="注释 2 2 7 2 5" xfId="22474"/>
    <cellStyle name="标题 7 2 2 3" xfId="22475"/>
    <cellStyle name="60% - 强调文字颜色 2 2 3 3 5" xfId="22476"/>
    <cellStyle name="输入 2 2 4 7 2 2" xfId="22477"/>
    <cellStyle name="标题 4 2 4 2" xfId="22478"/>
    <cellStyle name="标题 3 2 2 2 2 5 2 2" xfId="22479"/>
    <cellStyle name="强调文字颜色 4 2 5 3 2 2" xfId="22480"/>
    <cellStyle name="20% - 强调文字颜色 2 2 2 3 2 2" xfId="22481"/>
    <cellStyle name="标题 2 3 5 2 3" xfId="22482"/>
    <cellStyle name="注释 2 8 3 3" xfId="22483"/>
    <cellStyle name="60% - 强调文字颜色 1 2 2 2 2 2" xfId="22484"/>
    <cellStyle name="注释 2 2 8 5" xfId="22485"/>
    <cellStyle name="输入 4 2 2 3" xfId="22486"/>
    <cellStyle name="40% - 强调文字颜色 4 2 2 2 2 2 2 2 2" xfId="22487"/>
    <cellStyle name="标题 1 2 2 2 2 4 2 2" xfId="22488"/>
    <cellStyle name="输入 2 2 2 2 2 6" xfId="22489"/>
    <cellStyle name="20% - 强调文字颜色 6 3 2 4 2" xfId="22490"/>
    <cellStyle name="汇总 2 2 6 5 3 2" xfId="22491"/>
    <cellStyle name="20% - 强调文字颜色 6 2 3 2 2 2 3" xfId="22492"/>
    <cellStyle name="计算 2 2 7 7 2 2" xfId="22493"/>
    <cellStyle name="标题 3 3 5 2 2" xfId="22494"/>
    <cellStyle name="20% - 强调文字颜色 5 2 2 2 2 4 3" xfId="22495"/>
    <cellStyle name="标题 1 2 3 2 3 2 3" xfId="22496"/>
    <cellStyle name="好 2 2 5 2 3" xfId="22497"/>
    <cellStyle name="常规 10 10" xfId="22498"/>
    <cellStyle name="常规 10 4 3" xfId="22499"/>
    <cellStyle name="汇总 2 3 4 2 3 2 2" xfId="22500"/>
    <cellStyle name="20% - 强调文字颜色 4 2 2 2 4 2 2" xfId="22501"/>
    <cellStyle name="60% - 强调文字颜色 5 2 3 4 3 2 2" xfId="22502"/>
    <cellStyle name="计算 2 2 2 10 3" xfId="22503"/>
    <cellStyle name="60% - 强调文字颜色 4 2 3 2 2 4" xfId="22504"/>
    <cellStyle name="输出 2 2 3 3 4" xfId="22505"/>
    <cellStyle name="输出 3 13" xfId="22506"/>
    <cellStyle name="注释 2 2 6" xfId="22507"/>
    <cellStyle name="60% - 强调文字颜色 1 2 3 7 2" xfId="22508"/>
    <cellStyle name="计算 3 4 2" xfId="22509"/>
    <cellStyle name="常规 8 3 2 2 2" xfId="22510"/>
    <cellStyle name="20% - 强调文字颜色 5 2 2 2" xfId="22511"/>
    <cellStyle name="60% - 强调文字颜色 1 2 4 3 3 2" xfId="22512"/>
    <cellStyle name="汇总 2 5 2 2 2 2 3 2 2" xfId="22513"/>
    <cellStyle name="检查单元格 2 2 3 6 2" xfId="22514"/>
    <cellStyle name="常规 8 3 5 2" xfId="22515"/>
    <cellStyle name="超链接 3 3 3 2 2 2 2" xfId="22516"/>
    <cellStyle name="适中 2" xfId="22517"/>
    <cellStyle name="常规 3 3 2 5 2 2 2" xfId="22518"/>
    <cellStyle name="常规 12 4" xfId="22519"/>
    <cellStyle name="60% - 强调文字颜色 5 2 2 3" xfId="22520"/>
    <cellStyle name="计算 2 2 7 2 5 3" xfId="22521"/>
    <cellStyle name="汇总 2 5 3 2 5 2" xfId="22522"/>
    <cellStyle name="常规 12 2 2 3" xfId="22523"/>
    <cellStyle name="计算 2 2 3 2 5 2 2" xfId="22524"/>
    <cellStyle name="60% - 强调文字颜色 1 2 2 2 2" xfId="22525"/>
    <cellStyle name="汇总 2 5 3 2 5" xfId="22526"/>
    <cellStyle name="计算 2 2 2 6 2" xfId="22527"/>
    <cellStyle name="输入 2 2 3 3 2 2" xfId="22528"/>
    <cellStyle name="汇总 2 2 4 2 2 2 3" xfId="22529"/>
    <cellStyle name="汇总 2 3 6 2 2 2" xfId="22530"/>
    <cellStyle name="计算 2 2 4 3 2 6" xfId="22531"/>
    <cellStyle name="输入 4 2 6" xfId="22532"/>
    <cellStyle name="常规 11 4 4 3" xfId="22533"/>
    <cellStyle name="注释 2 2 4 3 3 2" xfId="22534"/>
    <cellStyle name="40% - 强调文字颜色 3 2 4 2 2 2" xfId="22535"/>
    <cellStyle name="20% - 强调文字颜色 5 2 2 7 2" xfId="22536"/>
    <cellStyle name="标题 5 3" xfId="22537"/>
    <cellStyle name="输出 2 2 5 6 3" xfId="22538"/>
    <cellStyle name="常规 12 4 4 2 2" xfId="22539"/>
    <cellStyle name="40% - 强调文字颜色 2 2 2 2 2 2 2 2 2" xfId="22540"/>
    <cellStyle name="计算 2 2 4 2 2 7 2" xfId="22541"/>
    <cellStyle name="警告文本 2 4 4 2" xfId="22542"/>
    <cellStyle name="20% - 强调文字颜色 5 2 5 3 3" xfId="22543"/>
    <cellStyle name="60% - 强调文字颜色 4 2 3 3 2 2 2" xfId="22544"/>
    <cellStyle name="解释性文本 2 2 2 4" xfId="22545"/>
    <cellStyle name="警告文本 2 4 4 2 2" xfId="22546"/>
    <cellStyle name="计算 2 2 2 4 7" xfId="22547"/>
    <cellStyle name="汇总 2 4 2 2 4" xfId="22548"/>
    <cellStyle name="40% - 强调文字颜色 1 2 3 2 3 2 2 2" xfId="22549"/>
    <cellStyle name="差 2 3 4 3 3" xfId="22550"/>
    <cellStyle name="差 2 4 3 2 3" xfId="22551"/>
    <cellStyle name="20% - 强调文字颜色 5 2 6 2 2 2" xfId="22552"/>
    <cellStyle name="40% - 强调文字颜色 1 4 4" xfId="22553"/>
    <cellStyle name="20% - 强调文字颜色 4 2 3 2 5 2 2 2" xfId="22554"/>
    <cellStyle name="40% - 强调文字颜色 1 2 2 2 2 3 2 2 2 2" xfId="22555"/>
    <cellStyle name="40% - 强调文字颜色 6 2 2 2 6 2 2" xfId="22556"/>
    <cellStyle name="汇总 2 7 2 4 2 2" xfId="22557"/>
    <cellStyle name="标题 5 2 2 2 3" xfId="22558"/>
    <cellStyle name="输入 2 2 4 7" xfId="22559"/>
    <cellStyle name="标题 3 2 2 2 2 5" xfId="22560"/>
    <cellStyle name="强调文字颜色 4 2 5 3" xfId="22561"/>
    <cellStyle name="汇总 2 2 3" xfId="22562"/>
    <cellStyle name="强调文字颜色 2 2 2 3 2 2 2 3" xfId="22563"/>
    <cellStyle name="汇总 2 3 4" xfId="22564"/>
    <cellStyle name="超链接 2 2 2 7" xfId="22565"/>
    <cellStyle name="60% - 强调文字颜色 2 2 2 2 2 3 3" xfId="22566"/>
    <cellStyle name="汇总 2 2 2 4 6 2" xfId="22567"/>
    <cellStyle name="警告文本 3 4" xfId="22568"/>
    <cellStyle name="输出 2 4 2 2 4 2 2" xfId="22569"/>
    <cellStyle name="20% - 强调文字颜色 5 2 3 2 2 2 2" xfId="22570"/>
    <cellStyle name="标题 6 8" xfId="22571"/>
    <cellStyle name="常规 10 5 3 2" xfId="22572"/>
    <cellStyle name="标题 1 2 8 3" xfId="22573"/>
    <cellStyle name="20% - 强调文字颜色 4 2 2 2 4 3 2 2" xfId="22574"/>
    <cellStyle name="汇总 2 2 4 3 2 3" xfId="22575"/>
    <cellStyle name="注释 2" xfId="22576"/>
    <cellStyle name="常规 9 5 4 2 2" xfId="22577"/>
    <cellStyle name="强调文字颜色 2 2 3 5 3" xfId="22578"/>
    <cellStyle name="计算 2 2 3 2 5 2" xfId="22579"/>
    <cellStyle name="60% - 强调文字颜色 1 2 2 2" xfId="22580"/>
    <cellStyle name="20% - 强调文字颜色 6 2 2 6 2 2 2" xfId="22581"/>
    <cellStyle name="强调文字颜色 5 2 3" xfId="22582"/>
    <cellStyle name="超链接 2 2 2 6" xfId="22583"/>
    <cellStyle name="输出 2 4 3 2 2 2 2 2" xfId="22584"/>
    <cellStyle name="40% - 强调文字颜色 6 5 2 2 2" xfId="22585"/>
    <cellStyle name="常规 7 3 4 2" xfId="22586"/>
    <cellStyle name="汇总 2 5 5 2 3 3" xfId="22587"/>
    <cellStyle name="汇总 2 2 4 4 4 2 2" xfId="22588"/>
    <cellStyle name="标题 3 2 3 2 5" xfId="22589"/>
    <cellStyle name="强调文字颜色 6 2 3 3 2" xfId="22590"/>
    <cellStyle name="常规 12 2 3 3" xfId="22591"/>
    <cellStyle name="60% - 强调文字颜色 6 2 2 3 3 2 2 2" xfId="22592"/>
    <cellStyle name="60% - 强调文字颜色 2 2 2 2 6 2" xfId="22593"/>
    <cellStyle name="解释性文本 2 4 4 2 3" xfId="22594"/>
    <cellStyle name="40% - 强调文字颜色 4 2 3 2 5 2" xfId="22595"/>
    <cellStyle name="常规 2 3 4" xfId="22596"/>
    <cellStyle name="输出 2 4 6" xfId="22597"/>
    <cellStyle name="40% - 强调文字颜色 1 2 3 2 3 2 2 2 2" xfId="22598"/>
    <cellStyle name="汇总 2 4 2 2 4 2" xfId="22599"/>
    <cellStyle name="标题 2 2 3 2 2 2 2 2" xfId="22600"/>
    <cellStyle name="标题 1 4 2 2 2" xfId="22601"/>
    <cellStyle name="20% - 强调文字颜色 5 2 2 3 3 2 2 2" xfId="22602"/>
    <cellStyle name="强调文字颜色 2 2 2 3 3" xfId="22603"/>
    <cellStyle name="20% - 强调文字颜色 1 4 3" xfId="22604"/>
    <cellStyle name="计算 2 6 2 2 8" xfId="22605"/>
    <cellStyle name="汇总 4 2 4 2 2" xfId="22606"/>
    <cellStyle name="汇总 2 8 2 5 3" xfId="22607"/>
    <cellStyle name="标题 1 2 2 3 5 2" xfId="22608"/>
    <cellStyle name="40% - 强调文字颜色 6 2 5 5 2" xfId="22609"/>
    <cellStyle name="40% - 强调文字颜色 6 3 2 5 2" xfId="22610"/>
    <cellStyle name="注释 2 8 2 5" xfId="22611"/>
    <cellStyle name="40% - 强调文字颜色 2 2 2 2 6 2" xfId="22612"/>
    <cellStyle name="40% - 强调文字颜色 1 2 10" xfId="22613"/>
    <cellStyle name="输出 2 2 7 2 2 5" xfId="22614"/>
    <cellStyle name="强调文字颜色 4 2 2 2 6" xfId="22615"/>
    <cellStyle name="输入 4 4 2" xfId="22616"/>
    <cellStyle name="60% - 强调文字颜色 3 3 2 5" xfId="22617"/>
    <cellStyle name="注释 2 3 4 3 2 2" xfId="22618"/>
    <cellStyle name="汇总 2 2 4 3 2 5 2" xfId="22619"/>
    <cellStyle name="输入 2 5 2 3 8" xfId="22620"/>
    <cellStyle name="强调文字颜色 6 2 3 2 2 2 2" xfId="22621"/>
    <cellStyle name="常规 6 2 6 2 2" xfId="22622"/>
    <cellStyle name="计算 2 2 3 2 3 3 3" xfId="22623"/>
    <cellStyle name="20% - 强调文字颜色 1 2 2" xfId="22624"/>
    <cellStyle name="60% - 强调文字颜色 6 2 3 2 3 3" xfId="22625"/>
    <cellStyle name="计算 3 2 2 2 3 3" xfId="22626"/>
    <cellStyle name="注释 2 7 4 2 2" xfId="22627"/>
    <cellStyle name="60% - 强调文字颜色 2 2 2 3 3 3" xfId="22628"/>
    <cellStyle name="20% - 强调文字颜色 5 2 3 4" xfId="22629"/>
    <cellStyle name="计算 2 5 4 2 3 2 2" xfId="22630"/>
    <cellStyle name="输出 2 6 2 5" xfId="22631"/>
    <cellStyle name="输入 2 2 4 3 2 2 2 3" xfId="22632"/>
    <cellStyle name="注释 2 6 2 2 3" xfId="22633"/>
    <cellStyle name="计算 2 5 3 2 2 5 2" xfId="22634"/>
    <cellStyle name="常规 5 4 6 3" xfId="22635"/>
    <cellStyle name="计算 2 5 2 3 5" xfId="22636"/>
    <cellStyle name="计算 2 2 6 3 3 2" xfId="22637"/>
    <cellStyle name="差 2 2 4" xfId="22638"/>
    <cellStyle name="20% - 强调文字颜色 2 2 7" xfId="22639"/>
    <cellStyle name="计算 2 5 3 2 9" xfId="22640"/>
    <cellStyle name="40% - 强调文字颜色 4 2" xfId="22641"/>
    <cellStyle name="40% - 强调文字颜色 5 2 4 2 2 2 2 2" xfId="22642"/>
    <cellStyle name="40% - 强调文字颜色 5 4 2 2 2" xfId="22643"/>
    <cellStyle name="输入 2 2 5 2 4 2 2" xfId="22644"/>
    <cellStyle name="输出 2 2 6 3 4" xfId="22645"/>
    <cellStyle name="计算 2 4 2 2 4" xfId="22646"/>
    <cellStyle name="20% - 强调文字颜色 5 2 3 4 3" xfId="22647"/>
    <cellStyle name="输出 2 4 2 4 5" xfId="22648"/>
    <cellStyle name="20% - 强调文字颜色 4 2 3 2 3 2 2 2" xfId="22649"/>
    <cellStyle name="输入 2 2 2 5 2" xfId="22650"/>
    <cellStyle name="计算 2 2 5 2 4 3 3" xfId="22651"/>
    <cellStyle name="20% - 强调文字颜色 5 3 2 5" xfId="22652"/>
    <cellStyle name="标题 4 2 2 2 4 2 2 3" xfId="22653"/>
    <cellStyle name="输入 2 2 2 4 2 3 2" xfId="22654"/>
    <cellStyle name="标题 2 2 2 2 6" xfId="22655"/>
    <cellStyle name="汇总 2 2 8 3 2 2" xfId="22656"/>
    <cellStyle name="输出 2 6 15" xfId="22657"/>
    <cellStyle name="常规 13 3 2 4 2 2" xfId="22658"/>
    <cellStyle name="计算 2 5 2 8 2 2" xfId="22659"/>
    <cellStyle name="适中 2 3 2 2 2" xfId="22660"/>
    <cellStyle name="注释 2 8 2 3" xfId="22661"/>
    <cellStyle name="汇总 2 2 2 2 2 2 2" xfId="22662"/>
    <cellStyle name="标题 2 2 2 4 5 3" xfId="22663"/>
    <cellStyle name="输入 2 5 2 2 4 2" xfId="22664"/>
    <cellStyle name="汇总 2 2 2 6 3 2" xfId="22665"/>
    <cellStyle name="60% - 强调文字颜色 5 2 3 2 2 2 2 2" xfId="22666"/>
    <cellStyle name="常规 9 3 4 2 3 2" xfId="22667"/>
    <cellStyle name="标题 1 2 3 4 3 2" xfId="22668"/>
    <cellStyle name="汇总 2 9 3 3 3" xfId="22669"/>
    <cellStyle name="强调文字颜色 4 3 2 5" xfId="22670"/>
    <cellStyle name="20% - 强调文字颜色 5 2 5 3 2 2" xfId="22671"/>
    <cellStyle name="计算 2 2 14 2" xfId="22672"/>
    <cellStyle name="20% - 强调文字颜色 6 2 4 3 3" xfId="22673"/>
    <cellStyle name="标题 4 2 2 2 4 4" xfId="22674"/>
    <cellStyle name="20% - 强调文字颜色 4 2 2 6 3" xfId="22675"/>
    <cellStyle name="汇总 5 2 4 2 2" xfId="22676"/>
    <cellStyle name="检查单元格 2 4 3 2 3" xfId="22677"/>
    <cellStyle name="60% - 强调文字颜色 5 2 2 2 2 4 2 2" xfId="22678"/>
    <cellStyle name="标题 3 2 3 2 3 2 2 2" xfId="22679"/>
    <cellStyle name="60% - 强调文字颜色 2 2 2 2 3 6" xfId="22680"/>
    <cellStyle name="输入 2 5 4 6" xfId="22681"/>
    <cellStyle name="标题 1 2 4 6 2" xfId="22682"/>
    <cellStyle name="60% - 强调文字颜色 5 2 2 5 3 2 2" xfId="22683"/>
    <cellStyle name="强调文字颜色 6 2 4 3 2 2 2" xfId="22684"/>
    <cellStyle name="60% - 强调文字颜色 5 4 2 2 2 2" xfId="22685"/>
    <cellStyle name="计算 2 6 2 5 3" xfId="22686"/>
    <cellStyle name="20% - 强调文字颜色 1 2 6 2 2 2" xfId="22687"/>
    <cellStyle name="好 2 4 4 2" xfId="22688"/>
    <cellStyle name="标题 1 3 5 2 3" xfId="22689"/>
    <cellStyle name="强调文字颜色 4 2 2 4 3 2 3" xfId="22690"/>
    <cellStyle name="60% - 强调文字颜色 1 3 6" xfId="22691"/>
    <cellStyle name="计算 2 2 3 3 9" xfId="22692"/>
    <cellStyle name="输入 2 2 7 4 2 2" xfId="22693"/>
    <cellStyle name="标题 3 2 2 2 5 2 2 2" xfId="22694"/>
    <cellStyle name="计算 2 6 3 6 2" xfId="22695"/>
    <cellStyle name="40% - 强调文字颜色 1 2 10 2" xfId="22696"/>
    <cellStyle name="40% - 强调文字颜色 6 3 5 2" xfId="22697"/>
    <cellStyle name="常规 5 6 4" xfId="22698"/>
    <cellStyle name="标题 1 2 3 2 2 5" xfId="22699"/>
    <cellStyle name="40% - 强调文字颜色 5 2 4 5 2 2" xfId="22700"/>
    <cellStyle name="20% - 强调文字颜色 1 5 2 2" xfId="22701"/>
    <cellStyle name="强调文字颜色 2 2 2 4 2 2" xfId="22702"/>
    <cellStyle name="20% - 强调文字颜色 5 2 3 6 2 2 2" xfId="22703"/>
    <cellStyle name="60% - 强调文字颜色 2 2 2 2 2 4 3" xfId="22704"/>
    <cellStyle name="计算 2 3 2 2 3 2" xfId="22705"/>
    <cellStyle name="常规 5 2 3 4 4 2 2" xfId="22706"/>
    <cellStyle name="40% - 强调文字颜色 1 4 2 2 2 2 2" xfId="22707"/>
    <cellStyle name="输出 2 2 6 5 2" xfId="22708"/>
    <cellStyle name="计算 2 4 2 4 2" xfId="22709"/>
    <cellStyle name="输出 2 5 4 3 2 2" xfId="22710"/>
    <cellStyle name="汇总 2 2 10 3 2" xfId="22711"/>
    <cellStyle name="适中 2 3 3 3 2" xfId="22712"/>
    <cellStyle name="40% - 强调文字颜色 1 3 2 2 3 2 2" xfId="22713"/>
    <cellStyle name="强调文字颜色 2 2 2 4 5 2 2" xfId="22714"/>
    <cellStyle name="检查单元格 2 5 3 2" xfId="22715"/>
    <cellStyle name="常规 9 2 2 2 2" xfId="22716"/>
    <cellStyle name="40% - 强调文字颜色 3 2 2 2 3" xfId="22717"/>
    <cellStyle name="输入 2 2 3 2 2 6 2" xfId="22718"/>
    <cellStyle name="注释 2 2 2 3 4" xfId="22719"/>
    <cellStyle name="常规 10 4 2 4" xfId="22720"/>
    <cellStyle name="汇总 2 2 5 2 2 2 6" xfId="22721"/>
    <cellStyle name="常规 5 4 2 2 4 2" xfId="22722"/>
    <cellStyle name="强调文字颜色 4 2 2 2 4 2 2" xfId="22723"/>
    <cellStyle name="强调文字颜色 3 2 3 3 2 2 2" xfId="22724"/>
    <cellStyle name="20% - 强调文字颜色 6 3 2 2 3 2 2 2" xfId="22725"/>
    <cellStyle name="40% - 强调文字颜色 1 3 6 2" xfId="22726"/>
    <cellStyle name="输入 2 2 10 3 2" xfId="22727"/>
    <cellStyle name="20% - 强调文字颜色 1 2 8 2" xfId="22728"/>
    <cellStyle name="60% - 强调文字颜色 4 2 2 2 2 5 2" xfId="22729"/>
    <cellStyle name="输入 2 2 3 4 8" xfId="22730"/>
    <cellStyle name="计算 2 3 4 5 2 2" xfId="22731"/>
    <cellStyle name="标题 5 2 3 9" xfId="22732"/>
    <cellStyle name="60% - 强调文字颜色 3 2 3 3 2 2 2" xfId="22733"/>
    <cellStyle name="计算 2 12" xfId="22734"/>
    <cellStyle name="输出 2 3 2 7 2" xfId="22735"/>
    <cellStyle name="标题 2 2 2 6 3 2" xfId="22736"/>
    <cellStyle name="20% - 强调文字颜色 1 3 2 2 2" xfId="22737"/>
    <cellStyle name="强调文字颜色 2 2 2 2 2 2 2" xfId="22738"/>
    <cellStyle name="常规 10 2 2 3" xfId="22739"/>
    <cellStyle name="60% - 强调文字颜色 6 2 2 2 3 2 3" xfId="22740"/>
    <cellStyle name="40% - 强调文字颜色 6 2 2 2 2 2 4 2" xfId="22741"/>
    <cellStyle name="常规 5 3 3 2" xfId="22742"/>
    <cellStyle name="常规 10 2 3 5 2 2" xfId="22743"/>
    <cellStyle name="汇总 2 2 2 2 7 3" xfId="22744"/>
    <cellStyle name="常规 5 3 4 4 2 2" xfId="22745"/>
    <cellStyle name="60% - 强调文字颜色 4 3 2 4 2" xfId="22746"/>
    <cellStyle name="差 2 4 6 2" xfId="22747"/>
    <cellStyle name="计算 2 2 10 2 5" xfId="22748"/>
    <cellStyle name="注释 2 2 3 2 3 4 3" xfId="22749"/>
    <cellStyle name="汇总 2 11 3 2 2" xfId="22750"/>
    <cellStyle name="汇总 2 5 2 15" xfId="22751"/>
    <cellStyle name="常规 4 6 2 3 3" xfId="22752"/>
    <cellStyle name="20% - 强调文字颜色 3 3 3 2 2" xfId="22753"/>
    <cellStyle name="60% - 强调文字颜色 1 2 2 4 4 2 2" xfId="22754"/>
    <cellStyle name="计算 2 2 3 3 2 2 2 2" xfId="22755"/>
    <cellStyle name="20% - 强调文字颜色 6 5 2 2 2 2" xfId="22756"/>
    <cellStyle name="输出 2 2 3 2 3 2 2 3" xfId="22757"/>
    <cellStyle name="60% - 强调文字颜色 4 2 2 3 8" xfId="22758"/>
    <cellStyle name="40% - 强调文字颜色 1 3 3 4 2" xfId="22759"/>
    <cellStyle name="标题 8 2 3" xfId="22760"/>
    <cellStyle name="计算 2 7 6 5" xfId="22761"/>
    <cellStyle name="强调文字颜色 4 4 2 3" xfId="22762"/>
    <cellStyle name="差 2 2 3 6 2 2" xfId="22763"/>
    <cellStyle name="60% - 强调文字颜色 6 5 2 2" xfId="22764"/>
    <cellStyle name="计算 2 2 2 4 2 4 3" xfId="22765"/>
    <cellStyle name="20% - 强调文字颜色 3 2 3 2 2 3 3 2 2" xfId="22766"/>
    <cellStyle name="常规 27" xfId="22767"/>
    <cellStyle name="汇总 2 2 2 2 2 2 8" xfId="22768"/>
    <cellStyle name="标题 2 2 2 2 3 4" xfId="22769"/>
    <cellStyle name="60% - 强调文字颜色 5 2 3 4 3 2" xfId="22770"/>
    <cellStyle name="强调文字颜色 6 2 5 2 2 2" xfId="22771"/>
    <cellStyle name="适中 2 2 4 3 2 2 2" xfId="22772"/>
    <cellStyle name="60% - 强调文字颜色 6 2 2 4 3 4" xfId="22773"/>
    <cellStyle name="常规 11 2 2 3 2 2" xfId="22774"/>
    <cellStyle name="百分比 2 2 2 5" xfId="22775"/>
    <cellStyle name="汇总 2 2 2 3 2 2" xfId="22776"/>
    <cellStyle name="40% - 强调文字颜色 3 2 2 9" xfId="22777"/>
    <cellStyle name="20% - 强调文字颜色 3 2 5 4 2 2" xfId="22778"/>
    <cellStyle name="计算 2 8 4 3 3" xfId="22779"/>
    <cellStyle name="汇总 2 2 6 10 3" xfId="22780"/>
    <cellStyle name="40% - 强调文字颜色 3 2 5" xfId="22781"/>
    <cellStyle name="适中 2 2 2 2 2 4" xfId="22782"/>
    <cellStyle name="40% - 强调文字颜色 5 2 2 2 2 2" xfId="22783"/>
    <cellStyle name="注释 2 2 3 7 2" xfId="22784"/>
    <cellStyle name="输出 2 7 7 2 2" xfId="22785"/>
    <cellStyle name="注释 2 2 7 6" xfId="22786"/>
    <cellStyle name="强调文字颜色 1 2 2 6 2 2 2" xfId="22787"/>
    <cellStyle name="检查单元格 2 2 5 3 2 2" xfId="22788"/>
    <cellStyle name="60% - 强调文字颜色 6 2 4 5 2 2" xfId="22789"/>
    <cellStyle name="输出 2 2 6 2 4 2" xfId="22790"/>
    <cellStyle name="20% - 强调文字颜色 5 2 3 3 3 2" xfId="22791"/>
    <cellStyle name="输出 2 4 2 3 5 2" xfId="22792"/>
    <cellStyle name="警告文本 2 2 4 2 2" xfId="22793"/>
    <cellStyle name="常规 5 2 2 8" xfId="22794"/>
    <cellStyle name="输入 2 5 4 4 2" xfId="22795"/>
    <cellStyle name="标题 3 2 2 5 2 2 2" xfId="22796"/>
    <cellStyle name="计算 2 2 8 10" xfId="22797"/>
    <cellStyle name="60% - 强调文字颜色 4 4 2 2 2 2" xfId="22798"/>
    <cellStyle name="输入 2 2 3 2 2 2 2 2" xfId="22799"/>
    <cellStyle name="60% - 强调文字颜色 6 2 2 6 3" xfId="22800"/>
    <cellStyle name="强调文字颜色 2 3 2 4" xfId="22801"/>
    <cellStyle name="40% - 强调文字颜色 1 2 4 2 2 2" xfId="22802"/>
    <cellStyle name="20% - 强调文字颜色 3 3 2 4" xfId="22803"/>
    <cellStyle name="标题 4 2 2 2 2 2 2 2" xfId="22804"/>
    <cellStyle name="注释 2 2 3 2 4 6" xfId="22805"/>
    <cellStyle name="计算 2 7 2 2 2 5" xfId="22806"/>
    <cellStyle name="注释 4 2 2 2 2 2" xfId="22807"/>
    <cellStyle name="注释 2 2 2 6 2" xfId="22808"/>
    <cellStyle name="60% - 强调文字颜色 6 2 2 2 3 3 2" xfId="22809"/>
    <cellStyle name="计算 3 7 3" xfId="22810"/>
    <cellStyle name="注释 2 2 6 2 4" xfId="22811"/>
    <cellStyle name="强调文字颜色 5 2 3 2 2 2 2 3" xfId="22812"/>
    <cellStyle name="20% - 强调文字颜色 1 2 7 3" xfId="22813"/>
    <cellStyle name="20% - 强调文字颜色 3 2 2 5 2 2" xfId="22814"/>
    <cellStyle name="计算 3 3 7" xfId="22815"/>
    <cellStyle name="注释 4 2 8" xfId="22816"/>
    <cellStyle name="60% - 强调文字颜色 1 6 2 2" xfId="22817"/>
    <cellStyle name="注释 2 4 2 2 4" xfId="22818"/>
    <cellStyle name="输入 2 8 2 6" xfId="22819"/>
    <cellStyle name="60% - 强调文字颜色 1 2 3 4 3 2 2" xfId="22820"/>
    <cellStyle name="20% - 强调文字颜色 4 3 2 2 2" xfId="22821"/>
    <cellStyle name="计算 2 7 2 2 3 2" xfId="22822"/>
    <cellStyle name="检查单元格 3 2 3 2" xfId="22823"/>
    <cellStyle name="20% - 强调文字颜色 2 2 3 2 2 3 2 2" xfId="22824"/>
    <cellStyle name="标题 1 2 2 9 2" xfId="22825"/>
    <cellStyle name="百分比 2 6 3" xfId="22826"/>
    <cellStyle name="20% - 强调文字颜色 4 2 2 2 3 2 2 2 2 2" xfId="22827"/>
    <cellStyle name="汇总 2 2 3 2 2 3 2 2" xfId="22828"/>
    <cellStyle name="输入 2 7 2 5" xfId="22829"/>
    <cellStyle name="输出 2 6 11" xfId="22830"/>
    <cellStyle name="20% - 强调文字颜色 5 2 2 2 3 5" xfId="22831"/>
    <cellStyle name="注释 2 2 2 3 5 2" xfId="22832"/>
    <cellStyle name="40% - 强调文字颜色 3 2 2 2 4 2" xfId="22833"/>
    <cellStyle name="60% - 强调文字颜色 4 3 3 3 2 2" xfId="22834"/>
    <cellStyle name="强调文字颜色 2 3 10" xfId="22835"/>
    <cellStyle name="常规 12 2 6 2 2" xfId="22836"/>
    <cellStyle name="40% - 强调文字颜色 3 2 9 2" xfId="22837"/>
    <cellStyle name="注释 2 2 3 2 3 2 3" xfId="22838"/>
    <cellStyle name="解释性文本 2 2 3 4 3 2" xfId="22839"/>
    <cellStyle name="60% - 强调文字颜色 4 3 2 2 2" xfId="22840"/>
    <cellStyle name="计算 2 2 6 3 5 2 2" xfId="22841"/>
    <cellStyle name="差 2 4 4 2" xfId="22842"/>
    <cellStyle name="汇总 2 5 4 2 7" xfId="22843"/>
    <cellStyle name="20% - 强调文字颜色 4 6 2 2 2" xfId="22844"/>
    <cellStyle name="注释 2 2 7 2 2" xfId="22845"/>
    <cellStyle name="汇总 2 2 4 2 9 2" xfId="22846"/>
    <cellStyle name="标题 4 2 2 3 9" xfId="22847"/>
    <cellStyle name="计算 2 2 16 2" xfId="22848"/>
    <cellStyle name="60% - 强调文字颜色 6 2 2 3 2" xfId="22849"/>
    <cellStyle name="超链接 2 2 4 3 2 2" xfId="22850"/>
    <cellStyle name="60% - 强调文字颜色 5 2 3 2 3 3" xfId="22851"/>
    <cellStyle name="汇总 2 2 8 3 2 3 2" xfId="22852"/>
    <cellStyle name="标题 2 2 2 2 7 2" xfId="22853"/>
    <cellStyle name="汇总 2 2 5 9" xfId="22854"/>
    <cellStyle name="汇总 2 6 5 4 2" xfId="22855"/>
    <cellStyle name="40% - 强调文字颜色 3 2 2 2 2 4 3" xfId="22856"/>
    <cellStyle name="输出 2 8 6 2" xfId="22857"/>
    <cellStyle name="40% - 强调文字颜色 5 2 6 2 2 2" xfId="22858"/>
    <cellStyle name="注释 2 3 2 7" xfId="22859"/>
    <cellStyle name="标题 2 3 2 2 2 2 3" xfId="22860"/>
    <cellStyle name="注释 2 5 3 2 2 3" xfId="22861"/>
    <cellStyle name="超链接 2 3 2 2 2" xfId="22862"/>
    <cellStyle name="检查单元格 2 2 6 2" xfId="22863"/>
    <cellStyle name="输入 2 2 14 2 2" xfId="22864"/>
    <cellStyle name="输入 2 2 4 2 10 2" xfId="22865"/>
    <cellStyle name="标题 6 3 3 2 2" xfId="22866"/>
    <cellStyle name="常规 11 2 2 2 3" xfId="22867"/>
    <cellStyle name="常规 12 3 3 2" xfId="22868"/>
    <cellStyle name="计算 2 2 2 7" xfId="22869"/>
    <cellStyle name="输入 2 2 3 3 3" xfId="22870"/>
    <cellStyle name="40% - 强调文字颜色 6 2 5 2 3" xfId="22871"/>
    <cellStyle name="汇总 2 8 2 2 4" xfId="22872"/>
    <cellStyle name="标题 1 2 2 3 2 3" xfId="22873"/>
    <cellStyle name="适中 2 4 2 3" xfId="22874"/>
    <cellStyle name="好 3 4 2" xfId="22875"/>
    <cellStyle name="强调文字颜色 6 2 2 4 3 2 2 2" xfId="22876"/>
    <cellStyle name="计算 2 2 6 2 3 2 2" xfId="22877"/>
    <cellStyle name="汇总 2 4 2 2 7" xfId="22878"/>
    <cellStyle name="强调文字颜色 2 2 3 4 3" xfId="22879"/>
    <cellStyle name="计算 2 2 3 2 4 2" xfId="22880"/>
    <cellStyle name="输出 2 2 2 2 6 2 2" xfId="22881"/>
    <cellStyle name="标题 3 2 3 5 2 3" xfId="22882"/>
    <cellStyle name="注释 2 6 4 2 2 2" xfId="22883"/>
    <cellStyle name="标题 2 3 3 3 2 2 2" xfId="22884"/>
    <cellStyle name="标题 1 2 2 2 2 4 4" xfId="22885"/>
    <cellStyle name="输入 2 2 6 9" xfId="22886"/>
    <cellStyle name="计算 2 2 3 4 2 3" xfId="22887"/>
    <cellStyle name="注释 2 2 4 2 6 2" xfId="22888"/>
    <cellStyle name="20% - 强调文字颜色 4 3 4" xfId="22889"/>
    <cellStyle name="汇总 2 2 4 3 2 4 2" xfId="22890"/>
    <cellStyle name="输出 2 9 2 3" xfId="22891"/>
    <cellStyle name="检查单元格 2 2 2 3 7" xfId="22892"/>
    <cellStyle name="20% - 强调文字颜色 3 2 2 6 2" xfId="22893"/>
    <cellStyle name="60% - 强调文字颜色 2 2 3 2 3 3 2 2" xfId="22894"/>
    <cellStyle name="汇总 2 9 7" xfId="22895"/>
    <cellStyle name="强调文字颜色 6 2 4 9" xfId="22896"/>
    <cellStyle name="百分比 2 3 5" xfId="22897"/>
    <cellStyle name="标题 1 2 2 6 4" xfId="22898"/>
    <cellStyle name="40% - 强调文字颜色 4 3 2 2 2" xfId="22899"/>
    <cellStyle name="汇总 2 5 2 2 6 2" xfId="22900"/>
    <cellStyle name="60% - 强调文字颜色 4 2 3 3" xfId="22901"/>
    <cellStyle name="计算 2 5 2 2 5" xfId="22902"/>
    <cellStyle name="20% - 强调文字颜色 6 2 9 2" xfId="22903"/>
    <cellStyle name="输入 2 2 17" xfId="22904"/>
    <cellStyle name="差 2 5 3 2 2" xfId="22905"/>
    <cellStyle name="超链接 2 2 2 4 2" xfId="22906"/>
    <cellStyle name="注释 2 5 2 2 4 3" xfId="22907"/>
    <cellStyle name="60% - 强调文字颜色 3 2 3 2 2 3" xfId="22908"/>
    <cellStyle name="计算 2 3 3 5 3" xfId="22909"/>
    <cellStyle name="标题 3 3 2 2 3 2 2" xfId="22910"/>
    <cellStyle name="输出 2 6 2 2 6" xfId="22911"/>
    <cellStyle name="60% - 强调文字颜色 4 2 3 3 2 2 2 2 2" xfId="22912"/>
    <cellStyle name="超链接 3 5 3 2 2" xfId="22913"/>
    <cellStyle name="输入 2 9 4 2 2" xfId="22914"/>
    <cellStyle name="常规 9 6 4" xfId="22915"/>
    <cellStyle name="检查单元格 2 2 3 3 2 2" xfId="22916"/>
    <cellStyle name="强调文字颜色 1 2 2 4 2 2 2" xfId="22917"/>
    <cellStyle name="标题 6 2 2 3 2 2 2" xfId="22918"/>
    <cellStyle name="40% - 强调文字颜色 6 2 4 3 3 2" xfId="22919"/>
    <cellStyle name="适中 2 3" xfId="22920"/>
    <cellStyle name="标题 5 2 4 5 3" xfId="22921"/>
    <cellStyle name="注释 3 10 2" xfId="22922"/>
    <cellStyle name="计算 2 8 3 4 2 2" xfId="22923"/>
    <cellStyle name="标题 5 4 4" xfId="22924"/>
    <cellStyle name="输入 2 2 5 9 2" xfId="22925"/>
    <cellStyle name="40% - 强调文字颜色 4 2 3 6 2 2 2" xfId="22926"/>
    <cellStyle name="汇总 2 2 8 9 2" xfId="22927"/>
    <cellStyle name="注释 2 5 4 2 2 2 2" xfId="22928"/>
    <cellStyle name="汇总 2 2 4 2 15" xfId="22929"/>
    <cellStyle name="汇总 2 2 3 4 3 3" xfId="22930"/>
    <cellStyle name="汇总 2 3 2 2 2 7" xfId="22931"/>
    <cellStyle name="差 2 2 2 2 5 2 2" xfId="22932"/>
    <cellStyle name="40% - 强调文字颜色 5 2 2 2 2 4 3" xfId="22933"/>
    <cellStyle name="强调文字颜色 5 2 2 4" xfId="22934"/>
    <cellStyle name="40% - 强调文字颜色 5 2 2 5 3 2 2" xfId="22935"/>
    <cellStyle name="检查单元格 2 2 6 3 2" xfId="22936"/>
    <cellStyle name="计算 2 4 2 5 2" xfId="22937"/>
    <cellStyle name="输出 2 2 6 6 2" xfId="22938"/>
    <cellStyle name="超链接 2 2 2 4 3" xfId="22939"/>
    <cellStyle name="汇总 2 8 3 2 3 3" xfId="22940"/>
    <cellStyle name="标题 1 2 2 4 2 2 3" xfId="22941"/>
    <cellStyle name="好 3 3 2 2 2 2" xfId="22942"/>
    <cellStyle name="60% - 强调文字颜色 6 2 4 4 2" xfId="22943"/>
    <cellStyle name="警告文本 2 2 3 2" xfId="22944"/>
    <cellStyle name="20% - 强调文字颜色 3 2 5 5" xfId="22945"/>
    <cellStyle name="强调文字颜色 3 3 2 2 3 2" xfId="22946"/>
    <cellStyle name="汇总 2 12 2" xfId="22947"/>
    <cellStyle name="20% - 强调文字颜色 5 2 2 2 2 3 2 2 2" xfId="22948"/>
    <cellStyle name="注释 2 4 2 5" xfId="22949"/>
    <cellStyle name="常规 6 3 2 2 4 3 2" xfId="22950"/>
    <cellStyle name="20% - 强调文字颜色 6 3 4 2" xfId="22951"/>
    <cellStyle name="20% - 强调文字颜色 6 2 2 2 4 3 2 2" xfId="22952"/>
    <cellStyle name="汇总 2 7 7 2 2" xfId="22953"/>
    <cellStyle name="40% - 强调文字颜色 5 4 2" xfId="22954"/>
    <cellStyle name="汇总 2 2 8 5 3 3" xfId="22955"/>
    <cellStyle name="计算 3 2 3 2" xfId="22956"/>
    <cellStyle name="汇总 2 2 4 3 2 3 2 2" xfId="22957"/>
    <cellStyle name="输出 2 4 2 3 3 3" xfId="22958"/>
    <cellStyle name="计算 2 2 4 3 3 2 2" xfId="22959"/>
    <cellStyle name="计算 2 4 2 3 7" xfId="22960"/>
    <cellStyle name="强调文字颜色 6 2 2 2 4 2 2 2" xfId="22961"/>
    <cellStyle name="输入 2 8 3 2 2 2" xfId="22962"/>
    <cellStyle name="超链接 3 4 2 2 2 2" xfId="22963"/>
    <cellStyle name="输出 2 2 11 2 2" xfId="22964"/>
    <cellStyle name="20% - 强调文字颜色 4 2 2 5 3" xfId="22965"/>
    <cellStyle name="60% - 强调文字颜色 5 2 3 7 2" xfId="22966"/>
    <cellStyle name="40% - 强调文字颜色 6 2 3 6 2 2" xfId="22967"/>
    <cellStyle name="40% - 强调文字颜色 3 2 9" xfId="22968"/>
    <cellStyle name="汇总 2 7 3 2 2 3" xfId="22969"/>
    <cellStyle name="20% - 强调文字颜色 2 2 4" xfId="22970"/>
    <cellStyle name="20% - 强调文字颜色 4 2 2 3 2 2" xfId="22971"/>
    <cellStyle name="40% - 强调文字颜色 1 2 2 2 2 2 3" xfId="22972"/>
    <cellStyle name="40% - 强调文字颜色 3 2 2 2 2 2 3 2 2 2" xfId="22973"/>
    <cellStyle name="计算 2 2 4 4 6" xfId="22974"/>
    <cellStyle name="60% - 强调文字颜色 2 4 3" xfId="22975"/>
    <cellStyle name="输出 2 2 5 2 2 2 2 2" xfId="22976"/>
    <cellStyle name="强调文字颜色 2 2 4 2" xfId="22977"/>
    <cellStyle name="20% - 强调文字颜色 3 3" xfId="22978"/>
    <cellStyle name="注释 2 2 7 2 3 2" xfId="22979"/>
    <cellStyle name="好 2 2 2 5" xfId="22980"/>
    <cellStyle name="注释 2 4 2 3 8" xfId="22981"/>
    <cellStyle name="汇总 2 6 2 3 3 2" xfId="22982"/>
    <cellStyle name="汇总 2 3 2 2 3 2 2 2" xfId="22983"/>
    <cellStyle name="汇总 3 3 5" xfId="22984"/>
    <cellStyle name="标题 4 2 2 2 7 2" xfId="22985"/>
    <cellStyle name="60% - 强调文字颜色 2 4 2 2 2 2 2" xfId="22986"/>
    <cellStyle name="计算 2 2 4 3 2 2" xfId="22987"/>
    <cellStyle name="60% - 强调文字颜色 5 2 2 7" xfId="22988"/>
    <cellStyle name="40% - 强调文字颜色 6 2 3 5 2" xfId="22989"/>
    <cellStyle name="输出 2 2 5 4 2 2 2" xfId="22990"/>
    <cellStyle name="计算 2 9 3 3" xfId="22991"/>
    <cellStyle name="输入 2 2 3 2 7" xfId="22992"/>
    <cellStyle name="40% - 强调文字颜色 5 2 2 2 4 2" xfId="22993"/>
    <cellStyle name="注释 2 2 3 9 2" xfId="22994"/>
    <cellStyle name="检查单元格 2 3 2 2 2 2" xfId="22995"/>
    <cellStyle name="20% - 强调文字颜色 4 2 2 3 2 2 2" xfId="22996"/>
    <cellStyle name="40% - 强调文字颜色 1 2 2 2 2 2 3 2" xfId="22997"/>
    <cellStyle name="标题 1 2 3 2 4" xfId="22998"/>
    <cellStyle name="汇总 2 2 16" xfId="22999"/>
    <cellStyle name="汇总 2 2 21" xfId="23000"/>
    <cellStyle name="计算 2 9 2 2 2" xfId="23001"/>
    <cellStyle name="40% - 强调文字颜色 2 3 2 2 3 2 2" xfId="23002"/>
    <cellStyle name="汇总 4 2 8" xfId="23003"/>
    <cellStyle name="适中 2 2 2 2 5" xfId="23004"/>
    <cellStyle name="常规 9 2 2 2 4" xfId="23005"/>
    <cellStyle name="差 2 2 2 6 2" xfId="23006"/>
    <cellStyle name="差 2 3 3 2 2" xfId="23007"/>
    <cellStyle name="40% - 强调文字颜色 4 2 3 7 2" xfId="23008"/>
    <cellStyle name="输入 2 7 11" xfId="23009"/>
    <cellStyle name="解释性文本 3 7 3" xfId="23010"/>
    <cellStyle name="20% - 强调文字颜色 4 2 10" xfId="23011"/>
    <cellStyle name="注释 2 6 2 2 2 2" xfId="23012"/>
    <cellStyle name="60% - 强调文字颜色 2 2 2 2 3 2 2 2 2 2" xfId="23013"/>
    <cellStyle name="强调文字颜色 3 2 2 2 2 2 2 2" xfId="23014"/>
    <cellStyle name="输入 2 5 12" xfId="23015"/>
    <cellStyle name="60% - 强调文字颜色 6 3 3 3 2 2" xfId="23016"/>
    <cellStyle name="60% - 强调文字颜色 6 4 4 2" xfId="23017"/>
    <cellStyle name="输入 2 2 2 4 8" xfId="23018"/>
    <cellStyle name="计算 2 2 8 3 7" xfId="23019"/>
    <cellStyle name="60% - 强调文字颜色 6 3 4" xfId="23020"/>
    <cellStyle name="标题 2 2 2 7" xfId="23021"/>
    <cellStyle name="60% - 强调文字颜色 1 3 5 2" xfId="23022"/>
    <cellStyle name="汇总 2 2 2 2 9 2" xfId="23023"/>
    <cellStyle name="注释 2 2 8 2 5" xfId="23024"/>
    <cellStyle name="注释 2 2 2 2 11" xfId="23025"/>
    <cellStyle name="好 3 3 3 2" xfId="23026"/>
    <cellStyle name="常规 6 2 2 4" xfId="23027"/>
    <cellStyle name="注释 2 3 10" xfId="23028"/>
    <cellStyle name="计算 2 6 4 4 2 2" xfId="23029"/>
    <cellStyle name="适中 2 2 2 5 2 2 2" xfId="23030"/>
    <cellStyle name="常规 4 4 4" xfId="23031"/>
    <cellStyle name="40% - 强调文字颜色 6 2 3 2" xfId="23032"/>
    <cellStyle name="汇总 2 7 2 2 4 2 2" xfId="23033"/>
    <cellStyle name="计算 2 4 3 2 2" xfId="23034"/>
    <cellStyle name="输出 2 2 7 3 2" xfId="23035"/>
    <cellStyle name="差 2 3 2 3 2 3" xfId="23036"/>
    <cellStyle name="40% - 强调文字颜色 2 2 3 4 3 2 2" xfId="23037"/>
    <cellStyle name="20% - 强调文字颜色 5 2 2 3 2 2 2" xfId="23038"/>
    <cellStyle name="标题 1 3 2 2" xfId="23039"/>
    <cellStyle name="计算 2 4 4 2 4 2 2" xfId="23040"/>
    <cellStyle name="说明文本 4 3" xfId="23041"/>
    <cellStyle name="汇总 2 2 3 5 3" xfId="23042"/>
    <cellStyle name="汇总 2 4 6 3" xfId="23043"/>
    <cellStyle name="40% - 强调文字颜色 2 2 3 2 2 4 3" xfId="23044"/>
    <cellStyle name="20% - 强调文字颜色 6 2 2 8 2" xfId="23045"/>
    <cellStyle name="输出 3 4 3 2" xfId="23046"/>
    <cellStyle name="汇总 2 3 2 2 4 2" xfId="23047"/>
    <cellStyle name="40% - 强调文字颜色 1 2 3 2 2 2 2 2 2" xfId="23048"/>
    <cellStyle name="差 2 2 4 3 3 2" xfId="23049"/>
    <cellStyle name="说明文本 2 4 2" xfId="23050"/>
    <cellStyle name="警告文本 2 3 4 2 2 2" xfId="23051"/>
    <cellStyle name="常规 4 2 2 2 2 4" xfId="23052"/>
    <cellStyle name="强调文字颜色 4 2 2 2 4 3 3" xfId="23053"/>
    <cellStyle name="适中 2 3 2 5" xfId="23054"/>
    <cellStyle name="计算 2 2 9 2 2 2 2" xfId="23055"/>
    <cellStyle name="标题 4 2 2 8 2" xfId="23056"/>
    <cellStyle name="60% - 强调文字颜色 2 2 4 3 3 2" xfId="23057"/>
    <cellStyle name="计算 2 2 4 5 2 3 2 2" xfId="23058"/>
    <cellStyle name="40% - 强调文字颜色 1 4 2 2" xfId="23059"/>
    <cellStyle name="汇总 2 7 3 2 2 2" xfId="23060"/>
    <cellStyle name="40% - 强调文字颜色 6 2 2 3 4 2 2" xfId="23061"/>
    <cellStyle name="40% - 强调文字颜色 3 2 8" xfId="23062"/>
    <cellStyle name="强调文字颜色 6 2 2 5 2 2 2" xfId="23063"/>
    <cellStyle name="标题 8 2 2 2 2" xfId="23064"/>
    <cellStyle name="汇总 2 2 7 3 5 2" xfId="23065"/>
    <cellStyle name="注释 2 2 4 4 2 3" xfId="23066"/>
    <cellStyle name="常规 10 5 4 3" xfId="23067"/>
    <cellStyle name="汇总 2 2 6 3" xfId="23068"/>
    <cellStyle name="输入 3 4 2" xfId="23069"/>
    <cellStyle name="常规 3 3 6" xfId="23070"/>
    <cellStyle name="强调文字颜色 1 2 4 2 2" xfId="23071"/>
    <cellStyle name="汇总 2 2 6 4 4 3" xfId="23072"/>
    <cellStyle name="检查单元格 2 4 2 2 2" xfId="23073"/>
    <cellStyle name="40% - 强调文字颜色 5 3 2 2 4" xfId="23074"/>
    <cellStyle name="Normal 4 2 2 2 2" xfId="23075"/>
    <cellStyle name="40% - 强调文字颜色 6 2 2 2 2 2 5" xfId="23076"/>
    <cellStyle name="20% - 强调文字颜色 4 2 2 5 3 2 2" xfId="23077"/>
    <cellStyle name="汇总 2 2 5 3 5 2 2" xfId="23078"/>
    <cellStyle name="注释 2 2 2 4 2 3 2" xfId="23079"/>
    <cellStyle name="输出 2 5 2 9" xfId="23080"/>
    <cellStyle name="强调文字颜色 2 2 9" xfId="23081"/>
    <cellStyle name="输出 2 2 5 2 4 2" xfId="23082"/>
    <cellStyle name="链接单元格 2 6" xfId="23083"/>
    <cellStyle name="20% - 强调文字颜色 5 2 2 3 3 2" xfId="23084"/>
    <cellStyle name="标题 1 4 2" xfId="23085"/>
    <cellStyle name="超链接 3 2 2 2 3 2 2 2" xfId="23086"/>
    <cellStyle name="20% - 强调文字颜色 1 2 2 3 3 3 2" xfId="23087"/>
    <cellStyle name="20% - 强调文字颜色 5 2 5 2 3" xfId="23088"/>
    <cellStyle name="输出 2 4 4 2 5" xfId="23089"/>
    <cellStyle name="常规 2 3 2 2 5" xfId="23090"/>
    <cellStyle name="40% - 强调文字颜色 5 2 4 7" xfId="23091"/>
    <cellStyle name="60% - 强调文字颜色 6 2 3 3 2" xfId="23092"/>
    <cellStyle name="标题 4 2 3 2 2" xfId="23093"/>
    <cellStyle name="60% - 强调文字颜色 3 2 3 5 2 2 2" xfId="23094"/>
    <cellStyle name="40% - 强调文字颜色 5 2 3 2 2 2 2" xfId="23095"/>
    <cellStyle name="20% - 强调文字颜色 2 2 6 2 2" xfId="23096"/>
    <cellStyle name="汇总 3" xfId="23097"/>
    <cellStyle name="计算 2 2 4 2 3 3 2 2" xfId="23098"/>
    <cellStyle name="标题 3 2 5 2 2 2" xfId="23099"/>
    <cellStyle name="20% - 强调文字颜色 1 4 2 4 2" xfId="23100"/>
    <cellStyle name="60% - 强调文字颜色 4 2 2 4 2 3" xfId="23101"/>
    <cellStyle name="40% - 强调文字颜色 6 2 3 6 2 2 2" xfId="23102"/>
    <cellStyle name="常规 11 2 4 3" xfId="23103"/>
    <cellStyle name="汇总 2 3 8 2" xfId="23104"/>
    <cellStyle name="输入 2 5 2 6 3" xfId="23105"/>
    <cellStyle name="20% - 强调文字颜色 3 2 3 2 4 2 2 2" xfId="23106"/>
    <cellStyle name="差 4 2 2 2" xfId="23107"/>
    <cellStyle name="输入 3 3 2 4" xfId="23108"/>
    <cellStyle name="计算 2 7 3 5" xfId="23109"/>
    <cellStyle name="60% - 强调文字颜色 2 2 3 5 2 2" xfId="23110"/>
    <cellStyle name="60% - 强调文字颜色 3 2 7 2 2" xfId="23111"/>
    <cellStyle name="标题 1 2 2 3 3 2 2" xfId="23112"/>
    <cellStyle name="强调文字颜色 3 2 2 5 2" xfId="23113"/>
    <cellStyle name="20% - 强调文字颜色 1 2 5 3 3 2" xfId="23114"/>
    <cellStyle name="标题 4 2 2 2 3 7" xfId="23115"/>
    <cellStyle name="40% - 强调文字颜色 5 2 3 6 2 2" xfId="23116"/>
    <cellStyle name="计算 2 5 4 2 2 2 2" xfId="23117"/>
    <cellStyle name="输出 2 5 2 5" xfId="23118"/>
    <cellStyle name="解释性文本 2 4 3 3" xfId="23119"/>
    <cellStyle name="标题 4 2 2 4 4 2 2" xfId="23120"/>
    <cellStyle name="20% - 强调文字颜色 5 2 5 5 2 2" xfId="23121"/>
    <cellStyle name="差 2 3 6 2 3" xfId="23122"/>
    <cellStyle name="20% - 强调文字颜色 2 3 2 4 2" xfId="23123"/>
    <cellStyle name="注释 2 2 8 3 3" xfId="23124"/>
    <cellStyle name="40% - 强调文字颜色 3 2 8 2 2" xfId="23125"/>
    <cellStyle name="好 3 3 2" xfId="23126"/>
    <cellStyle name="60% - 强调文字颜色 1 2 2 2 2 5" xfId="23127"/>
    <cellStyle name="60% - 强调文字颜色 5 2 3 2 4 2 2 2" xfId="23128"/>
    <cellStyle name="60% - 强调文字颜色 6 3 4 2" xfId="23129"/>
    <cellStyle name="标题 6 7" xfId="23130"/>
    <cellStyle name="20% - 强调文字颜色 1 2 2 2 4 2 2" xfId="23131"/>
    <cellStyle name="40% - 强调文字颜色 5 3 2 4 2 2 2" xfId="23132"/>
    <cellStyle name="20% - 强调文字颜色 5 4 2 2 2 2" xfId="23133"/>
    <cellStyle name="强调文字颜色 3 2 2 2 2 3 4" xfId="23134"/>
    <cellStyle name="链接单元格 2 2 2 4 2 2 2" xfId="23135"/>
    <cellStyle name="适中 2 2 3 2 2 2 3" xfId="23136"/>
    <cellStyle name="常规 2 4 2 2 2" xfId="23137"/>
    <cellStyle name="输出 2 5 4 2 2" xfId="23138"/>
    <cellStyle name="20% - 强调文字颜色 1 3 7" xfId="23139"/>
    <cellStyle name="强调文字颜色 2 2 2 2 7" xfId="23140"/>
    <cellStyle name="输出 2 4 6 2" xfId="23141"/>
    <cellStyle name="常规 2 3 4 2" xfId="23142"/>
    <cellStyle name="标题 2 2 3 2 2 2 2 2 2" xfId="23143"/>
    <cellStyle name="标题 1 4 2 2 2 2" xfId="23144"/>
    <cellStyle name="40% - 强调文字颜色 3 2 3 2 4 3 2 2" xfId="23145"/>
    <cellStyle name="输入 2 2 5 8 3" xfId="23146"/>
    <cellStyle name="标题 5 3 5" xfId="23147"/>
    <cellStyle name="40% - 强调文字颜色 5 4 2 2 2 2 2" xfId="23148"/>
    <cellStyle name="标题 4 2 2 2 2 7" xfId="23149"/>
    <cellStyle name="输出 2 2 3 2 4 2 4" xfId="23150"/>
    <cellStyle name="40% - 强调文字颜色 3 2 2 2 2 4 2 2 2" xfId="23151"/>
    <cellStyle name="40% - 强调文字颜色 2 2 4 7" xfId="23152"/>
    <cellStyle name="60% - 强调文字颜色 6 2 4 2 2" xfId="23153"/>
    <cellStyle name="常规 5 4 2 5 2 2" xfId="23154"/>
    <cellStyle name="常规 5 2 2 2 2 3 2 2" xfId="23155"/>
    <cellStyle name="强调文字颜色 6 2 2 2 8" xfId="23156"/>
    <cellStyle name="输入 2 2 6 2 5 2" xfId="23157"/>
    <cellStyle name="常规 4 2 2 2 4" xfId="23158"/>
    <cellStyle name="输入 2 4 2 7" xfId="23159"/>
    <cellStyle name="差 3 3 2 2 3" xfId="23160"/>
    <cellStyle name="汇总 2 2 3 6" xfId="23161"/>
    <cellStyle name="输入 2 4 2 4 3" xfId="23162"/>
    <cellStyle name="汇总 2 4 3 4" xfId="23163"/>
    <cellStyle name="60% - 强调文字颜色 3 4 3 2 2" xfId="23164"/>
    <cellStyle name="40% - 强调文字颜色 4 3 3 4 2" xfId="23165"/>
    <cellStyle name="20% - 强调文字颜色 2 2 2 2 6 2 2 2" xfId="23166"/>
    <cellStyle name="计算 2 2 2 3 6 2" xfId="23167"/>
    <cellStyle name="汇总 2 2 5 2 2 2 8" xfId="23168"/>
    <cellStyle name="40% - 强调文字颜色 3 2 3 2 3 3 2" xfId="23169"/>
    <cellStyle name="警告文本 2 2 2 3 5" xfId="23170"/>
    <cellStyle name="20% - 强调文字颜色 4 3 3 2 2" xfId="23171"/>
    <cellStyle name="计算 2 2 3 4 2 2 2 2" xfId="23172"/>
    <cellStyle name="输入 2 9 2 6" xfId="23173"/>
    <cellStyle name="输入 2 3 2 8 2" xfId="23174"/>
    <cellStyle name="60% - 强调文字颜色 6 2 2 2 7" xfId="23175"/>
    <cellStyle name="注释 2 3 3 4 2" xfId="23176"/>
    <cellStyle name="汇总 2 2 4 2 3 5" xfId="23177"/>
    <cellStyle name="常规 12 2 2 4 2" xfId="23178"/>
    <cellStyle name="超链接 2 5 2 2 2" xfId="23179"/>
    <cellStyle name="好 2 3 2 2 2 2 2" xfId="23180"/>
    <cellStyle name="标题 3 2 3 2 2 5" xfId="23181"/>
    <cellStyle name="强调文字颜色 5 2 5 3" xfId="23182"/>
    <cellStyle name="20% - 强调文字颜色 3 2 2 2 2 2 3 3" xfId="23183"/>
    <cellStyle name="标题 5 2 2 3 3" xfId="23184"/>
    <cellStyle name="强调文字颜色 1 3 4 2" xfId="23185"/>
    <cellStyle name="好 2 2" xfId="23186"/>
    <cellStyle name="60% - 强调文字颜色 6 2 5 4" xfId="23187"/>
    <cellStyle name="40% - 强调文字颜色 2 2 2 8 2" xfId="23188"/>
    <cellStyle name="差 4 4 2 3" xfId="23189"/>
    <cellStyle name="汇总 2 7 6" xfId="23190"/>
    <cellStyle name="输入 2 4 2 2 2 5" xfId="23191"/>
    <cellStyle name="60% - 强调文字颜色 1 2 2 2 5 2 2 2" xfId="23192"/>
    <cellStyle name="汇总 2 2 2 6 5" xfId="23193"/>
    <cellStyle name="输入 2 2 8 2 3 2" xfId="23194"/>
    <cellStyle name="40% - 强调文字颜色 5 2 3 2 2 4 2" xfId="23195"/>
    <cellStyle name="20% - 强调文字颜色 2 3 5" xfId="23196"/>
    <cellStyle name="计算 2 2 3 2 2 4" xfId="23197"/>
    <cellStyle name="强调文字颜色 2 2 3 2 5" xfId="23198"/>
    <cellStyle name="输出 2 4 3 2 4 2" xfId="23199"/>
    <cellStyle name="20% - 强调文字颜色 5 2 4 2 2 2" xfId="23200"/>
    <cellStyle name="汇总 2 2 5 2 2 4 2" xfId="23201"/>
    <cellStyle name="好 3 2 2 2 2 3" xfId="23202"/>
    <cellStyle name="20% - 强调文字颜色 6 3 2 2 3 2" xfId="23203"/>
    <cellStyle name="60% - 强调文字颜色 4 2 2 7 2 2" xfId="23204"/>
    <cellStyle name="20% - 强调文字颜色 5 2 2 2 3 3 2 2" xfId="23205"/>
    <cellStyle name="计算 2 2 4 3 2 4 2" xfId="23206"/>
    <cellStyle name="输出 2 3 2 2 2 3" xfId="23207"/>
    <cellStyle name="强调文字颜色 5 2 6 4" xfId="23208"/>
    <cellStyle name="常规 6 2 2" xfId="23209"/>
    <cellStyle name="注释 2 10 3 2" xfId="23210"/>
    <cellStyle name="常规 3 9" xfId="23211"/>
    <cellStyle name="汇总 2 6 3 7 2" xfId="23212"/>
    <cellStyle name="好 2 2 2 6 3" xfId="23213"/>
    <cellStyle name="常规 6 3 3 2 2" xfId="23214"/>
    <cellStyle name="标题 2 2 3 4 3 2" xfId="23215"/>
    <cellStyle name="40% - 强调文字颜色 1 2 2 2 3 3 2" xfId="23216"/>
    <cellStyle name="60% - 强调文字颜色 1 2 4 2 2 2" xfId="23217"/>
    <cellStyle name="40% - 强调文字颜色 4 2 2 2 2 2 5" xfId="23218"/>
    <cellStyle name="常规 6 6 2" xfId="23219"/>
    <cellStyle name="计算 4 4 2" xfId="23220"/>
    <cellStyle name="常规 8 3 3 2 2" xfId="23221"/>
    <cellStyle name="警告文本 2 3 2 2 3" xfId="23222"/>
    <cellStyle name="汇总 2 8 4 7" xfId="23223"/>
    <cellStyle name="汇总 2 6 3 2 3 2 2" xfId="23224"/>
    <cellStyle name="计算 2 5 2 2 2 2 4 3" xfId="23225"/>
    <cellStyle name="60% - 强调文字颜色 6 6 3" xfId="23226"/>
    <cellStyle name="好 2 2 5 3 2 2" xfId="23227"/>
    <cellStyle name="常规 9" xfId="23228"/>
    <cellStyle name="40% - 强调文字颜色 3 2 2 3 5 2" xfId="23229"/>
    <cellStyle name="输入 2 2 3 2 2 2 3" xfId="23230"/>
    <cellStyle name="40% - 强调文字颜色 3 4 2 2 2" xfId="23231"/>
    <cellStyle name="注释 2 4 2 3 3" xfId="23232"/>
    <cellStyle name="输入 2 2 3 2 4 2 2" xfId="23233"/>
    <cellStyle name="汇总 2 8 3 2 7" xfId="23234"/>
    <cellStyle name="标题 3 2 4 4 2 2" xfId="23235"/>
    <cellStyle name="汇总 2 2 2 2 3 3" xfId="23236"/>
    <cellStyle name="20% - 强调文字颜色 4 2 2 2 2 2 3 2" xfId="23237"/>
    <cellStyle name="40% - 强调文字颜色 5 2 2 2 2 2 2 2 2 2 2" xfId="23238"/>
    <cellStyle name="强调文字颜色 2 3 2 4 2" xfId="23239"/>
    <cellStyle name="输入 2 2 4 2 2 2 2" xfId="23240"/>
    <cellStyle name="输出 3 2 3 2" xfId="23241"/>
    <cellStyle name="20% - 强调文字颜色 5 2 2 9" xfId="23242"/>
    <cellStyle name="标题 3 2 3 4 3 2 2" xfId="23243"/>
    <cellStyle name="输入 2 7 4 5" xfId="23244"/>
    <cellStyle name="超链接 3 3 3 5" xfId="23245"/>
    <cellStyle name="强调文字颜色 6 2 3 4 3 3" xfId="23246"/>
    <cellStyle name="注释 2 2 3 4 2 2 2" xfId="23247"/>
    <cellStyle name="40% - 强调文字颜色 6 2 5 3 2" xfId="23248"/>
    <cellStyle name="40% - 强调文字颜色 3 2 3 2 2 4 2 2" xfId="23249"/>
    <cellStyle name="常规 4 2 4 3 3 3" xfId="23250"/>
    <cellStyle name="超链接 2 4 2 2 2" xfId="23251"/>
    <cellStyle name="注释 2 5 4 2 2 3" xfId="23252"/>
    <cellStyle name="输入 2 5 5 2 2" xfId="23253"/>
    <cellStyle name="计算 2 2 2 2 3 3 2 2" xfId="23254"/>
    <cellStyle name="强调文字颜色 6 2 2 2 2 2 2 2" xfId="23255"/>
    <cellStyle name="20% - 强调文字颜色 6 2 4 2 2" xfId="23256"/>
    <cellStyle name="解释性文本 2 2 3 4 3" xfId="23257"/>
    <cellStyle name="常规 6 3 2 2 3 3 2 2" xfId="23258"/>
    <cellStyle name="常规 4 8 2 2" xfId="23259"/>
    <cellStyle name="40% - 强调文字颜色 3 3 2 3 2" xfId="23260"/>
    <cellStyle name="注释 2 3 2 4 3" xfId="23261"/>
    <cellStyle name="汇总 4 5 2 2" xfId="23262"/>
    <cellStyle name="计算 2 2 6 6 2 3" xfId="23263"/>
    <cellStyle name="汇总 2 5 2 6 2 2" xfId="23264"/>
    <cellStyle name="标题 3 2 4 2 3" xfId="23265"/>
    <cellStyle name="40% - 强调文字颜色 4 2 2 3 7" xfId="23266"/>
    <cellStyle name="链接单元格 2 5 3 2 2" xfId="23267"/>
    <cellStyle name="40% - 强调文字颜色 5 2 2 4" xfId="23268"/>
    <cellStyle name="20% - 强调文字颜色 6 3 6 2" xfId="23269"/>
    <cellStyle name="输出 2 2 5 2 3 3" xfId="23270"/>
    <cellStyle name="20% - 强调文字颜色 6 3 2 2 2 2" xfId="23271"/>
    <cellStyle name="链接单元格 2 3 2 4 2 2" xfId="23272"/>
    <cellStyle name="20% - 强调文字颜色 6 3 2 2" xfId="23273"/>
    <cellStyle name="强调文字颜色 2 2 7 2 2 2" xfId="23274"/>
    <cellStyle name="汇总 2 8 3 4" xfId="23275"/>
    <cellStyle name="40% - 强调文字颜色 6 2 3 3 6" xfId="23276"/>
    <cellStyle name="40% - 强调文字颜色 5 2 2 4 3 3 2" xfId="23277"/>
    <cellStyle name="计算 2 3 2 6 2" xfId="23278"/>
    <cellStyle name="输入 2 2 4 3 2 2" xfId="23279"/>
    <cellStyle name="40% - 强调文字颜色 6 2 2 2 2 5 2" xfId="23280"/>
    <cellStyle name="输入 3 3 2 2 2" xfId="23281"/>
    <cellStyle name="差 2 3 2 3" xfId="23282"/>
    <cellStyle name="40% - 强调文字颜色 6 2 2 2 7" xfId="23283"/>
    <cellStyle name="汇总 2 7 2 5" xfId="23284"/>
    <cellStyle name="40% - 强调文字颜色 5 2 3 2 2 2 3" xfId="23285"/>
    <cellStyle name="好 3 2 2 3 2" xfId="23286"/>
    <cellStyle name="汇总 2 14" xfId="23287"/>
    <cellStyle name="40% - 强调文字颜色 5 2 2 2 7" xfId="23288"/>
    <cellStyle name="检查单元格 2 3 2 2 5" xfId="23289"/>
    <cellStyle name="标题 5 4 4 3" xfId="23290"/>
    <cellStyle name="20% - 强调文字颜色 1 2 3 2 2 3 3" xfId="23291"/>
    <cellStyle name="汇总 2 8 4 3 2" xfId="23292"/>
    <cellStyle name="40% - 强调文字颜色 3 2 4 5" xfId="23293"/>
    <cellStyle name="20% - 强调文字颜色 3 2 3 4 3" xfId="23294"/>
    <cellStyle name="强调文字颜色 1 2 2 2 2 3 3 2 2" xfId="23295"/>
    <cellStyle name="汇总 2 2 4 4 2 6" xfId="23296"/>
    <cellStyle name="40% - 强调文字颜色 3 3 5 2 2" xfId="23297"/>
    <cellStyle name="注释 2 4 2 2 3 3" xfId="23298"/>
    <cellStyle name="汇总 2 2 9 5 2" xfId="23299"/>
    <cellStyle name="常规 9 5 4" xfId="23300"/>
    <cellStyle name="检查单元格 2 3 2 2 4" xfId="23301"/>
    <cellStyle name="40% - 强调文字颜色 2 2 3 2 2 2 2 2" xfId="23302"/>
    <cellStyle name="汇总 2 4 4 2 2" xfId="23303"/>
    <cellStyle name="40% - 强调文字颜色 5 2 2 2 6" xfId="23304"/>
    <cellStyle name="标题 5 4 3 3" xfId="23305"/>
    <cellStyle name="计算 3 2 9 2" xfId="23306"/>
    <cellStyle name="计算 4 2 6 2 2" xfId="23307"/>
    <cellStyle name="汇总 2 2 2 2 3 2 2" xfId="23308"/>
    <cellStyle name="链接单元格 2 2 2" xfId="23309"/>
    <cellStyle name="标题 2 2 3 2 2 2 2 3" xfId="23310"/>
    <cellStyle name="百分比 2 6" xfId="23311"/>
    <cellStyle name="常规 20 2" xfId="23312"/>
    <cellStyle name="常规 15 2" xfId="23313"/>
    <cellStyle name="输入 2 6 2" xfId="23314"/>
    <cellStyle name="标题 1 2 3 2 8" xfId="23315"/>
    <cellStyle name="强调文字颜色 4 3 3 3 2" xfId="23316"/>
    <cellStyle name="输入 2 3 2 7 2" xfId="23317"/>
    <cellStyle name="汇总 2 2 5 3 2 4 2 2" xfId="23318"/>
    <cellStyle name="输入 2 4 11" xfId="23319"/>
    <cellStyle name="标题 1 2 3 4 3 3" xfId="23320"/>
    <cellStyle name="60% - 强调文字颜色 6 2 2 2 3 2 2 2" xfId="23321"/>
    <cellStyle name="常规 3 3 5 3" xfId="23322"/>
    <cellStyle name="输入 2 5 2 3 2" xfId="23323"/>
    <cellStyle name="汇总 3 2 2 5" xfId="23324"/>
    <cellStyle name="常规 8 2 2 4 2 2 2" xfId="23325"/>
    <cellStyle name="计算 2 5 5 2 2 2 2" xfId="23326"/>
    <cellStyle name="汇总 2 6 5 5" xfId="23327"/>
    <cellStyle name="标题 1 2 2 4 3 3" xfId="23328"/>
    <cellStyle name="20% - 强调文字颜色 1 2 3 2 2 4 3" xfId="23329"/>
    <cellStyle name="汇总 2 8 4 4 2" xfId="23330"/>
    <cellStyle name="40% - 强调文字颜色 3 2 5 5" xfId="23331"/>
    <cellStyle name="输入 2 2 4 2 3 3 3" xfId="23332"/>
    <cellStyle name="注释 2 2 3 3 4 3" xfId="23333"/>
    <cellStyle name="40% - 强调文字颜色 3 2 3 2 3 3" xfId="23334"/>
    <cellStyle name="汇总 2 2 6 2 7 2" xfId="23335"/>
    <cellStyle name="注释 2 2 2 7 2" xfId="23336"/>
    <cellStyle name="20% - 强调文字颜色 2 4 2 2 2 2" xfId="23337"/>
    <cellStyle name="60% - 强调文字颜色 6 4 2 4 2" xfId="23338"/>
    <cellStyle name="20% - 强调文字颜色 6 2 2 2 2 2 2 2 2" xfId="23339"/>
    <cellStyle name="输出 2 5 4 3" xfId="23340"/>
    <cellStyle name="强调文字颜色 1 2 2 2 5" xfId="23341"/>
    <cellStyle name="输出 2 2 5 2 2 3" xfId="23342"/>
    <cellStyle name="20% - 强调文字颜色 6 3 5 2" xfId="23343"/>
    <cellStyle name="汇总 2 2 7 3 5" xfId="23344"/>
    <cellStyle name="标题 8 2 2 2" xfId="23345"/>
    <cellStyle name="计算 2 7 6 4 2" xfId="23346"/>
    <cellStyle name="标题 1 2 2 2 2 2 2 2 3" xfId="23347"/>
    <cellStyle name="常规 3 7 4 2 2" xfId="23348"/>
    <cellStyle name="强调文字颜色 3 5 2 2" xfId="23349"/>
    <cellStyle name="输出 2 2 2 2 4 2 2" xfId="23350"/>
    <cellStyle name="计算 2 7 4 2 4" xfId="23351"/>
    <cellStyle name="40% - 强调文字颜色 5 2 2 2 4" xfId="23352"/>
    <cellStyle name="注释 2 2 3 9" xfId="23353"/>
    <cellStyle name="汇总 2 2 5 4 4 3" xfId="23354"/>
    <cellStyle name="检查单元格 2 3 2 2 2" xfId="23355"/>
    <cellStyle name="40% - 强调文字颜色 2 6" xfId="23356"/>
    <cellStyle name="常规 4 2 6 3" xfId="23357"/>
    <cellStyle name="汇总 2 7 4 4" xfId="23358"/>
    <cellStyle name="强调文字颜色 3 2 7 2 2 2" xfId="23359"/>
    <cellStyle name="强调文字颜色 6 2 2 6 4" xfId="23360"/>
    <cellStyle name="40% - 强调文字颜色 1 3" xfId="23361"/>
    <cellStyle name="检查单元格 2 2 4 3 2" xfId="23362"/>
    <cellStyle name="强调文字颜色 2 2 2 2 4 2 3" xfId="23363"/>
    <cellStyle name="注释 2 2 6 6 2 2" xfId="23364"/>
    <cellStyle name="强调文字颜色 1 2 2 5 2 2" xfId="23365"/>
    <cellStyle name="40% - 强调文字颜色 5 2 4 3 3" xfId="23366"/>
    <cellStyle name="汇总 2 2 4 2 2 2 4 2 2" xfId="23367"/>
    <cellStyle name="注释 2 4 4 8" xfId="23368"/>
    <cellStyle name="标题 1 2 2 2 2 2 2 3" xfId="23369"/>
    <cellStyle name="标题 3 2 2 2 2 4 2 3" xfId="23370"/>
    <cellStyle name="百分比 2 3 2 2 2" xfId="23371"/>
    <cellStyle name="汇总 3 5 2 3" xfId="23372"/>
    <cellStyle name="40% - 强调文字颜色 5 2 2 2 3 2 2 2 2 2" xfId="23373"/>
    <cellStyle name="注释 2 2 2 5 2" xfId="23374"/>
    <cellStyle name="汇总 2 2 12 4 2" xfId="23375"/>
    <cellStyle name="20% - 强调文字颜色 1 2 6 3" xfId="23376"/>
    <cellStyle name="标题 4 2 6 3 3" xfId="23377"/>
    <cellStyle name="40% - 强调文字颜色 5 2 2 2 2 2 3 3 2" xfId="23378"/>
    <cellStyle name="输入 2 10 2 5" xfId="23379"/>
    <cellStyle name="常规 10 4 4 2" xfId="23380"/>
    <cellStyle name="超链接 2 2 2 5 3" xfId="23381"/>
    <cellStyle name="20% - 强调文字颜色 6 2 3 2 2 2 2 2 2" xfId="23382"/>
    <cellStyle name="强调文字颜色 2 2 2 3 2" xfId="23383"/>
    <cellStyle name="20% - 强调文字颜色 1 4 2" xfId="23384"/>
    <cellStyle name="计算 2 2 4 4 2 4 3" xfId="23385"/>
    <cellStyle name="40% - 强调文字颜色 6 2 2 2 2 3 3 2" xfId="23386"/>
    <cellStyle name="20% - 强调文字颜色 3 2 6 2 2" xfId="23387"/>
    <cellStyle name="常规 7 2 2 4 3 2" xfId="23388"/>
    <cellStyle name="输入 2 2 3 2 2 2 5" xfId="23389"/>
    <cellStyle name="标题 1 3 3 2 2" xfId="23390"/>
    <cellStyle name="常规 8 2 4 3" xfId="23391"/>
    <cellStyle name="输出 2 3 2 3 2" xfId="23392"/>
    <cellStyle name="40% - 强调文字颜色 2 2 2 2 2 3 3 2" xfId="23393"/>
    <cellStyle name="输入 2 4 3 7" xfId="23394"/>
    <cellStyle name="汇总 4 2 2 2 2 2" xfId="23395"/>
    <cellStyle name="40% - 强调文字颜色 4 3 3" xfId="23396"/>
    <cellStyle name="适中 2 2 2 3 3 2" xfId="23397"/>
    <cellStyle name="20% - 强调文字颜色 1 2 3 3 3 2" xfId="23398"/>
    <cellStyle name="输入 2 2 4 2 4 2 2" xfId="23399"/>
    <cellStyle name="40% - 强调文字颜色 4 4 2 2 2" xfId="23400"/>
    <cellStyle name="60% - 强调文字颜色 6 2 2 2 2 2 3" xfId="23401"/>
    <cellStyle name="计算 2 6 4" xfId="23402"/>
    <cellStyle name="常规 5 2 3 2" xfId="23403"/>
    <cellStyle name="计算 3 9 2" xfId="23404"/>
    <cellStyle name="输出 5 3 3" xfId="23405"/>
    <cellStyle name="20% - 强调文字颜色 5 4 2 2 2 2 2" xfId="23406"/>
    <cellStyle name="警告文本 2 5 2 2 2" xfId="23407"/>
    <cellStyle name="汇总 2 2 2 6 4" xfId="23408"/>
    <cellStyle name="常规 3 3 3 5 2 2" xfId="23409"/>
    <cellStyle name="60% - 强调文字颜色 2 4" xfId="23410"/>
    <cellStyle name="汇总 2 3 4 2 4 3" xfId="23411"/>
    <cellStyle name="60% - 强调文字颜色 5 2 2 2 2 2 4" xfId="23412"/>
    <cellStyle name="汇总 2 9 4 2 2" xfId="23413"/>
    <cellStyle name="40% - 强调文字颜色 4 2 3 5" xfId="23414"/>
    <cellStyle name="好 4 2 2 2" xfId="23415"/>
    <cellStyle name="20% - 强调文字颜色 5 2 4 6" xfId="23416"/>
    <cellStyle name="60% - 强调文字颜色 6 2 2 2 3 5" xfId="23417"/>
    <cellStyle name="汇总 2 4 4 2 3 2 2" xfId="23418"/>
    <cellStyle name="强调文字颜色 6 2 6 2 2 2" xfId="23419"/>
    <cellStyle name="60% - 强调文字颜色 5 2 4 4 3 2" xfId="23420"/>
    <cellStyle name="输入 2 2 4 2 2 2 2 2 3" xfId="23421"/>
    <cellStyle name="40% - 强调文字颜色 4 3 5 2" xfId="23422"/>
    <cellStyle name="40% - 强调文字颜色 5 2 2 9" xfId="23423"/>
    <cellStyle name="汇总 2 2 4 3 2 2" xfId="23424"/>
    <cellStyle name="标题 4 2 2 3 7" xfId="23425"/>
    <cellStyle name="汇总 2 2 4 4 4" xfId="23426"/>
    <cellStyle name="汇总 2 2 4 4 6 2 2" xfId="23427"/>
    <cellStyle name="20% - 强调文字颜色 2 2 2 4 4" xfId="23428"/>
    <cellStyle name="差 2 2 3 4 2 2 2" xfId="23429"/>
    <cellStyle name="20% - 强调文字颜色 6 2 2 2 2 4 2 2 2" xfId="23430"/>
    <cellStyle name="注释 3 2 2 4" xfId="23431"/>
    <cellStyle name="计算 2 8 2 2 3 3" xfId="23432"/>
    <cellStyle name="计算 2 2 7 3 5" xfId="23433"/>
    <cellStyle name="60% - 强调文字颜色 5 3 2" xfId="23434"/>
    <cellStyle name="计算 2 2 2 5 3 2" xfId="23435"/>
    <cellStyle name="60% - 强调文字颜色 5 2 3 2" xfId="23436"/>
    <cellStyle name="计算 2 2 7 2 6 2" xfId="23437"/>
    <cellStyle name="标题 1 2 2 3 4 3 2" xfId="23438"/>
    <cellStyle name="汇总 2 2 5 2 6 3" xfId="23439"/>
    <cellStyle name="40% - 强调文字颜色 3 2 2 2 2 4" xfId="23440"/>
    <cellStyle name="强调文字颜色 3 2 3 6 2" xfId="23441"/>
    <cellStyle name="常规 9 6 3 2" xfId="23442"/>
    <cellStyle name="常规 3 3 3 3 2" xfId="23443"/>
    <cellStyle name="计算 2 2 3 2 3 5" xfId="23444"/>
    <cellStyle name="强调文字颜色 2 2 3 3 6" xfId="23445"/>
    <cellStyle name="20% - 强调文字颜色 6 2 3 2 5 2 2" xfId="23446"/>
    <cellStyle name="注释 2 2 5 6" xfId="23447"/>
    <cellStyle name="标题 6 4 2 2" xfId="23448"/>
    <cellStyle name="输入 2 6 2 3 6" xfId="23449"/>
    <cellStyle name="20% - 强调文字颜色 1 2 2 2 2 2 3 2" xfId="23450"/>
    <cellStyle name="标题 3 2 2 2 3 3 3" xfId="23451"/>
    <cellStyle name="计算 2 4 4 7" xfId="23452"/>
    <cellStyle name="输入 2 2 5 5 3" xfId="23453"/>
    <cellStyle name="60% - 强调文字颜色 1 2 2 2 2 5 2" xfId="23454"/>
    <cellStyle name="输出 2 4 4 7" xfId="23455"/>
    <cellStyle name="计算 2 3 4 2 5" xfId="23456"/>
    <cellStyle name="强调文字颜色 6 2 3 2 3 4" xfId="23457"/>
    <cellStyle name="计算 2 4 2 4 4" xfId="23458"/>
    <cellStyle name="计算 2 2 2 2 2 3" xfId="23459"/>
    <cellStyle name="输入 2 10 4 2" xfId="23460"/>
    <cellStyle name="20% - 强调文字颜色 1 2 2 3 6" xfId="23461"/>
    <cellStyle name="标题 5 2 6 2 3" xfId="23462"/>
    <cellStyle name="警告文本 2 2 5 3 2" xfId="23463"/>
    <cellStyle name="60% - 强调文字颜色 5 2 2 2 2 3" xfId="23464"/>
    <cellStyle name="计算 2 2 4 2 4 4 2 2" xfId="23465"/>
    <cellStyle name="输入 4 2 5" xfId="23466"/>
    <cellStyle name="40% - 强调文字颜色 1 2 2 2 2 2 5 2 2" xfId="23467"/>
    <cellStyle name="汇总 2 2 4 2 2 2 2" xfId="23468"/>
    <cellStyle name="计算 2 2 4 3 2 5" xfId="23469"/>
    <cellStyle name="60% - 强调文字颜色 3 2 5 3 2 2" xfId="23470"/>
    <cellStyle name="计算 2 5 4 5 2" xfId="23471"/>
    <cellStyle name="常规 8 5 3" xfId="23472"/>
    <cellStyle name="注释 2 2 11" xfId="23473"/>
    <cellStyle name="20% - 强调文字颜色 3 2 2 4 2" xfId="23474"/>
    <cellStyle name="标题 3 2 2 3 4 2 3" xfId="23475"/>
    <cellStyle name="解释性文本 2 9" xfId="23476"/>
    <cellStyle name="常规 3 2 2 2 2 3" xfId="23477"/>
    <cellStyle name="40% - 强调文字颜色 3 2 2 2 7 2" xfId="23478"/>
    <cellStyle name="汇总 5 3 2 2" xfId="23479"/>
    <cellStyle name="注释 2 5 3 7" xfId="23480"/>
    <cellStyle name="40% - 强调文字颜色 5 2 5 2 2" xfId="23481"/>
    <cellStyle name="汇总 2 2 9 3 2 3" xfId="23482"/>
    <cellStyle name="常规 2 7" xfId="23483"/>
    <cellStyle name="百分比 2 2 4 3" xfId="23484"/>
    <cellStyle name="40% - 强调文字颜色 3 2 4 7" xfId="23485"/>
    <cellStyle name="标题 1 2 2 5 3 3" xfId="23486"/>
    <cellStyle name="常规 4 6 2 2" xfId="23487"/>
    <cellStyle name="汇总 3 5 5" xfId="23488"/>
    <cellStyle name="计算 2 2 4 2 4 2 3 2 2" xfId="23489"/>
    <cellStyle name="标题 2 2" xfId="23490"/>
    <cellStyle name="计算 2 5 2 4 3 2" xfId="23491"/>
    <cellStyle name="汇总 2 4 5 4 2" xfId="23492"/>
    <cellStyle name="计算 2 8 9" xfId="23493"/>
    <cellStyle name="计算 4 3 6" xfId="23494"/>
    <cellStyle name="60% - 强调文字颜色 5 4" xfId="23495"/>
    <cellStyle name="标题 6 2 2 4 2" xfId="23496"/>
    <cellStyle name="20% - 强调文字颜色 5 2 3 2 2 3 2 2 2" xfId="23497"/>
    <cellStyle name="汇总 2 2 13 2 2" xfId="23498"/>
    <cellStyle name="汇总 2 2 3 2 2 5" xfId="23499"/>
    <cellStyle name="注释 2 2 3 3 2" xfId="23500"/>
    <cellStyle name="计算 2 2 4 3 2 2 4 3" xfId="23501"/>
    <cellStyle name="40% - 强调文字颜色 2 2 2 2 2 3 2" xfId="23502"/>
    <cellStyle name="输出 2 3 2 2" xfId="23503"/>
    <cellStyle name="20% - 强调文字颜色 4 3 3 2 2 2 2" xfId="23504"/>
    <cellStyle name="汇总 4 3 4 3" xfId="23505"/>
    <cellStyle name="60% - 强调文字颜色 4 2 2 3 7" xfId="23506"/>
    <cellStyle name="40% - 强调文字颜色 3 4 2 3 2 2" xfId="23507"/>
    <cellStyle name="注释 2 4 2 4 3 2" xfId="23508"/>
    <cellStyle name="40% - 强调文字颜色 1 2" xfId="23509"/>
    <cellStyle name="计算 2 5 5 2 4 2 2" xfId="23510"/>
    <cellStyle name="汇总 2 8 5 5" xfId="23511"/>
    <cellStyle name="输入 2 5 4 3 2" xfId="23512"/>
    <cellStyle name="60% - 强调文字颜色 6 2 2 5 3" xfId="23513"/>
    <cellStyle name="好 2 7 2 3" xfId="23514"/>
    <cellStyle name="汇总 2 2 5 3 3 2 2 2" xfId="23515"/>
    <cellStyle name="20% - 强调文字颜色 5 2 2 2 2 4 2 2 2" xfId="23516"/>
    <cellStyle name="注释 2 3 3" xfId="23517"/>
    <cellStyle name="标题 1 4 4" xfId="23518"/>
    <cellStyle name="强调文字颜色 4 2 2 5 2" xfId="23519"/>
    <cellStyle name="计算 2 9 3 2" xfId="23520"/>
    <cellStyle name="60% - 强调文字颜色 6 2 2 2 2 5 2 2" xfId="23521"/>
    <cellStyle name="输出 2 7 7 3" xfId="23522"/>
    <cellStyle name="汇总 2 7 7 2" xfId="23523"/>
    <cellStyle name="标题 1 3 3 2 2 2" xfId="23524"/>
    <cellStyle name="常规 9 2 2 2 3" xfId="23525"/>
    <cellStyle name="检查单元格 2 5 3 3" xfId="23526"/>
    <cellStyle name="标题 4 2 4 4 2 2" xfId="23527"/>
    <cellStyle name="20% - 强调文字颜色 4 2 3 2 2 2 3 2" xfId="23528"/>
    <cellStyle name="汇总 3 2 2 2 3 3" xfId="23529"/>
    <cellStyle name="计算 2 2 5 2 4 2 2" xfId="23530"/>
    <cellStyle name="注释 2 2 7 2 3 2 2" xfId="23531"/>
    <cellStyle name="好 2 2 2 5 2" xfId="23532"/>
    <cellStyle name="40% - 强调文字颜色 2 3 2 3 2 2 2" xfId="23533"/>
    <cellStyle name="解释性文本 2 2 2 2" xfId="23534"/>
    <cellStyle name="好 2 2 2 2 3 2 3" xfId="23535"/>
    <cellStyle name="标题 4 2 5 3 2 2" xfId="23536"/>
    <cellStyle name="好 2 7 3" xfId="23537"/>
    <cellStyle name="60% - 强调文字颜色 6 2 2 6" xfId="23538"/>
    <cellStyle name="常规 10 4 2 4 2" xfId="23539"/>
    <cellStyle name="60% - 强调文字颜色 4 4 5" xfId="23540"/>
    <cellStyle name="标题 3 2 2 8" xfId="23541"/>
    <cellStyle name="计算 2 2 6 4 8" xfId="23542"/>
    <cellStyle name="常规 5 2 4 6" xfId="23543"/>
    <cellStyle name="注释 2 4 2 5 2" xfId="23544"/>
    <cellStyle name="20% - 强调文字颜色 5 2 2 2 2 3 2 2 2 2" xfId="23545"/>
    <cellStyle name="计算 2 5 3 4" xfId="23546"/>
    <cellStyle name="20% - 强调文字颜色 3 2 6 3" xfId="23547"/>
    <cellStyle name="标题 4 2 2 4 2 3 3" xfId="23548"/>
    <cellStyle name="解释性文本 2 2 4 4" xfId="23549"/>
    <cellStyle name="40% - 强调文字颜色 4 3 3 2" xfId="23550"/>
    <cellStyle name="常规 3 3 3 3 2 2" xfId="23551"/>
    <cellStyle name="输入 2 9 3 3" xfId="23552"/>
    <cellStyle name="常规 13 2 2 5" xfId="23553"/>
    <cellStyle name="超链接 3 5 2 3" xfId="23554"/>
    <cellStyle name="汇总 2 6 3 6" xfId="23555"/>
    <cellStyle name="标题 4 2 2 2 2 2 2 2 2" xfId="23556"/>
    <cellStyle name="20% - 强调文字颜色 3 3 2 4 2" xfId="23557"/>
    <cellStyle name="好 2 2 9" xfId="23558"/>
    <cellStyle name="适中 2 7 2 2" xfId="23559"/>
    <cellStyle name="60% - 强调文字颜色 1 3 2 4" xfId="23560"/>
    <cellStyle name="超链接 2 2 4 2 3 2" xfId="23561"/>
    <cellStyle name="20% - 强调文字颜色 3 2 4 4 3 2" xfId="23562"/>
    <cellStyle name="20% - 强调文字颜色 1 2 2 2 2 5 2 2" xfId="23563"/>
    <cellStyle name="输入 2 2 3 4 4 3" xfId="23564"/>
    <cellStyle name="计算 2 2 3 8 3" xfId="23565"/>
    <cellStyle name="好 2 2 2 2 2 3" xfId="23566"/>
    <cellStyle name="20% - 强调文字颜色 5 3 2 2 3 2" xfId="23567"/>
    <cellStyle name="常规 4 5 3 4" xfId="23568"/>
    <cellStyle name="汇总 2 6 7" xfId="23569"/>
    <cellStyle name="计算 2 10 3 3 2" xfId="23570"/>
    <cellStyle name="20% - 强调文字颜色 2 2 2 4" xfId="23571"/>
    <cellStyle name="20% - 强调文字颜色 6 2 2 2 2 2 4 2 2 2" xfId="23572"/>
    <cellStyle name="标题 2 3 6" xfId="23573"/>
    <cellStyle name="强调文字颜色 4 2 3 4 4" xfId="23574"/>
    <cellStyle name="计算 2 4 3 2 4 3" xfId="23575"/>
    <cellStyle name="适中 2 4 4 4" xfId="23576"/>
    <cellStyle name="标题 4 2 7 2 3" xfId="23577"/>
    <cellStyle name="强调文字颜色 2 2 2 2 5 3" xfId="23578"/>
    <cellStyle name="标题 1 2 2 4 5 2 2" xfId="23579"/>
    <cellStyle name="20% - 强调文字颜色 1 2 2 2" xfId="23580"/>
    <cellStyle name="注释 2 2 5 6 3" xfId="23581"/>
    <cellStyle name="20% - 强调文字颜色 1 2 3 2 2 4 3 2" xfId="23582"/>
    <cellStyle name="40% - 强调文字颜色 3 2 5 5 2" xfId="23583"/>
    <cellStyle name="输出 2 2 5 5" xfId="23584"/>
    <cellStyle name="20% - 强调文字颜色 1 2 8" xfId="23585"/>
    <cellStyle name="标题 2 2 3 3" xfId="23586"/>
    <cellStyle name="计算 2 2 5 2 2 5 2" xfId="23587"/>
    <cellStyle name="汇总 2 2 8 6" xfId="23588"/>
    <cellStyle name="注释 3 2 2 6 2" xfId="23589"/>
    <cellStyle name="强调文字颜色 2 2 2 3 2 2 2" xfId="23590"/>
    <cellStyle name="20% - 强调文字颜色 1 4 2 2 2" xfId="23591"/>
    <cellStyle name="汇总 2 2 3 3 3 2 2 2" xfId="23592"/>
    <cellStyle name="强调文字颜色 6 2 2 2 2 2 2 2 2" xfId="23593"/>
    <cellStyle name="20% - 强调文字颜色 5 2 3 2 2 4" xfId="23594"/>
    <cellStyle name="汇总 2 2 4 3 2 2 3 3" xfId="23595"/>
    <cellStyle name="常规 10 4 5 2" xfId="23596"/>
    <cellStyle name="40% - 强调文字颜色 6 2 2 5 2 2 2" xfId="23597"/>
    <cellStyle name="强调文字颜色 3 2 2 2 5 2 3" xfId="23598"/>
    <cellStyle name="强调文字颜色 6 2 2 2 7" xfId="23599"/>
    <cellStyle name="输入 2 2 3 2 9" xfId="23600"/>
    <cellStyle name="60% - 强调文字颜色 4 2 2 2 2 3 3" xfId="23601"/>
    <cellStyle name="汇总 2 2 4 3 3 2" xfId="23602"/>
    <cellStyle name="60% - 强调文字颜色 6 2 3 2 4" xfId="23603"/>
    <cellStyle name="强调文字颜色 2 2 4 4 2 3" xfId="23604"/>
    <cellStyle name="汇总 2 3 3 2 3 2" xfId="23605"/>
    <cellStyle name="差 2 2 5 3 2 2" xfId="23606"/>
    <cellStyle name="40% - 强调文字颜色 4 2 3 3 2" xfId="23607"/>
    <cellStyle name="汇总 2 4 2 6 2" xfId="23608"/>
    <cellStyle name="60% - 强调文字颜色 2 2 2 3 4 3" xfId="23609"/>
    <cellStyle name="输出 2 5 2 5 2" xfId="23610"/>
    <cellStyle name="20% - 强调文字颜色 2 3 2 4 2 2" xfId="23611"/>
    <cellStyle name="60% - 强调文字颜色 2 4 2 3 2 2 2" xfId="23612"/>
    <cellStyle name="计算 4 2 2 2 3" xfId="23613"/>
    <cellStyle name="常规 5 2 2 2 2 2 4 2" xfId="23614"/>
    <cellStyle name="40% - 强调文字颜色 4 2 3 6 2" xfId="23615"/>
    <cellStyle name="标题 1 2 3 5 2 2 2" xfId="23616"/>
    <cellStyle name="40% - 强调文字颜色 2 2 5 4" xfId="23617"/>
    <cellStyle name="解释性文本 2 4 2 2 3" xfId="23618"/>
    <cellStyle name="输入 2 3 3 9" xfId="23619"/>
    <cellStyle name="说明文本 4" xfId="23620"/>
    <cellStyle name="汇总 2 2 8 3 2 6" xfId="23621"/>
    <cellStyle name="40% - 强调文字颜色 5 2 2 2 3 2" xfId="23622"/>
    <cellStyle name="注释 2 2 3 8 2" xfId="23623"/>
    <cellStyle name="40% - 强调文字颜色 4 2 3 4 3 2" xfId="23624"/>
    <cellStyle name="注释 2 5 2 3 6" xfId="23625"/>
    <cellStyle name="好 2 2 3 3 4" xfId="23626"/>
    <cellStyle name="20% - 强调文字颜色 6 2 5 3" xfId="23627"/>
    <cellStyle name="汇总 2 2 5 8 2" xfId="23628"/>
    <cellStyle name="汇总 2 2 5 2 10" xfId="23629"/>
    <cellStyle name="输出 2 5 2 3 3 2" xfId="23630"/>
    <cellStyle name="汇总 2 5 2 5 6" xfId="23631"/>
    <cellStyle name="差 2 2 2 2 2 2 2 2 2" xfId="23632"/>
    <cellStyle name="链接单元格 2 2 2 2 5 2 2" xfId="23633"/>
    <cellStyle name="40% - 强调文字颜色 1 3 9" xfId="23634"/>
    <cellStyle name="注释 2 7 2 4 2" xfId="23635"/>
    <cellStyle name="计算 2 2 6 10" xfId="23636"/>
    <cellStyle name="Normal 2 2 2 2" xfId="23637"/>
    <cellStyle name="20% - 强调文字颜色 6 2 5 5 2" xfId="23638"/>
    <cellStyle name="20% - 强调文字颜色 3 2 3 2 2 4 2 2" xfId="23639"/>
    <cellStyle name="60% - 强调文字颜色 6 2 3 2 2 3 3" xfId="23640"/>
    <cellStyle name="20% - 强调文字颜色 6 2 2 6 3 2 2" xfId="23641"/>
    <cellStyle name="40% - 强调文字颜色 6 2 8 2 2" xfId="23642"/>
    <cellStyle name="常规 5 3 3 3" xfId="23643"/>
    <cellStyle name="输入 2 2 3 4 5 2" xfId="23644"/>
    <cellStyle name="计算 2 2 3 9 2" xfId="23645"/>
    <cellStyle name="60% - 强调文字颜色 3 2 2 2 6 2" xfId="23646"/>
    <cellStyle name="计算 2 2 9 3 4 2" xfId="23647"/>
    <cellStyle name="标题 4 3 8" xfId="23648"/>
    <cellStyle name="60% - 强调文字颜色 1 2 3 5 2" xfId="23649"/>
    <cellStyle name="注释 2 3 2 2 3 2 2" xfId="23650"/>
    <cellStyle name="输入 2 2 4 8 3" xfId="23651"/>
    <cellStyle name="标题 4 3 5" xfId="23652"/>
    <cellStyle name="链接单元格 2 2 3 4 4" xfId="23653"/>
    <cellStyle name="20% - 强调文字颜色 6 2 2 3 2 2 2 2" xfId="23654"/>
    <cellStyle name="标题 2 2 8 3" xfId="23655"/>
    <cellStyle name="计算 6 2 2" xfId="23656"/>
    <cellStyle name="计算 2 5 3 2 6" xfId="23657"/>
    <cellStyle name="汇总 2 6 3 4 2" xfId="23658"/>
    <cellStyle name="40% - 强调文字颜色 2 3 2 4 2 2" xfId="23659"/>
    <cellStyle name="解释性文本 3 2 2" xfId="23660"/>
    <cellStyle name="标题 7 2 3 2 2" xfId="23661"/>
    <cellStyle name="40% - 强调文字颜色 4 2 2 2 5" xfId="23662"/>
    <cellStyle name="40% - 强调文字颜色 1 2 4 4 2 2" xfId="23663"/>
    <cellStyle name="输入 2 3 3 2 3 2" xfId="23664"/>
    <cellStyle name="解释性文本 2 2 6 2 2 2" xfId="23665"/>
    <cellStyle name="注释 2 12" xfId="23666"/>
    <cellStyle name="常规 4 4 2 2 3" xfId="23667"/>
    <cellStyle name="检查单元格 4 5" xfId="23668"/>
    <cellStyle name="输入 2 6 3 2 3" xfId="23669"/>
    <cellStyle name="超链接 3 2 2 2 3" xfId="23670"/>
    <cellStyle name="40% - 强调文字颜色 2 2 2 2 2" xfId="23671"/>
    <cellStyle name="注释 2 3 4 3" xfId="23672"/>
    <cellStyle name="汇总 2 4 3 2 3 2" xfId="23673"/>
    <cellStyle name="60% - 强调文字颜色 1 2 2 7 2" xfId="23674"/>
    <cellStyle name="注释 2 3 2 2 2 4 2" xfId="23675"/>
    <cellStyle name="输出 2 2 4 3 2 2 2" xfId="23676"/>
    <cellStyle name="40% - 强调文字颜色 4 2 2 2 5 2 2 2" xfId="23677"/>
    <cellStyle name="警告文本 4 3 2" xfId="23678"/>
    <cellStyle name="60% - 强调文字颜色 6 2 3 3 2 3" xfId="23679"/>
    <cellStyle name="警告文本 4 2 3 2" xfId="23680"/>
    <cellStyle name="20% - 强调文字颜色 5 2 5 5" xfId="23681"/>
    <cellStyle name="40% - 强调文字颜色 2 2 2 2 4 2 2" xfId="23682"/>
    <cellStyle name="汇总 2 6 2 2 2 2 2" xfId="23683"/>
    <cellStyle name="40% - 强调文字颜色 4 2 10 2" xfId="23684"/>
    <cellStyle name="计算 2 8 3" xfId="23685"/>
    <cellStyle name="60% - 强调文字颜色 6 2 2 2 2 4 2" xfId="23686"/>
    <cellStyle name="输出 4 2 4" xfId="23687"/>
    <cellStyle name="40% - 强调文字颜色 2 2 5 3" xfId="23688"/>
    <cellStyle name="解释性文本 2 4 2 2 2" xfId="23689"/>
    <cellStyle name="输出 2 2 7 3 2 4" xfId="23690"/>
    <cellStyle name="强调文字颜色 4 2 3 2 5" xfId="23691"/>
    <cellStyle name="汇总 2 6 2 9 2" xfId="23692"/>
    <cellStyle name="标题 2 2 4 10" xfId="23693"/>
    <cellStyle name="40% - 强调文字颜色 6 2 4 5" xfId="23694"/>
    <cellStyle name="60% - 强调文字颜色 1 2 3 5 2 2 2" xfId="23695"/>
    <cellStyle name="常规 2 2 2 5 3 2 2" xfId="23696"/>
    <cellStyle name="输出 3 2 3 3 2" xfId="23697"/>
    <cellStyle name="标题 8 3" xfId="23698"/>
    <cellStyle name="汇总 2 4 8 2" xfId="23699"/>
    <cellStyle name="40% - 强调文字颜色 4 2 5 2 2 2 2" xfId="23700"/>
    <cellStyle name="计算 2 5 2 5 2" xfId="23701"/>
    <cellStyle name="40% - 强调文字颜色 5 2 2 6 3 2 2" xfId="23702"/>
    <cellStyle name="40% - 强调文字颜色 4 2 3 2 4" xfId="23703"/>
    <cellStyle name="计算 2 2 7 2 2 3 2" xfId="23704"/>
    <cellStyle name="汇总 2 5 3 2 2 2 2" xfId="23705"/>
    <cellStyle name="Normal 5 2 2 2" xfId="23706"/>
    <cellStyle name="40% - 强调文字颜色 6 3 3 3" xfId="23707"/>
    <cellStyle name="常规 5 4 5" xfId="23708"/>
    <cellStyle name="链接单元格 2 2 3 6 2" xfId="23709"/>
    <cellStyle name="注释 2 2 2 3 4 2 2" xfId="23710"/>
    <cellStyle name="40% - 强调文字颜色 3 2 2 2 3 2 2" xfId="23711"/>
    <cellStyle name="40% - 强调文字颜色 5 2 3 2 3 2 2" xfId="23712"/>
    <cellStyle name="计算 2 2 2 4 5 2 2" xfId="23713"/>
    <cellStyle name="常规 3 2 2 4 3 2 2" xfId="23714"/>
    <cellStyle name="好 5 2 2" xfId="23715"/>
    <cellStyle name="标题 3 4 4 2 3" xfId="23716"/>
    <cellStyle name="汇总 2 5 4 6 2 2" xfId="23717"/>
    <cellStyle name="汇总 2 3 11 2" xfId="23718"/>
    <cellStyle name="差 4 5" xfId="23719"/>
    <cellStyle name="适中 3 2 2 3 2" xfId="23720"/>
    <cellStyle name="链接单元格 2 2 2 4 3 3" xfId="23721"/>
    <cellStyle name="强调文字颜色 6 2 2" xfId="23722"/>
    <cellStyle name="计算 2 4 4 2 3 2 2" xfId="23723"/>
    <cellStyle name="60% - 强调文字颜色 6 2 2 2 5 2 2 3" xfId="23724"/>
    <cellStyle name="标题 5 3 3" xfId="23725"/>
    <cellStyle name="计算 2 5 2 2 2 3" xfId="23726"/>
    <cellStyle name="链接单元格 2 2 6" xfId="23727"/>
    <cellStyle name="强调文字颜色 5 2 3 4 3 2 2" xfId="23728"/>
    <cellStyle name="标题 5 2 4 3 3 2" xfId="23729"/>
    <cellStyle name="输入 2 2 6 3 5" xfId="23730"/>
    <cellStyle name="计算 2 5 2 9" xfId="23731"/>
    <cellStyle name="差 2 2 2 3 2 2 3" xfId="23732"/>
    <cellStyle name="注释 2 2 3 2 3 2 6" xfId="23733"/>
    <cellStyle name="40% - 强调文字颜色 2 3 6" xfId="23734"/>
    <cellStyle name="汇总 2 2 7 3 2 2 2 2" xfId="23735"/>
    <cellStyle name="汇总 2 5 3 3" xfId="23736"/>
    <cellStyle name="Normal 6" xfId="23737"/>
    <cellStyle name="60% - 强调文字颜色 5 2 2 2 5 2 2 2" xfId="23738"/>
    <cellStyle name="标题 1 2 2 2 3 2 2 2" xfId="23739"/>
    <cellStyle name="计算 2 2 4 2 3 7 2" xfId="23740"/>
    <cellStyle name="40% - 强调文字颜色 2 2 2 2 2 2 3 2 2" xfId="23741"/>
    <cellStyle name="20% - 强调文字颜色 6 2 3 5 2" xfId="23742"/>
    <cellStyle name="20% - 强调文字颜色 3 2 3 2 2 2 2 2" xfId="23743"/>
    <cellStyle name="60% - 强调文字颜色 2 2 2 2 2 2 4" xfId="23744"/>
    <cellStyle name="输出 2 2 6 11" xfId="23745"/>
    <cellStyle name="输出 2 8 4 2" xfId="23746"/>
    <cellStyle name="常规 2 7 2 2" xfId="23747"/>
    <cellStyle name="60% - 强调文字颜色 5 2 4 4 2 2" xfId="23748"/>
    <cellStyle name="汇总 2 6 2 2 4 2 2" xfId="23749"/>
    <cellStyle name="40% - 强调文字颜色 2 2 2 2 6 2 2" xfId="23750"/>
    <cellStyle name="40% - 强调文字颜色 2 3 4" xfId="23751"/>
    <cellStyle name="20% - 强调文字颜色 6 2 4 7" xfId="23752"/>
    <cellStyle name="强调文字颜色 1 2 2 2 2 5" xfId="23753"/>
    <cellStyle name="60% - 强调文字颜色 5 2 2 2 2 4 3 2" xfId="23754"/>
    <cellStyle name="40% - 强调文字颜色 1 3 2 3 2 2" xfId="23755"/>
    <cellStyle name="输出 2 2 5 2 9" xfId="23756"/>
    <cellStyle name="输出 2 3 2 3 5" xfId="23757"/>
    <cellStyle name="60% - 强调文字颜色 2 2 2 4 5 2 2" xfId="23758"/>
    <cellStyle name="标题 3 2 2 6" xfId="23759"/>
    <cellStyle name="60% - 强调文字颜色 4 4 3" xfId="23760"/>
    <cellStyle name="计算 2 2 6 4 6" xfId="23761"/>
    <cellStyle name="40% - 强调文字颜色 6 2 2 2 3 3 2" xfId="23762"/>
    <cellStyle name="常规 10 2 4 3 2" xfId="23763"/>
    <cellStyle name="标题 3 2 2 4 6" xfId="23764"/>
    <cellStyle name="20% - 强调文字颜色 1 3 2 4 2 2" xfId="23765"/>
    <cellStyle name="强调文字颜色 2 2 2 2 2 4 2 2" xfId="23766"/>
    <cellStyle name="20% - 强调文字颜色 6 2 2 4 2 2 2" xfId="23767"/>
    <cellStyle name="计算 2 9 5" xfId="23768"/>
    <cellStyle name="适中 2 3 7" xfId="23769"/>
    <cellStyle name="汇总 2 2 14" xfId="23770"/>
    <cellStyle name="计算 2 10 2 4" xfId="23771"/>
    <cellStyle name="20% - 强调文字颜色 1 2 2 3 4 2 2 2" xfId="23772"/>
    <cellStyle name="输出 3 2 3 4" xfId="23773"/>
    <cellStyle name="40% - 强调文字颜色 2 2 2 3 3 2" xfId="23774"/>
    <cellStyle name="警告文本 3 2 3" xfId="23775"/>
    <cellStyle name="百分比 2 2 2 3 3 3" xfId="23776"/>
    <cellStyle name="标题 5 2 3 3 4" xfId="23777"/>
    <cellStyle name="强调文字颜色 2 2 3 2 3 3" xfId="23778"/>
    <cellStyle name="20% - 强调文字颜色 2 3 3 3" xfId="23779"/>
    <cellStyle name="计算 2 2 3 2 2 2 3" xfId="23780"/>
    <cellStyle name="无色 3" xfId="23781"/>
    <cellStyle name="检查单元格 2 3 4 3" xfId="23782"/>
    <cellStyle name="注释 2 2 7 6 2" xfId="23783"/>
    <cellStyle name="检查单元格 5 3" xfId="23784"/>
    <cellStyle name="20% - 强调文字颜色 2 2 3 7 2" xfId="23785"/>
    <cellStyle name="计算 2 7 4 3" xfId="23786"/>
    <cellStyle name="60% - 强调文字颜色 6 2 2 2 2 3 3 3" xfId="23787"/>
    <cellStyle name="20% - 强调文字颜色 1 2 5 5 2 2" xfId="23788"/>
    <cellStyle name="强调文字颜色 3 2 5 3" xfId="23789"/>
    <cellStyle name="标题 5 2 3 5" xfId="23790"/>
    <cellStyle name="差 2 8 2" xfId="23791"/>
    <cellStyle name="输入 2 5 3 3 2 2" xfId="23792"/>
    <cellStyle name="汇总 3 3 2 5 2" xfId="23793"/>
    <cellStyle name="强调文字颜色 4 2 6 3 3" xfId="23794"/>
    <cellStyle name="输入 2 2 5 7 3" xfId="23795"/>
    <cellStyle name="标题 5 2 5" xfId="23796"/>
    <cellStyle name="百分比 2 2 2 2 2" xfId="23797"/>
    <cellStyle name="注释 2 2 2 7 3" xfId="23798"/>
    <cellStyle name="40% - 强调文字颜色 3 2 2 6 2" xfId="23799"/>
    <cellStyle name="20% - 强调文字颜色 5 2 2 3" xfId="23800"/>
    <cellStyle name="计算 2 2 3 5 2" xfId="23801"/>
    <cellStyle name="60% - 强调文字颜色 3 2 2 2 2 2" xfId="23802"/>
    <cellStyle name="计算 4 2 2 4 2" xfId="23803"/>
    <cellStyle name="汇总 2 3 2 3 2" xfId="23804"/>
    <cellStyle name="20% - 强调文字颜色 6 2 3 6 2 2" xfId="23805"/>
    <cellStyle name="计算 2 3 2 12" xfId="23806"/>
    <cellStyle name="输入 2 2 2 5 3" xfId="23807"/>
    <cellStyle name="汇总 2 2 7 4 4 2" xfId="23808"/>
    <cellStyle name="40% - 强调文字颜色 4 2 3 2 2 3 2 2" xfId="23809"/>
    <cellStyle name="标题 4 3 4" xfId="23810"/>
    <cellStyle name="20% - 强调文字颜色 2 2 2 2 2 4 3 2 2" xfId="23811"/>
    <cellStyle name="标题 5 2 4 2 2 2 2" xfId="23812"/>
    <cellStyle name="输入 2 2 4 8 2" xfId="23813"/>
    <cellStyle name="强调文字颜色 4 2 2 9" xfId="23814"/>
    <cellStyle name="标题 4 2 3 6 2 2" xfId="23815"/>
    <cellStyle name="链接单元格 2 2 2 3 2 2 2" xfId="23816"/>
    <cellStyle name="计算 2 2 5 3 4 3" xfId="23817"/>
    <cellStyle name="60% - 强调文字颜色 6 2 4 8" xfId="23818"/>
    <cellStyle name="警告文本 2 2 7" xfId="23819"/>
    <cellStyle name="40% - 强调文字颜色 5 4 2 4" xfId="23820"/>
    <cellStyle name="40% - 强调文字颜色 6 4 2 2 2 2 2" xfId="23821"/>
    <cellStyle name="常规 6 3 4 2 2 2" xfId="23822"/>
    <cellStyle name="汇总 2 5 2 5 3 3" xfId="23823"/>
    <cellStyle name="标题 3 2 3 3 4" xfId="23824"/>
    <cellStyle name="20% - 强调文字颜色 6 2 3 3 3 2" xfId="23825"/>
    <cellStyle name="计算 2 3 3 4 2" xfId="23826"/>
    <cellStyle name="汇总 2 7 3 2 2 2 2" xfId="23827"/>
    <cellStyle name="40% - 强调文字颜色 6 2 2 3 4 2 2 2" xfId="23828"/>
    <cellStyle name="40% - 强调文字颜色 3 2 8 2" xfId="23829"/>
    <cellStyle name="40% - 强调文字颜色 1 4 2 2 2" xfId="23830"/>
    <cellStyle name="汇总 2 6 2 2 3 3" xfId="23831"/>
    <cellStyle name="40% - 强调文字颜色 3 2 3 2 2 5 2 2" xfId="23832"/>
    <cellStyle name="20% - 强调文字颜色 5 2 3 3 2 2 2 2" xfId="23833"/>
    <cellStyle name="汇总 2 4 2 2 5 2" xfId="23834"/>
    <cellStyle name="常规 2 2 2 6" xfId="23835"/>
    <cellStyle name="输出 2 3 4 6" xfId="23836"/>
    <cellStyle name="输出 2 3 6 2 2" xfId="23837"/>
    <cellStyle name="常规 2 2 4 2 2" xfId="23838"/>
    <cellStyle name="强调文字颜色 1 3 7" xfId="23839"/>
    <cellStyle name="输出 5 4" xfId="23840"/>
    <cellStyle name="常规 10 3 4 2" xfId="23841"/>
    <cellStyle name="注释 2 4 2 2 8" xfId="23842"/>
    <cellStyle name="汇总 2 2 3 2 4 4 2" xfId="23843"/>
    <cellStyle name="强调文字颜色 2 2 3 2" xfId="23844"/>
    <cellStyle name="20% - 强调文字颜色 2 3" xfId="23845"/>
    <cellStyle name="汇总 2 2 4 3 3 4" xfId="23846"/>
    <cellStyle name="60% - 强调文字颜色 6 2 3 2 6" xfId="23847"/>
    <cellStyle name="计算 2 4 2 2 7" xfId="23848"/>
    <cellStyle name="计算 2 2 3 3 6 2 2" xfId="23849"/>
    <cellStyle name="60% - 强调文字颜色 1 3 3 2 2" xfId="23850"/>
    <cellStyle name="标题 4 3 2 2 4 2" xfId="23851"/>
    <cellStyle name="汇总 2 2 4 2 3 9" xfId="23852"/>
    <cellStyle name="60% - 强调文字颜色 1 4 2 3 2 2" xfId="23853"/>
    <cellStyle name="注释 2 2 9 2 2" xfId="23854"/>
    <cellStyle name="40% - 强调文字颜色 4 2 2 2 2 5 2" xfId="23855"/>
    <cellStyle name="汇总 2 2 3 2 9 2" xfId="23856"/>
    <cellStyle name="20% - 强调文字颜色 4 5 2 2 2" xfId="23857"/>
    <cellStyle name="标题 5 2 2 2 2 2 2 2 2" xfId="23858"/>
    <cellStyle name="标题 6 2 4 2 2" xfId="23859"/>
    <cellStyle name="检查单元格 3 3 4" xfId="23860"/>
    <cellStyle name="20% - 强调文字颜色 2 2 3 2 2 4 3" xfId="23861"/>
    <cellStyle name="标题 5 3 2 2 2 2 2" xfId="23862"/>
    <cellStyle name="40% - 强调文字颜色 5 2 7 2 2" xfId="23863"/>
    <cellStyle name="40% - 强调文字颜色 2 2 5 2 3 2" xfId="23864"/>
    <cellStyle name="解释性文本 2 3 3" xfId="23865"/>
    <cellStyle name="20% - 强调文字颜色 4 3 2 5 2" xfId="23866"/>
    <cellStyle name="40% - 强调文字颜色 5 2 3 4 3 2" xfId="23867"/>
    <cellStyle name="强调文字颜色 5 3 4 2" xfId="23868"/>
    <cellStyle name="20% - 强调文字颜色 3 2 2 2 2 3 2 2" xfId="23869"/>
    <cellStyle name="输入 2 5 2 6 2" xfId="23870"/>
    <cellStyle name="20% - 强调文字颜色 6 2 4 2 2 2 2 2" xfId="23871"/>
    <cellStyle name="汇总 2 2 2 6 2 3" xfId="23872"/>
    <cellStyle name="计算 2 18" xfId="23873"/>
    <cellStyle name="输入 2 5 3 2 4 2 2" xfId="23874"/>
    <cellStyle name="超链接 2 5 3" xfId="23875"/>
    <cellStyle name="计算 2 2 5 2 2 2 4 3" xfId="23876"/>
    <cellStyle name="适中 3 6" xfId="23877"/>
    <cellStyle name="输入 2 2 3 2 5 2 2" xfId="23878"/>
    <cellStyle name="40% - 强调文字颜色 3 2 2 4 5 2" xfId="23879"/>
    <cellStyle name="输入 2 2 3 2 3 2 3" xfId="23880"/>
    <cellStyle name="汇总 5 2 4 2" xfId="23881"/>
    <cellStyle name="20% - 强调文字颜色 3 2 5 4 2" xfId="23882"/>
    <cellStyle name="20% - 强调文字颜色 3 2 5 4" xfId="23883"/>
    <cellStyle name="注释 2 2 3 2 3 2 2 2 2" xfId="23884"/>
    <cellStyle name="注释 2 2 9 6" xfId="23885"/>
    <cellStyle name="40% - 强调文字颜色 2 2 2 2 3 3" xfId="23886"/>
    <cellStyle name="输出 2 4 2" xfId="23887"/>
    <cellStyle name="常规 6 2 4 2" xfId="23888"/>
    <cellStyle name="常规 4 3 9" xfId="23889"/>
    <cellStyle name="40% - 强调文字颜色 6 2 2 7" xfId="23890"/>
    <cellStyle name="汇总 2 2 4 3 3 2 2" xfId="23891"/>
    <cellStyle name="60% - 强调文字颜色 6 2 3 2 4 2" xfId="23892"/>
    <cellStyle name="计算 2 2 5 4 2 5" xfId="23893"/>
    <cellStyle name="标题 3 2 6 2 3" xfId="23894"/>
    <cellStyle name="汇总 2 5 2 8 2 2" xfId="23895"/>
    <cellStyle name="标题 4 2 2 2 4 2" xfId="23896"/>
    <cellStyle name="40% - 强调文字颜色 1 3 8" xfId="23897"/>
    <cellStyle name="60% - 强调文字颜色 6 2 3 3 5" xfId="23898"/>
    <cellStyle name="汇总 2 2 4 3 4 3" xfId="23899"/>
    <cellStyle name="输入 2 2 6 8 2 2" xfId="23900"/>
    <cellStyle name="标题 6 3 4 2" xfId="23901"/>
    <cellStyle name="检查单元格 2 2 4 2 3 2" xfId="23902"/>
    <cellStyle name="20% - 强调文字颜色 3 2 2 3 4 2 2 2" xfId="23903"/>
    <cellStyle name="警告文本 2 4" xfId="23904"/>
    <cellStyle name="百分比 2 2 2 2 5" xfId="23905"/>
    <cellStyle name="计算 3 2 10" xfId="23906"/>
    <cellStyle name="汇总 2 2 9 2 3" xfId="23907"/>
    <cellStyle name="常规 6 2 3 4 3 2" xfId="23908"/>
    <cellStyle name="常规 3 3 3 7" xfId="23909"/>
    <cellStyle name="标题 4 2 3 5 3" xfId="23910"/>
    <cellStyle name="输入 2 3 7 2 2" xfId="23911"/>
    <cellStyle name="60% - 强调文字颜色 3 2 2 4 2 2 2" xfId="23912"/>
    <cellStyle name="计算 2 2 5 5 2 2" xfId="23913"/>
    <cellStyle name="强调文字颜色 5 2 2 3 6" xfId="23914"/>
    <cellStyle name="常规 5 2 2 2 2 2 4" xfId="23915"/>
    <cellStyle name="强调文字颜色 4 2 2 2 6 2" xfId="23916"/>
    <cellStyle name="输出 2 5 2 4 2 2" xfId="23917"/>
    <cellStyle name="强调文字颜色 2 2 2 2 2 3 2 2 2" xfId="23918"/>
    <cellStyle name="20% - 强调文字颜色 1 3 2 3 2 2 2" xfId="23919"/>
    <cellStyle name="20% - 强调文字颜色 2 2 2 5 3 2 2" xfId="23920"/>
    <cellStyle name="计算 2 3 2" xfId="23921"/>
    <cellStyle name="计算 2 5 9" xfId="23922"/>
    <cellStyle name="好 2 4 6" xfId="23923"/>
    <cellStyle name="注释 2 2 6 8" xfId="23924"/>
    <cellStyle name="汇总 2 2 4 2 2 2 2 4 2" xfId="23925"/>
    <cellStyle name="40% - 强调文字颜色 5 2 2 5 3" xfId="23926"/>
    <cellStyle name="差 2 2 4 5 2 2" xfId="23927"/>
    <cellStyle name="计算 2 2 4 2 3 2 5 2" xfId="23928"/>
    <cellStyle name="常规 2 2 2 2 4 2 2 2" xfId="23929"/>
    <cellStyle name="常规 13 3 2 3 2" xfId="23930"/>
    <cellStyle name="20% - 强调文字颜色 6 2 2 2 2 5 2" xfId="23931"/>
    <cellStyle name="20% - 强调文字颜色 4 2 2 4 4 2 2" xfId="23932"/>
    <cellStyle name="常规 6 2 2 5 2" xfId="23933"/>
    <cellStyle name="链接单元格 2 3 3 4" xfId="23934"/>
    <cellStyle name="20% - 强调文字颜色 4 2 2 2 2 5 2 2 2" xfId="23935"/>
    <cellStyle name="60% - 强调文字颜色 6 2 3 2 3 2 3" xfId="23936"/>
    <cellStyle name="注释 2 3 13" xfId="23937"/>
    <cellStyle name="汇总 2 2 8 2 3 2 2" xfId="23938"/>
    <cellStyle name="输出 2 2 5 2 7" xfId="23939"/>
    <cellStyle name="60% - 强调文字颜色 1 3 2 4 2 2" xfId="23940"/>
    <cellStyle name="20% - 强调文字颜色 5 2 2 3 6" xfId="23941"/>
    <cellStyle name="汇总 3 2 5" xfId="23942"/>
    <cellStyle name="计算 2 3 6 2" xfId="23943"/>
    <cellStyle name="汇总 2 2 8 4 2 3" xfId="23944"/>
    <cellStyle name="标题 2 2 3 2 7" xfId="23945"/>
    <cellStyle name="40% - 强调文字颜色 4 3 2" xfId="23946"/>
    <cellStyle name="差 3 11" xfId="23947"/>
    <cellStyle name="60% - 强调文字颜色 2 2 2 4 5" xfId="23948"/>
    <cellStyle name="计算 2 3 3 3 2 3" xfId="23949"/>
    <cellStyle name="60% - 强调文字颜色 2 3 3 3 2" xfId="23950"/>
    <cellStyle name="60% - 强调文字颜色 4 2 5 2" xfId="23951"/>
    <cellStyle name="常规 3 3 2 2 3 3 2 2" xfId="23952"/>
    <cellStyle name="常规 3 3 7 5 2" xfId="23953"/>
    <cellStyle name="强调文字颜色 5 2 2 2 4 2 2 2" xfId="23954"/>
    <cellStyle name="强调文字颜色 1 2 2 6 2 2" xfId="23955"/>
    <cellStyle name="检查单元格 2 2 5 3 2" xfId="23956"/>
    <cellStyle name="40% - 强调文字颜色 5 2 2 5 2 2 2" xfId="23957"/>
    <cellStyle name="强调文字颜色 2 2 2 2 5 2 3" xfId="23958"/>
    <cellStyle name="标题 2 2 2 2 2 4 3" xfId="23959"/>
    <cellStyle name="40% - 强调文字颜色 1 3 2 2 3 2 2 2" xfId="23960"/>
    <cellStyle name="输入 2 2 4 3" xfId="23961"/>
    <cellStyle name="40% - 强调文字颜色 3 2 2 2 3 2 2 2 2" xfId="23962"/>
    <cellStyle name="40% - 强调文字颜色 2 3 9" xfId="23963"/>
    <cellStyle name="链接单元格 2 2 2 2 6 2 2" xfId="23964"/>
    <cellStyle name="常规 2 3 2 2" xfId="23965"/>
    <cellStyle name="输出 2 4 4 2" xfId="23966"/>
    <cellStyle name="计算 2 2 16 2 2" xfId="23967"/>
    <cellStyle name="汇总 2 2 4 2 9 2 2" xfId="23968"/>
    <cellStyle name="40% - 强调文字颜色 1 2 3 3 2 2 2" xfId="23969"/>
    <cellStyle name="40% - 强调文字颜色 2 2 2 3 2 2" xfId="23970"/>
    <cellStyle name="输出 3 2 2 4" xfId="23971"/>
    <cellStyle name="标题 4 2 4 2 2 2 2 2" xfId="23972"/>
    <cellStyle name="标题 2 2 2 2 2 6 2 2" xfId="23973"/>
    <cellStyle name="输出 2 2 2 3 4 2 2" xfId="23974"/>
    <cellStyle name="强调文字颜色 4 5 2 2" xfId="23975"/>
    <cellStyle name="60% - 强调文字颜色 1 3 2 2 2 2" xfId="23976"/>
    <cellStyle name="输出 2 2 3 2 7" xfId="23977"/>
    <cellStyle name="标题 7 2 3 2 2 2" xfId="23978"/>
    <cellStyle name="警告文本 2 2 3 2 2 3" xfId="23979"/>
    <cellStyle name="链接单元格 2 2 3 4 3 2" xfId="23980"/>
    <cellStyle name="60% - 强调文字颜色 6 2 2 2 6 2 2 2" xfId="23981"/>
    <cellStyle name="汇总 4 3 2 3" xfId="23982"/>
    <cellStyle name="20% - 强调文字颜色 1 2 2 3 3 3" xfId="23983"/>
    <cellStyle name="输出 2 2 2 2 2 2 3 2 2" xfId="23984"/>
    <cellStyle name="常规 6 3 2 2 4" xfId="23985"/>
    <cellStyle name="标题 2 2 2 3 3" xfId="23986"/>
    <cellStyle name="汇总 2 4 2 4 3 2" xfId="23987"/>
    <cellStyle name="强调文字颜色 1 2 2 5 2" xfId="23988"/>
    <cellStyle name="20% - 强调文字颜色 5 2 3 2 2 4 2 2 2" xfId="23989"/>
    <cellStyle name="汇总 2 5 2 11 2 2" xfId="23990"/>
    <cellStyle name="链接单元格 2 2 2 3" xfId="23991"/>
    <cellStyle name="计算 2 2 3 14" xfId="23992"/>
    <cellStyle name="60% - 强调文字颜色 3 3 3 4 2" xfId="23993"/>
    <cellStyle name="计算 2 2 3 2 2 3 3 3" xfId="23994"/>
    <cellStyle name="适中 2 7 3 2 2" xfId="23995"/>
    <cellStyle name="标题 5 2 4 2" xfId="23996"/>
    <cellStyle name="强调文字颜色 4 2 6 3 2 2" xfId="23997"/>
    <cellStyle name="输入 2 2 5 7 2 2" xfId="23998"/>
    <cellStyle name="40% - 强调文字颜色 4 2 2 2 2 3 3 2" xfId="23999"/>
    <cellStyle name="40% - 强调文字颜色 3 3 2 4 2 2 2" xfId="24000"/>
    <cellStyle name="差 3 2 2" xfId="24001"/>
    <cellStyle name="60% - 强调文字颜色 2 4 2 4" xfId="24002"/>
    <cellStyle name="计算 2 2 4 2 3 3 4" xfId="24003"/>
    <cellStyle name="40% - 强调文字颜色 3 3 2 2 3 2" xfId="24004"/>
    <cellStyle name="常规 3 3 2 3 3" xfId="24005"/>
    <cellStyle name="计算 2 7 2 2 5 2 2" xfId="24006"/>
    <cellStyle name="计算 2 3 2 3 5" xfId="24007"/>
    <cellStyle name="标题 2 2 2 2 2 5 3" xfId="24008"/>
    <cellStyle name="20% - 强调文字颜色 2 2 4 4" xfId="24009"/>
    <cellStyle name="注释 2 3 2 3 3" xfId="24010"/>
    <cellStyle name="40% - 强调文字颜色 3 3 2 2 2" xfId="24011"/>
    <cellStyle name="汇总 2 2 8 3 2 3 2 2" xfId="24012"/>
    <cellStyle name="20% - 强调文字颜色 5 2 2 2 2 2 4 2 2 2" xfId="24013"/>
    <cellStyle name="40% - 强调文字颜色 1 2 3 2 2 2 3" xfId="24014"/>
    <cellStyle name="20% - 强调文字颜色 4 3 2 3 2 2" xfId="24015"/>
    <cellStyle name="注释 2 2 5 3 3" xfId="24016"/>
    <cellStyle name="汇总 2 2 3 4 2 6" xfId="24017"/>
    <cellStyle name="40% - 强调文字颜色 3 2 5 2 2" xfId="24018"/>
    <cellStyle name="输出 2 2 2 5" xfId="24019"/>
    <cellStyle name="20% - 强调文字颜色 6 2 3 4 3 2" xfId="24020"/>
    <cellStyle name="常规 6 3 2 2 3 2 2" xfId="24021"/>
    <cellStyle name="20% - 强调文字颜色 6 4" xfId="24022"/>
    <cellStyle name="链接单元格 2 3 2 5" xfId="24023"/>
    <cellStyle name="强调文字颜色 2 2 7 3" xfId="24024"/>
    <cellStyle name="20% - 强调文字颜色 6 2 3 2" xfId="24025"/>
    <cellStyle name="链接单元格 2 3 2 3 3 2" xfId="24026"/>
    <cellStyle name="40% - 强调文字颜色 1 2 2 4 4 2" xfId="24027"/>
    <cellStyle name="20% - 强调文字颜色 5 2 3 2 4 2 2 2" xfId="24028"/>
    <cellStyle name="60% - 强调文字颜色 1 2 3 2" xfId="24029"/>
    <cellStyle name="计算 2 2 3 2 6 2" xfId="24030"/>
    <cellStyle name="20% - 强调文字颜色 4 2 2 3 6" xfId="24031"/>
    <cellStyle name="常规 8 2 4 3 2" xfId="24032"/>
    <cellStyle name="输出 2 3 2 3 2 2" xfId="24033"/>
    <cellStyle name="计算 3 4 7" xfId="24034"/>
    <cellStyle name="20% - 强调文字颜色 3 2 2 5 3 2" xfId="24035"/>
    <cellStyle name="汇总 2 4 4 5 3" xfId="24036"/>
    <cellStyle name="常规 7 2 2 2 4 2 2" xfId="24037"/>
    <cellStyle name="20% - 强调文字颜色 3 2 4 3 2 2" xfId="24038"/>
    <cellStyle name="标题 5 2 4 2 2" xfId="24039"/>
    <cellStyle name="20% - 强调文字颜色 2 2 2 2 2 4 3" xfId="24040"/>
    <cellStyle name="标题 7 3 2" xfId="24041"/>
    <cellStyle name="输出 3 2 3 2 2 2" xfId="24042"/>
    <cellStyle name="汇总 2 2 4 2 2 3 2 3" xfId="24043"/>
    <cellStyle name="强调文字颜色 3 3 2 3 2" xfId="24044"/>
    <cellStyle name="60% - 强调文字颜色 6 2 2 2 3 2" xfId="24045"/>
    <cellStyle name="汇总 2 2 4 2 5 2 2 2" xfId="24046"/>
    <cellStyle name="60% - 强调文字颜色 6 2 2 4 4 2 2" xfId="24047"/>
    <cellStyle name="40% - 强调文字颜色 5 2 2 2 2 2 4 3 2" xfId="24048"/>
    <cellStyle name="计算 2 6 2 2 3 5" xfId="24049"/>
    <cellStyle name="20% - 强调文字颜色 3 2 8 2" xfId="24050"/>
    <cellStyle name="60% - 强调文字颜色 4 2 7 2 2 2" xfId="24051"/>
    <cellStyle name="汇总 2 5 3 8" xfId="24052"/>
    <cellStyle name="适中 2 3 2 4 3" xfId="24053"/>
    <cellStyle name="常规 4 2 2 2 2 3 3" xfId="24054"/>
    <cellStyle name="常规 2 4 2 2" xfId="24055"/>
    <cellStyle name="输出 2 5 4 2" xfId="24056"/>
    <cellStyle name="40% - 强调文字颜色 4 3 3 2 2 2 2" xfId="24057"/>
    <cellStyle name="60% - 强调文字颜色 2 2 2 2 2 3 2" xfId="24058"/>
    <cellStyle name="汇总 2 2 3 2 4 2" xfId="24059"/>
    <cellStyle name="20% - 强调文字颜色 5 2 2 2 5 2 2" xfId="24060"/>
    <cellStyle name="链接单元格 2 2 2 2 5" xfId="24061"/>
    <cellStyle name="注释 2 2 3 4 4 3" xfId="24062"/>
    <cellStyle name="差 2 2 2 2 2 2 2" xfId="24063"/>
    <cellStyle name="标题 4 2 2 9" xfId="24064"/>
    <cellStyle name="计算 2 3 4 5" xfId="24065"/>
    <cellStyle name="60% - 强调文字颜色 3 2 3 3 2" xfId="24066"/>
    <cellStyle name="计算 2 5 4 6 2 2" xfId="24067"/>
    <cellStyle name="20% - 强调文字颜色 4 2 2 6 2" xfId="24068"/>
    <cellStyle name="20% - 强调文字颜色 5 2 2 2 2 2" xfId="24069"/>
    <cellStyle name="汇总 2 2 6 2 6 3" xfId="24070"/>
    <cellStyle name="40% - 强调文字颜色 3 2 3 2 2 4" xfId="24071"/>
    <cellStyle name="注释 2 2 3 3 3 4" xfId="24072"/>
    <cellStyle name="60% - 强调文字颜色 4 3 3 3 2 2 2" xfId="24073"/>
    <cellStyle name="60% - 强调文字颜色 4 2 2 2 3 4" xfId="24074"/>
    <cellStyle name="标题 3 3 2 2 3 3" xfId="24075"/>
    <cellStyle name="输入 2 6 2 9" xfId="24076"/>
    <cellStyle name="解释性文本 2 2 4 4 2 2" xfId="24077"/>
    <cellStyle name="好 2 2 2 2 3" xfId="24078"/>
    <cellStyle name="注释 2 3 2 8 2" xfId="24079"/>
    <cellStyle name="标题 3 2 4 2 2 2 2 2" xfId="24080"/>
    <cellStyle name="标题 1 2 2 2 2 6 2 2" xfId="24081"/>
    <cellStyle name="60% - 强调文字颜色 5 2 3 2 3 2" xfId="24082"/>
    <cellStyle name="注释 2 2 4 2 7" xfId="24083"/>
    <cellStyle name="输出 2 2 3 5 7" xfId="24084"/>
    <cellStyle name="40% - 强调文字颜色 3 3 2 2 3 2 2 2" xfId="24085"/>
    <cellStyle name="输入 2 11 2" xfId="24086"/>
    <cellStyle name="常规 9 3 2 2" xfId="24087"/>
    <cellStyle name="20% - 强调文字颜色 4 2 5 2 2 2 2" xfId="24088"/>
    <cellStyle name="20% - 强调文字颜色 4 2 6 3 2" xfId="24089"/>
    <cellStyle name="注释 2 5 2 5 2 2" xfId="24090"/>
    <cellStyle name="标题 5 4 8" xfId="24091"/>
    <cellStyle name="常规 3 7 4" xfId="24092"/>
    <cellStyle name="强调文字颜色 3 5" xfId="24093"/>
    <cellStyle name="输出 2 2 2 2 4" xfId="24094"/>
    <cellStyle name="40% - 强调文字颜色 1 2 2 2 2 5 2 2" xfId="24095"/>
    <cellStyle name="标题 5 3 2 4 2 3" xfId="24096"/>
    <cellStyle name="标题 4 3 2 2 3" xfId="24097"/>
    <cellStyle name="汇总 2 6 3 4 2 2" xfId="24098"/>
    <cellStyle name="强调文字颜色 2 2 3 2 2 4" xfId="24099"/>
    <cellStyle name="20% - 强调文字颜色 2 3 2 4" xfId="24100"/>
    <cellStyle name="输出 2 2 3 4 5 2" xfId="24101"/>
    <cellStyle name="警告文本 2 4 2 2 3" xfId="24102"/>
    <cellStyle name="强调文字颜色 4 3 5" xfId="24103"/>
    <cellStyle name="输出 2 2 2 3 2 5" xfId="24104"/>
    <cellStyle name="强调文字颜色 2 3 2 2 3" xfId="24105"/>
    <cellStyle name="输出 2 2 3 5 2 2" xfId="24106"/>
    <cellStyle name="计算 2 2 3 2 8" xfId="24107"/>
    <cellStyle name="60% - 强调文字颜色 1 2 5" xfId="24108"/>
    <cellStyle name="60% - 强调文字颜色 6 2 2 3 3 3 3" xfId="24109"/>
    <cellStyle name="超链接 2 2 3 2 3 2" xfId="24110"/>
    <cellStyle name="常规 11 3 3 4" xfId="24111"/>
    <cellStyle name="注释 2 2 2 2 2 2 4 2" xfId="24112"/>
    <cellStyle name="标题 4 2 7 2 2" xfId="24113"/>
    <cellStyle name="20% - 强调文字颜色 1 3 5 2" xfId="24114"/>
    <cellStyle name="强调文字颜色 2 2 2 2 5 2" xfId="24115"/>
    <cellStyle name="20% - 强调文字颜色 3 2 3 2 2 5 2" xfId="24116"/>
    <cellStyle name="Normal 2 3 2" xfId="24117"/>
    <cellStyle name="计算 2 5 13" xfId="24118"/>
    <cellStyle name="计算 2 2 4 2 3 2" xfId="24119"/>
    <cellStyle name="强调文字颜色 6 2 2 2 3 2 2" xfId="24120"/>
    <cellStyle name="汇总 2 2 7 2 5" xfId="24121"/>
    <cellStyle name="标题 4 6 3" xfId="24122"/>
    <cellStyle name="计算 2 7 6 3 2" xfId="24123"/>
    <cellStyle name="20% - 强调文字颜色 6 2 2 6 2 2" xfId="24124"/>
    <cellStyle name="差 2 3 2 5 2 2" xfId="24125"/>
    <cellStyle name="强调文字颜色 2 2 3 2 2 3" xfId="24126"/>
    <cellStyle name="20% - 强调文字颜色 2 3 2 3" xfId="24127"/>
    <cellStyle name="常规 10 3 3 3" xfId="24128"/>
    <cellStyle name="注释 2 2 3 2 2 2" xfId="24129"/>
    <cellStyle name="输出 2 4 3 2 2" xfId="24130"/>
    <cellStyle name="常规 9 3 3 3" xfId="24131"/>
    <cellStyle name="好 2 3 4 2 2 2" xfId="24132"/>
    <cellStyle name="40% - 强调文字颜色 4 2 3 2 2 4" xfId="24133"/>
    <cellStyle name="计算 2 2 6 2 2 2 4" xfId="24134"/>
    <cellStyle name="强调文字颜色 2 2 5 2" xfId="24135"/>
    <cellStyle name="20% - 强调文字颜色 4 3" xfId="24136"/>
    <cellStyle name="40% - 强调文字颜色 4 5 2 2 2 2" xfId="24137"/>
    <cellStyle name="标题 1 2 2 5" xfId="24138"/>
    <cellStyle name="60% - 强调文字颜色 2 2 2 6 3" xfId="24139"/>
    <cellStyle name="强调文字颜色 3 2 4 4 2" xfId="24140"/>
    <cellStyle name="输出 3 3 2 2" xfId="24141"/>
    <cellStyle name="检查单元格 2 2 9" xfId="24142"/>
    <cellStyle name="常规 3 2 4 3 3" xfId="24143"/>
    <cellStyle name="40% - 强调文字颜色 6 2 4 4 3 2" xfId="24144"/>
    <cellStyle name="40% - 强调文字颜色 4 2 2 5" xfId="24145"/>
    <cellStyle name="标题 5 2 4 5" xfId="24146"/>
    <cellStyle name="差 2 9 2" xfId="24147"/>
    <cellStyle name="20% - 强调文字颜色 6 2 8 2" xfId="24148"/>
    <cellStyle name="标题 7 6" xfId="24149"/>
    <cellStyle name="计算 2 3 3 2 2" xfId="24150"/>
    <cellStyle name="输出 2 2 4 4 2 2 3" xfId="24151"/>
    <cellStyle name="20% - 强调文字颜色 1 2" xfId="24152"/>
    <cellStyle name="汇总 2 6 12" xfId="24153"/>
    <cellStyle name="20% - 强调文字颜色 3 2 2 3 2 2 2 2" xfId="24154"/>
    <cellStyle name="60% - 强调文字颜色 6 2 3 2 7" xfId="24155"/>
    <cellStyle name="注释 2 3 4 4 2" xfId="24156"/>
    <cellStyle name="汇总 2 2 4 3 3 5" xfId="24157"/>
    <cellStyle name="标题 1 2 2 2" xfId="24158"/>
    <cellStyle name="超链接 2 3 7 2 2" xfId="24159"/>
    <cellStyle name="20% - 强调文字颜色 4 4 2 3" xfId="24160"/>
    <cellStyle name="40% - 强调文字颜色 4 2 2 2 2 4 3 2 2" xfId="24161"/>
    <cellStyle name="40% - 强调文字颜色 2 2 2 2 3 2" xfId="24162"/>
    <cellStyle name="差 2 5 3" xfId="24163"/>
    <cellStyle name="40% - 强调文字颜色 1 3 3 2 2 2" xfId="24164"/>
    <cellStyle name="20% - 强调文字颜色 6 2 2 2 3 3 2" xfId="24165"/>
    <cellStyle name="输出 2 8 3 3" xfId="24166"/>
    <cellStyle name="常规 9 2 3 2 2 2" xfId="24167"/>
    <cellStyle name="检查单元格 2 6 3 2 2" xfId="24168"/>
    <cellStyle name="40% - 强调文字颜色 5 5 2" xfId="24169"/>
    <cellStyle name="标题 4 2 2 6 2" xfId="24170"/>
    <cellStyle name="计算 2 7 3 6 2" xfId="24171"/>
    <cellStyle name="输入 2 2 8 4 2 2" xfId="24172"/>
    <cellStyle name="标题 3 2 2 2 6 2 2 2" xfId="24173"/>
    <cellStyle name="汇总 2 2 4 5 5" xfId="24174"/>
    <cellStyle name="60% - 强调文字颜色 6 2 7 2" xfId="24175"/>
    <cellStyle name="检查单元格 2 2 3 8" xfId="24176"/>
    <cellStyle name="20% - 强调文字颜色 5 2 2 6 2 2 2" xfId="24177"/>
    <cellStyle name="标题 4 3 2 2" xfId="24178"/>
    <cellStyle name="适中 3 8" xfId="24179"/>
    <cellStyle name="输入 3 2 2 2 2 3" xfId="24180"/>
    <cellStyle name="40% - 强调文字颜色 6 2 3 2 2 3 2 2 2" xfId="24181"/>
    <cellStyle name="警告文本 2 2 2 2 4" xfId="24182"/>
    <cellStyle name="60% - 强调文字颜色 2 2 2 3 3 2 2" xfId="24183"/>
    <cellStyle name="汇总 3 3 2 5" xfId="24184"/>
    <cellStyle name="40% - 强调文字颜色 1 2 2 9 2" xfId="24185"/>
    <cellStyle name="输入 2 5 3 3 2" xfId="24186"/>
    <cellStyle name="注释 3 6" xfId="24187"/>
    <cellStyle name="20% - 强调文字颜色 1 2 3 2 4 3 2 2" xfId="24188"/>
    <cellStyle name="标题 1 5 2 2" xfId="24189"/>
    <cellStyle name="20% - 强调文字颜色 5 2 2 3 4 2 2" xfId="24190"/>
    <cellStyle name="20% - 强调文字颜色 1 2 2 2 3 2 2 2" xfId="24191"/>
    <cellStyle name="40% - 强调文字颜色 4 2 2 2 2 2 3 2 2 2" xfId="24192"/>
    <cellStyle name="输出 9 2" xfId="24193"/>
    <cellStyle name="强调文字颜色 3 2 2 3 5 2 2" xfId="24194"/>
    <cellStyle name="60% - 强调文字颜色 2 3 6 2" xfId="24195"/>
    <cellStyle name="标题 3 2 3 7" xfId="24196"/>
    <cellStyle name="计算 2 2 6 5 7" xfId="24197"/>
    <cellStyle name="汇总 2 2 8 7 2" xfId="24198"/>
    <cellStyle name="注释 4 2 4 2" xfId="24199"/>
    <cellStyle name="强调文字颜色 3 2 3 3 6" xfId="24200"/>
    <cellStyle name="输入 2 8 2 2 2" xfId="24201"/>
    <cellStyle name="注释 2 2 2 3 5" xfId="24202"/>
    <cellStyle name="40% - 强调文字颜色 3 2 2 2 4" xfId="24203"/>
    <cellStyle name="注释 2 2 12 2 2" xfId="24204"/>
    <cellStyle name="汇总 2 2 3 3 9" xfId="24205"/>
    <cellStyle name="40% - 强调文字颜色 1 2 3 2 2 3" xfId="24206"/>
    <cellStyle name="强调文字颜色 2 2 2 2 2 3 2" xfId="24207"/>
    <cellStyle name="20% - 强调文字颜色 1 3 2 3 2" xfId="24208"/>
    <cellStyle name="常规 10 2 3 3" xfId="24209"/>
    <cellStyle name="20% - 强调文字颜色 5 3 3 4" xfId="24210"/>
    <cellStyle name="20% - 强调文字颜色 2 2 6 2" xfId="24211"/>
    <cellStyle name="标题 5 3 3 5" xfId="24212"/>
    <cellStyle name="输出 2 5 2 2 8" xfId="24213"/>
    <cellStyle name="汇总 3 2 3 4 2" xfId="24214"/>
    <cellStyle name="标题 2 2 2 6 2 3" xfId="24215"/>
    <cellStyle name="60% - 强调文字颜色 5 2 4 3 2" xfId="24216"/>
    <cellStyle name="差 2 3 4 2 2 2" xfId="24217"/>
    <cellStyle name="40% - 强调文字颜色 1 4 2 3" xfId="24218"/>
    <cellStyle name="警告文本 2 2 2 2 4 2" xfId="24219"/>
    <cellStyle name="输出 2 2 4 4 2" xfId="24220"/>
    <cellStyle name="输出 2 5 2 6 3" xfId="24221"/>
    <cellStyle name="60% - 强调文字颜色 4 2 3 2 3 3 2 2" xfId="24222"/>
    <cellStyle name="计算 2 2 2 5 3" xfId="24223"/>
    <cellStyle name="常规 5 9 2" xfId="24224"/>
    <cellStyle name="40% - 强调文字颜色 1 2 2 3 6" xfId="24225"/>
    <cellStyle name="40% - 强调文字颜色 6 3 2 2 3 2 2 2" xfId="24226"/>
    <cellStyle name="汇总 2 6 8 3" xfId="24227"/>
    <cellStyle name="汇总 3 3 3 2 2" xfId="24228"/>
    <cellStyle name="常规 6 2 2 3 3 2" xfId="24229"/>
    <cellStyle name="标题 1 2 2 2 2 3 2 2 3" xfId="24230"/>
    <cellStyle name="计算 5" xfId="24231"/>
    <cellStyle name="40% - 强调文字颜色 6 6 2" xfId="24232"/>
    <cellStyle name="输入 2 2 6 4 4" xfId="24233"/>
    <cellStyle name="强调文字颜色 1 2 2 2 2 2 2 2 2" xfId="24234"/>
    <cellStyle name="计算 2 5 3 8" xfId="24235"/>
    <cellStyle name="40% - 强调文字颜色 3 2 2 5 2 2" xfId="24236"/>
    <cellStyle name="链接单元格 2 2 2 3 3 2" xfId="24237"/>
    <cellStyle name="20% - 强调文字颜色 2 4 3 2 2 2" xfId="24238"/>
    <cellStyle name="60% - 强调文字颜色 3 2 2 3 7" xfId="24239"/>
    <cellStyle name="标题 3 2 3 2 6" xfId="24240"/>
    <cellStyle name="输出 3 5 2 2" xfId="24241"/>
    <cellStyle name="40% - 强调文字颜色 2 2 2 3 4 3 2" xfId="24242"/>
    <cellStyle name="标题 5 2 3 5 2 2" xfId="24243"/>
    <cellStyle name="20% - 强调文字颜色 1 2 3 2 4 3" xfId="24244"/>
    <cellStyle name="汇总 2 7 4 8" xfId="24245"/>
    <cellStyle name="强调文字颜色 5 4 2 3 2" xfId="24246"/>
    <cellStyle name="标题 3 2 2 3 5 3" xfId="24247"/>
    <cellStyle name="计算 2 3 2 2 2 2 3 2 2" xfId="24248"/>
    <cellStyle name="注释 6" xfId="24249"/>
    <cellStyle name="注释 2 2 5 13" xfId="24250"/>
    <cellStyle name="常规 14 2 2 2 2 2" xfId="24251"/>
    <cellStyle name="常规 6 5 3 2 2" xfId="24252"/>
    <cellStyle name="解释性文本 2 4 3 2 3" xfId="24253"/>
    <cellStyle name="常规 9 2 5 2 2" xfId="24254"/>
    <cellStyle name="20% - 强调文字颜色 5 2 3 2 2 5 2" xfId="24255"/>
    <cellStyle name="差 2 2 2 4 3 2 2" xfId="24256"/>
    <cellStyle name="40% - 强调文字颜色 6 2 2 2 3 2" xfId="24257"/>
    <cellStyle name="常规 4 3 4 3 2" xfId="24258"/>
    <cellStyle name="计算 2 7 10 3" xfId="24259"/>
    <cellStyle name="20% - 强调文字颜色 1 2 2 2 2 5 2" xfId="24260"/>
    <cellStyle name="强调文字颜色 5 2 2 2 2 2 5" xfId="24261"/>
    <cellStyle name="强调文字颜色 5 2 2 2 3 7" xfId="24262"/>
    <cellStyle name="60% - 强调文字颜色 6 2 2 4 4 3" xfId="24263"/>
    <cellStyle name="汇总 2 2 4 2 5 2 3" xfId="24264"/>
    <cellStyle name="汇总 2 2 5 2 3 3" xfId="24265"/>
    <cellStyle name="60% - 强调文字颜色 6 3 2 2 5" xfId="24266"/>
    <cellStyle name="计算 2 2 6 2 2 3 3" xfId="24267"/>
    <cellStyle name="20% - 强调文字颜色 5 2" xfId="24268"/>
    <cellStyle name="汇总 2 5 2 2 2 2 3" xfId="24269"/>
    <cellStyle name="汇总 2 2 6 4 5 2" xfId="24270"/>
    <cellStyle name="注释 2 2 3 5 2 3" xfId="24271"/>
    <cellStyle name="常规 3 4 5" xfId="24272"/>
    <cellStyle name="20% - 强调文字颜色 5 2 8" xfId="24273"/>
    <cellStyle name="注释 2 2 5 2 7" xfId="24274"/>
    <cellStyle name="常规 12 2 2 5 2 2" xfId="24275"/>
    <cellStyle name="20% - 强调文字颜色 1 3 4 2 2" xfId="24276"/>
    <cellStyle name="强调文字颜色 2 2 2 2 4 2 2" xfId="24277"/>
    <cellStyle name="40% - 强调文字颜色 4 2 4 2 2" xfId="24278"/>
    <cellStyle name="汇总 2 2 4 5 2 3 3" xfId="24279"/>
    <cellStyle name="常规 10 3 3 2 2" xfId="24280"/>
    <cellStyle name="注释 3 13" xfId="24281"/>
    <cellStyle name="40% - 强调文字颜色 3 2 3 3 2 2 2 2" xfId="24282"/>
    <cellStyle name="20% - 强调文字颜色 3 2 4 4 3" xfId="24283"/>
    <cellStyle name="常规 5 2 2 2 2 2 5" xfId="24284"/>
    <cellStyle name="好 2 2 2 5 2 2 2" xfId="24285"/>
    <cellStyle name="60% - 强调文字颜色 2 2 2 3 4 2" xfId="24286"/>
    <cellStyle name="汇总 2 4 2 6 3" xfId="24287"/>
    <cellStyle name="强调文字颜色 1 2 4 3 4" xfId="24288"/>
    <cellStyle name="计算 2 8 3 2 2 3" xfId="24289"/>
    <cellStyle name="标题 2 2 2 10" xfId="24290"/>
    <cellStyle name="常规 5 3 3 5" xfId="24291"/>
    <cellStyle name="解释性文本 2 2 2 4 3 2 2" xfId="24292"/>
    <cellStyle name="标题 4 2 3 2 3 3 2 2" xfId="24293"/>
    <cellStyle name="计算 2 7 4 7" xfId="24294"/>
    <cellStyle name="百分比 2 2 2 2 2 2 2 2" xfId="24295"/>
    <cellStyle name="输入 2 2 8 5 3" xfId="24296"/>
    <cellStyle name="20% - 强调文字颜色 5 2 2 2 3" xfId="24297"/>
    <cellStyle name="60% - 强调文字颜色 6 2 3 4 2" xfId="24298"/>
    <cellStyle name="计算 2 3 10 2 2" xfId="24299"/>
    <cellStyle name="常规 5 3 5 2" xfId="24300"/>
    <cellStyle name="40% - 强调文字颜色 6 3 2 3 2" xfId="24301"/>
    <cellStyle name="汇总 2 2 12 3 3" xfId="24302"/>
    <cellStyle name="40% - 强调文字颜色 3 2 2 3 2" xfId="24303"/>
    <cellStyle name="注释 2 2 2 4 3" xfId="24304"/>
    <cellStyle name="20% - 强调文字颜色 2 5" xfId="24305"/>
    <cellStyle name="强调文字颜色 2 2 3 4" xfId="24306"/>
    <cellStyle name="计算 2 4 2 2 9" xfId="24307"/>
    <cellStyle name="适中 3 2 2 3" xfId="24308"/>
    <cellStyle name="链接单元格 2 2 3 5 2 2" xfId="24309"/>
    <cellStyle name="60% - 强调文字颜色 1 2 7" xfId="24310"/>
    <cellStyle name="汇总 2 5 12 2" xfId="24311"/>
    <cellStyle name="超链接 2 5 4 2" xfId="24312"/>
    <cellStyle name="60% - 强调文字颜色 2 2 2 3 4 2 2 2" xfId="24313"/>
    <cellStyle name="20% - 强调文字颜色 2 2 4 5 2" xfId="24314"/>
    <cellStyle name="计算 2 2 3 2 3 2 2" xfId="24315"/>
    <cellStyle name="20% - 强调文字颜色 2 4 3 2" xfId="24316"/>
    <cellStyle name="强调文字颜色 2 2 3 3 3 2" xfId="24317"/>
    <cellStyle name="计算 2 10 9" xfId="24318"/>
    <cellStyle name="常规 4 3 8 2 2" xfId="24319"/>
    <cellStyle name="40% - 强调文字颜色 6 2 2 6 2 2" xfId="24320"/>
    <cellStyle name="20% - 强调文字颜色 6 2 2 2 2 2 2 2 2 2 2" xfId="24321"/>
    <cellStyle name="常规 9 3 2 2 2 3" xfId="24322"/>
    <cellStyle name="标题 7 2 2 2 2" xfId="24323"/>
    <cellStyle name="20% - 强调文字颜色 1 2 4 2 2 2" xfId="24324"/>
    <cellStyle name="输入 2 2 8 2 2 4" xfId="24325"/>
    <cellStyle name="20% - 强调文字颜色 2 2 4 2 2 2 2" xfId="24326"/>
    <cellStyle name="20% - 强调文字颜色 3 2 3 5 2" xfId="24327"/>
    <cellStyle name="标题 4 2 3 2 4 2 2 2" xfId="24328"/>
    <cellStyle name="常规 9 6 3" xfId="24329"/>
    <cellStyle name="40% - 强调文字颜色 3 2 7 2" xfId="24330"/>
    <cellStyle name="强调文字颜色 2 3 2 2 2" xfId="24331"/>
    <cellStyle name="输出 2 2 2 3 2 4" xfId="24332"/>
    <cellStyle name="60% - 强调文字颜色 6 2 3 2 2 2" xfId="24333"/>
    <cellStyle name="40% - 强调文字颜色 5 2 3 7 2" xfId="24334"/>
    <cellStyle name="60% - 强调文字颜色 6 2 2 3 7" xfId="24335"/>
    <cellStyle name="汇总 2 2 4 2 4 5" xfId="24336"/>
    <cellStyle name="注释 2 3 3 5 2" xfId="24337"/>
    <cellStyle name="40% - 强调文字颜色 1 2 2 3 4 2" xfId="24338"/>
    <cellStyle name="20% - 强调文字颜色 2 2 2 2 3 4" xfId="24339"/>
    <cellStyle name="差 2 3 2 2 2" xfId="24340"/>
    <cellStyle name="计算 2 2 3 2 2 6" xfId="24341"/>
    <cellStyle name="强调文字颜色 2 2 3 2 7" xfId="24342"/>
    <cellStyle name="20% - 强调文字颜色 2 3 7" xfId="24343"/>
    <cellStyle name="计算 2 5 3 2 3" xfId="24344"/>
    <cellStyle name="60% - 强调文字颜色 6 3 2 4 2 2" xfId="24345"/>
    <cellStyle name="20% - 强调文字颜色 2 2 2 4 5" xfId="24346"/>
    <cellStyle name="强调文字颜色 5 2 2 2 3 4" xfId="24347"/>
    <cellStyle name="20% - 强调文字颜色 1 2 2 6 3" xfId="24348"/>
    <cellStyle name="计算 2 2 8 3 2 3 2 2" xfId="24349"/>
    <cellStyle name="40% - 强调文字颜色 3 2 2 2 2 4 3 2 2" xfId="24350"/>
    <cellStyle name="20% - 强调文字颜色 1 2 2 2 2 2 2 3" xfId="24351"/>
    <cellStyle name="警告文本 2 2 2 4 2 2 2" xfId="24352"/>
    <cellStyle name="常规 12 2 4 2 2" xfId="24353"/>
    <cellStyle name="标题 5 2 2 3 6" xfId="24354"/>
    <cellStyle name="常规 5 2 3 2 6" xfId="24355"/>
    <cellStyle name="输入 2 2 5 7" xfId="24356"/>
    <cellStyle name="标题 3 2 2 2 3 5" xfId="24357"/>
    <cellStyle name="强调文字颜色 4 2 6 3" xfId="24358"/>
    <cellStyle name="计算 2 5 2 4 4 2" xfId="24359"/>
    <cellStyle name="20% - 强调文字颜色 3 2 3 3 2 2 2 2" xfId="24360"/>
    <cellStyle name="60% - 强调文字颜色 2 2 2 6 2 2 2" xfId="24361"/>
    <cellStyle name="输出 2 2 2 2 13" xfId="24362"/>
    <cellStyle name="40% - 强调文字颜色 6 2 2 2 3 3" xfId="24363"/>
    <cellStyle name="计算 2 5 11 2" xfId="24364"/>
    <cellStyle name="20% - 强调文字颜色 5 3 3 3 2 2 2" xfId="24365"/>
    <cellStyle name="60% - 强调文字颜色 5 2 2 4 3 3 2" xfId="24366"/>
    <cellStyle name="40% - 强调文字颜色 6 2 2 2 4 3 2 2" xfId="24367"/>
    <cellStyle name="汇总 2 7 2 2 3 2 2" xfId="24368"/>
    <cellStyle name="差 2 2 4 4 3" xfId="24369"/>
    <cellStyle name="计算 2 3 4 4 2 2" xfId="24370"/>
    <cellStyle name="汇总 2 3 2 3 4" xfId="24371"/>
    <cellStyle name="40% - 强调文字颜色 1 2 3 2 2 2 3 2" xfId="24372"/>
    <cellStyle name="40% - 强调文字颜色 5 2 2 2 2 2 5" xfId="24373"/>
    <cellStyle name="20% - 强调文字颜色 4 3 2 3 2 2 2" xfId="24374"/>
    <cellStyle name="60% - 强调文字颜色 6 2 3 3 2 2 2" xfId="24375"/>
    <cellStyle name="超链接 3 2 4 3 3" xfId="24376"/>
    <cellStyle name="常规 4 2 2 2 3 4" xfId="24377"/>
    <cellStyle name="输入 2 2 8 5 2 2" xfId="24378"/>
    <cellStyle name="20% - 强调文字颜色 6 2 2 6" xfId="24379"/>
    <cellStyle name="汇总 2 2 5 5 5" xfId="24380"/>
    <cellStyle name="60% - 强调文字颜色 2 2 2 2 3 2 2 2 2" xfId="24381"/>
    <cellStyle name="计算 2 5 2 2 2 5" xfId="24382"/>
    <cellStyle name="链接单元格 2 2 8" xfId="24383"/>
    <cellStyle name="20% - 强调文字颜色 4 2 3 2 2 3 2" xfId="24384"/>
    <cellStyle name="汇总 2 2 7 2 2 2 2 2" xfId="24385"/>
    <cellStyle name="60% - 强调文字颜色 4 2 3 4 2 2 2" xfId="24386"/>
    <cellStyle name="计算 2 5 5 2 4" xfId="24387"/>
    <cellStyle name="注释 4 2 6" xfId="24388"/>
    <cellStyle name="注释 2 4 2 2 2" xfId="24389"/>
    <cellStyle name="强调文字颜色 1 2 4 8" xfId="24390"/>
    <cellStyle name="标题 4 2 3 2 4 2" xfId="24391"/>
    <cellStyle name="60% - 强调文字颜色 1 4 2 3" xfId="24392"/>
    <cellStyle name="注释 2 2 9" xfId="24393"/>
    <cellStyle name="计算 2 2 3 4 5 3" xfId="24394"/>
    <cellStyle name="60% - 强调文字颜色 6 2 2 2 2" xfId="24395"/>
    <cellStyle name="计算 2 2 8 2 5 2 2" xfId="24396"/>
    <cellStyle name="标题 1 2 4 4 2 3" xfId="24397"/>
    <cellStyle name="解释性文本 2 2 2 2 3 2" xfId="24398"/>
    <cellStyle name="注释 2 2 3 2 2 4 3" xfId="24399"/>
    <cellStyle name="40% - 强调文字颜色 4 3 2 3" xfId="24400"/>
    <cellStyle name="常规 5 2 3 2 4 2" xfId="24401"/>
    <cellStyle name="输出 4 3 2 2 2" xfId="24402"/>
    <cellStyle name="差 2 2 2 2 3 3 2" xfId="24403"/>
    <cellStyle name="警告文本 2 2 3 7" xfId="24404"/>
    <cellStyle name="计算 2 2 4 2 4 2 6" xfId="24405"/>
    <cellStyle name="40% - 强调文字颜色 6 2 3" xfId="24406"/>
    <cellStyle name="差 2 3 2 3 3 3" xfId="24407"/>
    <cellStyle name="适中 2 2 2 5 2 2" xfId="24408"/>
    <cellStyle name="输入 2 6 2 7" xfId="24409"/>
    <cellStyle name="百分比 2 3 5 2" xfId="24410"/>
    <cellStyle name="计算 2 2 3 3 4 3" xfId="24411"/>
    <cellStyle name="强调文字颜色 2 2 4 4 4" xfId="24412"/>
    <cellStyle name="好 2 4 6 2 2" xfId="24413"/>
    <cellStyle name="60% - 强调文字颜色 4 2 4 8" xfId="24414"/>
    <cellStyle name="60% - 强调文字颜色 6 3 2 2 2 3" xfId="24415"/>
    <cellStyle name="40% - 强调文字颜色 4 2 3 2 2 4 2 2" xfId="24416"/>
    <cellStyle name="检查单元格 2 2 2 4 3 2 2" xfId="24417"/>
    <cellStyle name="注释 2 2 3 2 6" xfId="24418"/>
    <cellStyle name="40% - 强调文字颜色 1 2 2 2 3 5" xfId="24419"/>
    <cellStyle name="汇总 2 5 2 2 2 2 2 3" xfId="24420"/>
    <cellStyle name="计算 2 2 4 2 2 2 2 4 2" xfId="24421"/>
    <cellStyle name="计算 2 2 4 4 4 3" xfId="24422"/>
    <cellStyle name="注释 2 6 2 2 4" xfId="24423"/>
    <cellStyle name="60% - 强调文字颜色 3 6 2 2" xfId="24424"/>
    <cellStyle name="适中 3" xfId="24425"/>
    <cellStyle name="差 2 3 4 4" xfId="24426"/>
    <cellStyle name="差 4 2 2 2 3" xfId="24427"/>
    <cellStyle name="强调文字颜色 1 2 3 2 4 2 3" xfId="24428"/>
    <cellStyle name="40% - 强调文字颜色 6 3 6 2" xfId="24429"/>
    <cellStyle name="20% - 强调文字颜色 4 2 3 3 2 2" xfId="24430"/>
    <cellStyle name="注释 2 5 2 2 2 2 2" xfId="24431"/>
    <cellStyle name="20% - 强调文字颜色 4 3 3 4" xfId="24432"/>
    <cellStyle name="60% - 强调文字颜色 2 2 2 2 2 4 2 2" xfId="24433"/>
    <cellStyle name="40% - 强调文字颜色 3 2 2 2 2 2 5 2 2" xfId="24434"/>
    <cellStyle name="汇总 2 3 3 3" xfId="24435"/>
    <cellStyle name="计算 4 2 3 4" xfId="24436"/>
    <cellStyle name="汇总 3 5 3" xfId="24437"/>
    <cellStyle name="检查单元格 2 3 2 4 3 2" xfId="24438"/>
    <cellStyle name="计算 2 5 5 2 2" xfId="24439"/>
    <cellStyle name="常规 8 2 2 4 2" xfId="24440"/>
    <cellStyle name="40% - 强调文字颜色 1 2 2 2 2 2 4" xfId="24441"/>
    <cellStyle name="60% - 强调文字颜色 5 2 3 2 5 2 2" xfId="24442"/>
    <cellStyle name="汇总 2 2 2 2 2 2 6 2" xfId="24443"/>
    <cellStyle name="标题 2 2 2 2 3 2 2" xfId="24444"/>
    <cellStyle name="20% - 强调文字颜色 3 2 3 6 2 2 2" xfId="24445"/>
    <cellStyle name="警告文本 4 4 2" xfId="24446"/>
    <cellStyle name="检查单元格 2 4 2 2 2 3" xfId="24447"/>
    <cellStyle name="20% - 强调文字颜色 4 2 3 3 2 2 2 2" xfId="24448"/>
    <cellStyle name="汇总 2 2 2 2 2 3 2" xfId="24449"/>
    <cellStyle name="20% - 强调文字颜色 4 2 2 2 2 2 2 2 2" xfId="24450"/>
    <cellStyle name="20% - 强调文字颜色 4 2 4 2 2 2" xfId="24451"/>
    <cellStyle name="检查单元格 2 2 2 4 4" xfId="24452"/>
    <cellStyle name="60% - 强调文字颜色 6 2 2 4 5 2 2" xfId="24453"/>
    <cellStyle name="汇总 2 2 4 2 5 3 2 2" xfId="24454"/>
    <cellStyle name="40% - 强调文字颜色 1 2 7" xfId="24455"/>
    <cellStyle name="60% - 强调文字颜色 5 2 4 4 3" xfId="24456"/>
    <cellStyle name="适中 2 2 4 4 2 2" xfId="24457"/>
    <cellStyle name="强调文字颜色 6 2 6 2 2" xfId="24458"/>
    <cellStyle name="计算 2 8 2 4 2 2" xfId="24459"/>
    <cellStyle name="60% - 强调文字颜色 1 4 2 3 2" xfId="24460"/>
    <cellStyle name="注释 2 2 9 2" xfId="24461"/>
    <cellStyle name="警告文本 2 3 2 3" xfId="24462"/>
    <cellStyle name="强调文字颜色 5 2 3 3 2 2 2" xfId="24463"/>
    <cellStyle name="60% - 强调文字颜色 6 2 5 3 3" xfId="24464"/>
    <cellStyle name="适中 3 6 2" xfId="24465"/>
    <cellStyle name="注释 5 4 2" xfId="24466"/>
    <cellStyle name="60% - 强调文字颜色 6 3 2 2 3" xfId="24467"/>
    <cellStyle name="20% - 强调文字颜色 3 2 2 2 2 2 2 3" xfId="24468"/>
    <cellStyle name="强调文字颜色 5 2 4 3" xfId="24469"/>
    <cellStyle name="40% - 强调文字颜色 2 2 2 6" xfId="24470"/>
    <cellStyle name="40% - 强调文字颜色 6 2 2 4 3 3" xfId="24471"/>
    <cellStyle name="60% - 强调文字颜色 6 3 2 2 2 2 2 2" xfId="24472"/>
    <cellStyle name="注释 2 2 3 3 9" xfId="24473"/>
    <cellStyle name="计算 2 2 8 2 2 4 2" xfId="24474"/>
    <cellStyle name="常规 6 3 2 5 2 2 2" xfId="24475"/>
    <cellStyle name="40% - 强调文字颜色 6 2 3 2 2 5" xfId="24476"/>
    <cellStyle name="输入 4 3 2 2" xfId="24477"/>
    <cellStyle name="20% - 强调文字颜色 1 2 2 2 2 2 4" xfId="24478"/>
    <cellStyle name="40% - 强调文字颜色 6 2 9" xfId="24479"/>
    <cellStyle name="好 3 3 3 2 2 2" xfId="24480"/>
    <cellStyle name="百分比 2 2 3 2 3" xfId="24481"/>
    <cellStyle name="40% - 强调文字颜色 5 2 2 2 2 4" xfId="24482"/>
    <cellStyle name="标题 1 2 2 5 2 2 3" xfId="24483"/>
    <cellStyle name="标题 4 4 3 2 3" xfId="24484"/>
    <cellStyle name="汇总 2 6 4 5 2 2" xfId="24485"/>
    <cellStyle name="强调文字颜色 5 2 3 3 4" xfId="24486"/>
    <cellStyle name="计算 2 5 3 2 3 3" xfId="24487"/>
    <cellStyle name="标题 2 2 6 2" xfId="24488"/>
    <cellStyle name="计算 2 10 3 2 2 2" xfId="24489"/>
    <cellStyle name="差 2 2 5 2 3" xfId="24490"/>
    <cellStyle name="40% - 强调文字颜色 3 2 7" xfId="24491"/>
    <cellStyle name="常规 3 3 2 2 5 2" xfId="24492"/>
    <cellStyle name="20% - 强调文字颜色 6 2 5 2 3 2" xfId="24493"/>
    <cellStyle name="计算 2 2 6 2 9" xfId="24494"/>
    <cellStyle name="60% - 强调文字颜色 4 2 6" xfId="24495"/>
    <cellStyle name="60% - 强调文字颜色 2 3 3 4" xfId="24496"/>
    <cellStyle name="60% - 强调文字颜色 2 2 7 2 2" xfId="24497"/>
    <cellStyle name="40% - 强调文字颜色 1 2 2 2 7 2" xfId="24498"/>
    <cellStyle name="计算 4 2 3 3 2" xfId="24499"/>
    <cellStyle name="汇总 2 3 3 2 2" xfId="24500"/>
    <cellStyle name="好 3 9" xfId="24501"/>
    <cellStyle name="20% - 强调文字颜色 5 2 6 3" xfId="24502"/>
    <cellStyle name="常规 5 2" xfId="24503"/>
    <cellStyle name="20% - 强调文字颜色 2 3 2 2 2 2 2 2" xfId="24504"/>
    <cellStyle name="40% - 强调文字颜色 3 2 2 5 3 2 2" xfId="24505"/>
    <cellStyle name="20% - 强调文字颜色 2 2 4 5" xfId="24506"/>
    <cellStyle name="注释 2 3 2 3 4" xfId="24507"/>
    <cellStyle name="40% - 强调文字颜色 3 3 2 2 3" xfId="24508"/>
    <cellStyle name="20% - 强调文字颜色 1 3 2 3" xfId="24509"/>
    <cellStyle name="强调文字颜色 2 2 2 2 2 3" xfId="24510"/>
    <cellStyle name="常规 4 6 3 3 3" xfId="24511"/>
    <cellStyle name="汇总 2 5 5 2 4" xfId="24512"/>
    <cellStyle name="40% - 强调文字颜色 4 2 4 2 2 2 2 2" xfId="24513"/>
    <cellStyle name="输出 2 3 5 2 2" xfId="24514"/>
    <cellStyle name="注释 2 2 11 3" xfId="24515"/>
    <cellStyle name="常规 2 2 3 2 2" xfId="24516"/>
    <cellStyle name="常规 3 2 4 2 2 2 2 2" xfId="24517"/>
    <cellStyle name="标题 5 2 4 2 3" xfId="24518"/>
    <cellStyle name="汇总 2 7 2 6 2 2" xfId="24519"/>
    <cellStyle name="20% - 强调文字颜色 3 3 3 3 2 2 2" xfId="24520"/>
    <cellStyle name="常规 10 3 2 3 3 2" xfId="24521"/>
    <cellStyle name="40% - 强调文字颜色 6 2 3 4 2 2" xfId="24522"/>
    <cellStyle name="60% - 强调文字颜色 1 2 3 2 2 2 2 2 2" xfId="24523"/>
    <cellStyle name="标题 1 2 2 3 2 2 3" xfId="24524"/>
    <cellStyle name="常规 8 4 2" xfId="24525"/>
    <cellStyle name="汇总 2 8 2 2 3 3" xfId="24526"/>
    <cellStyle name="输出 2 2 3 2 4 4" xfId="24527"/>
    <cellStyle name="40% - 强调文字颜色 6 3 4" xfId="24528"/>
    <cellStyle name="汇总 2 2 2 2 2 2 2 2 2" xfId="24529"/>
    <cellStyle name="输入 2 3 4 2 2 3" xfId="24530"/>
    <cellStyle name="常规 5 3 3 3 2 2" xfId="24531"/>
    <cellStyle name="注释 2 2 4 2 3 2 3" xfId="24532"/>
    <cellStyle name="计算 2 2 9" xfId="24533"/>
    <cellStyle name="标题 3 2 2 3 5 2" xfId="24534"/>
    <cellStyle name="汇总 2 2 4 4 3 3 2 2" xfId="24535"/>
    <cellStyle name="20% - 强调文字颜色 4 2 8 2 2" xfId="24536"/>
    <cellStyle name="20% - 强调文字颜色 3 2 2 9 2" xfId="24537"/>
    <cellStyle name="输出 2 3 5" xfId="24538"/>
    <cellStyle name="常规 2 2 3" xfId="24539"/>
    <cellStyle name="40% - 强调文字颜色 4 2 4 2 2 2" xfId="24540"/>
    <cellStyle name="强调文字颜色 6 2 3 2 5 2 2" xfId="24541"/>
    <cellStyle name="输入 2 3 3 2 2 3" xfId="24542"/>
    <cellStyle name="输入 2 2 8 2 5" xfId="24543"/>
    <cellStyle name="20% - 强调文字颜色 2 2 7 2" xfId="24544"/>
    <cellStyle name="标题 6 3 3 2 3" xfId="24545"/>
    <cellStyle name="标题 4 3 2 2 3 2 3" xfId="24546"/>
    <cellStyle name="20% - 强调文字颜色 5 3 2 5 2" xfId="24547"/>
    <cellStyle name="常规 10 3 3" xfId="24548"/>
    <cellStyle name="40% - 强调文字颜色 4 2 5 3 3" xfId="24549"/>
    <cellStyle name="40% - 强调文字颜色 4 3" xfId="24550"/>
    <cellStyle name="输入 2 2 5 11" xfId="24551"/>
    <cellStyle name="输入 2 2 5 3 4 3" xfId="24552"/>
    <cellStyle name="输入 2 2 7 7 3" xfId="24553"/>
    <cellStyle name="标题 7 2 5" xfId="24554"/>
    <cellStyle name="20% - 强调文字颜色 5 2 2 2 2 2 3 2 2" xfId="24555"/>
    <cellStyle name="40% - 强调文字颜色 6 4 4 2" xfId="24556"/>
    <cellStyle name="汇总 2 2 2 2 2 2 2 3 2 2" xfId="24557"/>
    <cellStyle name="标题 1 2 3 2 4 2 3" xfId="24558"/>
    <cellStyle name="输入 2 2 4 2 2 2 2 2 2" xfId="24559"/>
    <cellStyle name="注释 2 2 3 3 2 4 2" xfId="24560"/>
    <cellStyle name="40% - 强调文字颜色 1 2 4 4 2" xfId="24561"/>
    <cellStyle name="汇总 3 3 2 3 3" xfId="24562"/>
    <cellStyle name="常规 6 2 2 2 4 3" xfId="24563"/>
    <cellStyle name="40% - 强调文字颜色 5 2 3 4 2 2" xfId="24564"/>
    <cellStyle name="Normal 4 2 3" xfId="24565"/>
    <cellStyle name="计算 2 2 3 3 7" xfId="24566"/>
    <cellStyle name="60% - 强调文字颜色 1 3 4" xfId="24567"/>
    <cellStyle name="60% - 强调文字颜色 2 2 2 2 3 4" xfId="24568"/>
    <cellStyle name="40% - 强调文字颜色 4 2 2 2 3" xfId="24569"/>
    <cellStyle name="输入 2 2 4 2 2 6 2" xfId="24570"/>
    <cellStyle name="警告文本 2 2 6 3 2 2" xfId="24571"/>
    <cellStyle name="好 2 2 7 3" xfId="24572"/>
    <cellStyle name="注释 2 2 2 2 9" xfId="24573"/>
    <cellStyle name="标题 6 3 2 2" xfId="24574"/>
    <cellStyle name="标题 5 2 3 2 2 2" xfId="24575"/>
    <cellStyle name="强调文字颜色 3 2 5 4" xfId="24576"/>
    <cellStyle name="60% - 强调文字颜色 6 3 3 2 2 2 2" xfId="24577"/>
    <cellStyle name="标题 7 2 3 2 3" xfId="24578"/>
    <cellStyle name="60% - 强调文字颜色 1 3 2 2 3" xfId="24579"/>
    <cellStyle name="注释 2 2 4 5 3" xfId="24580"/>
    <cellStyle name="20% - 强调文字颜色 1 2 3 2 2 3 2 2" xfId="24581"/>
    <cellStyle name="40% - 强调文字颜色 3 2 4 4 2" xfId="24582"/>
    <cellStyle name="输入 2 6 2 2 5 3" xfId="24583"/>
    <cellStyle name="检查单元格 2 2 2 2 3 4" xfId="24584"/>
    <cellStyle name="常规_New Follow" xfId="24585"/>
    <cellStyle name="20% - 强调文字颜色 4 3 2 2 4 2" xfId="24586"/>
    <cellStyle name="计算 4 2 4 2 2" xfId="24587"/>
    <cellStyle name="60% - 强调文字颜色 4 2 2 2 3 5" xfId="24588"/>
    <cellStyle name="链接单元格 4 2 2" xfId="24589"/>
    <cellStyle name="百分比 2 2 3 4" xfId="24590"/>
    <cellStyle name="汇总 2 2 4 2 3 2 2" xfId="24591"/>
    <cellStyle name="计算 2 2 4 4 2 5" xfId="24592"/>
    <cellStyle name="60% - 强调文字颜色 6 2 2 2 4 2" xfId="24593"/>
    <cellStyle name="计算 2 2 2 4 2 4" xfId="24594"/>
    <cellStyle name="注释 2 2 3 2 6 3" xfId="24595"/>
    <cellStyle name="输出 2 8 2 2 2" xfId="24596"/>
    <cellStyle name="好 2 4 3 3" xfId="24597"/>
    <cellStyle name="汇总 2 2 4 2 2 4 3" xfId="24598"/>
    <cellStyle name="20% - 强调文字颜色 5 2 3 3 2 2 2" xfId="24599"/>
    <cellStyle name="输出 2 4 2 3 4 2 2" xfId="24600"/>
    <cellStyle name="40% - 强调文字颜色 3 2 2 2 3 2 2 2" xfId="24601"/>
    <cellStyle name="40% - 强调文字颜色 3 2 2 3 4 3" xfId="24602"/>
    <cellStyle name="百分比 2 3 2 3 2 2" xfId="24603"/>
    <cellStyle name="20% - 强调文字颜色 6 3 4 2 2" xfId="24604"/>
    <cellStyle name="适中 2 2 2 2 2 3" xfId="24605"/>
    <cellStyle name="40% - 强调文字颜色 3 2 4" xfId="24606"/>
    <cellStyle name="汇总 4 2 5 3" xfId="24607"/>
    <cellStyle name="输出 2 4 5 4 2 2" xfId="24608"/>
    <cellStyle name="20% - 强调文字颜色 5 2 2 2 2 3 3" xfId="24609"/>
    <cellStyle name="百分比 2 2 5 2 2 3" xfId="24610"/>
    <cellStyle name="注释 2 4 3 2 2 3 2" xfId="24611"/>
    <cellStyle name="计算 3 14" xfId="24612"/>
    <cellStyle name="输入 3 2 2 4 2 2" xfId="24613"/>
    <cellStyle name="检查单元格 2 2 3 5 2" xfId="24614"/>
    <cellStyle name="输入 2 9 6 2" xfId="24615"/>
    <cellStyle name="20% - 强调文字颜色 4 2 2 4 2" xfId="24616"/>
    <cellStyle name="40% - 强调文字颜色 5 2 5" xfId="24617"/>
    <cellStyle name="差 2 2 4 5" xfId="24618"/>
    <cellStyle name="40% - 强调文字颜色 2 2 5 2 3" xfId="24619"/>
    <cellStyle name="注释 2 6 4 4" xfId="24620"/>
    <cellStyle name="好 2 3 5" xfId="24621"/>
    <cellStyle name="汇总 2 3 3 6 3" xfId="24622"/>
    <cellStyle name="60% - 强调文字颜色 6 2 3 6" xfId="24623"/>
    <cellStyle name="计算 3 2 5" xfId="24624"/>
    <cellStyle name="40% - 强调文字颜色 4 2 2 2 2 4 2 2 2" xfId="24625"/>
    <cellStyle name="注释 2 2 6 5 3" xfId="24626"/>
    <cellStyle name="检查单元格 2 2 3 4" xfId="24627"/>
    <cellStyle name="20% - 强调文字颜色 1 2 3 2 2 5 2 2" xfId="24628"/>
    <cellStyle name="标题 1 2 2 2 2 2 3" xfId="24629"/>
    <cellStyle name="解释性文本 2 4 3 4" xfId="24630"/>
    <cellStyle name="标题 4 2 3 2 2 2 2 2 2" xfId="24631"/>
    <cellStyle name="汇总 2 4 2 3 6" xfId="24632"/>
    <cellStyle name="强调文字颜色 2 2 6 2 2" xfId="24633"/>
    <cellStyle name="60% - 强调文字颜色 1 2 4 4 3" xfId="24634"/>
    <cellStyle name="20% - 强调文字颜色 5 3 2" xfId="24635"/>
    <cellStyle name="汇总 2 5 2 2 2 2 4 2" xfId="24636"/>
    <cellStyle name="强调文字颜色 5 2 4 3 3" xfId="24637"/>
    <cellStyle name="计算 2 5 3 3 3 2" xfId="24638"/>
    <cellStyle name="标题 4 4 4 2 2" xfId="24639"/>
    <cellStyle name="常规 12 3 3" xfId="24640"/>
    <cellStyle name="强调文字颜色 6 2 2 2 2 6" xfId="24641"/>
    <cellStyle name="40% - 强调文字颜色 5 2 2 4 5 2 2" xfId="24642"/>
    <cellStyle name="注释 3 2 2" xfId="24643"/>
    <cellStyle name="20% - 强调文字颜色 2 2 5 3 3 2" xfId="24644"/>
    <cellStyle name="链接单元格 3 7" xfId="24645"/>
    <cellStyle name="40% - 强调文字颜色 4 3 2 3 2 2 2" xfId="24646"/>
    <cellStyle name="20% - 强调文字颜色 5 2 2 3 4 3" xfId="24647"/>
    <cellStyle name="60% - 强调文字颜色 6 2 2 2 2 3 2 2 2" xfId="24648"/>
    <cellStyle name="计算 2 7 3 2 2" xfId="24649"/>
    <cellStyle name="标题 1 5 3" xfId="24650"/>
    <cellStyle name="输出 2 2 5 2 5 3" xfId="24651"/>
    <cellStyle name="60% - 强调文字颜色 1 4 3" xfId="24652"/>
    <cellStyle name="计算 2 2 3 4 6" xfId="24653"/>
    <cellStyle name="Normal 4 3 2" xfId="24654"/>
    <cellStyle name="60% - 强调文字颜色 3 2 2 2 6 2 2" xfId="24655"/>
    <cellStyle name="计算 2 2 3 9 2 2" xfId="24656"/>
    <cellStyle name="40% - 强调文字颜色 5 2 3 3 5" xfId="24657"/>
    <cellStyle name="检查单元格 2 2 2 2 5" xfId="24658"/>
    <cellStyle name="60% - 强调文字颜色 6 2 7 2 2 2" xfId="24659"/>
    <cellStyle name="40% - 强调文字颜色 5 2 5 2" xfId="24660"/>
    <cellStyle name="常规 6 2 2 2 3 3 2 2" xfId="24661"/>
    <cellStyle name="40% - 强调文字颜色 1 2 2 2 2 5" xfId="24662"/>
    <cellStyle name="20% - 强调文字颜色 6 3 2 4 2 2 2" xfId="24663"/>
    <cellStyle name="标题 4 2 2 4 3 2 3" xfId="24664"/>
    <cellStyle name="解释性文本 2 3 3 4" xfId="24665"/>
    <cellStyle name="输入 2 2 4 2 4 2" xfId="24666"/>
    <cellStyle name="注释 2 4 4 2 2 2 2" xfId="24667"/>
    <cellStyle name="汇总 2 7 6 2 2 2" xfId="24668"/>
    <cellStyle name="汇总 2 2 8 2 2 2 3" xfId="24669"/>
    <cellStyle name="20% - 强调文字颜色 2 2 2 2 3 2 2" xfId="24670"/>
    <cellStyle name="60% - 强调文字颜色 3 2 3 4 2 2 2" xfId="24671"/>
    <cellStyle name="输出 2 4 2 6" xfId="24672"/>
    <cellStyle name="40% - 强调文字颜色 2 3 2 2 4" xfId="24673"/>
    <cellStyle name="输入 2 7 3 2 5" xfId="24674"/>
    <cellStyle name="计算 2 6 2" xfId="24675"/>
    <cellStyle name="标题 1 2 2 2 6 2 2 2" xfId="24676"/>
    <cellStyle name="计算 2 2 3 5 3" xfId="24677"/>
    <cellStyle name="60% - 强调文字颜色 3 2 2 2 2 3" xfId="24678"/>
    <cellStyle name="20% - 强调文字颜色 2 2 2 2 2 2 3" xfId="24679"/>
    <cellStyle name="标题 4 2 2 2 2 3 2 2 2" xfId="24680"/>
    <cellStyle name="20% - 强调文字颜色 3 4 2 4 2" xfId="24681"/>
    <cellStyle name="40% - 强调文字颜色 4 3 2 2 4" xfId="24682"/>
    <cellStyle name="40% - 强调文字颜色 5 3 3 2 2 2" xfId="24683"/>
    <cellStyle name="注释 2 2 2 2 2 7" xfId="24684"/>
    <cellStyle name="注释 2 4 2 6 3" xfId="24685"/>
    <cellStyle name="20% - 强调文字颜色 6 2 3 3 3 2 2" xfId="24686"/>
    <cellStyle name="计算 3 2 2 2 3 2" xfId="24687"/>
    <cellStyle name="输入 3 7 2" xfId="24688"/>
    <cellStyle name="输出 2 2 2 2 2 3 3" xfId="24689"/>
    <cellStyle name="60% - 强调文字颜色 6 2 7 2 3" xfId="24690"/>
    <cellStyle name="20% - 强调文字颜色 4 2 5 2 2 2" xfId="24691"/>
    <cellStyle name="常规 9 3 2" xfId="24692"/>
    <cellStyle name="强调文字颜色 6 2 2 5 2 2" xfId="24693"/>
    <cellStyle name="汇总 2 7 3 2 2" xfId="24694"/>
    <cellStyle name="40% - 强调文字颜色 6 2 2 3 4 2" xfId="24695"/>
    <cellStyle name="40% - 强调文字颜色 1 4 2" xfId="24696"/>
    <cellStyle name="60% - 强调文字颜色 5 2 2 3 5 2 2" xfId="24697"/>
    <cellStyle name="常规 6 2 3" xfId="24698"/>
    <cellStyle name="常规 5 3 4 3 2" xfId="24699"/>
    <cellStyle name="40% - 强调文字颜色 6 3 2 2 3 2" xfId="24700"/>
    <cellStyle name="注释 2 2 3 2 3 3 2 2" xfId="24701"/>
    <cellStyle name="20% - 强调文字颜色 3 2 2 2 2 5 2" xfId="24702"/>
    <cellStyle name="常规 3 7 2 4" xfId="24703"/>
    <cellStyle name="输入 2 5 2 2 2 7" xfId="24704"/>
    <cellStyle name="20% - 强调文字颜色 6 2 2 2 2 4 3 2" xfId="24705"/>
    <cellStyle name="好 3" xfId="24706"/>
    <cellStyle name="20% - 强调文字颜色 4 4 5 2" xfId="24707"/>
    <cellStyle name="输出 2 2 3 3 2 3" xfId="24708"/>
    <cellStyle name="60% - 强调文字颜色 2 2 2" xfId="24709"/>
    <cellStyle name="计算 2 2 4 2 5" xfId="24710"/>
    <cellStyle name="40% - 强调文字颜色 4 3 4 2 2 2" xfId="24711"/>
    <cellStyle name="60% - 强调文字颜色 2 2 2 4 2 2 2 2" xfId="24712"/>
    <cellStyle name="好 2 4 5 3" xfId="24713"/>
    <cellStyle name="标题 1 2 2 3" xfId="24714"/>
    <cellStyle name="60% - 强调文字颜色 6 2 2 6 3 2 2" xfId="24715"/>
    <cellStyle name="链接单元格 2 3 3 5" xfId="24716"/>
    <cellStyle name="注释 2 2 4 7 2" xfId="24717"/>
    <cellStyle name="40% - 强调文字颜色 5 2 2 3 2 2" xfId="24718"/>
    <cellStyle name="注释 2 2 3 5 3 3" xfId="24719"/>
    <cellStyle name="60% - 强调文字颜色 5 2 4 4 2 2 2" xfId="24720"/>
    <cellStyle name="警告文本 2 2 5" xfId="24721"/>
    <cellStyle name="好 2 5 2 2" xfId="24722"/>
    <cellStyle name="60% - 强调文字颜色 6 2 4 6" xfId="24723"/>
    <cellStyle name="20% - 强调文字颜色 4 2 3 2 3 2 2" xfId="24724"/>
    <cellStyle name="检查单元格 2 2 2 2 2 2 2 2 2" xfId="24725"/>
    <cellStyle name="汇总 2 7 3 2 4" xfId="24726"/>
    <cellStyle name="汇总 2 2 4 3 6 2 2" xfId="24727"/>
    <cellStyle name="60% - 强调文字颜色 4 4 4 2 2 2" xfId="24728"/>
    <cellStyle name="超链接 3 3 3 4 2" xfId="24729"/>
    <cellStyle name="计算 2 6 2 2 3 2 2" xfId="24730"/>
    <cellStyle name="20% - 强调文字颜色 3 2 2 2 2 4 2 2 2" xfId="24731"/>
    <cellStyle name="20% - 强调文字颜色 2 2 2 2 2 3" xfId="24732"/>
    <cellStyle name="20% - 强调文字颜色 4 2 3 2 2 2 2 2 2" xfId="24733"/>
    <cellStyle name="输出 2 4 2 4 6" xfId="24734"/>
    <cellStyle name="20% - 强调文字颜色 2 2 2 6 2 2 2" xfId="24735"/>
    <cellStyle name="20% - 强调文字颜色 2 3 2 2 3 2" xfId="24736"/>
    <cellStyle name="60% - 强调文字颜色 1 3 3 4 2" xfId="24737"/>
    <cellStyle name="输出 4 2 2" xfId="24738"/>
    <cellStyle name="适中 2 2 3" xfId="24739"/>
    <cellStyle name="60% - 强调文字颜色 6 2 6 3 2" xfId="24740"/>
    <cellStyle name="20% - 强调文字颜色 6 2 2 2 2 2 4 3" xfId="24741"/>
    <cellStyle name="40% - 强调文字颜色 3 2 3 2 2 2 2 2" xfId="24742"/>
    <cellStyle name="注释 2 2 3 3 3 2 2 2" xfId="24743"/>
    <cellStyle name="常规 13 4 6" xfId="24744"/>
    <cellStyle name="常规 4 2 2 2 3 3 2" xfId="24745"/>
    <cellStyle name="输出 2 4 2 2 4 2" xfId="24746"/>
    <cellStyle name="20% - 强调文字颜色 5 2 3 2 2 2" xfId="24747"/>
    <cellStyle name="20% - 强调文字颜色 4 2 3 2 2 4 2 2 2" xfId="24748"/>
    <cellStyle name="20% - 强调文字颜色 1 2 3 2 2 5" xfId="24749"/>
    <cellStyle name="常规 9 3 3 2 2" xfId="24750"/>
    <cellStyle name="40% - 强调文字颜色 3 2 2 2 2 2 2 3 2" xfId="24751"/>
    <cellStyle name="标题 1 2 2 4 2" xfId="24752"/>
    <cellStyle name="强调文字颜色 6 2 2 7" xfId="24753"/>
    <cellStyle name="差 2 3 5 2 3" xfId="24754"/>
    <cellStyle name="20% - 强调文字颜色 5 2 5 4 2 2" xfId="24755"/>
    <cellStyle name="汇总 3 2 7 3" xfId="24756"/>
    <cellStyle name="差 2 2 6 3 3" xfId="24757"/>
    <cellStyle name="20% - 强调文字颜色 2 2 2 5 2" xfId="24758"/>
    <cellStyle name="汇总 2 3 4 2 4" xfId="24759"/>
    <cellStyle name="40% - 强调文字颜色 1 2 3 2 2 4 2 2" xfId="24760"/>
    <cellStyle name="20% - 强调文字颜色 5 2 2 2 2 2 4 2" xfId="24761"/>
    <cellStyle name="汇总 2 7 9 2 2" xfId="24762"/>
    <cellStyle name="常规 11 4 2 2 2" xfId="24763"/>
    <cellStyle name="20% - 强调文字颜色 6 2 3 2 3 3" xfId="24764"/>
    <cellStyle name="输入 2 2 7 2 4" xfId="24765"/>
    <cellStyle name="输入 2 4 2 2 5 2" xfId="24766"/>
    <cellStyle name="输入 2 5 2 7 2" xfId="24767"/>
    <cellStyle name="汇总 2 2 5 2 2 4" xfId="24768"/>
    <cellStyle name="标题 6 3 4" xfId="24769"/>
    <cellStyle name="输入 2 2 6 8 2" xfId="24770"/>
    <cellStyle name="40% - 强调文字颜色 4 2 3 2 2 5 2 2" xfId="24771"/>
    <cellStyle name="标题 4 3 2 3 2" xfId="24772"/>
    <cellStyle name="链接单元格 5 2" xfId="24773"/>
    <cellStyle name="汇总 2 2 5 3 4" xfId="24774"/>
    <cellStyle name="输出 2 2 3 2 2 2 8" xfId="24775"/>
    <cellStyle name="标题 4 2 2 2 4 2 2" xfId="24776"/>
    <cellStyle name="汇总 2 2 3 2 2 3" xfId="24777"/>
    <cellStyle name="20% - 强调文字颜色 4 2 2 2 3 2 2 2" xfId="24778"/>
    <cellStyle name="60% - 强调文字颜色 5 2 2 4 5 2 2" xfId="24779"/>
    <cellStyle name="汇总 2 2 4 3 7 2" xfId="24780"/>
    <cellStyle name="20% - 强调文字颜色 6 2 5 3 3" xfId="24781"/>
    <cellStyle name="超链接 2 3 2 3 3 2" xfId="24782"/>
    <cellStyle name="解释性文本 2 4 5 2 2" xfId="24783"/>
    <cellStyle name="输入 2 5 2 2 3" xfId="24784"/>
    <cellStyle name="输出 2 5 4 4 2" xfId="24785"/>
    <cellStyle name="输出 2 2 3 3 9" xfId="24786"/>
    <cellStyle name="输出 2 2 4 2 2 2" xfId="24787"/>
    <cellStyle name="常规 5 7 2 2" xfId="24788"/>
    <cellStyle name="汇总 2 5 3 2 6 2" xfId="24789"/>
    <cellStyle name="60% - 强调文字颜色 5 2 3 3" xfId="24790"/>
    <cellStyle name="注释 2 4 6" xfId="24791"/>
    <cellStyle name="汇总 2 2 6 4 2 2" xfId="24792"/>
    <cellStyle name="汇总 2 2 3 2 4 2 3" xfId="24793"/>
    <cellStyle name="汇总 2 2 2 2 4 4 2" xfId="24794"/>
    <cellStyle name="20% - 强调文字颜色 4 2 2 2 2 2 4 3 2" xfId="24795"/>
    <cellStyle name="40% - 强调文字颜色 1 2 3 2 2 4" xfId="24796"/>
    <cellStyle name="标题 1 2 3 2 2" xfId="24797"/>
    <cellStyle name="60% - 强调文字颜色 6 2 2 2 3 4" xfId="24798"/>
    <cellStyle name="汇总 2 2 2 2 4" xfId="24799"/>
    <cellStyle name="警告文本 5 3" xfId="24800"/>
    <cellStyle name="40% - 强调文字颜色 3 2 2 4 3" xfId="24801"/>
    <cellStyle name="标题 4 2 3 4 3" xfId="24802"/>
    <cellStyle name="计算 2 6 2 2 2 7" xfId="24803"/>
    <cellStyle name="40% - 强调文字颜色 2 2 2 5 3" xfId="24804"/>
    <cellStyle name="输入 2 3 4 8" xfId="24805"/>
    <cellStyle name="标题 5 2 4 3 2 2" xfId="24806"/>
    <cellStyle name="汇总 2 6 2 3 3 2 2" xfId="24807"/>
    <cellStyle name="40% - 强调文字颜色 2 2 2 3 5 2 2" xfId="24808"/>
    <cellStyle name="20% - 强调文字颜色 6 2 3 3 3" xfId="24809"/>
    <cellStyle name="40% - 强调文字颜色 4 2 3 3 2 2 2 2" xfId="24810"/>
    <cellStyle name="40% - 强调文字颜色 2 3 7" xfId="24811"/>
    <cellStyle name="输出 3 5" xfId="24812"/>
    <cellStyle name="60% - 强调文字颜色 4 2 2 2 2 3 3 2" xfId="24813"/>
    <cellStyle name="常规 3 8 2" xfId="24814"/>
    <cellStyle name="60% - 强调文字颜色 5 4 2 3 2" xfId="24815"/>
    <cellStyle name="40% - 强调文字颜色 3 2 2 3" xfId="24816"/>
    <cellStyle name="好 2 3 2 4 3 2" xfId="24817"/>
    <cellStyle name="常规 9 2 2 2 2 2 3" xfId="24818"/>
    <cellStyle name="60% - 强调文字颜色 4 2 2 3 3 2 2 2" xfId="24819"/>
    <cellStyle name="输出 3 2 2 2 2 3" xfId="24820"/>
    <cellStyle name="标题 4 2 3 2 3 3 2" xfId="24821"/>
    <cellStyle name="百分比 2 2 2 2 2 2 2" xfId="24822"/>
    <cellStyle name="40% - 强调文字颜色 3 2 2 6 2 2 2" xfId="24823"/>
    <cellStyle name="输出 2 4 2 13" xfId="24824"/>
    <cellStyle name="计算 3 2 3 4 2 2" xfId="24825"/>
    <cellStyle name="40% - 强调文字颜色 3 2 4 3" xfId="24826"/>
    <cellStyle name="输出 2 2" xfId="24827"/>
    <cellStyle name="常规 2 3 2 2 4 2" xfId="24828"/>
    <cellStyle name="Normal 2 4" xfId="24829"/>
    <cellStyle name="20% - 强调文字颜色 5 2 5 2 2 2" xfId="24830"/>
    <cellStyle name="链接单元格 4 4" xfId="24831"/>
    <cellStyle name="计算 2 4 2 2 2 3 2 2" xfId="24832"/>
    <cellStyle name="注释 3 2" xfId="24833"/>
    <cellStyle name="输入 7 2 2" xfId="24834"/>
    <cellStyle name="标题 3 2 2 4 5 2" xfId="24835"/>
    <cellStyle name="输出 4 6 3" xfId="24836"/>
    <cellStyle name="20% - 强调文字颜色 6 4 2 2 2 2 2" xfId="24837"/>
    <cellStyle name="注释 5 3 2" xfId="24838"/>
    <cellStyle name="输入 2 2 3 4 6" xfId="24839"/>
    <cellStyle name="60% - 强调文字颜色 3 2 2 2 7" xfId="24840"/>
    <cellStyle name="注释 2 2 2 2 5 2" xfId="24841"/>
    <cellStyle name="强调文字颜色 5 2 4 4" xfId="24842"/>
    <cellStyle name="输入 2 2 5 3 2 3 2" xfId="24843"/>
    <cellStyle name="20% - 强调文字颜色 3 2 3 2 3 2 2 2" xfId="24844"/>
    <cellStyle name="汇总 2 2 6 6 4 2" xfId="24845"/>
    <cellStyle name="汇总 3 5 4 2" xfId="24846"/>
    <cellStyle name="40% - 强调文字颜色 2 2 3 3 3 2 2" xfId="24847"/>
    <cellStyle name="链接单元格 2 3 2 2 2 2" xfId="24848"/>
    <cellStyle name="常规 5 12" xfId="24849"/>
    <cellStyle name="20% - 强调文字颜色 5 3 2 3 2 2 2" xfId="24850"/>
    <cellStyle name="标题 2 2 4 6 3" xfId="24851"/>
    <cellStyle name="输出 2 2 4 3 6 2" xfId="24852"/>
    <cellStyle name="计算 2 4 4 2 4" xfId="24853"/>
    <cellStyle name="输出 2 2 2 2 2 2 3 2" xfId="24854"/>
    <cellStyle name="40% - 强调文字颜色 3 2 2 2 2 2 5 2" xfId="24855"/>
    <cellStyle name="常规 12 2 2 3 5" xfId="24856"/>
    <cellStyle name="计算 2 7 2 2 5 2" xfId="24857"/>
    <cellStyle name="链接单元格 2 2 3 3 4" xfId="24858"/>
    <cellStyle name="强调文字颜色 5 2 5 2 3" xfId="24859"/>
    <cellStyle name="计算 2 5 3 4 2 2" xfId="24860"/>
    <cellStyle name="输入 2 2 11 2 2" xfId="24861"/>
    <cellStyle name="输出 2 2 3 2 2 2 2 2 2" xfId="24862"/>
    <cellStyle name="输出 2 7 3 2 5" xfId="24863"/>
    <cellStyle name="常规 10 3 6 2" xfId="24864"/>
    <cellStyle name="输出 2 2 3 2 2 5 2 2" xfId="24865"/>
    <cellStyle name="好 2 7 2 2" xfId="24866"/>
    <cellStyle name="20% - 强调文字颜色 1 3 2 5" xfId="24867"/>
    <cellStyle name="强调文字颜色 2 2 2 2 2 5" xfId="24868"/>
    <cellStyle name="60% - 强调文字颜色 6 2 2 5 2" xfId="24869"/>
    <cellStyle name="汇总 2 5 7 3" xfId="24870"/>
    <cellStyle name="20% - 强调文字颜色 5 2 10 2" xfId="24871"/>
    <cellStyle name="计算 3 2 2 5 2" xfId="24872"/>
    <cellStyle name="检查单元格 2 3 2 2 2 2 2 2" xfId="24873"/>
    <cellStyle name="计算 3 3 3 3 2" xfId="24874"/>
    <cellStyle name="差 2 2 2 2 2 3" xfId="24875"/>
    <cellStyle name="40% - 强调文字颜色 2 2 2 4 2 2 2" xfId="24876"/>
    <cellStyle name="汇总 2 2 6 3 8" xfId="24877"/>
    <cellStyle name="输出 2 2 3 5 4 2" xfId="24878"/>
    <cellStyle name="计算 2 11 7" xfId="24879"/>
    <cellStyle name="输出 2 2 9 4 2" xfId="24880"/>
    <cellStyle name="20% - 强调文字颜色 6 2 2 4 2" xfId="24881"/>
    <cellStyle name="汇总 2 2 5 5 3 2" xfId="24882"/>
    <cellStyle name="计算 2 7 2 2 2 3 3" xfId="24883"/>
    <cellStyle name="输入 2 6 2 2 4 3" xfId="24884"/>
    <cellStyle name="检查单元格 2 2 2 2 2 4" xfId="24885"/>
    <cellStyle name="注释 2 2 4 4 3" xfId="24886"/>
    <cellStyle name="40% - 强调文字颜色 3 2 4 3 2" xfId="24887"/>
    <cellStyle name="40% - 强调文字颜色 1 2 2 3 5 2" xfId="24888"/>
    <cellStyle name="常规 5 3 2 3 2 2" xfId="24889"/>
    <cellStyle name="60% - 强调文字颜色 5 2 2 2 2" xfId="24890"/>
    <cellStyle name="强调文字颜色 4 2 2 2 2 4 2 3" xfId="24891"/>
    <cellStyle name="计算 2 2 7 2 5 2 2" xfId="24892"/>
    <cellStyle name="汇总 2 2 2 16" xfId="24893"/>
    <cellStyle name="链接单元格 2 2 3 4 2 2" xfId="24894"/>
    <cellStyle name="40% - 强调文字颜色 5 2 2 6 2 2 2" xfId="24895"/>
    <cellStyle name="20% - 强调文字颜色 4 4 4 2 2 2" xfId="24896"/>
    <cellStyle name="注释 2 2 3 3 2 5" xfId="24897"/>
    <cellStyle name="60% - 强调文字颜色 3 2 2 2 6 2 2 2" xfId="24898"/>
    <cellStyle name="解释性文本 2 2 4 4 3" xfId="24899"/>
    <cellStyle name="40% - 强调文字颜色 5 3 3 4" xfId="24900"/>
    <cellStyle name="20% - 强调文字颜色 1 2 3 4 3 2 2" xfId="24901"/>
    <cellStyle name="20% - 强调文字颜色 6 2 5 2 2" xfId="24902"/>
    <cellStyle name="常规 3 3 2 2 4" xfId="24903"/>
    <cellStyle name="40% - 强调文字颜色 4 3 2 5" xfId="24904"/>
    <cellStyle name="计算 2 3 2 2 6" xfId="24905"/>
    <cellStyle name="强调文字颜色 6 2 2 2 2 3 2 2" xfId="24906"/>
    <cellStyle name="40% - 强调文字颜色 6 2 2 2 2 2 3" xfId="24907"/>
    <cellStyle name="注释 4 6 2" xfId="24908"/>
    <cellStyle name="注释 2 2 2 2 2 2" xfId="24909"/>
    <cellStyle name="40% - 强调文字颜色 6 2 2 2 3 2 2 2" xfId="24910"/>
    <cellStyle name="40% - 强调文字颜色 1 2 2 4 3 2 2" xfId="24911"/>
    <cellStyle name="注释 2 2 5 2 3" xfId="24912"/>
    <cellStyle name="输入 2 6 2 3 2 3" xfId="24913"/>
    <cellStyle name="常规 3 3 3 3" xfId="24914"/>
    <cellStyle name="汇总 2 2 5 3 2" xfId="24915"/>
    <cellStyle name="输出 2 2 3 2 2 2 6" xfId="24916"/>
    <cellStyle name="40% - 强调文字颜色 4 2 2 4 2 2 2" xfId="24917"/>
    <cellStyle name="40% - 强调文字颜色 2 2 2 2 2 2 2 2 2 2 2" xfId="24918"/>
    <cellStyle name="输入 2 2 2 2 11" xfId="24919"/>
    <cellStyle name="注释 2 4 2 8" xfId="24920"/>
    <cellStyle name="标题 7 3 2 2 2" xfId="24921"/>
    <cellStyle name="百分比 2 2 7" xfId="24922"/>
    <cellStyle name="百分比 2 3 4 2 3" xfId="24923"/>
    <cellStyle name="标题 2 2 2 2 2 3" xfId="24924"/>
    <cellStyle name="标题 2 2 2 8" xfId="24925"/>
    <cellStyle name="汇总 2 2 6 2 2 2 4" xfId="24926"/>
    <cellStyle name="输入 2 4 2 3 4" xfId="24927"/>
    <cellStyle name="汇总 2 2 2 7" xfId="24928"/>
    <cellStyle name="常规 20 3" xfId="24929"/>
    <cellStyle name="常规 15 3" xfId="24930"/>
    <cellStyle name="百分比 2 7" xfId="24931"/>
    <cellStyle name="常规 3 2 2 2 2 4" xfId="24932"/>
    <cellStyle name="常规 7 4 2 2" xfId="24933"/>
    <cellStyle name="输入 2 2 7 7 2 2" xfId="24934"/>
    <cellStyle name="标题 7 2 4 2" xfId="24935"/>
    <cellStyle name="60% - 强调文字颜色 6 2 2 4 3 2 2" xfId="24936"/>
    <cellStyle name="汇总 2 5 14" xfId="24937"/>
    <cellStyle name="汇总 2 2 6 5 2 2 2" xfId="24938"/>
    <cellStyle name="汇总 2 13 3" xfId="24939"/>
    <cellStyle name="20% - 强调文字颜色 6 3 2 3 2 2" xfId="24940"/>
    <cellStyle name="20% - 强调文字颜色 6 2 2 4 2 2 2 2" xfId="24941"/>
    <cellStyle name="输入 2 2 4 3 3 2 3" xfId="24942"/>
    <cellStyle name="40% - 强调文字颜色 2 2 2 3 2 2 2" xfId="24943"/>
    <cellStyle name="40% - 强调文字颜色 1 2 3 3 2 2 2 2" xfId="24944"/>
    <cellStyle name="常规 7 2 2 3" xfId="24945"/>
    <cellStyle name="40% - 强调文字颜色 3 3 2 2 2 2" xfId="24946"/>
    <cellStyle name="注释 2 3 2 3 3 2" xfId="24947"/>
    <cellStyle name="20% - 强调文字颜色 2 2 2 2 2 3 2 2" xfId="24948"/>
    <cellStyle name="常规 13 4 5 3" xfId="24949"/>
    <cellStyle name="常规 4 3" xfId="24950"/>
    <cellStyle name="警告文本 4 2 2 2" xfId="24951"/>
    <cellStyle name="20% - 强调文字颜色 5 2 4 5" xfId="24952"/>
    <cellStyle name="20% - 强调文字颜色 4 3 6" xfId="24953"/>
    <cellStyle name="计算 2 2 3 4 2 5" xfId="24954"/>
    <cellStyle name="20% - 强调文字颜色 1 2 3 2 4 2 2" xfId="24955"/>
    <cellStyle name="链接单元格 2 2" xfId="24956"/>
    <cellStyle name="汇总 2 2 6 12 2" xfId="24957"/>
    <cellStyle name="汇总 3 2 2 2 4" xfId="24958"/>
    <cellStyle name="20% - 强调文字颜色 5 3 4 2 2 2" xfId="24959"/>
    <cellStyle name="输入 2 2 8 3" xfId="24960"/>
    <cellStyle name="计算 2 5 2 5 2 2 2" xfId="24961"/>
    <cellStyle name="标题 5 3 4 2" xfId="24962"/>
    <cellStyle name="输入 2 2 5 8 2 2" xfId="24963"/>
    <cellStyle name="强调文字颜色 3 2 3 4 2" xfId="24964"/>
    <cellStyle name="常规 11 2 2 2 3 3" xfId="24965"/>
    <cellStyle name="注释 2 2 2 2 2 2 5" xfId="24966"/>
    <cellStyle name="60% - 强调文字颜色 3 2 3 2 3 3 2 2" xfId="24967"/>
    <cellStyle name="汇总 2 8 5 4" xfId="24968"/>
    <cellStyle name="40% - 强调文字颜色 6 2 3 2 3 2" xfId="24969"/>
    <cellStyle name="常规 4 4 4 3 2" xfId="24970"/>
    <cellStyle name="标题 2 2 4 2 2 2 2" xfId="24971"/>
    <cellStyle name="20% - 强调文字颜色 2 2 3 2 3 2" xfId="24972"/>
    <cellStyle name="强调文字颜色 1 3 2 2 4" xfId="24973"/>
    <cellStyle name="常规 10 2 6" xfId="24974"/>
    <cellStyle name="标题 1 2 2 2 2 3 2 2 2" xfId="24975"/>
    <cellStyle name="常规 3 2 2 4 3" xfId="24976"/>
    <cellStyle name="好 5" xfId="24977"/>
    <cellStyle name="20% - 强调文字颜色 4 4 5" xfId="24978"/>
    <cellStyle name="20% - 强调文字颜色 6 2 2 2 2 4 3" xfId="24979"/>
    <cellStyle name="标题 4 2 2 2 2 4 2 2 2" xfId="24980"/>
    <cellStyle name="常规 11 7" xfId="24981"/>
    <cellStyle name="40% - 强调文字颜色 6 2 2 2 2 5" xfId="24982"/>
    <cellStyle name="常规 4 3 4 2 5" xfId="24983"/>
    <cellStyle name="输入 3 3 2 2" xfId="24984"/>
    <cellStyle name="注释 2 6 2 5 2" xfId="24985"/>
    <cellStyle name="40% - 强调文字颜色 2 2 3 2 2 2 2 2 2" xfId="24986"/>
    <cellStyle name="汇总 2 4 4 2 2 2" xfId="24987"/>
    <cellStyle name="注释 3 3 3 3" xfId="24988"/>
    <cellStyle name="40% - 强调文字颜色 6 2 4 2 2 2 2" xfId="24989"/>
    <cellStyle name="汇总 2 2 3 4 4" xfId="24990"/>
    <cellStyle name="20% - 强调文字颜色 5 2 2 2 7 2" xfId="24991"/>
    <cellStyle name="强调文字颜色 2 2 2 4 4 2 2" xfId="24992"/>
    <cellStyle name="标题 1 2 4 3 3 2" xfId="24993"/>
    <cellStyle name="强调文字颜色 5 2 2 5" xfId="24994"/>
    <cellStyle name="超链接 2 7" xfId="24995"/>
    <cellStyle name="计算 2 2 5 2 2 2 6" xfId="24996"/>
    <cellStyle name="60% - 强调文字颜色 1 2 2 3 3 2 2" xfId="24997"/>
    <cellStyle name="标题 4 2 2 5 4" xfId="24998"/>
    <cellStyle name="20% - 强调文字颜色 3 2 2 2 2" xfId="24999"/>
    <cellStyle name="20% - 强调文字颜色 2 2 2 3 4 3" xfId="25000"/>
    <cellStyle name="20% - 强调文字颜色 1 2 2 5 2" xfId="25001"/>
    <cellStyle name="强调文字颜色 5 2 2 2 2 3" xfId="25002"/>
    <cellStyle name="汇总 3 2 6" xfId="25003"/>
    <cellStyle name="计算 2 2 6 2 2 2 2 3" xfId="25004"/>
    <cellStyle name="60% - 强调文字颜色 1 2 3 2 4" xfId="25005"/>
    <cellStyle name="常规 4 5 2 5" xfId="25006"/>
    <cellStyle name="20% - 强调文字颜色 4 2 3 3 3 2 2" xfId="25007"/>
    <cellStyle name="好 2 2 2 6 2 3" xfId="25008"/>
    <cellStyle name="计算 2 2 10 2" xfId="25009"/>
    <cellStyle name="60% - 强调文字颜色 2 2 2 4 4 2 2" xfId="25010"/>
    <cellStyle name="强调文字颜色 2 6" xfId="25011"/>
    <cellStyle name="注释 2 4 7" xfId="25012"/>
    <cellStyle name="警告文本 2 2 4 2 2 2 2" xfId="25013"/>
    <cellStyle name="输入 2 6 4 5" xfId="25014"/>
    <cellStyle name="标题 3 2 2 6 2 3" xfId="25015"/>
    <cellStyle name="标题 3 2 3 4 2 2 2" xfId="25016"/>
    <cellStyle name="超链接 3 2 3 5" xfId="25017"/>
    <cellStyle name="40% - 强调文字颜色 1 3 2 2 2 2" xfId="25018"/>
    <cellStyle name="常规 11 3 3 3 2 2" xfId="25019"/>
    <cellStyle name="20% - 强调文字颜色 6 2 2 3 4 3 2" xfId="25020"/>
    <cellStyle name="常规 10 2 3 2 5" xfId="25021"/>
    <cellStyle name="输入 2 2 5 2 2 5 2 2" xfId="25022"/>
    <cellStyle name="注释 2 2 2 8 2" xfId="25023"/>
    <cellStyle name="标题 1 2 2 2 2 2 5" xfId="25024"/>
    <cellStyle name="输出 2 3 2 2 2 2 2" xfId="25025"/>
    <cellStyle name="40% - 强调文字颜色 2 2 2 2 2 3 2 2 2 2" xfId="25026"/>
    <cellStyle name="20% - 强调文字颜色 6 2 3 2 2 2 2" xfId="25027"/>
    <cellStyle name="标题 4 3 2 2 3 2 2 2" xfId="25028"/>
    <cellStyle name="常规 9 2" xfId="25029"/>
    <cellStyle name="60% - 强调文字颜色 6 2 2 6 2 2 2" xfId="25030"/>
    <cellStyle name="链接单元格 2 2 3 5" xfId="25031"/>
    <cellStyle name="强调文字颜色 2 2 2 8" xfId="25032"/>
    <cellStyle name="标题 3 2 3 7 2" xfId="25033"/>
    <cellStyle name="输出 2 5 5 2" xfId="25034"/>
    <cellStyle name="常规 2 4 3 2" xfId="25035"/>
    <cellStyle name="强调文字颜色 1 2 2 2 2 2 2" xfId="25036"/>
    <cellStyle name="强调文字颜色 4 2 3 2 2 3" xfId="25037"/>
    <cellStyle name="计算 2 2 2 4" xfId="25038"/>
    <cellStyle name="标题 5 2 8" xfId="25039"/>
    <cellStyle name="强调文字颜色 3 2 4" xfId="25040"/>
    <cellStyle name="标题 4 2 2 5 2 2 2" xfId="25041"/>
    <cellStyle name="输出 2 2 4" xfId="25042"/>
    <cellStyle name="20% - 强调文字颜色 3 4 3 2 2 2" xfId="25043"/>
    <cellStyle name="警告文本 2 2 2 5 2 2 2" xfId="25044"/>
    <cellStyle name="百分比 2 4 2" xfId="25045"/>
    <cellStyle name="20% - 强调文字颜色 6 2 2 4 3 3" xfId="25046"/>
    <cellStyle name="40% - 强调文字颜色 5 2 3 2 2 3 2 2 2" xfId="25047"/>
    <cellStyle name="20% - 强调文字颜色 4 2 3 7 2" xfId="25048"/>
    <cellStyle name="警告文本 2 4 4 2 2 2" xfId="25049"/>
    <cellStyle name="60% - 强调文字颜色 3 2 2 2 3 5" xfId="25050"/>
    <cellStyle name="标题 2 2 2 2 2 4 2 3" xfId="25051"/>
    <cellStyle name="60% - 强调文字颜色 1 6 2" xfId="25052"/>
    <cellStyle name="计算 2 4 2 2 2 3" xfId="25053"/>
    <cellStyle name="输出 2 2 6 3 2 3" xfId="25054"/>
    <cellStyle name="输入 7" xfId="25055"/>
    <cellStyle name="60% - 强调文字颜色 3 2 3 2 2 2 2 2" xfId="25056"/>
    <cellStyle name="常规 3 3 7 6" xfId="25057"/>
    <cellStyle name="标题 4 2 3 2 5" xfId="25058"/>
    <cellStyle name="汇总 2 2 5 4 4 2 2" xfId="25059"/>
    <cellStyle name="标题 4 2 2 4 3 4" xfId="25060"/>
    <cellStyle name="40% - 强调文字颜色 3 2 3 2 3 2 2 2 2" xfId="25061"/>
    <cellStyle name="警告文本 2 2 2 2 5 2 2" xfId="25062"/>
    <cellStyle name="计算 2 2 5 3 4 2" xfId="25063"/>
    <cellStyle name="强调文字颜色 6 2 2 3 4 3 2" xfId="25064"/>
    <cellStyle name="计算 3 2 3 4 2" xfId="25065"/>
    <cellStyle name="60% - 强调文字颜色 3 3 3 2 2 2 2" xfId="25066"/>
    <cellStyle name="常规 5 5 5 2" xfId="25067"/>
    <cellStyle name="20% - 强调文字颜色 4 2 2 6 2 2 2" xfId="25068"/>
    <cellStyle name="常规 2 2 2 5 3" xfId="25069"/>
    <cellStyle name="输出 2 2 6 2 3" xfId="25070"/>
    <cellStyle name="20% - 强调文字颜色 5 2 3 3 2" xfId="25071"/>
    <cellStyle name="输出 2 4 2 3 4" xfId="25072"/>
    <cellStyle name="60% - 强调文字颜色 6 3 2 4 2 3" xfId="25073"/>
    <cellStyle name="强调文字颜色 5 2 2 2 3 5" xfId="25074"/>
    <cellStyle name="20% - 强调文字颜色 5 2 7 2" xfId="25075"/>
    <cellStyle name="60% - 强调文字颜色 3 2 3 4 3 2 2" xfId="25076"/>
    <cellStyle name="标题 3 2 2 2 2 4 2 2 2" xfId="25077"/>
    <cellStyle name="输出 2 5 2 6" xfId="25078"/>
    <cellStyle name="常规 9 3 7 2 2" xfId="25079"/>
    <cellStyle name="40% - 强调文字颜色 2 2 3 2 2 2 3" xfId="25080"/>
    <cellStyle name="汇总 2 4 4 3" xfId="25081"/>
    <cellStyle name="20% - 强调文字颜色 2 2 2 2 2 5" xfId="25082"/>
    <cellStyle name="解释性文本 2 4 5 3" xfId="25083"/>
    <cellStyle name="20% - 强调文字颜色 4 2 5 2 2" xfId="25084"/>
    <cellStyle name="常规 9 3" xfId="25085"/>
    <cellStyle name="60% - 强调文字颜色 5 4 5 2" xfId="25086"/>
    <cellStyle name="常规 5 2 2 4 3" xfId="25087"/>
    <cellStyle name="计算 2 3 5 3 2 2" xfId="25088"/>
    <cellStyle name="输出 2 2 2 6" xfId="25089"/>
    <cellStyle name="40% - 强调文字颜色 1 2 2 4 4" xfId="25090"/>
    <cellStyle name="输入 2 2 10 2 2" xfId="25091"/>
    <cellStyle name="20% - 强调文字颜色 6 2 5 3 3 2" xfId="25092"/>
    <cellStyle name="计算 2 2 2 4 4 2 2" xfId="25093"/>
    <cellStyle name="汇总 2 2 5 2 9" xfId="25094"/>
    <cellStyle name="输出 2 4 2 2 6 2" xfId="25095"/>
    <cellStyle name="20% - 强调文字颜色 5 2 3 2 4 2" xfId="25096"/>
    <cellStyle name="输入 2 2 5 2 6" xfId="25097"/>
    <cellStyle name="40% - 强调文字颜色 5 4 4" xfId="25098"/>
    <cellStyle name="输出 2 2 3 5 4" xfId="25099"/>
    <cellStyle name="计算 2 3 2 5" xfId="25100"/>
    <cellStyle name="20% - 强调文字颜色 4 4 2 3 2" xfId="25101"/>
    <cellStyle name="40% - 强调文字颜色 5 2 4 2" xfId="25102"/>
    <cellStyle name="40% - 强调文字颜色 6 2 2 4 2 2 2 2" xfId="25103"/>
    <cellStyle name="汇总 2 7 5" xfId="25104"/>
    <cellStyle name="汇总 2 8 7 2 2" xfId="25105"/>
    <cellStyle name="常规 4 6 4" xfId="25106"/>
    <cellStyle name="40% - 强调文字颜色 6 2 5 2" xfId="25107"/>
    <cellStyle name="标题 1 3 4 2" xfId="25108"/>
    <cellStyle name="强调文字颜色 4 2 2 4 2 2" xfId="25109"/>
    <cellStyle name="注释 2 2 3 2" xfId="25110"/>
    <cellStyle name="输入 2 2 2 2 10" xfId="25111"/>
    <cellStyle name="20% - 强调文字颜色 1 3 3 3 2 2 2" xfId="25112"/>
    <cellStyle name="输出 2 3 3 6" xfId="25113"/>
    <cellStyle name="20% - 强调文字颜色 6 2 4 2 2 2" xfId="25114"/>
    <cellStyle name="计算 2 10 2 5" xfId="25115"/>
    <cellStyle name="40% - 强调文字颜色 2 2 2 3 3 3" xfId="25116"/>
    <cellStyle name="输出 3 4 2" xfId="25117"/>
    <cellStyle name="汇总 2 8 2 5" xfId="25118"/>
    <cellStyle name="标题 4 2 3 3 3 2" xfId="25119"/>
    <cellStyle name="输出 2 3 2 2 3" xfId="25120"/>
    <cellStyle name="输入 2 2 4 4 2 2 3" xfId="25121"/>
    <cellStyle name="标题 3 2 2 2 2 2 2 2 3" xfId="25122"/>
    <cellStyle name="20% - 强调文字颜色 2 2 2 2 3 2 2 2" xfId="25123"/>
    <cellStyle name="超链接 3 5 3 3 2" xfId="25124"/>
    <cellStyle name="超链接 3 2 2 2 2 2 3" xfId="25125"/>
    <cellStyle name="常规 9 7 4" xfId="25126"/>
    <cellStyle name="汇总 2 5 3 3 6" xfId="25127"/>
    <cellStyle name="输出 2 7 3 5" xfId="25128"/>
    <cellStyle name="40% - 强调文字颜色 2 3 6 2" xfId="25129"/>
    <cellStyle name="60% - 强调文字颜色 1 2 2 4" xfId="25130"/>
    <cellStyle name="60% - 强调文字颜色 6 2 3 2 3 3 2" xfId="25131"/>
    <cellStyle name="输出 3 4" xfId="25132"/>
    <cellStyle name="40% - 强调文字颜色 1 2 2 2 2 2 3 3 2 2" xfId="25133"/>
    <cellStyle name="汇总 2 6 2 3 5" xfId="25134"/>
    <cellStyle name="输入 2 3 5 2" xfId="25135"/>
    <cellStyle name="注释 4 7 3" xfId="25136"/>
    <cellStyle name="注释 2 2 2 2 3 3" xfId="25137"/>
    <cellStyle name="计算 2 7 4 2 3 2" xfId="25138"/>
    <cellStyle name="标题 5 4 4 2" xfId="25139"/>
    <cellStyle name="20% - 强调文字颜色 1 2 3 4 3" xfId="25140"/>
    <cellStyle name="强调文字颜色 4 2 2 2 2 2 3" xfId="25141"/>
    <cellStyle name="检查单元格 2 3 2 5 3" xfId="25142"/>
    <cellStyle name="差 2 2 2 6 2 2 2" xfId="25143"/>
    <cellStyle name="标题 1 2 2 2 2 2 2 2 2 3" xfId="25144"/>
    <cellStyle name="计算 2 7 4 2 3 3" xfId="25145"/>
    <cellStyle name="注释 2 2 2 2 3 4" xfId="25146"/>
    <cellStyle name="常规 9 2 2 2 4 2 2" xfId="25147"/>
    <cellStyle name="输出 2 4 3 2 2 2 3" xfId="25148"/>
    <cellStyle name="20% - 强调文字颜色 2 2 3 4 2 2" xfId="25149"/>
    <cellStyle name="检查单元格 2 3 2" xfId="25150"/>
    <cellStyle name="20% - 强调文字颜色 5 2 2 2 2" xfId="25151"/>
    <cellStyle name="标题 2 2 4 5" xfId="25152"/>
    <cellStyle name="百分比 2 2 5 2 3" xfId="25153"/>
    <cellStyle name="20% - 强调文字颜色 6 2 3 2 2 4 3" xfId="25154"/>
    <cellStyle name="标题 4 2 2 4 3 2" xfId="25155"/>
    <cellStyle name="40% - 强调文字颜色 5 2 2 2 2 5" xfId="25156"/>
    <cellStyle name="标题 4 2 2 2 3 2 2 2 3" xfId="25157"/>
    <cellStyle name="超链接 2 2 3 3 3" xfId="25158"/>
    <cellStyle name="输出 2 2 3 2 11" xfId="25159"/>
    <cellStyle name="强调文字颜色 2 2 4 7" xfId="25160"/>
    <cellStyle name="计算 2 2 6 15" xfId="25161"/>
    <cellStyle name="60% - 强调文字颜色 6 2 3 2 3 2" xfId="25162"/>
    <cellStyle name="输入 2 5 2 5 2 2" xfId="25163"/>
    <cellStyle name="链接单元格 2 4 2 2 2 3" xfId="25164"/>
    <cellStyle name="差 2 2 3 4 2" xfId="25165"/>
    <cellStyle name="汇总 2 3 5 2 2" xfId="25166"/>
    <cellStyle name="标题 1 2 2 2 2 3 3" xfId="25167"/>
    <cellStyle name="计算 2 2 4 2 3 3 3" xfId="25168"/>
    <cellStyle name="注释 2 2 4 2 3 2 2 2" xfId="25169"/>
    <cellStyle name="输入 2 5 2 5 3" xfId="25170"/>
    <cellStyle name="20% - 强调文字颜色 4 2 2 5 2" xfId="25171"/>
    <cellStyle name="20% - 强调文字颜色 6 2 2 2 3 3 2 2" xfId="25172"/>
    <cellStyle name="输入 2 3 2 2 2 4" xfId="25173"/>
    <cellStyle name="60% - 强调文字颜色 3 2 4 4" xfId="25174"/>
    <cellStyle name="60% - 强调文字颜色 2 2 3 2 4" xfId="25175"/>
    <cellStyle name="20% - 强调文字颜色 1 2 4 4 2 2 2" xfId="25176"/>
    <cellStyle name="输入 2 2 4 2 3 4 2 2" xfId="25177"/>
    <cellStyle name="60% - 强调文字颜色 6 2 4 7" xfId="25178"/>
    <cellStyle name="60% - 强调文字颜色 6 3 4 2 2 2" xfId="25179"/>
    <cellStyle name="警告文本 2 2 6" xfId="25180"/>
    <cellStyle name="好 2 5 2 3" xfId="25181"/>
    <cellStyle name="超链接 2 4 4 2" xfId="25182"/>
    <cellStyle name="60% - 强调文字颜色 5 2 2 3 2" xfId="25183"/>
    <cellStyle name="汇总 2 5 3 2 5 2 2" xfId="25184"/>
    <cellStyle name="40% - 强调文字颜色 1 2 2 3" xfId="25185"/>
    <cellStyle name="标题 3 2 5 3 2 2" xfId="25186"/>
    <cellStyle name="40% - 强调文字颜色 1 2 5" xfId="25187"/>
    <cellStyle name="输出 2 4 5 2 2 3" xfId="25188"/>
    <cellStyle name="汇总 2 2 3 4 2 3 2 2" xfId="25189"/>
    <cellStyle name="好 4 2 3 2 2 2" xfId="25190"/>
    <cellStyle name="20% - 强调文字颜色 6 2 7 2 2" xfId="25191"/>
    <cellStyle name="20% - 强调文字颜色 2 2 3 2 2 2 2" xfId="25192"/>
    <cellStyle name="检查单元格 2 4 8" xfId="25193"/>
    <cellStyle name="计算 2 2 4 4 6 2" xfId="25194"/>
    <cellStyle name="60% - 强调文字颜色 2 4 3 2" xfId="25195"/>
    <cellStyle name="60% - 强调文字颜色 5 2 4" xfId="25196"/>
    <cellStyle name="计算 2 2 7 2 7" xfId="25197"/>
    <cellStyle name="常规 10 2 2 2 3 4 2" xfId="25198"/>
    <cellStyle name="强调文字颜色 5 2 2 5 3 2" xfId="25199"/>
    <cellStyle name="20% - 强调文字颜色 6 2 2 3 6" xfId="25200"/>
    <cellStyle name="20% - 强调文字颜色 6 2 6" xfId="25201"/>
    <cellStyle name="汇总 2 5 10 2 2" xfId="25202"/>
    <cellStyle name="标题 1 4 2 3" xfId="25203"/>
    <cellStyle name="标题 3 2 3 5 2" xfId="25204"/>
    <cellStyle name="60% - 强调文字颜色 4 5 2 2" xfId="25205"/>
    <cellStyle name="强调文字颜色 4 2 2 7" xfId="25206"/>
    <cellStyle name="40% - 强调文字颜色 2 2 5 2 2 2 2" xfId="25207"/>
    <cellStyle name="常规 5 2 4 4" xfId="25208"/>
    <cellStyle name="汇总 3 6 2 2" xfId="25209"/>
    <cellStyle name="40% - 强调文字颜色 5 2 3 2 2 5 2" xfId="25210"/>
    <cellStyle name="汇总 2 2 6 3 2 2 2" xfId="25211"/>
    <cellStyle name="常规 3 2 2 2 2 3 3" xfId="25212"/>
    <cellStyle name="20% - 强调文字颜色 5 2 3 2" xfId="25213"/>
    <cellStyle name="40% - 强调文字颜色 1 3 5 2" xfId="25214"/>
    <cellStyle name="标题 1 2 3 2" xfId="25215"/>
    <cellStyle name="60% - 强调文字颜色 6 2 3 3 7" xfId="25216"/>
    <cellStyle name="60% - 强调文字颜色 6 2 3 3 2 2" xfId="25217"/>
    <cellStyle name="20% - 强调文字颜色 2 2 2 2 2 2 5" xfId="25218"/>
    <cellStyle name="警告文本 2 2 3 9" xfId="25219"/>
    <cellStyle name="注释 2 2 2 2 7" xfId="25220"/>
    <cellStyle name="强调文字颜色 3 2 3 2 4 2 2 2" xfId="25221"/>
    <cellStyle name="常规 12 2 2 2 2 2" xfId="25222"/>
    <cellStyle name="20% - 强调文字颜色 2 2 8" xfId="25223"/>
    <cellStyle name="强调文字颜色 2 2 2 2 2 4 2" xfId="25224"/>
    <cellStyle name="20% - 强调文字颜色 1 3 2 4 2" xfId="25225"/>
    <cellStyle name="40% - 强调文字颜色 5 2 3 3 3 2" xfId="25226"/>
    <cellStyle name="注释 2 7 4 4" xfId="25227"/>
    <cellStyle name="标题 3 3 2 2 4" xfId="25228"/>
    <cellStyle name="60% - 强调文字颜色 5 2 2 2 2 3 3 2" xfId="25229"/>
    <cellStyle name="40% - 强调文字颜色 4 2 3 5 2" xfId="25230"/>
    <cellStyle name="汇总 2 2 3 2 2 4 2" xfId="25231"/>
    <cellStyle name="60% - 强调文字颜色 6 4 2 3 3" xfId="25232"/>
    <cellStyle name="输入 4 5 2" xfId="25233"/>
    <cellStyle name="强调文字颜色 3 2 2 3 2 2 2 2" xfId="25234"/>
    <cellStyle name="百分比 2 2 4 2 2 2" xfId="25235"/>
    <cellStyle name="标题 2 2 2 2 6 3" xfId="25236"/>
    <cellStyle name="汇总 2 2 8 3 2 2 3" xfId="25237"/>
    <cellStyle name="汇总 2 2 2 4 4 2" xfId="25238"/>
    <cellStyle name="差 2 2 3 4 3 2" xfId="25239"/>
    <cellStyle name="强调文字颜色 2 2 2 5 3 3" xfId="25240"/>
    <cellStyle name="常规 3 3 2 2 2" xfId="25241"/>
    <cellStyle name="注释 7 2 2" xfId="25242"/>
    <cellStyle name="60% - 强调文字颜色 2 2 2 2 6" xfId="25243"/>
    <cellStyle name="常规 4 4 2 2 5" xfId="25244"/>
    <cellStyle name="注释 2 14" xfId="25245"/>
    <cellStyle name="20% - 强调文字颜色 4 2 2 2 2 2 5 2 2" xfId="25246"/>
    <cellStyle name="20% - 强调文字颜色 1 3 3 2 2 2 2" xfId="25247"/>
    <cellStyle name="20% - 强调文字颜色 5 3 2 2 3" xfId="25248"/>
    <cellStyle name="计算 2 10" xfId="25249"/>
    <cellStyle name="标题 2 4 3 3" xfId="25250"/>
    <cellStyle name="常规 4 6 2 3 2 2" xfId="25251"/>
    <cellStyle name="输出 3 3 2 3 2" xfId="25252"/>
    <cellStyle name="常规 2 2 2 6 2 2 2" xfId="25253"/>
    <cellStyle name="20% - 强调文字颜色 6 2 2 2 2 2 2 3" xfId="25254"/>
    <cellStyle name="20% - 强调文字颜色 2 2 2 2 4 3 2 2" xfId="25255"/>
    <cellStyle name="20% - 强调文字颜色 5 2 8 2 2" xfId="25256"/>
    <cellStyle name="检查单元格 2 5 2" xfId="25257"/>
    <cellStyle name="汇总 2 5 11 3" xfId="25258"/>
    <cellStyle name="20% - 强调文字颜色 4 2 2 9" xfId="25259"/>
    <cellStyle name="输出 2 2 3 2" xfId="25260"/>
    <cellStyle name="强调文字颜色 3 2 2 2" xfId="25261"/>
    <cellStyle name="20% - 强调文字颜色 1 2 2 3 7" xfId="25262"/>
    <cellStyle name="40% - 强调文字颜色 5 2 7 3 2 2" xfId="25263"/>
    <cellStyle name="20% - 强调文字颜色 6 2 3 3 2 2 2" xfId="25264"/>
    <cellStyle name="20% - 强调文字颜色 4 2 5 3 2 2" xfId="25265"/>
    <cellStyle name="40% - 强调文字颜色 4 4 3 2" xfId="25266"/>
    <cellStyle name="输入 2 2 4 2 5 2" xfId="25267"/>
    <cellStyle name="标题 5 2 5 4" xfId="25268"/>
    <cellStyle name="输入 2 2 10 2 2 2" xfId="25269"/>
    <cellStyle name="计算 2 2 3 4 2 2 2" xfId="25270"/>
    <cellStyle name="20% - 强调文字颜色 4 3 3 2" xfId="25271"/>
    <cellStyle name="计算 2 2 4 3 2 2 2" xfId="25272"/>
    <cellStyle name="20% - 强调文字颜色 6 2 2 2 2 2 5 2" xfId="25273"/>
    <cellStyle name="注释 2 2 6 7" xfId="25274"/>
    <cellStyle name="40% - 强调文字颜色 5 2 2 5 2" xfId="25275"/>
    <cellStyle name="40% - 强调文字颜色 2 2 2 2 6" xfId="25276"/>
    <cellStyle name="标题 2 3 2 3 2 2" xfId="25277"/>
    <cellStyle name="注释 2 5 4 2 2" xfId="25278"/>
    <cellStyle name="汇总 2" xfId="25279"/>
    <cellStyle name="汇总 2 3 2 2 7" xfId="25280"/>
    <cellStyle name="计算 2 2 8 3 2 5" xfId="25281"/>
    <cellStyle name="汇总 2 2 4 6 2 2 2" xfId="25282"/>
    <cellStyle name="标题 3 2 2 4 3 2 2 2" xfId="25283"/>
    <cellStyle name="汇总 2 5 3 5 2" xfId="25284"/>
    <cellStyle name="60% - 强调文字颜色 2 3 8" xfId="25285"/>
    <cellStyle name="计算 2 2 6 9 2" xfId="25286"/>
    <cellStyle name="标题 3 2 7 2" xfId="25287"/>
    <cellStyle name="标题 1 2 3 9" xfId="25288"/>
    <cellStyle name="60% - 强调文字颜色 4 2 2 2 5" xfId="25289"/>
    <cellStyle name="输入 5 4" xfId="25290"/>
    <cellStyle name="汇总 2 5 2 3 4 3" xfId="25291"/>
    <cellStyle name="差 2 3 6" xfId="25292"/>
    <cellStyle name="链接单元格 3 5 2" xfId="25293"/>
    <cellStyle name="强调文字颜色 5 2 4 4 3 2" xfId="25294"/>
    <cellStyle name="强调文字颜色 3 2 4 5" xfId="25295"/>
    <cellStyle name="输出 2 4 3 5 3" xfId="25296"/>
    <cellStyle name="计算 2 2 5 13" xfId="25297"/>
    <cellStyle name="解释性文本 2 2 3 4 2 2" xfId="25298"/>
    <cellStyle name="强调文字颜色 3 2 2 2 2 2 2 2 2 2" xfId="25299"/>
    <cellStyle name="超链接 3 3 4 3 2 2" xfId="25300"/>
    <cellStyle name="20% - 强调文字颜色 2 2 3 2 3 2 2 2 2" xfId="25301"/>
    <cellStyle name="计算 2 2 9 2 2" xfId="25302"/>
    <cellStyle name="常规 4 5 2 2 2" xfId="25303"/>
    <cellStyle name="计算 2 2 4 4" xfId="25304"/>
    <cellStyle name="汇总 2 2 4 2 12 2" xfId="25305"/>
    <cellStyle name="常规 4 2 3 3 2 2 2 2" xfId="25306"/>
    <cellStyle name="标题 4 2" xfId="25307"/>
    <cellStyle name="常规 2 2 3 3" xfId="25308"/>
    <cellStyle name="输出 2 3 5 3" xfId="25309"/>
    <cellStyle name="20% - 强调文字颜色 2 2 2 2 7" xfId="25310"/>
    <cellStyle name="注释 3 2 3" xfId="25311"/>
    <cellStyle name="40% - 强调文字颜色 4 2 2 2 2 5 2 2 2" xfId="25312"/>
    <cellStyle name="标题 2 2 3 5 2 2" xfId="25313"/>
    <cellStyle name="20% - 强调文字颜色 2 2 2 2 2 3 2 2 2 2" xfId="25314"/>
    <cellStyle name="常规 5 2 2 7" xfId="25315"/>
    <cellStyle name="60% - 强调文字颜色 6 2 2 6 2" xfId="25316"/>
    <cellStyle name="常规 7 2 2 2 3 3" xfId="25317"/>
    <cellStyle name="输入 2 2 2 3 2 4" xfId="25318"/>
    <cellStyle name="标题 4 3 2 3 2 2 2" xfId="25319"/>
    <cellStyle name="标题 1 2 3 3 2 2 2 3" xfId="25320"/>
    <cellStyle name="说明文本 7" xfId="25321"/>
    <cellStyle name="超链接 2 3 3 2" xfId="25322"/>
    <cellStyle name="60% - 强调文字颜色 6 2 2 2 6 3" xfId="25323"/>
    <cellStyle name="汇总 2 2 4 2 3 4 3" xfId="25324"/>
    <cellStyle name="常规 10 2 6 2 2" xfId="25325"/>
    <cellStyle name="40% - 强调文字颜色 6 2 4 4 2 2 2" xfId="25326"/>
    <cellStyle name="检查单元格 2 2 3 3 3" xfId="25327"/>
    <cellStyle name="常规 6 2 2 4 2" xfId="25328"/>
    <cellStyle name="计算 2 3 2 2 2" xfId="25329"/>
    <cellStyle name="20% - 强调文字颜色 2 2 2 2 2 5 2 2 2" xfId="25330"/>
    <cellStyle name="说明文本 3 2" xfId="25331"/>
    <cellStyle name="40% - 强调文字颜色 6 2 4 3 2 2 2" xfId="25332"/>
    <cellStyle name="注释 2 5 2 4" xfId="25333"/>
    <cellStyle name="20% - 强调文字颜色 3 2 3 2 2 3 2 2 2" xfId="25334"/>
    <cellStyle name="20% - 强调文字颜色 6 2 4 5 2 2" xfId="25335"/>
    <cellStyle name="标题 4 2 2 2 2 3" xfId="25336"/>
    <cellStyle name="常规 4 3 3 3" xfId="25337"/>
    <cellStyle name="汇总 2 2 7 5 2 3" xfId="25338"/>
    <cellStyle name="常规 2 2 2 4 2 2 2" xfId="25339"/>
    <cellStyle name="百分比 2 5 2 3" xfId="25340"/>
    <cellStyle name="40% - 强调文字颜色 3 3 2 3 2 2" xfId="25341"/>
    <cellStyle name="标题 1 2" xfId="25342"/>
    <cellStyle name="40% - 强调文字颜色 5 2 3 5" xfId="25343"/>
    <cellStyle name="汇总 2 2 6 3 3" xfId="25344"/>
    <cellStyle name="汇总 2 2 8 7" xfId="25345"/>
    <cellStyle name="输入 3 2 4 2 2" xfId="25346"/>
    <cellStyle name="注释 3 2 2 6 3" xfId="25347"/>
    <cellStyle name="40% - 强调文字颜色 4 2 2 5 2" xfId="25348"/>
    <cellStyle name="20% - 强调文字颜色 6 2 2 2 2 5 2 2" xfId="25349"/>
    <cellStyle name="标题 2 2 2 4 2 2 3" xfId="25350"/>
    <cellStyle name="40% - 强调文字颜色 3 2 2 2 2 4 3 2" xfId="25351"/>
    <cellStyle name="强调文字颜色 1 2 2 3 5 2 2" xfId="25352"/>
    <cellStyle name="检查单元格 2 4 3 4" xfId="25353"/>
    <cellStyle name="标题 3 2 2 4 3 2" xfId="25354"/>
    <cellStyle name="汇总 2 5 2 4 4 2 2" xfId="25355"/>
    <cellStyle name="常规 4 2 2 5 2" xfId="25356"/>
    <cellStyle name="超链接 2 4 3 3 2" xfId="25357"/>
    <cellStyle name="超链接 2 4 3 2" xfId="25358"/>
    <cellStyle name="解释性文本 2 2 2 4 3 3" xfId="25359"/>
    <cellStyle name="常规 7 2 2 2 3 2 2 2" xfId="25360"/>
    <cellStyle name="20% - 强调文字颜色 3 2 4 2 2 2 2" xfId="25361"/>
    <cellStyle name="60% - 强调文字颜色 1 4 3 2 2 2" xfId="25362"/>
    <cellStyle name="注释 2 3 8 2 2" xfId="25363"/>
    <cellStyle name="强调文字颜色 6 2 3 2 2 2 2 3" xfId="25364"/>
    <cellStyle name="计算 2 2 4 2 2 2 2 5 2" xfId="25365"/>
    <cellStyle name="常规 4 4 2 4 2" xfId="25366"/>
    <cellStyle name="20% - 强调文字颜色 5 3 2 3 2" xfId="25367"/>
    <cellStyle name="强调文字颜色 2 2 2 3 3 4" xfId="25368"/>
    <cellStyle name="计算 4 3" xfId="25369"/>
    <cellStyle name="注释 2 2 2 3 2 2 2 2" xfId="25370"/>
    <cellStyle name="解释性文本 4 2" xfId="25371"/>
    <cellStyle name="40% - 强调文字颜色 2 3 2 5 2" xfId="25372"/>
    <cellStyle name="40% - 强调文字颜色 6 2 2 5 3 2 2" xfId="25373"/>
    <cellStyle name="强调文字颜色 6 2 3 2 7" xfId="25374"/>
    <cellStyle name="60% - 强调文字颜色 1 3 3 2" xfId="25375"/>
    <cellStyle name="计算 2 2 3 3 6 2" xfId="25376"/>
    <cellStyle name="汇总 2 9 8" xfId="25377"/>
    <cellStyle name="60% - 强调文字颜色 5 3 3 3 2 2 2" xfId="25378"/>
    <cellStyle name="20% - 强调文字颜色 4 2 6" xfId="25379"/>
    <cellStyle name="20% - 强调文字颜色 6 2 2 2 2 2 4" xfId="25380"/>
    <cellStyle name="60% - 强调文字颜色 6 3 6" xfId="25381"/>
    <cellStyle name="警告文本 2 2 6 2" xfId="25382"/>
    <cellStyle name="标题 1 2 4 2 3" xfId="25383"/>
    <cellStyle name="强调文字颜色 4 2 2 3 2 2 3" xfId="25384"/>
    <cellStyle name="汇总 2 3 2 6 2 2" xfId="25385"/>
    <cellStyle name="20% - 强调文字颜色 2 2 2 2 2 2 5 2" xfId="25386"/>
    <cellStyle name="百分比 2 2 3 3" xfId="25387"/>
    <cellStyle name="40% - 强调文字颜色 3 2 3 7" xfId="25388"/>
    <cellStyle name="标题 1 2 2 5 2 3" xfId="25389"/>
    <cellStyle name="汇总 3 4 5" xfId="25390"/>
    <cellStyle name="计算 2 3 8 2" xfId="25391"/>
    <cellStyle name="20% - 强调文字颜色 3 2 2 4 2 3 2" xfId="25392"/>
    <cellStyle name="标题 2 2 2 3 4 2 2" xfId="25393"/>
    <cellStyle name="强调文字颜色 5 2 2 2 4 2" xfId="25394"/>
    <cellStyle name="汇总 5 5 3" xfId="25395"/>
    <cellStyle name="注释 2 6 12" xfId="25396"/>
    <cellStyle name="注释 2 2 9 3 3" xfId="25397"/>
    <cellStyle name="标题 5 2 2 4 3 3" xfId="25398"/>
    <cellStyle name="解释性文本 2 4 8" xfId="25399"/>
    <cellStyle name="注释 2 3 2 2 2 2 2" xfId="25400"/>
    <cellStyle name="60% - 强调文字颜色 1 2 2 5 2" xfId="25401"/>
    <cellStyle name="输出 2 2 11 2" xfId="25402"/>
    <cellStyle name="链接单元格 4 2 4" xfId="25403"/>
    <cellStyle name="常规 17 2" xfId="25404"/>
    <cellStyle name="20% - 强调文字颜色 6 2 2 2 2 3" xfId="25405"/>
    <cellStyle name="标题 1 2 2 4 3 3 2" xfId="25406"/>
    <cellStyle name="输入 2 4 2 4" xfId="25407"/>
    <cellStyle name="差 3 3 2 2" xfId="25408"/>
    <cellStyle name="60% - 强调文字颜色 5 2 3 3 6" xfId="25409"/>
    <cellStyle name="40% - 强调文字颜色 3 2 2 2 5 2 2" xfId="25410"/>
    <cellStyle name="常规 5 4 3 2 3" xfId="25411"/>
    <cellStyle name="汇总 2 2 9 7" xfId="25412"/>
    <cellStyle name="标题 4 2 3 4 3 2" xfId="25413"/>
    <cellStyle name="标题 4 2 2 4 5 2 2" xfId="25414"/>
    <cellStyle name="解释性文本 2 5 3 3" xfId="25415"/>
    <cellStyle name="标题 2 2 2 2 2 2" xfId="25416"/>
    <cellStyle name="汇总 2 2 3 2 3 4 2 2" xfId="25417"/>
    <cellStyle name="汇总 2 5 4 9" xfId="25418"/>
    <cellStyle name="汇总 2 9 3 2 2 2" xfId="25419"/>
    <cellStyle name="标题 1 4 2 2" xfId="25420"/>
    <cellStyle name="20% - 强调文字颜色 5 2 2 3 3 2 2" xfId="25421"/>
    <cellStyle name="20% - 强调文字颜色 1 2 3 2 4 2 2 2" xfId="25422"/>
    <cellStyle name="20% - 强调文字颜色 5 2 2 2 4 3" xfId="25423"/>
    <cellStyle name="计算 2 7 2 2 2" xfId="25424"/>
    <cellStyle name="常规 2 4 4 3 2" xfId="25425"/>
    <cellStyle name="输入 2 5 5 2 2 3" xfId="25426"/>
    <cellStyle name="40% - 强调文字颜色 5 2 7 3 2" xfId="25427"/>
    <cellStyle name="40% - 强调文字颜色 5 2 3 3 3 2 2" xfId="25428"/>
    <cellStyle name="60% - 强调文字颜色 4 3 3 4 2" xfId="25429"/>
    <cellStyle name="强调文字颜色 4 3 4" xfId="25430"/>
    <cellStyle name="40% - 强调文字颜色 1 2 3 2 4 3" xfId="25431"/>
    <cellStyle name="汇总 2 2 3 3" xfId="25432"/>
    <cellStyle name="40% - 强调文字颜色 3 2 2 2 2 2 4 2 2" xfId="25433"/>
    <cellStyle name="40% - 强调文字颜色 3 2 2 2 3 3 2 2" xfId="25434"/>
    <cellStyle name="20% - 强调文字颜色 5 3 3 3" xfId="25435"/>
    <cellStyle name="输入 2 2 5 4 6" xfId="25436"/>
    <cellStyle name="40% - 强调文字颜色 5 2 6" xfId="25437"/>
    <cellStyle name="40% - 强调文字颜色 4 2 3 2 2 3 2" xfId="25438"/>
    <cellStyle name="40% - 强调文字颜色 2 2 6" xfId="25439"/>
    <cellStyle name="适中 2 5 2" xfId="25440"/>
    <cellStyle name="强调文字颜色 2 3 2 2 2 2" xfId="25441"/>
    <cellStyle name="注释 2 3 3 7" xfId="25442"/>
    <cellStyle name="40% - 强调文字颜色 5 2 3 2 2" xfId="25443"/>
    <cellStyle name="超链接 2 7 3" xfId="25444"/>
    <cellStyle name="检查单元格 2 2 7 2 2" xfId="25445"/>
    <cellStyle name="强调文字颜色 1 2 2 3 2 2 2 2 2" xfId="25446"/>
    <cellStyle name="20% - 强调文字颜色 1 2 3 2 3 3" xfId="25447"/>
    <cellStyle name="标题 1 2 3 4 3 2 2" xfId="25448"/>
    <cellStyle name="40% - 强调文字颜色 4 3 4 2" xfId="25449"/>
    <cellStyle name="汇总 2 2 5 4 2 2" xfId="25450"/>
    <cellStyle name="40% - 强调文字颜色 4 2 2 3 3 3" xfId="25451"/>
    <cellStyle name="计算 2 6 2 3 4 2 2" xfId="25452"/>
    <cellStyle name="标题 2 2 2 9" xfId="25453"/>
    <cellStyle name="汇总 2 2 2 8" xfId="25454"/>
    <cellStyle name="输入 2 4 2 3 5" xfId="25455"/>
    <cellStyle name="注释 2 4 2 5 3" xfId="25456"/>
    <cellStyle name="40% - 强调文字颜色 3 4 2 4 2" xfId="25457"/>
    <cellStyle name="计算 4 4 2 2 2" xfId="25458"/>
    <cellStyle name="20% - 强调文字颜色 2 2 5 4 2 2" xfId="25459"/>
    <cellStyle name="标题 1 2 4 3 2 2" xfId="25460"/>
    <cellStyle name="汇总 2 2 3 4 2 4" xfId="25461"/>
    <cellStyle name="20% - 强调文字颜色 5 4 3 2" xfId="25462"/>
    <cellStyle name="60% - 强调文字颜色 3 2 2 2 2 3 2 2" xfId="25463"/>
    <cellStyle name="20% - 强调文字颜色 6 2 2 2 3 2" xfId="25464"/>
    <cellStyle name="60% - 强调文字颜色 6 2 2 2 3 3" xfId="25465"/>
    <cellStyle name="注释 2 3 11" xfId="25466"/>
    <cellStyle name="常规 9 3 2 2 2" xfId="25467"/>
    <cellStyle name="20% - 强调文字颜色 4 2 6 3 2 2" xfId="25468"/>
    <cellStyle name="强调文字颜色 5 2 3 4 2 3" xfId="25469"/>
    <cellStyle name="输入 2 6 7 2" xfId="25470"/>
    <cellStyle name="强调文字颜色 2 2 3 6" xfId="25471"/>
    <cellStyle name="输出 2 2 4 2 2 6" xfId="25472"/>
    <cellStyle name="计算 2 2 5 2 13" xfId="25473"/>
    <cellStyle name="输入 2 3 2 2 2 3" xfId="25474"/>
    <cellStyle name="40% - 强调文字颜色 2 2 2 4 3 2" xfId="25475"/>
    <cellStyle name="60% - 强调文字颜色 3 2 2 2 2 3 3 2 2" xfId="25476"/>
    <cellStyle name="输出 2 6 3 2 4" xfId="25477"/>
    <cellStyle name="20% - 强调文字颜色 5 4 4 2 2" xfId="25478"/>
    <cellStyle name="百分比 2 3 2 2 2 2" xfId="25479"/>
    <cellStyle name="适中 2 2 2 2 5 2" xfId="25480"/>
    <cellStyle name="40% - 强调文字颜色 2 2 4 3" xfId="25481"/>
    <cellStyle name="60% - 强调文字颜色 5 3 2 5 2" xfId="25482"/>
    <cellStyle name="输入 3 2 8" xfId="25483"/>
    <cellStyle name="解释性文本 2 3 5" xfId="25484"/>
    <cellStyle name="输出 2 3 4" xfId="25485"/>
    <cellStyle name="40% - 强调文字颜色 2 2 2 2 2 5" xfId="25486"/>
    <cellStyle name="常规 2 2 2" xfId="25487"/>
    <cellStyle name="超链接 2 2 3 3 2 3" xfId="25488"/>
    <cellStyle name="警告文本 2 3 2" xfId="25489"/>
    <cellStyle name="标题 4 2 3 2 5 3" xfId="25490"/>
    <cellStyle name="计算 4 2 8" xfId="25491"/>
    <cellStyle name="40% - 强调文字颜色 4 2 10" xfId="25492"/>
    <cellStyle name="注释 2 2 3 3 2 3 2" xfId="25493"/>
    <cellStyle name="汇总 2 2 6 2 5 2 2" xfId="25494"/>
    <cellStyle name="常规 10 4 3 4 2" xfId="25495"/>
    <cellStyle name="60% - 强调文字颜色 6 3 2 6" xfId="25496"/>
    <cellStyle name="常规 4 3 4 2 2" xfId="25497"/>
    <cellStyle name="40% - 强调文字颜色 6 2 2 2 2 2" xfId="25498"/>
    <cellStyle name="差 4 4 2 2" xfId="25499"/>
    <cellStyle name="标题 1 2 3 4 2 2 2" xfId="25500"/>
    <cellStyle name="常规 9 3 4 2 2 2 2" xfId="25501"/>
    <cellStyle name="标题 1 2 2 2 2 5 3" xfId="25502"/>
    <cellStyle name="计算 2 5 4 2 2" xfId="25503"/>
    <cellStyle name="常规 2 2 6 3 2" xfId="25504"/>
    <cellStyle name="标题 4 4 2 2 2 3" xfId="25505"/>
    <cellStyle name="常规 13 5 2 2" xfId="25506"/>
    <cellStyle name="标题 4 3 5 2 2" xfId="25507"/>
    <cellStyle name="常规 5 2 5 2 4" xfId="25508"/>
    <cellStyle name="60% - 强调文字颜色 3 2 3 2 5 2" xfId="25509"/>
    <cellStyle name="输入 2 2 4 4 4 2" xfId="25510"/>
    <cellStyle name="标题 1 2 3 3 2 3" xfId="25511"/>
    <cellStyle name="输出 2 6 4 6" xfId="25512"/>
    <cellStyle name="汇总 2 2 2 4 2 5" xfId="25513"/>
    <cellStyle name="40% - 强调文字颜色 4 6 2 2" xfId="25514"/>
    <cellStyle name="标题 6 2 2" xfId="25515"/>
    <cellStyle name="常规 3 3 5 2" xfId="25516"/>
    <cellStyle name="汇总 2 2 6 4 4 2 2" xfId="25517"/>
    <cellStyle name="40% - 强调文字颜色 5 3 2 2 3 2" xfId="25518"/>
    <cellStyle name="输入 2 2 9 2 5" xfId="25519"/>
    <cellStyle name="强调文字颜色 2 2 2 4 2 2 2 2" xfId="25520"/>
    <cellStyle name="20% - 强调文字颜色 1 5 2 2 2 2" xfId="25521"/>
    <cellStyle name="20% - 强调文字颜色 5 3 2 2 2 2" xfId="25522"/>
    <cellStyle name="常规 12 2 2 3 2" xfId="25523"/>
    <cellStyle name="计算 2 2 5 2 4 5" xfId="25524"/>
    <cellStyle name="输入 2 5 2 4 2 2 2" xfId="25525"/>
    <cellStyle name="警告文本 2 7 2 3" xfId="25526"/>
    <cellStyle name="输入 2 2 5 3 2 2 2 2" xfId="25527"/>
    <cellStyle name="强调文字颜色 5 2 3 4 2" xfId="25528"/>
    <cellStyle name="强调文字颜色 1 2 3 5 2" xfId="25529"/>
    <cellStyle name="输出 2 7 8" xfId="25530"/>
    <cellStyle name="标题 5 2 3 2 2 3" xfId="25531"/>
    <cellStyle name="40% - 强调文字颜色 1 4 3 2 2 2" xfId="25532"/>
    <cellStyle name="输出 2 2 3 2 2 2 2 2 2 2" xfId="25533"/>
    <cellStyle name="注释 5 2 2 3" xfId="25534"/>
    <cellStyle name="差 2 2 2 3 7" xfId="25535"/>
    <cellStyle name="标题 4 2 5 2 2" xfId="25536"/>
    <cellStyle name="20% - 强调文字颜色 1 6" xfId="25537"/>
    <cellStyle name="强调文字颜色 2 2 2 5" xfId="25538"/>
    <cellStyle name="强调文字颜色 4 2" xfId="25539"/>
    <cellStyle name="输入 2 3 2 5 3" xfId="25540"/>
    <cellStyle name="差 3 2 2 3 3" xfId="25541"/>
    <cellStyle name="60% - 强调文字颜色 5 2 4 5" xfId="25542"/>
    <cellStyle name="20% - 强调文字颜色 1 2 3 2 2 3 2" xfId="25543"/>
    <cellStyle name="40% - 强调文字颜色 3 2 4 4" xfId="25544"/>
    <cellStyle name="好 3 2" xfId="25545"/>
    <cellStyle name="20% - 强调文字颜色 6 2 2 2 2 4 3 2 2" xfId="25546"/>
    <cellStyle name="输入 2 5 2 10 2" xfId="25547"/>
    <cellStyle name="强调文字颜色 3 2 3 4 4" xfId="25548"/>
    <cellStyle name="计算 2 3 3 2 4 3" xfId="25549"/>
    <cellStyle name="汇总 2 2 4 4 2 2" xfId="25550"/>
    <cellStyle name="输出 2 2 2 8 2" xfId="25551"/>
    <cellStyle name="40% - 强调文字颜色 1 2 3 3 5" xfId="25552"/>
    <cellStyle name="常规 3 7 2 3 2" xfId="25553"/>
    <cellStyle name="汇总 2 2 3 4 5 2" xfId="25554"/>
    <cellStyle name="计算 2 7 2 5 2 2" xfId="25555"/>
    <cellStyle name="20% - 强调文字颜色 5 2 2 2 2 2 2 2" xfId="25556"/>
    <cellStyle name="40% - 强调文字颜色 5 2 2 5" xfId="25557"/>
    <cellStyle name="计算 2 7 2 2 3 3" xfId="25558"/>
    <cellStyle name="40% - 强调文字颜色 4 2 2 3 5 2 2" xfId="25559"/>
    <cellStyle name="强调文字颜色 1 3 2 4 2" xfId="25560"/>
    <cellStyle name="常规 10 4 4" xfId="25561"/>
    <cellStyle name="标题 4 2 2 5 2 3" xfId="25562"/>
    <cellStyle name="40% - 强调文字颜色 5 2 4 4 3" xfId="25563"/>
    <cellStyle name="汇总 2 2 2 2 2 2 2 3 2" xfId="25564"/>
    <cellStyle name="40% - 强调文字颜色 6 4 4" xfId="25565"/>
    <cellStyle name="标题 5 3 2 3 2 3" xfId="25566"/>
    <cellStyle name="40% - 强调文字颜色 5 3 6 2" xfId="25567"/>
    <cellStyle name="60% - 强调文字颜色 6 3" xfId="25568"/>
    <cellStyle name="检查单元格 4 2 2" xfId="25569"/>
    <cellStyle name="输入 2 2 6 2" xfId="25570"/>
    <cellStyle name="计算 4 2 3" xfId="25571"/>
    <cellStyle name="40% - 强调文字颜色 6 2 2 4 2 3 2" xfId="25572"/>
    <cellStyle name="20% - 强调文字颜色 5 2 2 2 3 4" xfId="25573"/>
    <cellStyle name="汇总 2 2 2 3 3 4 2" xfId="25574"/>
    <cellStyle name="标题 1 2 3 2 3 2 2" xfId="25575"/>
    <cellStyle name="40% - 强调文字颜色 2 2 2 4 3" xfId="25576"/>
    <cellStyle name="标题 2 2 10" xfId="25577"/>
    <cellStyle name="输入 2 2 4 3 3 2 2 2" xfId="25578"/>
    <cellStyle name="20% - 强调文字颜色 1 2 2 3 4 3 2" xfId="25579"/>
    <cellStyle name="计算 2 2 6 5 3 2" xfId="25580"/>
    <cellStyle name="标题 3 2 3 3 2" xfId="25581"/>
    <cellStyle name="差 4 2 4" xfId="25582"/>
    <cellStyle name="60% - 强调文字颜色 6 2 3 2 2 2 2" xfId="25583"/>
    <cellStyle name="40% - 强调文字颜色 5 2 4 5" xfId="25584"/>
    <cellStyle name="计算 4 2 3 2" xfId="25585"/>
    <cellStyle name="40% - 强调文字颜色 1 2 3 2 4 2 2 2" xfId="25586"/>
    <cellStyle name="汇总 2 5 2 2 4" xfId="25587"/>
    <cellStyle name="标题 4 3 2 2 2 2 3" xfId="25588"/>
    <cellStyle name="20% - 强调文字颜色 3 2 4 4" xfId="25589"/>
    <cellStyle name="常规 7 2 2 2 5" xfId="25590"/>
    <cellStyle name="20% - 强调文字颜色 6 2 2 6 3 2" xfId="25591"/>
    <cellStyle name="计算 4 3 2 3" xfId="25592"/>
    <cellStyle name="汇总 2 4 2 2" xfId="25593"/>
    <cellStyle name="常规 5 4 4 3" xfId="25594"/>
    <cellStyle name="输入 2 2 20" xfId="25595"/>
    <cellStyle name="输入 2 2 15" xfId="25596"/>
    <cellStyle name="标题 4 2 2 6 3" xfId="25597"/>
    <cellStyle name="40% - 强调文字颜色 2 2 2 6 3" xfId="25598"/>
    <cellStyle name="输入 2 8 3 6" xfId="25599"/>
    <cellStyle name="20% - 强调文字颜色 4 3 2 3 2" xfId="25600"/>
    <cellStyle name="40% - 强调文字颜色 1 2 2 4 2 3 2" xfId="25601"/>
    <cellStyle name="汇总 2 3 5 4 2" xfId="25602"/>
    <cellStyle name="20% - 强调文字颜色 6 2 2 4 5" xfId="25603"/>
    <cellStyle name="标题 4 2 3 2 3 2" xfId="25604"/>
    <cellStyle name="强调文字颜色 1 2 3 8" xfId="25605"/>
    <cellStyle name="标题 5 3 6 2 2" xfId="25606"/>
    <cellStyle name="注释 2 3 2 2 4" xfId="25607"/>
    <cellStyle name="20% - 强调文字颜色 2 2 3 5" xfId="25608"/>
    <cellStyle name="计算 2 10 8" xfId="25609"/>
    <cellStyle name="汇总 3 14" xfId="25610"/>
    <cellStyle name="输入 2 2 2 2 2 8" xfId="25611"/>
    <cellStyle name="60% - 强调文字颜色 1 2 4 8" xfId="25612"/>
    <cellStyle name="20% - 强调文字颜色 3 2 2 2 6 2 2" xfId="25613"/>
    <cellStyle name="输入 2 5 3 5 2" xfId="25614"/>
    <cellStyle name="60% - 强调文字颜色 3 3 7" xfId="25615"/>
    <cellStyle name="60% - 强调文字颜色 2 2 4 5" xfId="25616"/>
    <cellStyle name="60% - 强调文字颜色 3 2 2 4 2 3 2" xfId="25617"/>
    <cellStyle name="计算 2 14 2 2" xfId="25618"/>
    <cellStyle name="60% - 强调文字颜色 6 2 5 2 2 2" xfId="25619"/>
    <cellStyle name="40% - 强调文字颜色 3 2 5 2" xfId="25620"/>
    <cellStyle name="20% - 强调文字颜色 1 2 3 2 4" xfId="25621"/>
    <cellStyle name="强调文字颜色 6 2 4 3 3" xfId="25622"/>
    <cellStyle name="计算 2 6 3 3 3 2" xfId="25623"/>
    <cellStyle name="标题 5 4 4 2 2" xfId="25624"/>
    <cellStyle name="汇总 3 2 2 2 4 2 2" xfId="25625"/>
    <cellStyle name="输入 2 5 2 2 2 4 2" xfId="25626"/>
    <cellStyle name="强调文字颜色 3 2 2 3 3 3 2" xfId="25627"/>
    <cellStyle name="输入 3 4 3" xfId="25628"/>
    <cellStyle name="60% - 强调文字颜色 3 2 2 6" xfId="25629"/>
    <cellStyle name="注释 2 3 4 2 2 3" xfId="25630"/>
    <cellStyle name="40% - 强调文字颜色 6 2 10" xfId="25631"/>
    <cellStyle name="计算 2 2 4 5 3 2 2" xfId="25632"/>
    <cellStyle name="计算 2 6 2 3 7" xfId="25633"/>
    <cellStyle name="标题 1 4 3 2 2 2" xfId="25634"/>
    <cellStyle name="40% - 强调文字颜色 3 2 2 4 5 2 2" xfId="25635"/>
    <cellStyle name="汇总 2 5 3 4 3" xfId="25636"/>
    <cellStyle name="40% - 强调文字颜色 2 2 2 2 2 2 4 3" xfId="25637"/>
    <cellStyle name="20% - 强调文字颜色 6 3 2 4" xfId="25638"/>
    <cellStyle name="标题 4 2 2 2 5 2 2 2" xfId="25639"/>
    <cellStyle name="汇总 2 2 6 5 3" xfId="25640"/>
    <cellStyle name="输入 2 3 4 4" xfId="25641"/>
    <cellStyle name="计算 2 2 6 4 3 2 2" xfId="25642"/>
    <cellStyle name="标题 3 2 2 3 2 2" xfId="25643"/>
    <cellStyle name="汇总 2 6 2 2 7" xfId="25644"/>
    <cellStyle name="差 3 2 4 2" xfId="25645"/>
    <cellStyle name="汇总 2 2 4 2 2 2 6 2" xfId="25646"/>
    <cellStyle name="输入 2 4 2 7 2" xfId="25647"/>
    <cellStyle name="汇总 2 2 6 5" xfId="25648"/>
    <cellStyle name="常规 8 2 3 3 2" xfId="25649"/>
    <cellStyle name="40% - 强调文字颜色 2 2 2 2 2 3 2 2 2" xfId="25650"/>
    <cellStyle name="输出 2 3 2 2 2 2" xfId="25651"/>
    <cellStyle name="20% - 强调文字颜色 6 2 10 2" xfId="25652"/>
    <cellStyle name="标题 6 3" xfId="25653"/>
    <cellStyle name="20% - 强调文字颜色 5 2 2 8 2" xfId="25654"/>
    <cellStyle name="差 4 4" xfId="25655"/>
    <cellStyle name="20% - 强调文字颜色 6 2 3 3 2 2 2 2" xfId="25656"/>
    <cellStyle name="20% - 强调文字颜色 5 3 2 2 2" xfId="25657"/>
    <cellStyle name="适中 2 3 2 2 2 2 3" xfId="25658"/>
    <cellStyle name="汇总 2 2 5 4 6" xfId="25659"/>
    <cellStyle name="20% - 强调文字颜色 2 3 2 3 2 2 2" xfId="25660"/>
    <cellStyle name="20% - 强调文字颜色 3 2 2 4" xfId="25661"/>
    <cellStyle name="60% - 强调文字颜色 5 2 10" xfId="25662"/>
    <cellStyle name="汇总 2 5 2 5 3" xfId="25663"/>
    <cellStyle name="输出 2 4 2 2 3 4" xfId="25664"/>
    <cellStyle name="汇总 2 2 4 3 2 2 2 3" xfId="25665"/>
    <cellStyle name="60% - 强调文字颜色 6 3 2 5 2" xfId="25666"/>
    <cellStyle name="计算 2 2 4 2 3 4" xfId="25667"/>
    <cellStyle name="60% - 强调文字颜色 5 2 2 2 4 3 2 2" xfId="25668"/>
    <cellStyle name="输入 2 2 4 4 6 2" xfId="25669"/>
    <cellStyle name="汇总 2 5 2 6 4" xfId="25670"/>
    <cellStyle name="输出 2 3 3 4 2 2" xfId="25671"/>
    <cellStyle name="60% - 强调文字颜色 5 2 7 2 2 2" xfId="25672"/>
    <cellStyle name="常规 10" xfId="25673"/>
    <cellStyle name="20% - 强调文字颜色 1 2 2 4 4 2" xfId="25674"/>
    <cellStyle name="汇总 2 5 5 5 3" xfId="25675"/>
    <cellStyle name="40% - 强调文字颜色 6 2 2 2 2 2 2 2 2 2 2" xfId="25676"/>
    <cellStyle name="计算 2 2 4 2 10" xfId="25677"/>
    <cellStyle name="标题 4 6 2 2 2" xfId="25678"/>
    <cellStyle name="汇总 2 2 7 2 4 2 2" xfId="25679"/>
    <cellStyle name="常规 5 2 2 2 2 4 2" xfId="25680"/>
    <cellStyle name="强调文字颜色 5 2 2 5 4" xfId="25681"/>
    <cellStyle name="常规 10 2 2 2 3 5" xfId="25682"/>
    <cellStyle name="40% - 强调文字颜色 5 3 2 4 2 2" xfId="25683"/>
    <cellStyle name="汇总 2 5 3 5 3" xfId="25684"/>
    <cellStyle name="注释 2 4 2 2 9" xfId="25685"/>
    <cellStyle name="强调文字颜色 2 2 3 3" xfId="25686"/>
    <cellStyle name="20% - 强调文字颜色 2 4" xfId="25687"/>
    <cellStyle name="20% - 强调文字颜色 6 2 3 2 2 2 3 2" xfId="25688"/>
    <cellStyle name="常规 5 4 2 3 3 3" xfId="25689"/>
    <cellStyle name="60% - 强调文字颜色 6 2 2 3 3" xfId="25690"/>
    <cellStyle name="汇总 2 2 3 5 3 2" xfId="25691"/>
    <cellStyle name="注释 2 4 12" xfId="25692"/>
    <cellStyle name="注释 2 3 12" xfId="25693"/>
    <cellStyle name="20% - 强调文字颜色 4 3 3 3 2 2" xfId="25694"/>
    <cellStyle name="60% - 强调文字颜色 6 2 3 2 3 2 2" xfId="25695"/>
    <cellStyle name="常规 9 3 2 4 3" xfId="25696"/>
    <cellStyle name="标题 6 2 2 3 2" xfId="25697"/>
    <cellStyle name="常规 4 3 2 3 3" xfId="25698"/>
    <cellStyle name="常规 11 4 4 2 2" xfId="25699"/>
    <cellStyle name="60% - 强调文字颜色 2 2 2 2 5" xfId="25700"/>
    <cellStyle name="输出 5 7" xfId="25701"/>
    <cellStyle name="汇总 2 7 11 2" xfId="25702"/>
    <cellStyle name="20% - 强调文字颜色 3 2 2 3 4 2 2" xfId="25703"/>
    <cellStyle name="20% - 强调文字颜色 4 2 3 2 3 3" xfId="25704"/>
    <cellStyle name="汇总 2 2 7 2 2 3 2" xfId="25705"/>
    <cellStyle name="检查单元格 2 2 2 2 2 2 2 3" xfId="25706"/>
    <cellStyle name="20% - 强调文字颜色 6 2 2 3 2 2 2" xfId="25707"/>
    <cellStyle name="注释 2 2 3 5 6" xfId="25708"/>
    <cellStyle name="20% - 强调文字颜色 6 2 3 2 2 3 3" xfId="25709"/>
    <cellStyle name="好 2 2 4 3 4" xfId="25710"/>
    <cellStyle name="强调文字颜色 4 3 10" xfId="25711"/>
    <cellStyle name="20% - 强调文字颜色 2 2 7 2 2" xfId="25712"/>
    <cellStyle name="输出 2 2 4 3 8" xfId="25713"/>
    <cellStyle name="计算 2 2 5 3 3 4" xfId="25714"/>
    <cellStyle name="计算 5 3" xfId="25715"/>
    <cellStyle name="汇总 2 6 2 5" xfId="25716"/>
    <cellStyle name="60% - 强调文字颜色 2 2 2 2 6 2 2" xfId="25717"/>
    <cellStyle name="常规 8 3 2 3 2 2" xfId="25718"/>
    <cellStyle name="常规 3 2 4 3" xfId="25719"/>
    <cellStyle name="计算 3 5 2 2" xfId="25720"/>
    <cellStyle name="输出 3 3 6 3" xfId="25721"/>
    <cellStyle name="检查单元格 3 4" xfId="25722"/>
    <cellStyle name="标题 5 2 11" xfId="25723"/>
    <cellStyle name="常规 11 6" xfId="25724"/>
    <cellStyle name="20% - 强调文字颜色 2 2 2 3 2 2 2" xfId="25725"/>
    <cellStyle name="60% - 强调文字颜色 5 2 2 3 4 2 2" xfId="25726"/>
    <cellStyle name="输入 2 5 4 2 2" xfId="25727"/>
    <cellStyle name="汇总 2 6 4 2 5 2" xfId="25728"/>
    <cellStyle name="好 2 2 2 2 2 2 2 3" xfId="25729"/>
    <cellStyle name="注释 2 2 7 3 6" xfId="25730"/>
    <cellStyle name="汇总 2 5 2 5 2" xfId="25731"/>
    <cellStyle name="输入 3 13" xfId="25732"/>
    <cellStyle name="计算 2 5 2 9 3" xfId="25733"/>
    <cellStyle name="40% - 强调文字颜色 2 2 4 4 3 2" xfId="25734"/>
    <cellStyle name="Millares 2 2" xfId="25735"/>
    <cellStyle name="40% - 强调文字颜色 3 4 5 2" xfId="25736"/>
    <cellStyle name="标题 4 2 2 2 4 3 2" xfId="25737"/>
    <cellStyle name="60% - 强调文字颜色 6 3 2 2 3 3" xfId="25738"/>
    <cellStyle name="标题 2 2 3 3 2 2 2 2" xfId="25739"/>
    <cellStyle name="40% - 强调文字颜色 4 2 3 2 2 4 3 2" xfId="25740"/>
    <cellStyle name="汇总 2 8 4 3" xfId="25741"/>
    <cellStyle name="20% - 强调文字颜色 6 2 5 3 2 2 2" xfId="25742"/>
    <cellStyle name="输入 2 2 7 2 2 2 2" xfId="25743"/>
    <cellStyle name="40% - 强调文字颜色 6 2 4" xfId="25744"/>
    <cellStyle name="适中 2 2 2 5 2 3" xfId="25745"/>
    <cellStyle name="强调文字颜色 1 2 5 2 3" xfId="25746"/>
    <cellStyle name="常规 4 3 7" xfId="25747"/>
    <cellStyle name="40% - 强调文字颜色 6 2 2 5" xfId="25748"/>
    <cellStyle name="40% - 强调文字颜色 4 2 2 2 2 2 4 2" xfId="25749"/>
    <cellStyle name="常规 11 2 2 3 3 3" xfId="25750"/>
    <cellStyle name="40% - 强调文字颜色 2 2 2 2 3 2 2" xfId="25751"/>
    <cellStyle name="标题 6 2 2 5" xfId="25752"/>
    <cellStyle name="40% - 强调文字颜色 5 2 5 2 3" xfId="25753"/>
    <cellStyle name="注释 2 5 3 8" xfId="25754"/>
    <cellStyle name="40% - 强调文字颜色 3 3" xfId="25755"/>
    <cellStyle name="注释 2 2 5 4" xfId="25756"/>
    <cellStyle name="汇总 2 2 15 3" xfId="25757"/>
    <cellStyle name="输入 2 6 2 3 4" xfId="25758"/>
    <cellStyle name="标题 5 7 2" xfId="25759"/>
    <cellStyle name="汇总 2 2 8 3 4" xfId="25760"/>
    <cellStyle name="20% - 强调文字颜色 5 2 3 3 3 2 2" xfId="25761"/>
    <cellStyle name="输出 2 4 2 3 5 2 2" xfId="25762"/>
    <cellStyle name="汇总 2 2 3 8 2" xfId="25763"/>
    <cellStyle name="计算 2 3 2 2 2 4 2" xfId="25764"/>
    <cellStyle name="常规 2 2 2 2 2 2" xfId="25765"/>
    <cellStyle name="40% - 强调文字颜色 2 2 2 2 2 5 2 2 2" xfId="25766"/>
    <cellStyle name="输出 2 3 4 2 2 2" xfId="25767"/>
    <cellStyle name="计算 2 2 10 4 3" xfId="25768"/>
    <cellStyle name="注释 2 2 2 2 3 2 2 2" xfId="25769"/>
    <cellStyle name="强调文字颜色 6 2 2 2 2 4 4" xfId="25770"/>
    <cellStyle name="标题 3 2 2 2 3" xfId="25771"/>
    <cellStyle name="计算 2 2 6 4 2 3" xfId="25772"/>
    <cellStyle name="汇总 2 5 2 4 2 2" xfId="25773"/>
    <cellStyle name="40% - 强调文字颜色 2 2 2 2 2 2 2 2 2 2" xfId="25774"/>
    <cellStyle name="20% - 强调文字颜色 3 2 4 2 2 2" xfId="25775"/>
    <cellStyle name="常规 7 2 2 2 3 2 2" xfId="25776"/>
    <cellStyle name="20% - 强调文字颜色 6 2 4 4 2 2 2" xfId="25777"/>
    <cellStyle name="40% - 强调文字颜色 6 2 2 3 3 2" xfId="25778"/>
    <cellStyle name="标题 1 2 2 2 5 2 2 2" xfId="25779"/>
    <cellStyle name="警告文本 3 2 5" xfId="25780"/>
    <cellStyle name="好 2 6 2 2" xfId="25781"/>
    <cellStyle name="20% - 强调文字颜色 4 2 3 2 4 2 2" xfId="25782"/>
    <cellStyle name="计算 2 2 4 2 2 3 3" xfId="25783"/>
    <cellStyle name="常规 7 2 5 2 2" xfId="25784"/>
    <cellStyle name="常规 5 2 2 3 3 3 2 2" xfId="25785"/>
    <cellStyle name="输入 2 2 8 2" xfId="25786"/>
    <cellStyle name="链接单元格 3 2 2 2" xfId="25787"/>
    <cellStyle name="计算 2 2 2 2 12" xfId="25788"/>
    <cellStyle name="40% - 强调文字颜色 3 4 2 4" xfId="25789"/>
    <cellStyle name="60% - 强调文字颜色 1 2 5 3 2 2" xfId="25790"/>
    <cellStyle name="40% - 强调文字颜色 1 2 2 3 4 3 2" xfId="25791"/>
    <cellStyle name="20% - 强调文字颜色 1 2 2 3 2" xfId="25792"/>
    <cellStyle name="标题 2 2 2 6 4" xfId="25793"/>
    <cellStyle name="警告文本 2 2 2 2 2" xfId="25794"/>
    <cellStyle name="20% - 强调文字颜色 3 2 4 5 2" xfId="25795"/>
    <cellStyle name="60% - 强调文字颜色 6 2 4 3 2 2" xfId="25796"/>
    <cellStyle name="60% - 强调文字颜色 4 3 2 2 2 2 2 2" xfId="25797"/>
    <cellStyle name="强调文字颜色 1 2 2 4 3 2 3" xfId="25798"/>
    <cellStyle name="检查单元格 2 2 3 4 2 3" xfId="25799"/>
    <cellStyle name="输出 2 6 3 2 2" xfId="25800"/>
    <cellStyle name="40% - 强调文字颜色 5 2 5 3 2 2" xfId="25801"/>
    <cellStyle name="注释 2 2 2 4 2 2 2 2" xfId="25802"/>
    <cellStyle name="40% - 强调文字颜色 6 2 7 3 2 2" xfId="25803"/>
    <cellStyle name="计算 2 10 2 3 2 2" xfId="25804"/>
    <cellStyle name="60% - 强调文字颜色 5 2 4 2 2 2 2 2" xfId="25805"/>
    <cellStyle name="20% - 强调文字颜色 4 2 4 3" xfId="25806"/>
    <cellStyle name="输出 2 4 2 2 2 3 3" xfId="25807"/>
    <cellStyle name="60% - 强调文字颜色 3 3 2 4 2 2" xfId="25808"/>
    <cellStyle name="警告文本 2 2 2 3 6" xfId="25809"/>
    <cellStyle name="标题 4 2 2 3 4 4" xfId="25810"/>
    <cellStyle name="常规 2 3 2 3" xfId="25811"/>
    <cellStyle name="输出 2 4 4 3" xfId="25812"/>
    <cellStyle name="标题 5 2 2 2 6 2" xfId="25813"/>
    <cellStyle name="汇总 2 3 4 5" xfId="25814"/>
    <cellStyle name="输入 2 4 3 5 2" xfId="25815"/>
    <cellStyle name="注释 2 5 3 2" xfId="25816"/>
    <cellStyle name="20% - 强调文字颜色 5 2 2 4 2 2 2 2" xfId="25817"/>
    <cellStyle name="标题 2 3 2 2 2" xfId="25818"/>
    <cellStyle name="20% - 强调文字颜色 6 2 3 2 2 5 2 2" xfId="25819"/>
    <cellStyle name="20% - 强调文字颜色 6 2 4 3 2 2" xfId="25820"/>
    <cellStyle name="20% - 强调文字颜色 6 2 3 2 3 2 2 2" xfId="25821"/>
    <cellStyle name="强调文字颜色 3 2 2 3" xfId="25822"/>
    <cellStyle name="汇总 2 2 3 2 2 3 2 3" xfId="25823"/>
    <cellStyle name="常规 7 4" xfId="25824"/>
    <cellStyle name="好 2 6 2 3" xfId="25825"/>
    <cellStyle name="20% - 强调文字颜色 6 2 2 5 2 2" xfId="25826"/>
    <cellStyle name="汇总 2 6 2 2 5 2 2" xfId="25827"/>
    <cellStyle name="输入 2 3 4 2 2 2" xfId="25828"/>
    <cellStyle name="汇总 3 2 2 3 4" xfId="25829"/>
    <cellStyle name="汇总 3 2 2 3 2 2" xfId="25830"/>
    <cellStyle name="60% - 强调文字颜色 2 2 3 3 2 2 2" xfId="25831"/>
    <cellStyle name="计算 2 5 3 5 2" xfId="25832"/>
    <cellStyle name="60% - 强调文字颜色 3 2 5 2 2 2" xfId="25833"/>
    <cellStyle name="汇总 2 2 6 3 2 4 2" xfId="25834"/>
    <cellStyle name="标题 3 2 4 6" xfId="25835"/>
    <cellStyle name="强调文字颜色 6 2 6 3 2 2" xfId="25836"/>
    <cellStyle name="60% - 强调文字颜色 4 2 2 2 2 2 3 2" xfId="25837"/>
    <cellStyle name="常规 12 2 2 2 4" xfId="25838"/>
    <cellStyle name="20% - 强调文字颜色 1 2 2 2 2 2 4 2 2 2" xfId="25839"/>
    <cellStyle name="40% - 强调文字颜色 4 2 2 2 2 3 2 2" xfId="25840"/>
    <cellStyle name="输出 2 2 4 4 3 3" xfId="25841"/>
    <cellStyle name="注释 2 2 5 2 2 3 3" xfId="25842"/>
    <cellStyle name="常规 12 4 3 2" xfId="25843"/>
    <cellStyle name="60% - 强调文字颜色 5 2 2 2 2 2 2 2 2 2" xfId="25844"/>
    <cellStyle name="计算 2 3 2 5 2" xfId="25845"/>
    <cellStyle name="60% - 强调文字颜色 6 2 4 2 2 2 2" xfId="25846"/>
    <cellStyle name="输出 2 6 2" xfId="25847"/>
    <cellStyle name="60% - 强调文字颜色 1 2 2 2 8" xfId="25848"/>
    <cellStyle name="汇总 2 2 7 2 6 2" xfId="25849"/>
    <cellStyle name="注释 2 2 4 3 3 3" xfId="25850"/>
    <cellStyle name="常规 6 2 2 3 2" xfId="25851"/>
    <cellStyle name="标题 4 3 2 2 3 3" xfId="25852"/>
    <cellStyle name="40% - 强调文字颜色 3 2 2 4 2 3 2" xfId="25853"/>
    <cellStyle name="计算 2 2 2 2 3 3 3" xfId="25854"/>
    <cellStyle name="警告文本 2 3 2 6 2" xfId="25855"/>
    <cellStyle name="汇总 2 11" xfId="25856"/>
    <cellStyle name="汇总 2 2 2 2 2 2 2 2 2 2" xfId="25857"/>
    <cellStyle name="40% - 强调文字颜色 6 3 4 2" xfId="25858"/>
    <cellStyle name="常规 5 5 4" xfId="25859"/>
    <cellStyle name="计算 2 5 3 2 4 2" xfId="25860"/>
    <cellStyle name="强调文字颜色 5 2 3 4 3" xfId="25861"/>
    <cellStyle name="汇总 2 2 3 6 2 2" xfId="25862"/>
    <cellStyle name="计算 2 3 2 2 2 2 2 2" xfId="25863"/>
    <cellStyle name="40% - 强调文字颜色 5 3 2 5" xfId="25864"/>
    <cellStyle name="计算 2 2 6 5 4 2" xfId="25865"/>
    <cellStyle name="标题 3 2 3 4 2" xfId="25866"/>
    <cellStyle name="强调文字颜色 2 2 2 4" xfId="25867"/>
    <cellStyle name="20% - 强调文字颜色 1 5" xfId="25868"/>
    <cellStyle name="计算 2 6 2 4 4 2" xfId="25869"/>
    <cellStyle name="60% - 强调文字颜色 2 2 3 6 2 2 2" xfId="25870"/>
    <cellStyle name="计算 2 8 3 5 2" xfId="25871"/>
    <cellStyle name="计算 2 3 2 4 4" xfId="25872"/>
    <cellStyle name="常规 3 3 2 4 2" xfId="25873"/>
    <cellStyle name="40% - 强调文字颜色 1 2 2 3 3 2 2" xfId="25874"/>
    <cellStyle name="链接单元格 2 2 2 2 3 2 3" xfId="25875"/>
    <cellStyle name="20% - 强调文字颜色 4 2 2 3 4 3 2" xfId="25876"/>
    <cellStyle name="标题 4 3 6" xfId="25877"/>
    <cellStyle name="输出 4 2 4 2" xfId="25878"/>
    <cellStyle name="适中 2 2 5 2" xfId="25879"/>
    <cellStyle name="20% - 强调文字颜色 3 2 2 2 3 3 2" xfId="25880"/>
    <cellStyle name="强调文字颜色 6 3 4" xfId="25881"/>
    <cellStyle name="40% - 强调文字颜色 6 3 2" xfId="25882"/>
    <cellStyle name="标题 5 4 2 3" xfId="25883"/>
    <cellStyle name="汇总 2 10 7" xfId="25884"/>
    <cellStyle name="标题 6 2 3" xfId="25885"/>
    <cellStyle name="20% - 强调文字颜色 6 2 9" xfId="25886"/>
    <cellStyle name="标题 4 2 4 4 2 2 2" xfId="25887"/>
    <cellStyle name="好 3 4 3" xfId="25888"/>
    <cellStyle name="输入 2 10 3 2" xfId="25889"/>
    <cellStyle name="汇总 2 2 5 3 4 3" xfId="25890"/>
    <cellStyle name="20% - 强调文字颜色 2 2 3 4 3" xfId="25891"/>
    <cellStyle name="检查单元格 2 4" xfId="25892"/>
    <cellStyle name="40% - 强调文字颜色 1 2 4 5 2 2" xfId="25893"/>
    <cellStyle name="40% - 强调文字颜色 4 2 3 2 5" xfId="25894"/>
    <cellStyle name="警告文本 2 3 8" xfId="25895"/>
    <cellStyle name="标题 4 2 4 3 3 2" xfId="25896"/>
    <cellStyle name="差 2 6 2" xfId="25897"/>
    <cellStyle name="常规 4 4 2 4 3" xfId="25898"/>
    <cellStyle name="40% - 强调文字颜色 4 2 2 2 4 2 2" xfId="25899"/>
    <cellStyle name="标题 2 2 4 3 2 2" xfId="25900"/>
    <cellStyle name="常规 3 4 2 2 2" xfId="25901"/>
    <cellStyle name="汇总 2 2 6 3 2 3 3" xfId="25902"/>
    <cellStyle name="计算 2 4 2" xfId="25903"/>
    <cellStyle name="40% - 强调文字颜色 1 2 2 2 5" xfId="25904"/>
    <cellStyle name="汇总 2 2 5 2 3 4 3" xfId="25905"/>
    <cellStyle name="百分比 2 3 7" xfId="25906"/>
    <cellStyle name="差 2 2 2 2 2 5" xfId="25907"/>
    <cellStyle name="汇总 2 2 5 3 2 8" xfId="25908"/>
    <cellStyle name="标题 1 3 3 3 2 2" xfId="25909"/>
    <cellStyle name="40% - 强调文字颜色 6 2 3 2 2 3 3" xfId="25910"/>
    <cellStyle name="常规 6 4 2" xfId="25911"/>
    <cellStyle name="20% - 强调文字颜色 4 4 2 2 2" xfId="25912"/>
    <cellStyle name="检查单元格 2 2 6 3 2 2" xfId="25913"/>
    <cellStyle name="20% - 强调文字颜色 4 2 2 3 3 3 2" xfId="25914"/>
    <cellStyle name="标题 1 2 3 3 7" xfId="25915"/>
    <cellStyle name="强调文字颜色 1 3 3 4" xfId="25916"/>
    <cellStyle name="Normal 4 2 2" xfId="25917"/>
    <cellStyle name="计算 2 2 3 3 6" xfId="25918"/>
    <cellStyle name="60% - 强调文字颜色 1 3 3" xfId="25919"/>
    <cellStyle name="60% - 强调文字颜色 6 2 2 7" xfId="25920"/>
    <cellStyle name="60% - 强调文字颜色 4 2 2 4 5 2 2" xfId="25921"/>
    <cellStyle name="输入 2 3 9 2 2" xfId="25922"/>
    <cellStyle name="好 2 2 4 3 2 2 2" xfId="25923"/>
    <cellStyle name="标题 2 2 2 4 3 4" xfId="25924"/>
    <cellStyle name="输入 2 5 2 2 2 3" xfId="25925"/>
    <cellStyle name="汇总 2 9 2 4 2" xfId="25926"/>
    <cellStyle name="Normal 2 2 2" xfId="25927"/>
    <cellStyle name="20% - 强调文字颜色 6 2 5 5" xfId="25928"/>
    <cellStyle name="20% - 强调文字颜色 3 2 3 2 2 4 2" xfId="25929"/>
    <cellStyle name="汇总 2 5 5 4 2 2" xfId="25930"/>
    <cellStyle name="标题 3 5 2 2 3" xfId="25931"/>
    <cellStyle name="40% - 强调文字颜色 4 3 2 2 3 2" xfId="25932"/>
    <cellStyle name="计算 2 2 4 2 2 3 4" xfId="25933"/>
    <cellStyle name="常规 6 7 2 2 2" xfId="25934"/>
    <cellStyle name="警告文本 2 3" xfId="25935"/>
    <cellStyle name="百分比 2 2 2 2 4" xfId="25936"/>
    <cellStyle name="输入 2 2 3 13" xfId="25937"/>
    <cellStyle name="好 2 8" xfId="25938"/>
    <cellStyle name="20% - 强调文字颜色 5 2 5 2" xfId="25939"/>
    <cellStyle name="计算 2 2 4 10 2 2" xfId="25940"/>
    <cellStyle name="注释 2 5 2 2 5 2" xfId="25941"/>
    <cellStyle name="20% - 强调文字颜色 3 2 2 3 2 2 2" xfId="25942"/>
    <cellStyle name="百分比 2 2 5 2" xfId="25943"/>
    <cellStyle name="计算 2 6 2 2 2 4 2 2" xfId="25944"/>
    <cellStyle name="标题 1 2 6 3 3" xfId="25945"/>
    <cellStyle name="60% - 强调文字颜色 6 6" xfId="25946"/>
    <cellStyle name="20% - 强调文字颜色 2 2 5 4" xfId="25947"/>
    <cellStyle name="输出 2 4 2 5" xfId="25948"/>
    <cellStyle name="注释 2 4 3 2 2 4" xfId="25949"/>
    <cellStyle name="常规 10 3 5 2" xfId="25950"/>
    <cellStyle name="20% - 强调文字颜色 6 2 2 2 2 2 2 2" xfId="25951"/>
    <cellStyle name="输入 2 3 2 2 2 3 3" xfId="25952"/>
    <cellStyle name="计算 3 2 3" xfId="25953"/>
    <cellStyle name="警告文本 3 3 2 2" xfId="25954"/>
    <cellStyle name="20% - 强调文字颜色 1 2 4 3 2 2 2" xfId="25955"/>
    <cellStyle name="标题 3 3 2 4 3" xfId="25956"/>
    <cellStyle name="注释 2 7 6 3" xfId="25957"/>
    <cellStyle name="计算 2 7 2 2 6 2" xfId="25958"/>
    <cellStyle name="60% - 强调文字颜色 5 2 3 2 2 2" xfId="25959"/>
    <cellStyle name="输出 2 4 3 2 4 3" xfId="25960"/>
    <cellStyle name="60% - 强调文字颜色 6 2 3 2 4 3 2" xfId="25961"/>
    <cellStyle name="百分比 2 2" xfId="25962"/>
    <cellStyle name="差 2 5 2 2 3" xfId="25963"/>
    <cellStyle name="20% - 强调文字颜色 2 2 4 4 2" xfId="25964"/>
    <cellStyle name="20% - 强调文字颜色 6 2 2 2 4 2 2 2" xfId="25965"/>
    <cellStyle name="20% - 强调文字颜色 6 2 4 2" xfId="25966"/>
    <cellStyle name="注释 2 3 3 2 4" xfId="25967"/>
    <cellStyle name="输出 2 2 5 2 2 3 2" xfId="25968"/>
    <cellStyle name="20% - 强调文字颜色 6 3 5 2 2" xfId="25969"/>
    <cellStyle name="40% - 强调文字颜色 5 4 2 3 2 2" xfId="25970"/>
    <cellStyle name="标题 4 2 2 4 2 3 2" xfId="25971"/>
    <cellStyle name="解释性文本 2 2 4 3" xfId="25972"/>
    <cellStyle name="汇总 2 10 5 2" xfId="25973"/>
    <cellStyle name="20% - 强调文字颜色 4 2 2 2 2 2 2" xfId="25974"/>
    <cellStyle name="40% - 强调文字颜色 1 2 2 2 2 2 2 2 2 2" xfId="25975"/>
    <cellStyle name="输出 2 2 3 2 2 3 4" xfId="25976"/>
    <cellStyle name="40% - 强调文字颜色 6 2 4 2" xfId="25977"/>
    <cellStyle name="常规 4 5 4" xfId="25978"/>
    <cellStyle name="40% - 强调文字颜色 6 2 2 4 3 2 2 2" xfId="25979"/>
    <cellStyle name="40% - 强调文字颜色 2 2 2 5 2 2" xfId="25980"/>
    <cellStyle name="计算 3 3 4 2 2" xfId="25981"/>
    <cellStyle name="20% - 强调文字颜色 4 2 3 2 4 2" xfId="25982"/>
    <cellStyle name="20% - 强调文字颜色 6 2 5" xfId="25983"/>
    <cellStyle name="40% - 强调文字颜色 2 2 2 4 3 2 2 2" xfId="25984"/>
    <cellStyle name="标题 4 3 9" xfId="25985"/>
    <cellStyle name="20% - 强调文字颜色 1 2 2 3" xfId="25986"/>
    <cellStyle name="20% - 强调文字颜色 3 2 2 4 3" xfId="25987"/>
    <cellStyle name="强调文字颜色 1 2 2 2 2 3 2 2 2" xfId="25988"/>
    <cellStyle name="60% - 强调文字颜色 4 2 3 3 6" xfId="25989"/>
    <cellStyle name="常规 2 3 3 4" xfId="25990"/>
    <cellStyle name="输出 2 4 5 4" xfId="25991"/>
    <cellStyle name="标题 4 2 2 4 6" xfId="25992"/>
    <cellStyle name="输出 2 5" xfId="25993"/>
    <cellStyle name="60% - 强调文字颜色 4 2 2 2 2 3 2 2" xfId="25994"/>
    <cellStyle name="输出 2 2 3 10" xfId="25995"/>
    <cellStyle name="20% - 强调文字颜色 1 2 4 5" xfId="25996"/>
    <cellStyle name="40% - 强调文字颜色 3 2 2 4 3 2 2" xfId="25997"/>
    <cellStyle name="注释 2 2 6 6" xfId="25998"/>
    <cellStyle name="常规 4 2 2 2 3 5" xfId="25999"/>
    <cellStyle name="汇总 2 3 7 2 2" xfId="26000"/>
    <cellStyle name="输入 2 2 7 3 2 2 2" xfId="26001"/>
    <cellStyle name="计算 2 6 2 6 2 2" xfId="26002"/>
    <cellStyle name="常规 10 4 2" xfId="26003"/>
    <cellStyle name="40% - 强调文字颜色 4 2 5 4 2" xfId="26004"/>
    <cellStyle name="40% - 强调文字颜色 6 2 4 5 2 2" xfId="26005"/>
    <cellStyle name="标题 2 2 3 2 2 5" xfId="26006"/>
    <cellStyle name="好 2 2 2 2 2 2 2" xfId="26007"/>
    <cellStyle name="输入 2 3 3 2" xfId="26008"/>
    <cellStyle name="常规 4 2 4 3 5" xfId="26009"/>
    <cellStyle name="计算 2 2 4 2 2 4 2 2" xfId="26010"/>
    <cellStyle name="输入 4 3" xfId="26011"/>
    <cellStyle name="标题 1 2 2 2 2 2 2 2 2 2" xfId="26012"/>
    <cellStyle name="20% - 强调文字颜色 1 2 3 3 4" xfId="26013"/>
    <cellStyle name="输入 2 2 2 2 2 2 3 3" xfId="26014"/>
    <cellStyle name="标题 1 2 4 3 3" xfId="26015"/>
    <cellStyle name="差 2 3 2 2 4" xfId="26016"/>
    <cellStyle name="40% - 强调文字颜色 5 3" xfId="26017"/>
    <cellStyle name="20% - 强调文字颜色 6 2 2 3 4" xfId="26018"/>
    <cellStyle name="40% - 强调文字颜色 1 2 2 2 6 2 2 2" xfId="26019"/>
    <cellStyle name="汇总 3 2 2 3 3" xfId="26020"/>
    <cellStyle name="20% - 强调文字颜色 6 2 2 2 6 2 2" xfId="26021"/>
    <cellStyle name="汇总 2 4 2 7 2" xfId="26022"/>
    <cellStyle name="40% - 强调文字颜色 3 2 3 5" xfId="26023"/>
    <cellStyle name="汇总 2 8 4 2 2" xfId="26024"/>
    <cellStyle name="20% - 强调文字颜色 1 2 3 2 2 2 3" xfId="26025"/>
    <cellStyle name="输出 4 6 2" xfId="26026"/>
    <cellStyle name="警告文本 2 2 2 4" xfId="26027"/>
    <cellStyle name="20% - 强调文字颜色 3 2 4 7" xfId="26028"/>
    <cellStyle name="60% - 强调文字颜色 6 2 4 3 4" xfId="26029"/>
    <cellStyle name="汇总 2 2 4 4 4 2" xfId="26030"/>
    <cellStyle name="输出 2 2 2 2 2 2 7" xfId="26031"/>
    <cellStyle name="计算 2 2 4 5 4 3" xfId="26032"/>
    <cellStyle name="标题 3 2 3 2 3 3" xfId="26033"/>
    <cellStyle name="40% - 强调文字颜色 2 2 2 6 2 2" xfId="26034"/>
    <cellStyle name="输入 2 2 3 2 2 7" xfId="26035"/>
    <cellStyle name="40% - 强调文字颜色 4 2 2 2 2 2 2" xfId="26036"/>
    <cellStyle name="计算 2 8 3 7" xfId="26037"/>
    <cellStyle name="标题 2 2 3 2 3 2 2 3" xfId="26038"/>
    <cellStyle name="注释 3 4 2 2 2" xfId="26039"/>
    <cellStyle name="汇总 2 2 2 3 2 7" xfId="26040"/>
    <cellStyle name="40% - 强调文字颜色 6 2 2 2 2 2 4 3" xfId="26041"/>
    <cellStyle name="百分比 2 5 2 2" xfId="26042"/>
    <cellStyle name="常规 5 3 2 2 3 4" xfId="26043"/>
    <cellStyle name="常规 13 2 2 2 4 2 2" xfId="26044"/>
    <cellStyle name="40% - 强调文字颜色 2 2 2 3 5 2" xfId="26045"/>
    <cellStyle name="40% - 强调文字颜色 5 2 5 2 3 2" xfId="26046"/>
    <cellStyle name="标题 1 2 4 5 2 2" xfId="26047"/>
    <cellStyle name="40% - 强调文字颜色 5 2 3 6" xfId="26048"/>
    <cellStyle name="标题 4 2 2 3 5 3" xfId="26049"/>
    <cellStyle name="标题 4 2 2 4 4" xfId="26050"/>
    <cellStyle name="注释 2 2 3" xfId="26051"/>
    <cellStyle name="注释 2 2 7 3 2 5" xfId="26052"/>
    <cellStyle name="60% - 强调文字颜色 3 2 3 2 2 2 2 2 2" xfId="26053"/>
    <cellStyle name="20% - 强调文字颜色 5 2 3 2 2 2 3" xfId="26054"/>
    <cellStyle name="60% - 强调文字颜色 2 2 2 2 2 4 3 2" xfId="26055"/>
    <cellStyle name="标题 2 2 3 2 6" xfId="26056"/>
    <cellStyle name="汇总 2 2 8 4 2 2" xfId="26057"/>
    <cellStyle name="计算 2 3 8 2 2" xfId="26058"/>
    <cellStyle name="60% - 强调文字颜色 5 2 2 3 3 2 2" xfId="26059"/>
    <cellStyle name="链接单元格 2 2 5 2 2 2" xfId="26060"/>
    <cellStyle name="计算 2 5 2 2 2 2 2 2 2" xfId="26061"/>
    <cellStyle name="常规 3 2 8" xfId="26062"/>
    <cellStyle name="标题 2 3 5 2 2 2" xfId="26063"/>
    <cellStyle name="注释 2 4 2 9" xfId="26064"/>
    <cellStyle name="注释 2 8 3 2 2" xfId="26065"/>
    <cellStyle name="输出 2 2 6 2 2 4" xfId="26066"/>
    <cellStyle name="常规 3 3 7 4" xfId="26067"/>
    <cellStyle name="40% - 强调文字颜色 2 4 2 4 2" xfId="26068"/>
    <cellStyle name="输入 2 5 3 8" xfId="26069"/>
    <cellStyle name="标题 4 3 2 5 2" xfId="26070"/>
    <cellStyle name="40% - 强调文字颜色 3 2 2 2 2 2 3 2 2" xfId="26071"/>
    <cellStyle name="20% - 强调文字颜色 5 2 2 2 4 2 2 2" xfId="26072"/>
    <cellStyle name="输入 2 5 2 3 2 3 2" xfId="26073"/>
    <cellStyle name="常规 5 2 2 2 6" xfId="26074"/>
    <cellStyle name="计算 2 2 4 2 2 2 7" xfId="26075"/>
    <cellStyle name="百分比 2 2 4 2 2" xfId="26076"/>
    <cellStyle name="标题 1 2 2 5 3 2 2" xfId="26077"/>
    <cellStyle name="20% - 强调文字颜色 2 2 2 9" xfId="26078"/>
    <cellStyle name="汇总 2 5 2 2 2 2 2 2 2" xfId="26079"/>
    <cellStyle name="60% - 强调文字颜色 5 2 3 2 2 4" xfId="26080"/>
    <cellStyle name="强调文字颜色 3 2 2 3 4 2" xfId="26081"/>
    <cellStyle name="20% - 强调文字颜色 1 2 3 4 2 2" xfId="26082"/>
    <cellStyle name="40% - 强调文字颜色 5 4 4 2" xfId="26083"/>
    <cellStyle name="输入 2 2 5 2 6 2" xfId="26084"/>
    <cellStyle name="强调文字颜色 2 2 4" xfId="26085"/>
    <cellStyle name="汇总 2 2 3 2 4 5" xfId="26086"/>
    <cellStyle name="注释 2 2 3 5 2" xfId="26087"/>
    <cellStyle name="20% - 强调文字颜色 3 2 2 2 2 4 2" xfId="26088"/>
    <cellStyle name="强调文字颜色 5 4 4" xfId="26089"/>
    <cellStyle name="解释性文本 2 4 3" xfId="26090"/>
    <cellStyle name="警告文本 3 3" xfId="26091"/>
    <cellStyle name="百分比 2 2 2 3 4" xfId="26092"/>
    <cellStyle name="40% - 强调文字颜色 4 3 5 2 2 2" xfId="26093"/>
    <cellStyle name="60% - 强调文字颜色 1 2 3 2 2 2 2" xfId="26094"/>
    <cellStyle name="40% - 强调文字颜色 5 2 3 2 4 3" xfId="26095"/>
    <cellStyle name="40% - 强调文字颜色 6 3 3 3 2 2 2" xfId="26096"/>
    <cellStyle name="常规 13 4 2 2 2" xfId="26097"/>
    <cellStyle name="差 2 2 2 2 3 2" xfId="26098"/>
    <cellStyle name="汇总 2 2 6 4 7" xfId="26099"/>
    <cellStyle name="注释 2 5 11" xfId="26100"/>
    <cellStyle name="标题 4 5 2 2 2" xfId="26101"/>
    <cellStyle name="20% - 强调文字颜色 4 2 2 4 2 3" xfId="26102"/>
    <cellStyle name="20% - 强调文字颜色 2 4 2" xfId="26103"/>
    <cellStyle name="强调文字颜色 2 2 3 3 2" xfId="26104"/>
    <cellStyle name="常规 4 3 5" xfId="26105"/>
    <cellStyle name="40% - 强调文字颜色 6 2 2 3" xfId="26106"/>
    <cellStyle name="20% - 强调文字颜色 6 2 2 2 2 2 3" xfId="26107"/>
    <cellStyle name="20% - 强调文字颜色 4 2 5" xfId="26108"/>
    <cellStyle name="注释 2 2 4 2 5 3" xfId="26109"/>
    <cellStyle name="60% - 强调文字颜色 1 2 3 3 6" xfId="26110"/>
    <cellStyle name="常规 6 2 2 5" xfId="26111"/>
    <cellStyle name="20% - 强调文字颜色 4 2 2 4 4 2" xfId="26112"/>
    <cellStyle name="标题 4 2 4 4 3" xfId="26113"/>
    <cellStyle name="强调文字颜色 3 2 2 2 2 5 2 2" xfId="26114"/>
    <cellStyle name="标题 2 2 2 2 3 5" xfId="26115"/>
    <cellStyle name="标题 1 3 3 2 2 2 2" xfId="26116"/>
    <cellStyle name="40% - 强调文字颜色 2 2 3 2 2 4 2" xfId="26117"/>
    <cellStyle name="汇总 2 4 6 2" xfId="26118"/>
    <cellStyle name="输出 7" xfId="26119"/>
    <cellStyle name="标题 2 2 2 2 2 2 3" xfId="26120"/>
    <cellStyle name="解释性文本 2 4 3 3 2" xfId="26121"/>
    <cellStyle name="计算 4 2 7 2" xfId="26122"/>
    <cellStyle name="计算 3 3 9" xfId="26123"/>
    <cellStyle name="40% - 强调文字颜色 4 2 2 4" xfId="26124"/>
    <cellStyle name="标题 4 2 6 4" xfId="26125"/>
    <cellStyle name="20% - 强调文字颜色 1 2 7" xfId="26126"/>
    <cellStyle name="20% - 强调文字颜色 2 2 4 3 3 2" xfId="26127"/>
    <cellStyle name="40% - 强调文字颜色 4 2 3 4 2 2" xfId="26128"/>
    <cellStyle name="20% - 强调文字颜色 1 2 3 3 2 2 2 2 2" xfId="26129"/>
    <cellStyle name="20% - 强调文字颜色 2 2 2 2 2 2 4 3" xfId="26130"/>
    <cellStyle name="计算 2 5 2 3 3 3 3" xfId="26131"/>
    <cellStyle name="标题 2 2 5 3 2" xfId="26132"/>
    <cellStyle name="汇总 3 3 8" xfId="26133"/>
    <cellStyle name="40% - 强调文字颜色 2 3 3" xfId="26134"/>
    <cellStyle name="常规 4 4 4 2 2" xfId="26135"/>
    <cellStyle name="40% - 强调文字颜色 6 2 3 2 2 2" xfId="26136"/>
    <cellStyle name="常规 3 7 2" xfId="26137"/>
    <cellStyle name="20% - 强调文字颜色 4 2 6 3" xfId="26138"/>
    <cellStyle name="强调文字颜色 5 2 2 3 4 3 2" xfId="26139"/>
    <cellStyle name="20% - 强调文字颜色 5 2 3 5 2 2" xfId="26140"/>
    <cellStyle name="60% - 强调文字颜色 6 3 5 2" xfId="26141"/>
    <cellStyle name="输出 2 2 4 2 3 3 2" xfId="26142"/>
    <cellStyle name="输入 2 5 4 2 2 3" xfId="26143"/>
    <cellStyle name="检查单元格 2 3 2 2" xfId="26144"/>
    <cellStyle name="20% - 强调文字颜色 2 2 3 4 2 2 2" xfId="26145"/>
    <cellStyle name="差 2 2 3 4 2 3" xfId="26146"/>
    <cellStyle name="汇总 2 2 3 2 3 4 2" xfId="26147"/>
    <cellStyle name="常规 4 3 4 2" xfId="26148"/>
    <cellStyle name="40% - 强调文字颜色 6 2 2 2 2" xfId="26149"/>
    <cellStyle name="计算 2 2 5 3 4" xfId="26150"/>
    <cellStyle name="强调文字颜色 6 2 2 3 4 3" xfId="26151"/>
    <cellStyle name="汇总 2 2 3 2 2 3 5" xfId="26152"/>
    <cellStyle name="常规 5 3 2 2 3 4 2" xfId="26153"/>
    <cellStyle name="汇总 2 2 6 2 3 4" xfId="26154"/>
    <cellStyle name="输入 2 2 2 2 3 2 2 2" xfId="26155"/>
    <cellStyle name="40% - 强调文字颜色 4 2 2 2 3 3" xfId="26156"/>
    <cellStyle name="20% - 强调文字颜色 1 2 2 2 2 2 5 2" xfId="26157"/>
    <cellStyle name="计算 2 2 3 2 2 3 5" xfId="26158"/>
    <cellStyle name="标题 3 2 3 2 3 2 2" xfId="26159"/>
    <cellStyle name="标题 2 2 2 2 2 3 3" xfId="26160"/>
    <cellStyle name="60% - 强调文字颜色 6 2 4 2 2 2" xfId="26161"/>
    <cellStyle name="60% - 强调文字颜色 4 2 2 2 2 6" xfId="26162"/>
    <cellStyle name="60% - 强调文字颜色 6 2" xfId="26163"/>
    <cellStyle name="输出 2 3 2 6 2 2" xfId="26164"/>
    <cellStyle name="计算 2 3 2 2 8" xfId="26165"/>
    <cellStyle name="百分比 2 3 5 2 2" xfId="26166"/>
    <cellStyle name="超链接 2 3 4 3 2" xfId="26167"/>
    <cellStyle name="标题 3 2 2 3 7" xfId="26168"/>
    <cellStyle name="常规 10 2 4 2 3" xfId="26169"/>
    <cellStyle name="20% - 强调文字颜色 5 2 2 3 7" xfId="26170"/>
    <cellStyle name="输出 2 2 5 2 8" xfId="26171"/>
    <cellStyle name="20% - 强调文字颜色 5 3 7" xfId="26172"/>
    <cellStyle name="标题 1 5 2 2 3" xfId="26173"/>
    <cellStyle name="20% - 强调文字颜色 4 2 2 8" xfId="26174"/>
    <cellStyle name="20% - 强调文字颜色 1 2 10" xfId="26175"/>
    <cellStyle name="40% - 强调文字颜色 3 2 2 4 4" xfId="26176"/>
    <cellStyle name="常规 7 2 3 3" xfId="26177"/>
    <cellStyle name="输出 2 2 2 2 2" xfId="26178"/>
    <cellStyle name="输出 2 6 4 2 5" xfId="26179"/>
    <cellStyle name="标题 3 2 3 3 6" xfId="26180"/>
    <cellStyle name="输出 2 5 2 2 2 2 3" xfId="26181"/>
    <cellStyle name="20% - 强调文字颜色 3 2 2 2 2 2 5 2 2" xfId="26182"/>
    <cellStyle name="强调文字颜色 5 2 7 2 2" xfId="26183"/>
    <cellStyle name="汇总 2 4" xfId="26184"/>
    <cellStyle name="标题 3 2 4 3 2 2 2" xfId="26185"/>
    <cellStyle name="常规 4 5 4 2" xfId="26186"/>
    <cellStyle name="40% - 强调文字颜色 6 2 4 2 2" xfId="26187"/>
    <cellStyle name="计算 2 2 7 3 2 7" xfId="26188"/>
    <cellStyle name="20% - 强调文字颜色 3 2 2 2 2 4 2 2" xfId="26189"/>
    <cellStyle name="强调文字颜色 5 4 4 2" xfId="26190"/>
    <cellStyle name="解释性文本 2 2 4 5 2 2" xfId="26191"/>
    <cellStyle name="强调文字颜色 3 2 2 2 2 3 2 2" xfId="26192"/>
    <cellStyle name="20% - 强调文字颜色 2 2 3 2 2 3" xfId="26193"/>
    <cellStyle name="20% - 强调文字颜色 3 2 2 2 2 5 2 2 2" xfId="26194"/>
    <cellStyle name="40% - 强调文字颜色 3 5 2 2 2 2" xfId="26195"/>
    <cellStyle name="注释 2 5 2 3 3 2" xfId="26196"/>
    <cellStyle name="40% - 强调文字颜色 4 2 2 2 2 2 4 2 2" xfId="26197"/>
    <cellStyle name="60% - 强调文字颜色 3 4" xfId="26198"/>
    <cellStyle name="标题 1 2 3 2 4 2 2" xfId="26199"/>
    <cellStyle name="40% - 强调文字颜色 5 2 3 4 2" xfId="26200"/>
    <cellStyle name="标题 6 5 2 3" xfId="26201"/>
    <cellStyle name="标题 3 3 11" xfId="26202"/>
    <cellStyle name="汇总 2 4 9 2 2" xfId="26203"/>
    <cellStyle name="40% - 强调文字颜色 5 2 2 4 5" xfId="26204"/>
    <cellStyle name="常规 11 4 3 2" xfId="26205"/>
    <cellStyle name="超链接 2 3 2 4 3" xfId="26206"/>
    <cellStyle name="常规 7 2 2 3 3 2" xfId="26207"/>
    <cellStyle name="20% - 强调文字颜色 3 2 5 2 2" xfId="26208"/>
    <cellStyle name="标题 4 2 2 2 2 3 2 3" xfId="26209"/>
    <cellStyle name="标题 3 2 5 2 2" xfId="26210"/>
    <cellStyle name="计算 2 2 6 7 2 2" xfId="26211"/>
    <cellStyle name="汇总 2 5 6 4" xfId="26212"/>
    <cellStyle name="输出 2 6 3 2 5" xfId="26213"/>
    <cellStyle name="输出 5 6 2" xfId="26214"/>
    <cellStyle name="20% - 强调文字颜色 2 2 2 3 3 2 2" xfId="26215"/>
    <cellStyle name="40% - 强调文字颜色 6 2 3 2 2 2 3" xfId="26216"/>
    <cellStyle name="常规 6 3 2" xfId="26217"/>
    <cellStyle name="40% - 强调文字颜色 4 2 2 2 2 2 3 3 2 2" xfId="26218"/>
    <cellStyle name="60% - 强调文字颜色 6 4" xfId="26219"/>
    <cellStyle name="60% - 强调文字颜色 1 2 2 4 2 2" xfId="26220"/>
    <cellStyle name="标题 4 2 3 4 4" xfId="26221"/>
    <cellStyle name="强调文字颜色 5 2 2 3 5" xfId="26222"/>
    <cellStyle name="输出 2 4 5 2 2" xfId="26223"/>
    <cellStyle name="常规 9 5 3 3" xfId="26224"/>
    <cellStyle name="常规 2 3 3 2 2" xfId="26225"/>
    <cellStyle name="好 2 2 2 3 2 2 2 2" xfId="26226"/>
    <cellStyle name="输入 2 2 10 5" xfId="26227"/>
    <cellStyle name="解释性文本 2 2 4 2 3 2" xfId="26228"/>
    <cellStyle name="输出 2 2 4 3 6" xfId="26229"/>
    <cellStyle name="超链接 3 3 4 2 2 2" xfId="26230"/>
    <cellStyle name="20% - 强调文字颜色 4 2 3 6 2" xfId="26231"/>
    <cellStyle name="Normal 2 5 2 2" xfId="26232"/>
    <cellStyle name="汇总 5 3" xfId="26233"/>
    <cellStyle name="汇总 2 2 5 2 4 4 2" xfId="26234"/>
    <cellStyle name="好 2 3 4 3" xfId="26235"/>
    <cellStyle name="40% - 强调文字颜色 2 2 2 9" xfId="26236"/>
    <cellStyle name="计算 2 5 2 4 4 2 2" xfId="26237"/>
    <cellStyle name="输出 2 4 2 8" xfId="26238"/>
    <cellStyle name="60% - 强调文字颜色 1 2 2 4 3 3" xfId="26239"/>
    <cellStyle name="强调文字颜色 2 2 4 2 2 3" xfId="26240"/>
    <cellStyle name="20% - 强调文字颜色 3 3 2 3" xfId="26241"/>
    <cellStyle name="输入 2 3 2 2 3" xfId="26242"/>
    <cellStyle name="强调文字颜色 1 2" xfId="26243"/>
    <cellStyle name="解释性文本 2 2 5 2 2" xfId="26244"/>
    <cellStyle name="40% - 强调文字颜色 4 2 3 2 2" xfId="26245"/>
    <cellStyle name="汇总 2 6 2 7 2" xfId="26246"/>
    <cellStyle name="20% - 强调文字颜色 4 2 3 2 2 2 2" xfId="26247"/>
    <cellStyle name="汇总 2 2 5 2 4 3 2 2" xfId="26248"/>
    <cellStyle name="警告文本 2 2 2 3 2" xfId="26249"/>
    <cellStyle name="60% - 强调文字颜色 6 2 4 3 3 2" xfId="26250"/>
    <cellStyle name="注释 2 2 3 2 2 2 5" xfId="26251"/>
    <cellStyle name="输入 2 2 3 2 7 2" xfId="26252"/>
    <cellStyle name="计算 2 3 8" xfId="26253"/>
    <cellStyle name="20% - 强调文字颜色 3 2 2 4 2 3" xfId="26254"/>
    <cellStyle name="汇总 2 2 5 2 2 6 2" xfId="26255"/>
    <cellStyle name="注释 2 4 3 3 3 2" xfId="26256"/>
    <cellStyle name="40% - 强调文字颜色 3 4 3 2 2 2" xfId="26257"/>
    <cellStyle name="强调文字颜色 3 2 3 2 5 2" xfId="26258"/>
    <cellStyle name="40% - 强调文字颜色 5 2 3 4 3" xfId="26259"/>
    <cellStyle name="输入 3 4 2 3" xfId="26260"/>
    <cellStyle name="40% - 强调文字颜色 2 3 5 2 2 2" xfId="26261"/>
    <cellStyle name="强调文字颜色 2 4 2 2" xfId="26262"/>
    <cellStyle name="汇总 2 2 3 4 2 4 2 2" xfId="26263"/>
    <cellStyle name="40% - 强调文字颜色 2 2 5" xfId="26264"/>
    <cellStyle name="40% - 强调文字颜色 1 2 4 7" xfId="26265"/>
    <cellStyle name="注释 2 12 3" xfId="26266"/>
    <cellStyle name="常规 4 4 2 2 3 3" xfId="26267"/>
    <cellStyle name="汇总 2 8 7 2" xfId="26268"/>
    <cellStyle name="60% - 强调文字颜色 6 2 5 2 2 3" xfId="26269"/>
    <cellStyle name="40% - 强调文字颜色 3 2 5 3" xfId="26270"/>
    <cellStyle name="解释性文本 2 5 2 2 2" xfId="26271"/>
    <cellStyle name="适中 4 2" xfId="26272"/>
    <cellStyle name="链接单元格 3" xfId="26273"/>
    <cellStyle name="20% - 强调文字颜色 2 2 3 3 2 2" xfId="26274"/>
    <cellStyle name="计算 2 5 3 3 2" xfId="26275"/>
    <cellStyle name="标题 2 2 2 3 4 2 3" xfId="26276"/>
    <cellStyle name="20% - 强调文字颜色 2 2 2 7 2 2" xfId="26277"/>
    <cellStyle name="计算 2 2 4 2 3 7" xfId="26278"/>
    <cellStyle name="20% - 强调文字颜色 2 2 3 2 5 2" xfId="26279"/>
    <cellStyle name="标题 2 2 2 5 3 2 2" xfId="26280"/>
    <cellStyle name="常规 4 7 2" xfId="26281"/>
    <cellStyle name="40% - 强调文字颜色 5 2 2 7" xfId="26282"/>
    <cellStyle name="强调文字颜色 2 2 2 2 2 2 2 2" xfId="26283"/>
    <cellStyle name="20% - 强调文字颜色 1 3 2 2 2 2" xfId="26284"/>
    <cellStyle name="标题 1 2 2 3 3 4" xfId="26285"/>
    <cellStyle name="计算 2 6 2 3 3 3" xfId="26286"/>
    <cellStyle name="40% - 强调文字颜色 2 2 4 2" xfId="26287"/>
    <cellStyle name="计算 2 2 6 3 2 2 2" xfId="26288"/>
    <cellStyle name="60% - 强调文字颜色 6 2 2 6 3 3" xfId="26289"/>
    <cellStyle name="20% - 强调文字颜色 4 2 3 4 2 2" xfId="26290"/>
    <cellStyle name="注释 2 5 2 2 3 2 2" xfId="26291"/>
    <cellStyle name="40% - 强调文字颜色 5 3 3 3 2 2 2" xfId="26292"/>
    <cellStyle name="标题 5 3 5 2 2 3" xfId="26293"/>
    <cellStyle name="输入 2 2 2 3 4 2 2" xfId="26294"/>
    <cellStyle name="40% - 强调文字颜色 2 5 2 2 2" xfId="26295"/>
    <cellStyle name="60% - 强调文字颜色 1 2 3 2 3 2 2" xfId="26296"/>
    <cellStyle name="强调文字颜色 1 2 3 2 2 2 3" xfId="26297"/>
    <cellStyle name="注释 2 6 2 2 6" xfId="26298"/>
    <cellStyle name="常规 3 2 2 2 2 2 2" xfId="26299"/>
    <cellStyle name="标题 4 5 2 2" xfId="26300"/>
    <cellStyle name="40% - 强调文字颜色 4 2 3 3 3" xfId="26301"/>
    <cellStyle name="输入 2 5 2 12" xfId="26302"/>
    <cellStyle name="适中 3 7 2 2" xfId="26303"/>
    <cellStyle name="强调文字颜色 1 2 2 5 3 3" xfId="26304"/>
    <cellStyle name="检查单元格 2 2 4 4 3" xfId="26305"/>
    <cellStyle name="标题 4 2 4 3 3" xfId="26306"/>
    <cellStyle name="40% - 强调文字颜色 1 2 2 2 5 2 2 2" xfId="26307"/>
    <cellStyle name="20% - 强调文字颜色 1 2 9 2" xfId="26308"/>
    <cellStyle name="常规 9 2 7" xfId="26309"/>
    <cellStyle name="20% - 强调文字颜色 6 2 6 2 2 2" xfId="26310"/>
    <cellStyle name="20% - 强调文字颜色 5 2 2 2 2 2 5 2 2" xfId="26311"/>
    <cellStyle name="链接单元格 2 6 3 2" xfId="26312"/>
    <cellStyle name="60% - 强调文字颜色 4 2 2 5 2" xfId="26313"/>
    <cellStyle name="标题 1 2 4 3 4" xfId="26314"/>
    <cellStyle name="强调文字颜色 1 2 2 2 2 4 3 2" xfId="26315"/>
    <cellStyle name="60% - 强调文字颜色 6 2 2 2 6 2 2" xfId="26316"/>
    <cellStyle name="汇总 2 2 4 2 3 4 2 2" xfId="26317"/>
    <cellStyle name="解释性文本 2 2 2 2 3 2 3" xfId="26318"/>
    <cellStyle name="常规 4 6 2 2 2" xfId="26319"/>
    <cellStyle name="20% - 强调文字颜色 4 2 4 5 2 2" xfId="26320"/>
    <cellStyle name="40% - 强调文字颜色 5 3 3 3 2" xfId="26321"/>
    <cellStyle name="计算 2 2 2 4 4" xfId="26322"/>
    <cellStyle name="20% - 强调文字颜色 5 2 2 3 2 2 2 2" xfId="26323"/>
    <cellStyle name="标题 1 3 2 2 2" xfId="26324"/>
    <cellStyle name="20% - 强调文字颜色 2 4 2 4" xfId="26325"/>
    <cellStyle name="40% - 强调文字颜色 1 2 3 3 2 2" xfId="26326"/>
    <cellStyle name="输入 2 5 3 2 3" xfId="26327"/>
    <cellStyle name="解释性文本 2 4 6 2 2" xfId="26328"/>
    <cellStyle name="输出 2 2 3 2 2 2 2 2" xfId="26329"/>
    <cellStyle name="计算 3 2 2 4 3" xfId="26330"/>
    <cellStyle name="注释 2 5 2 5 2" xfId="26331"/>
    <cellStyle name="汇总 2 2 7 4 3 2 2" xfId="26332"/>
    <cellStyle name="40% - 强调文字颜色 5 3 3 3" xfId="26333"/>
    <cellStyle name="常规 5 4 2 2 2 2" xfId="26334"/>
    <cellStyle name="标题 1 4 2 5" xfId="26335"/>
    <cellStyle name="注释 2 4 2 2 3 2 3" xfId="26336"/>
    <cellStyle name="注释 2 7 2 7" xfId="26337"/>
    <cellStyle name="标题 4 3 3 4" xfId="26338"/>
    <cellStyle name="20% - 强调文字颜色 1 2 2 2 6 2 2" xfId="26339"/>
    <cellStyle name="标题 4 2 2 4 4 2" xfId="26340"/>
    <cellStyle name="常规 3 3 2 5" xfId="26341"/>
    <cellStyle name="40% - 强调文字颜色 2 2 7 2" xfId="26342"/>
    <cellStyle name="汇总 2 8" xfId="26343"/>
    <cellStyle name="20% - 强调文字颜色 6 2 2 6 2" xfId="26344"/>
    <cellStyle name="输入 2 2 4 2 3 3 2 2" xfId="26345"/>
    <cellStyle name="计算 2 4 2 2 8" xfId="26346"/>
    <cellStyle name="40% - 强调文字颜色 3 2 2 2 2 4 2" xfId="26347"/>
    <cellStyle name="40% - 强调文字颜色 1 2 2 2 2 3" xfId="26348"/>
    <cellStyle name="20% - 强调文字颜色 3 3 3 2 2 2" xfId="26349"/>
    <cellStyle name="20% - 强调文字颜色 3 2 2 3 7" xfId="26350"/>
    <cellStyle name="常规 3 3 2 4 3 2 2" xfId="26351"/>
    <cellStyle name="常规 5 2 3 3 3" xfId="26352"/>
    <cellStyle name="20% - 强调文字颜色 5 2 7 3" xfId="26353"/>
    <cellStyle name="注释 2 2 4 4 2 2 2" xfId="26354"/>
    <cellStyle name="标题 5 9 2" xfId="26355"/>
    <cellStyle name="汇总 2 2 8 5 4" xfId="26356"/>
    <cellStyle name="说明文本 3 3" xfId="26357"/>
    <cellStyle name="汇总 2 2 3 4 3" xfId="26358"/>
    <cellStyle name="强调文字颜色 2 2 2 5 2 3" xfId="26359"/>
    <cellStyle name="输出 2 6 5 3" xfId="26360"/>
    <cellStyle name="常规 5 3 3 3 3 2 2" xfId="26361"/>
    <cellStyle name="标题 1 2 3 3 2 2 2 2 2" xfId="26362"/>
    <cellStyle name="输入 2 2 2 3 2 3 2" xfId="26363"/>
    <cellStyle name="60% - 强调文字颜色 2 2 2 2 6 2 2 2" xfId="26364"/>
    <cellStyle name="计算 2 2 4 2 2 5 3" xfId="26365"/>
    <cellStyle name="输入 2 2 4 2 2 8" xfId="26366"/>
    <cellStyle name="汇总 2 5 3 2 3 2 2" xfId="26367"/>
    <cellStyle name="警告文本 2 3 7" xfId="26368"/>
    <cellStyle name="40% - 强调文字颜色 4 3 6 2" xfId="26369"/>
    <cellStyle name="20% - 强调文字颜色 2 2 3 2 2 3 3 2 2" xfId="26370"/>
    <cellStyle name="60% - 强调文字颜色 3 2 2 4" xfId="26371"/>
    <cellStyle name="40% - 强调文字颜色 4 2 2 2 7 2" xfId="26372"/>
    <cellStyle name="40% - 强调文字颜色 5 2 2 6" xfId="26373"/>
    <cellStyle name="40% - 强调文字颜色 6 2 2 2 2 2 3 2 2" xfId="26374"/>
    <cellStyle name="计算 3 5 4 2" xfId="26375"/>
    <cellStyle name="40% - 强调文字颜色 2 3 2 2 3 2" xfId="26376"/>
    <cellStyle name="计算 2 8 12" xfId="26377"/>
    <cellStyle name="60% - 强调文字颜色 1 2 4 4 2 2" xfId="26378"/>
    <cellStyle name="60% - 强调文字颜色 2 2 2 10" xfId="26379"/>
    <cellStyle name="计算 2 2 6 3 8" xfId="26380"/>
    <cellStyle name="60% - 强调文字颜色 4 3 5" xfId="26381"/>
    <cellStyle name="输入 2 2 10 2 3" xfId="26382"/>
    <cellStyle name="常规 3 3 3 6" xfId="26383"/>
    <cellStyle name="标题 4 2 3 5 2" xfId="26384"/>
    <cellStyle name="20% - 强调文字颜色 5 2 7" xfId="26385"/>
    <cellStyle name="输出 2 2 4 6 2" xfId="26386"/>
    <cellStyle name="输入 4 2 5 2 2" xfId="26387"/>
    <cellStyle name="好 2 2 3 7" xfId="26388"/>
    <cellStyle name="标题 3 3 5 2 2 2" xfId="26389"/>
    <cellStyle name="60% - 强调文字颜色 6 4 2 2 2 2" xfId="26390"/>
    <cellStyle name="40% - 强调文字颜色 4 2 2 6 2 2 2" xfId="26391"/>
    <cellStyle name="20% - 强调文字颜色 6 2 2 7 2 2" xfId="26392"/>
    <cellStyle name="20% - 强调文字颜色 2 2 4 2 2 2 2 2" xfId="26393"/>
    <cellStyle name="计算 2 6 2 5 2" xfId="26394"/>
    <cellStyle name="40% - 强调文字颜色 2 2 2 4 5 2" xfId="26395"/>
    <cellStyle name="常规 3 2 6" xfId="26396"/>
    <cellStyle name="输出 3 3 8" xfId="26397"/>
    <cellStyle name="汇总 2 2 6 4 3 3" xfId="26398"/>
    <cellStyle name="40% - 强调文字颜色 4 2 2 3 4 2 2" xfId="26399"/>
    <cellStyle name="计算 2 2 10 4 2 2" xfId="26400"/>
    <cellStyle name="40% - 强调文字颜色 6 2 2 7 2" xfId="26401"/>
    <cellStyle name="强调文字颜色 5 3 2 5" xfId="26402"/>
    <cellStyle name="标题 1 2 4 4 3 2" xfId="26403"/>
    <cellStyle name="常规 6 3 2 2 2 2 2" xfId="26404"/>
    <cellStyle name="20% - 强调文字颜色 1 2 2 2 2 2 5" xfId="26405"/>
    <cellStyle name="标题 5 2 2 3 2 2 2 2 2" xfId="26406"/>
    <cellStyle name="适中 2 4 5" xfId="26407"/>
    <cellStyle name="20% - 强调文字颜色 4 2 2 3 7" xfId="26408"/>
    <cellStyle name="输出 2 3 3" xfId="26409"/>
    <cellStyle name="40% - 强调文字颜色 2 2 2 2 2 4" xfId="26410"/>
    <cellStyle name="汇总 2 2 2 2 2 5 2 2" xfId="26411"/>
    <cellStyle name="20% - 强调文字颜色 5 2 2 7" xfId="26412"/>
    <cellStyle name="标题 4 2 4 3 4" xfId="26413"/>
    <cellStyle name="输入 2 2 5 4 2 4" xfId="26414"/>
    <cellStyle name="汇总 2 6 2 2 2 2" xfId="26415"/>
    <cellStyle name="20% - 强调文字颜色 2 2 3 3 3 2" xfId="26416"/>
    <cellStyle name="适中 2 2 2 6 2" xfId="26417"/>
    <cellStyle name="常规 10 2 4 2 4" xfId="26418"/>
    <cellStyle name="标题 3 2 2 3 8" xfId="26419"/>
    <cellStyle name="标题 5 2 5 2" xfId="26420"/>
    <cellStyle name="标题 1 3 3 3 2 2 2" xfId="26421"/>
    <cellStyle name="20% - 强调文字颜色 2 2 2 2 2 3 3" xfId="26422"/>
    <cellStyle name="警告文本 2 3 6 2" xfId="26423"/>
    <cellStyle name="20% - 强调文字颜色 3 6 2 2 2" xfId="26424"/>
    <cellStyle name="输出 2 2 2 2 7" xfId="26425"/>
    <cellStyle name="汇总 4 3 2 2" xfId="26426"/>
    <cellStyle name="标题 4 2 2 11" xfId="26427"/>
    <cellStyle name="计算 3 3 3 4 2" xfId="26428"/>
    <cellStyle name="60% - 强调文字颜色 3 3 3 3 2 2 2" xfId="26429"/>
    <cellStyle name="汇总 2 2 4 2 5 7" xfId="26430"/>
    <cellStyle name="20% - 强调文字颜色 1 2 8 2 2" xfId="26431"/>
    <cellStyle name="20% - 强调文字颜色 6 2 3 2 3 2 2" xfId="26432"/>
    <cellStyle name="40% - 强调文字颜色 5 2 4 3 2 2" xfId="26433"/>
    <cellStyle name="20% - 强调文字颜色 2 2 2 2 3 3 2" xfId="26434"/>
    <cellStyle name="20% - 强调文字颜色 1 2 3 3" xfId="26435"/>
    <cellStyle name="输入 4 2 4" xfId="26436"/>
    <cellStyle name="40% - 强调文字颜色 1 2 2 4 2 2 2" xfId="26437"/>
    <cellStyle name="40% - 强调文字颜色 5 2 4 3" xfId="26438"/>
    <cellStyle name="20% - 强调文字颜色 1 2 2 4 4 2 2" xfId="26439"/>
    <cellStyle name="强调文字颜色 6 2 2 2 2 7" xfId="26440"/>
    <cellStyle name="计算 2 5 2 10 2 2" xfId="26441"/>
    <cellStyle name="常规 12 3 4" xfId="26442"/>
    <cellStyle name="强调文字颜色 5 2 2 3 3 2 2 2" xfId="26443"/>
    <cellStyle name="计算 2 3 2 4 3 2" xfId="26444"/>
    <cellStyle name="计算 2 11 4" xfId="26445"/>
    <cellStyle name="40% - 强调文字颜色 4 2 2 5 3 2" xfId="26446"/>
    <cellStyle name="常规 3 3 7 4 2" xfId="26447"/>
    <cellStyle name="20% - 强调文字颜色 1 2 4" xfId="26448"/>
    <cellStyle name="20% - 强调文字颜色 4 2 2 2 2 2" xfId="26449"/>
    <cellStyle name="输入 2 5 2 2 3 3" xfId="26450"/>
    <cellStyle name="解释性文本 2 8" xfId="26451"/>
    <cellStyle name="汇总 2 7 3 2 6" xfId="26452"/>
    <cellStyle name="20% - 强调文字颜色 3 5 2 2 2 2" xfId="26453"/>
    <cellStyle name="40% - 强调文字颜色 6 2 6" xfId="26454"/>
    <cellStyle name="汇总 2 2 7 2 2 2 3" xfId="26455"/>
    <cellStyle name="20% - 强调文字颜色 4 2 3 2 2 4" xfId="26456"/>
    <cellStyle name="输入 2 10 4" xfId="26457"/>
    <cellStyle name="20% - 强调文字颜色 2 2 2 8 2" xfId="26458"/>
    <cellStyle name="标题 2 2 2 4 3 3" xfId="26459"/>
    <cellStyle name="输入 2 5 2 2 2 2" xfId="26460"/>
    <cellStyle name="输入 2 3 8 2" xfId="26461"/>
    <cellStyle name="链接单元格 2 4 4 2 2 2" xfId="26462"/>
    <cellStyle name="输出 2 3 3 5 3" xfId="26463"/>
    <cellStyle name="计算 2 2 7 2 2 7" xfId="26464"/>
    <cellStyle name="常规 4 4 4 2" xfId="26465"/>
    <cellStyle name="40% - 强调文字颜色 6 2 3 2 2" xfId="26466"/>
    <cellStyle name="汇总 2 5 3 2 2 6" xfId="26467"/>
    <cellStyle name="常规 3 6 2" xfId="26468"/>
    <cellStyle name="40% - 强调文字颜色 6 2 4 4 2 2" xfId="26469"/>
    <cellStyle name="40% - 强调文字颜色 5 2 2 2 5 2 2 2" xfId="26470"/>
    <cellStyle name="标题 6 2 2 2" xfId="26471"/>
    <cellStyle name="常规 5 10" xfId="26472"/>
    <cellStyle name="计算 2 6 2 2 2 3 3" xfId="26473"/>
    <cellStyle name="标题 4 2 2 5 2 2" xfId="26474"/>
    <cellStyle name="汇总 2 2 4 4 5 2 2" xfId="26475"/>
    <cellStyle name="40% - 强调文字颜色 2 3 3 2 2 2 2" xfId="26476"/>
    <cellStyle name="常规 3 3 3 4" xfId="26477"/>
    <cellStyle name="40% - 强调文字颜色 5 3 4 2" xfId="26478"/>
    <cellStyle name="40% - 强调文字颜色 3 2 3 2 2 2 2 2 2" xfId="26479"/>
    <cellStyle name="20% - 强调文字颜色 5 2 3 4 2 2 2" xfId="26480"/>
    <cellStyle name="标题 2 2 7 2 2" xfId="26481"/>
    <cellStyle name="超链接 2 3 3 3 2 2" xfId="26482"/>
    <cellStyle name="40% - 强调文字颜色 1 2 2 4 2 2" xfId="26483"/>
    <cellStyle name="常规 10 3 6 2 2" xfId="26484"/>
    <cellStyle name="标题 1 2 4 5 3" xfId="26485"/>
    <cellStyle name="强调文字颜色 3 2 3 2 2 2 2 2 2" xfId="26486"/>
    <cellStyle name="常规 9 2 2 2 3 2 3" xfId="26487"/>
    <cellStyle name="40% - 强调文字颜色 2 4 4 2 2 2" xfId="26488"/>
    <cellStyle name="汇总 2 7 5 7" xfId="26489"/>
    <cellStyle name="注释 2 2 5 2 8" xfId="26490"/>
    <cellStyle name="强调文字颜色 1 2 2 4 2 3 2" xfId="26491"/>
    <cellStyle name="检查单元格 2 2 3 3 3 2" xfId="26492"/>
    <cellStyle name="常规 13 3 3 4 2" xfId="26493"/>
    <cellStyle name="汇总 2 8 3 2 4 2" xfId="26494"/>
    <cellStyle name="标题 1 2 2 4 2 3 2" xfId="26495"/>
    <cellStyle name="20% - 强调文字颜色 2 2 2 2 3 3 2 2" xfId="26496"/>
    <cellStyle name="汇总 2 2 3 2 4 3" xfId="26497"/>
    <cellStyle name="计算 2 10 3 4" xfId="26498"/>
    <cellStyle name="常规 4 3 3 2 3" xfId="26499"/>
    <cellStyle name="输入 2 6 12" xfId="26500"/>
    <cellStyle name="20% - 强调文字颜色 5 2 3 2 4 2 2" xfId="26501"/>
    <cellStyle name="差 2 4 3 2 2 2" xfId="26502"/>
    <cellStyle name="解释性文本 2 2 2 2 2 2" xfId="26503"/>
    <cellStyle name="常规 6 2 3 5" xfId="26504"/>
    <cellStyle name="20% - 强调文字颜色 4 2 2 4 5 2" xfId="26505"/>
    <cellStyle name="20% - 强调文字颜色 6 2 3 3 4" xfId="26506"/>
    <cellStyle name="常规 4 2 3 4 4 2" xfId="26507"/>
    <cellStyle name="常规 2 2 6 2" xfId="26508"/>
    <cellStyle name="输出 2 3 8 2" xfId="26509"/>
    <cellStyle name="链接单元格 2 2 3 2" xfId="26510"/>
    <cellStyle name="40% - 强调文字颜色 6 2 4 6" xfId="26511"/>
    <cellStyle name="汇总 2 5 5 3 3" xfId="26512"/>
    <cellStyle name="输出 2 2 15" xfId="26513"/>
    <cellStyle name="常规 10 2 4 4" xfId="26514"/>
    <cellStyle name="注释 2 6 2 3" xfId="26515"/>
    <cellStyle name="汇总 2 6 3 2 4 2" xfId="26516"/>
    <cellStyle name="20% - 强调文字颜色 6 2 6 3 2 2" xfId="26517"/>
    <cellStyle name="输入 2 2 4 9 3" xfId="26518"/>
    <cellStyle name="标题 4 4 5" xfId="26519"/>
    <cellStyle name="常规 6 4 3 2 2" xfId="26520"/>
    <cellStyle name="好 2 3 2 6 3" xfId="26521"/>
    <cellStyle name="警告文本 2 2 4 2 4" xfId="26522"/>
    <cellStyle name="输出 2 2 3 3 2 2 2" xfId="26523"/>
    <cellStyle name="40% - 强调文字颜色 3 2 2 2 4 3" xfId="26524"/>
    <cellStyle name="汇总 2 2 5 2 8 2" xfId="26525"/>
    <cellStyle name="注释 2 15" xfId="26526"/>
    <cellStyle name="警告文本 2 4 10" xfId="26527"/>
    <cellStyle name="60% - 强调文字颜色 6 3 2 4" xfId="26528"/>
    <cellStyle name="40% - 强调文字颜色 4 2 2 3 3 2" xfId="26529"/>
    <cellStyle name="20% - 强调文字颜色 1 2 5 4" xfId="26530"/>
    <cellStyle name="40% - 强调文字颜色 6 2 3 2 2 5 2 2" xfId="26531"/>
    <cellStyle name="输出 2 2 4 2 2 5 2 2" xfId="26532"/>
    <cellStyle name="常规 2 5 3 2 2 2" xfId="26533"/>
    <cellStyle name="40% - 强调文字颜色 1 2 2 4 3 2" xfId="26534"/>
    <cellStyle name="标题 4 2 3 2 2 2" xfId="26535"/>
    <cellStyle name="强调文字颜色 1 2 2 8" xfId="26536"/>
    <cellStyle name="链接单元格 2 2 2 2 3 2 2" xfId="26537"/>
    <cellStyle name="注释 2 2 6 3 2 4" xfId="26538"/>
    <cellStyle name="40% - 强调文字颜色 5 2 4 5 2" xfId="26539"/>
    <cellStyle name="常规 13 4 3 5" xfId="26540"/>
    <cellStyle name="60% - 强调文字颜色 3 2 2 2 2 6" xfId="26541"/>
    <cellStyle name="60% - 强调文字颜色 5 2 4 2 2 2" xfId="26542"/>
    <cellStyle name="60% - 强调文字颜色 3 2 2 2 3 6" xfId="26543"/>
    <cellStyle name="标题 4 4 3 2" xfId="26544"/>
    <cellStyle name="常规 5 3 4 2 2" xfId="26545"/>
    <cellStyle name="40% - 强调文字颜色 6 3 2 2 2 2" xfId="26546"/>
    <cellStyle name="20% - 强调文字颜色 2 2 4 2 2 2" xfId="26547"/>
    <cellStyle name="汇总 2 2 2 3 5 3" xfId="26548"/>
    <cellStyle name="20% - 强调文字颜色 6 3 2 2 3" xfId="26549"/>
    <cellStyle name="汇总 2 6 2 3 4 2" xfId="26550"/>
    <cellStyle name="40% - 强调文字颜色 2 2 2 3 2 2 2 2 2" xfId="26551"/>
    <cellStyle name="输入 2 2 2 4 2 2" xfId="26552"/>
    <cellStyle name="40% - 强调文字颜色 4 2 4 2" xfId="26553"/>
    <cellStyle name="强调文字颜色 5 2 2 7" xfId="26554"/>
    <cellStyle name="40% - 强调文字颜色 2 2 5 3 2 2 2" xfId="26555"/>
    <cellStyle name="20% - 强调文字颜色 6 2 2 2 2 5 2 2 2" xfId="26556"/>
    <cellStyle name="40% - 强调文字颜色 4 3 8" xfId="26557"/>
    <cellStyle name="强调文字颜色 5 2 4 3 2 3" xfId="26558"/>
    <cellStyle name="40% - 强调文字颜色 3 2 3 2 2 2 3 2" xfId="26559"/>
    <cellStyle name="40% - 强调文字颜色 4 3 4 2 2" xfId="26560"/>
    <cellStyle name="标题 5 2 3 5 3" xfId="26561"/>
    <cellStyle name="40% - 强调文字颜色 1 2 2 3 4 2 2" xfId="26562"/>
    <cellStyle name="输出 2 2 3 2 2 2 5" xfId="26563"/>
    <cellStyle name="60% - 强调文字颜色 1 3 3 3 2 2 2" xfId="26564"/>
    <cellStyle name="汇总 3 2 8" xfId="26565"/>
    <cellStyle name="注释 2 2 3 2 2 3 2 2 2" xfId="26566"/>
    <cellStyle name="强调文字颜色 3 3 2 5" xfId="26567"/>
    <cellStyle name="输出 2 2 2 2 2 2 5" xfId="26568"/>
    <cellStyle name="60% - 强调文字颜色 1 3 3 2 2 2 2" xfId="26569"/>
    <cellStyle name="60% - 强调文字颜色 6 2 3 2 3 2 2 3" xfId="26570"/>
    <cellStyle name="强调文字颜色 6 3 2 3" xfId="26571"/>
    <cellStyle name="汇总 2 2 4 5 3 2" xfId="26572"/>
    <cellStyle name="输出 2 3 2 3 6" xfId="26573"/>
    <cellStyle name="好 2 2 4 3 3" xfId="26574"/>
    <cellStyle name="强调文字颜色 5 2 2 4 5 2 2" xfId="26575"/>
    <cellStyle name="20% - 强调文字颜色 2 2 2 2 2 2 2 2 2" xfId="26576"/>
    <cellStyle name="强调文字颜色 4 2 8" xfId="26577"/>
    <cellStyle name="20% - 强调文字颜色 5 2 3 2 2 4 3" xfId="26578"/>
    <cellStyle name="标题 2 2 2 3 5 2 2" xfId="26579"/>
    <cellStyle name="常规 11 2 2 3" xfId="26580"/>
    <cellStyle name="汇总 2 5 9 3" xfId="26581"/>
    <cellStyle name="标题 5 3 2 2 3 3" xfId="26582"/>
    <cellStyle name="60% - 强调文字颜色 2 2 2 3 4" xfId="26583"/>
    <cellStyle name="强调文字颜色 2 2 3 8" xfId="26584"/>
    <cellStyle name="好 2 2 2 5 2 3" xfId="26585"/>
    <cellStyle name="标题 2 2 2 3 2 3" xfId="26586"/>
    <cellStyle name="常规 5 2 3 2 5" xfId="26587"/>
    <cellStyle name="注释 2 2 3 2 4 5" xfId="26588"/>
    <cellStyle name="计算 2 2 4 2 2 2 6 2" xfId="26589"/>
    <cellStyle name="20% - 强调文字颜色 4 2 9 2" xfId="26590"/>
    <cellStyle name="计算 2 3 2 2 5" xfId="26591"/>
    <cellStyle name="汇总 2 6 3 6 3" xfId="26592"/>
    <cellStyle name="标题 4 2 2 2 2 2 2 2 2 3" xfId="26593"/>
    <cellStyle name="20% - 强调文字颜色 1 2 3 2 5 2" xfId="26594"/>
    <cellStyle name="常规 3 3 2 2 3" xfId="26595"/>
    <cellStyle name="标题 3 2 3 3 2 2 2 2 2" xfId="26596"/>
    <cellStyle name="差 3 5 2" xfId="26597"/>
    <cellStyle name="汇总 2 3 10 2 2" xfId="26598"/>
    <cellStyle name="检查单元格 2 2 2 2 3 2" xfId="26599"/>
    <cellStyle name="百分比 2 3 3 3 3" xfId="26600"/>
    <cellStyle name="汇总 5 2 3 2 2" xfId="26601"/>
    <cellStyle name="20% - 强调文字颜色 6 2 4 3" xfId="26602"/>
    <cellStyle name="汇总 2 2 5 7 2" xfId="26603"/>
    <cellStyle name="输出 2 2 4 4 2 4" xfId="26604"/>
    <cellStyle name="常规 6 3 2 3 2 2 2 2" xfId="26605"/>
    <cellStyle name="60% - 强调文字颜色 5 2 3 2 3 3 2" xfId="26606"/>
    <cellStyle name="强调文字颜色 6 2 2 2 2 4 3" xfId="26607"/>
    <cellStyle name="20% - 强调文字颜色 4 2 2 4 2 2" xfId="26608"/>
    <cellStyle name="汇总 2 2 6 4 6" xfId="26609"/>
    <cellStyle name="警告文本 2 3 5 2 3" xfId="26610"/>
    <cellStyle name="汇总 2 2 4 3 5" xfId="26611"/>
    <cellStyle name="计算 2 7 3 4 2" xfId="26612"/>
    <cellStyle name="输出 2 2 4 2 2 5 2" xfId="26613"/>
    <cellStyle name="好 2 3" xfId="26614"/>
    <cellStyle name="汇总 2 4 2 2 2 5 2" xfId="26615"/>
    <cellStyle name="计算 2 2 4 4 2 3 2 2" xfId="26616"/>
    <cellStyle name="Normal 4" xfId="26617"/>
    <cellStyle name="计算 4 4 3 2" xfId="26618"/>
    <cellStyle name="输出 5 3" xfId="26619"/>
    <cellStyle name="20% - 强调文字颜色 2 2 2 3 5 2 2" xfId="26620"/>
    <cellStyle name="20% - 强调文字颜色 6 2 2 2 6 2" xfId="26621"/>
    <cellStyle name="汇总 2 4 2 7" xfId="26622"/>
    <cellStyle name="差 2 3 6 2 2 2" xfId="26623"/>
    <cellStyle name="20% - 强调文字颜色 4 2 2 5 2 2" xfId="26624"/>
    <cellStyle name="汇总 2 2 7 4 6" xfId="26625"/>
    <cellStyle name="强调文字颜色 1 2 2 7 2 2" xfId="26626"/>
    <cellStyle name="输入 3 3 6 2" xfId="26627"/>
    <cellStyle name="常规 3 3 9 2" xfId="26628"/>
    <cellStyle name="60% - 强调文字颜色 6 2 4 2" xfId="26629"/>
    <cellStyle name="输出 2 4 13" xfId="26630"/>
    <cellStyle name="20% - 强调文字颜色 4 2 2 2 4 3 2" xfId="26631"/>
    <cellStyle name="常规 10 5 3" xfId="26632"/>
    <cellStyle name="汇总 2 6 2 2 2 5" xfId="26633"/>
    <cellStyle name="计算 2 2 11 5" xfId="26634"/>
    <cellStyle name="注释 2 2 8 2 2" xfId="26635"/>
    <cellStyle name="60% - 强调文字颜色 1 4 2 2 2 2" xfId="26636"/>
    <cellStyle name="注释 5 4" xfId="26637"/>
    <cellStyle name="输出 2 2 5 10 2" xfId="26638"/>
    <cellStyle name="标题 7 2" xfId="26639"/>
    <cellStyle name="20% - 强调文字颜色 4 4 4 2" xfId="26640"/>
    <cellStyle name="20% - 强调文字颜色 6 2 2 2 2 4 2 2" xfId="26641"/>
    <cellStyle name="20% - 强调文字颜色 6 5 2 2 2" xfId="26642"/>
    <cellStyle name="40% - 强调文字颜色 4 2 3 3 2 2 2 2 2" xfId="26643"/>
    <cellStyle name="20% - 强调文字颜色 4 2 9" xfId="26644"/>
    <cellStyle name="常规 5 3 3 4" xfId="26645"/>
    <cellStyle name="标题 4 2 6 3 2" xfId="26646"/>
    <cellStyle name="20% - 强调文字颜色 1 2 6 2" xfId="26647"/>
    <cellStyle name="40% - 强调文字颜色 6 2 3 2 2 4" xfId="26648"/>
    <cellStyle name="20% - 强调文字颜色 2 2 5 4 2" xfId="26649"/>
    <cellStyle name="60% - 强调文字颜色 6 2 3 2 2 3 2" xfId="26650"/>
    <cellStyle name="40% - 强调文字颜色 2 2 6 2" xfId="26651"/>
    <cellStyle name="标题 6 2 4 3" xfId="26652"/>
    <cellStyle name="40% - 强调文字颜色 1 2 2 2 2 4 3 2" xfId="26653"/>
    <cellStyle name="20% - 强调文字颜色 4 2 2 3 4 2 2" xfId="26654"/>
    <cellStyle name="20% - 强调文字颜色 6 2 2 2 3" xfId="26655"/>
    <cellStyle name="20% - 强调文字颜色 2 3 3 3 2 2 2" xfId="26656"/>
    <cellStyle name="适中 2 2 2 4 3 3" xfId="26657"/>
    <cellStyle name="40% - 强调文字颜色 5 3 4" xfId="26658"/>
    <cellStyle name="20% - 强调文字颜色 4 2 2 3 3 3" xfId="26659"/>
    <cellStyle name="20% - 强调文字颜色 2 2 3 2 3 3" xfId="26660"/>
    <cellStyle name="标题 2 2 4 2 2 2 3" xfId="26661"/>
    <cellStyle name="汇总 3 5 2 2 2" xfId="26662"/>
    <cellStyle name="60% - 强调文字颜色 1 2 2 3 2 2 2" xfId="26663"/>
    <cellStyle name="链接单元格 2 2 2 5 2" xfId="26664"/>
    <cellStyle name="汇总 2 2 4 2 2 3 4 2" xfId="26665"/>
    <cellStyle name="40% - 强调文字颜色 4 2 2 2 2 2 2 2" xfId="26666"/>
    <cellStyle name="差 2 4 2" xfId="26667"/>
    <cellStyle name="解释性文本 2 2 4 3 3 2" xfId="26668"/>
    <cellStyle name="注释 2 2 3 3 2 2 3" xfId="26669"/>
    <cellStyle name="40% - 强调文字颜色 3 3 2 2 4 2" xfId="26670"/>
    <cellStyle name="汇总 4" xfId="26671"/>
    <cellStyle name="强调文字颜色 2 2 2 2 2 2" xfId="26672"/>
    <cellStyle name="计算 2 4 10 2" xfId="26673"/>
    <cellStyle name="20% - 强调文字颜色 1 3 2 2" xfId="26674"/>
    <cellStyle name="输出 2 3 5 2" xfId="26675"/>
    <cellStyle name="40% - 强调文字颜色 4 2 4 2 2 2 2" xfId="26676"/>
    <cellStyle name="常规 2 2 3 2" xfId="26677"/>
    <cellStyle name="60% - 强调文字颜色 6 2 2 4" xfId="26678"/>
    <cellStyle name="20% - 强调文字颜色 4 3 2 2 3 2 2 2" xfId="26679"/>
    <cellStyle name="输入 2 4 4 2 2 3" xfId="26680"/>
    <cellStyle name="强调文字颜色 5 2 2 4 2 4" xfId="26681"/>
    <cellStyle name="百分比 2 5 3 3" xfId="26682"/>
    <cellStyle name="40% - 强调文字颜色 6 2 3 6" xfId="26683"/>
    <cellStyle name="40% - 强调文字颜色 6 2 6 2" xfId="26684"/>
    <cellStyle name="常规 3 3 2 5 2 2" xfId="26685"/>
    <cellStyle name="标题 3 2 2 2 9" xfId="26686"/>
    <cellStyle name="40% - 强调文字颜色 3 2 4 4 3 2" xfId="26687"/>
    <cellStyle name="常规 6 4 4 2" xfId="26688"/>
    <cellStyle name="40% - 强调文字颜色 6 4 3 2 2" xfId="26689"/>
    <cellStyle name="常规 10 2 4 2 5" xfId="26690"/>
    <cellStyle name="标题 3 2 2 3 9" xfId="26691"/>
    <cellStyle name="60% - 强调文字颜色 6 2 2 3 3 2" xfId="26692"/>
    <cellStyle name="汇总 2 2 3 14" xfId="26693"/>
    <cellStyle name="标题 4 2 3 3 2 3" xfId="26694"/>
    <cellStyle name="注释 2 2 2 8 2 2" xfId="26695"/>
    <cellStyle name="强调文字颜色 2 2 3 2 2 3 2" xfId="26696"/>
    <cellStyle name="20% - 强调文字颜色 2 3 2 3 2" xfId="26697"/>
    <cellStyle name="40% - 强调文字颜色 4 2 3 3" xfId="26698"/>
    <cellStyle name="常规 4 6 3 4 2" xfId="26699"/>
    <cellStyle name="汇总 4 2 2 3" xfId="26700"/>
    <cellStyle name="汇总 2 2 5 2 2 3 2 2" xfId="26701"/>
    <cellStyle name="强调文字颜色 3 2 3 2 2 2 2" xfId="26702"/>
    <cellStyle name="20% - 强调文字颜色 3 4 2 2 2 2" xfId="26703"/>
    <cellStyle name="常规 5 2 3 8 2" xfId="26704"/>
    <cellStyle name="输出 2 6 4 4" xfId="26705"/>
    <cellStyle name="输出 2 2 3 2 3 2 2 2 2" xfId="26706"/>
    <cellStyle name="40% - 强调文字颜色 6 2 2 6 3 2" xfId="26707"/>
    <cellStyle name="解释性文本 3 11" xfId="26708"/>
    <cellStyle name="40% - 强调文字颜色 1 2 3" xfId="26709"/>
    <cellStyle name="汇总 2 4 7 2" xfId="26710"/>
    <cellStyle name="40% - 强调文字颜色 2 2 3 2 2 5 2" xfId="26711"/>
    <cellStyle name="20% - 强调文字颜色 4 2 8 2" xfId="26712"/>
    <cellStyle name="常规 5 3 3 3 2" xfId="26713"/>
    <cellStyle name="计算 2 5 2 3 3 3 2" xfId="26714"/>
    <cellStyle name="注释 2 8 7" xfId="26715"/>
    <cellStyle name="标题 1 2 3 2 3 3 2" xfId="26716"/>
    <cellStyle name="常规 4 5 2" xfId="26717"/>
    <cellStyle name="20% - 强调文字颜色 4 2 6 2 2 2" xfId="26718"/>
    <cellStyle name="20% - 强调文字颜色 1 2 2 3 2 2 2 2 2" xfId="26719"/>
    <cellStyle name="超链接 2 3 3 2 4" xfId="26720"/>
    <cellStyle name="标题 2 2 6 4" xfId="26721"/>
    <cellStyle name="60% - 强调文字颜色 4 2 2 2 6 2 2" xfId="26722"/>
    <cellStyle name="输入 2 4 3 4" xfId="26723"/>
    <cellStyle name="差 3 3 3 2" xfId="26724"/>
    <cellStyle name="输入 2 2 6 2 6" xfId="26725"/>
    <cellStyle name="注释 2 2 3 3 2 6" xfId="26726"/>
    <cellStyle name="汇总 2 2 9 3 2 2 2" xfId="26727"/>
    <cellStyle name="链接单元格 2 4 4 2 3" xfId="26728"/>
    <cellStyle name="20% - 强调文字颜色 1 2 4 4 2" xfId="26729"/>
    <cellStyle name="解释性文本 2 2 7 3" xfId="26730"/>
    <cellStyle name="常规 9 3 2 3 2 2" xfId="26731"/>
    <cellStyle name="警告文本 3 4 2" xfId="26732"/>
    <cellStyle name="40% - 强调文字颜色 2 2 2 9 2" xfId="26733"/>
    <cellStyle name="标题 2 2 2 4 3 2" xfId="26734"/>
    <cellStyle name="输出 2 5 2 3 2 2 2" xfId="26735"/>
    <cellStyle name="标题 3 2 2 6 3" xfId="26736"/>
    <cellStyle name="汇总 2 6 2 2 3 4" xfId="26737"/>
    <cellStyle name="20% - 强调文字颜色 6 2 2 3 2 2 2 2 2" xfId="26738"/>
    <cellStyle name="40% - 强调文字颜色 4 2 5" xfId="26739"/>
    <cellStyle name="注释 2 2 3 2 3 7" xfId="26740"/>
    <cellStyle name="百分比 2 5 2 2 2" xfId="26741"/>
    <cellStyle name="好 3 5 3" xfId="26742"/>
    <cellStyle name="20% - 强调文字颜色 3 2 2 7" xfId="26743"/>
    <cellStyle name="汇总 2 10 2 7" xfId="26744"/>
    <cellStyle name="好 3 2 3 2" xfId="26745"/>
    <cellStyle name="链接单元格 2 2 2 3 7" xfId="26746"/>
    <cellStyle name="40% - 强调文字颜色 6 2 2 5 2 2" xfId="26747"/>
    <cellStyle name="60% - 强调文字颜色 6 2 3 5 2" xfId="26748"/>
    <cellStyle name="注释 2 2 3 5 2 2 2" xfId="26749"/>
    <cellStyle name="警告文本 2 2 4 4 2 2" xfId="26750"/>
    <cellStyle name="计算 2 5 3 2 5" xfId="26751"/>
    <cellStyle name="超链接 2 3 2 4 2 2" xfId="26752"/>
    <cellStyle name="40% - 强调文字颜色 6 2 2 7 2 2" xfId="26753"/>
    <cellStyle name="20% - 强调文字颜色 4 2 2 7 2 2" xfId="26754"/>
    <cellStyle name="20% - 强调文字颜色 5 2 3 2 2 2 2 2 2" xfId="26755"/>
    <cellStyle name="强调文字颜色 3 2 2 2 4" xfId="26756"/>
    <cellStyle name="强调文字颜色 2 2 2 3 4 3" xfId="26757"/>
    <cellStyle name="40% - 强调文字颜色 2 2 2 2 7" xfId="26758"/>
    <cellStyle name="适中 2 8 2" xfId="26759"/>
    <cellStyle name="强调文字颜色 1 2 4 3 2 3" xfId="26760"/>
    <cellStyle name="40% - 强调文字颜色 6 2 2 2 2 2 5 2 2" xfId="26761"/>
    <cellStyle name="40% - 强调文字颜色 3 4 4 2" xfId="26762"/>
    <cellStyle name="适中 2 2 2 2 4 3 2" xfId="26763"/>
    <cellStyle name="输入 2 2 3 2 6 2" xfId="26764"/>
    <cellStyle name="标题 4 2 3 3 6" xfId="26765"/>
    <cellStyle name="强调文字颜色 5 2 2 2 4" xfId="26766"/>
    <cellStyle name="标题 2 2 2 3 4 2" xfId="26767"/>
    <cellStyle name="强调文字颜色 1 2 2 3 2 2 2 2" xfId="26768"/>
    <cellStyle name="20% - 强调文字颜色 3 2 2 2 7" xfId="26769"/>
    <cellStyle name="20% - 强调文字颜色 2 2 2 2 2 2 3 2 2 2" xfId="26770"/>
    <cellStyle name="40% - 强调文字颜色 3 2 4 3 2 2" xfId="26771"/>
    <cellStyle name="注释 2 2 4 4 3 2" xfId="26772"/>
    <cellStyle name="Normal 2 4 2" xfId="26773"/>
    <cellStyle name="常规 2 3 2 2 4 2 2" xfId="26774"/>
    <cellStyle name="20% - 强调文字颜色 5 2 5 2 2 2 2" xfId="26775"/>
    <cellStyle name="标题 5 4 4 4" xfId="26776"/>
    <cellStyle name="输出 2 2 4 2 5" xfId="26777"/>
    <cellStyle name="40% - 强调文字颜色 5 2 3 2 2 2 2 2 2" xfId="26778"/>
    <cellStyle name="计算 2 5 2 4 2 3 2" xfId="26779"/>
    <cellStyle name="注释 2 4 2 4 2" xfId="26780"/>
    <cellStyle name="标题 5 2 3 3 2 3" xfId="26781"/>
    <cellStyle name="20% - 强调文字颜色 2 2 3 3 3 2 2" xfId="26782"/>
    <cellStyle name="注释 2 3 2 2 8" xfId="26783"/>
    <cellStyle name="强调文字颜色 5 2 4 4 3" xfId="26784"/>
    <cellStyle name="汇总 3 6" xfId="26785"/>
    <cellStyle name="输入 2 2 2 4 2 4" xfId="26786"/>
    <cellStyle name="输出 2 2 4 4 8" xfId="26787"/>
    <cellStyle name="20% - 强调文字颜色 2 2 7 3 2" xfId="26788"/>
    <cellStyle name="常规 5 5 2 2" xfId="26789"/>
    <cellStyle name="60% - 强调文字颜色 6 3 10" xfId="26790"/>
    <cellStyle name="20% - 强调文字颜色 4 2 3 2 4 2 2 2" xfId="26791"/>
    <cellStyle name="标题 3 3 2 2 2 2 3" xfId="26792"/>
    <cellStyle name="40% - 强调文字颜色 5 2 2 2" xfId="26793"/>
    <cellStyle name="百分比 2 2 2 4 2 2 2" xfId="26794"/>
    <cellStyle name="汇总 2 9 4 2" xfId="26795"/>
    <cellStyle name="超链接 2 3 2 4" xfId="26796"/>
    <cellStyle name="差 2 6 3 2" xfId="26797"/>
    <cellStyle name="汇总 2 7 4 2 6" xfId="26798"/>
    <cellStyle name="输入 2 2 2 2 8" xfId="26799"/>
    <cellStyle name="20% - 强调文字颜色 1 3 2 4 2 2 2" xfId="26800"/>
    <cellStyle name="标题 5 2 2 2 2 2 2 2 3" xfId="26801"/>
    <cellStyle name="强调文字颜色 2 2 2 2 2 4 2 2 2" xfId="26802"/>
    <cellStyle name="注释 2 5 2 3 2 2" xfId="26803"/>
    <cellStyle name="20% - 强调文字颜色 4 2 4 3 2" xfId="26804"/>
    <cellStyle name="20% - 强调文字颜色 6 3 9" xfId="26805"/>
    <cellStyle name="汇总 3 3 7" xfId="26806"/>
    <cellStyle name="40% - 强调文字颜色 5 2 3 2 3 3" xfId="26807"/>
    <cellStyle name="百分比 2 3 3 3 2" xfId="26808"/>
    <cellStyle name="60% - 强调文字颜色 4 2 2 3 2 2 2" xfId="26809"/>
    <cellStyle name="常规 4 2 5" xfId="26810"/>
    <cellStyle name="警告文本 2 3 4 3 2 2" xfId="26811"/>
    <cellStyle name="输出 2 7 7" xfId="26812"/>
    <cellStyle name="强调文字颜色 2 2 2 6 4" xfId="26813"/>
    <cellStyle name="60% - 强调文字颜色 4 2 3 3 2 2" xfId="26814"/>
    <cellStyle name="常规 8 2 4 2" xfId="26815"/>
    <cellStyle name="Normal 4 3 2 2" xfId="26816"/>
    <cellStyle name="汇总 2 2 4 15" xfId="26817"/>
    <cellStyle name="强调文字颜色 3 2 2 7 3" xfId="26818"/>
    <cellStyle name="40% - 强调文字颜色 4 2 2 6 3 2 2" xfId="26819"/>
    <cellStyle name="常规 4 8 3 2" xfId="26820"/>
    <cellStyle name="汇总 2 2 4 3 3 2 3" xfId="26821"/>
    <cellStyle name="60% - 强调文字颜色 6 2 3 2 4 3" xfId="26822"/>
    <cellStyle name="计算 2 2 5 4 2 6" xfId="26823"/>
    <cellStyle name="输出 2 6 13" xfId="26824"/>
    <cellStyle name="Normal" xfId="26825"/>
    <cellStyle name="计算 2 2 3 2 3 3 2" xfId="26826"/>
    <cellStyle name="20% - 强调文字颜色 2 4 4 2" xfId="26827"/>
    <cellStyle name="输入 2 5 3 6 2" xfId="26828"/>
    <cellStyle name="输入 3 4 2 2" xfId="26829"/>
    <cellStyle name="标题 5 3 2 3 2 2 3" xfId="26830"/>
    <cellStyle name="40% - 强调文字颜色 5 3 3 4 2" xfId="26831"/>
    <cellStyle name="40% - 强调文字颜色 2 2 2 2 2 4 3" xfId="26832"/>
    <cellStyle name="输出 2 3 3 3" xfId="26833"/>
    <cellStyle name="标题 1 3 2 2 2 2 3" xfId="26834"/>
    <cellStyle name="汇总 2 11 3" xfId="26835"/>
    <cellStyle name="解释性文本 2 7 3 2 2" xfId="26836"/>
    <cellStyle name="60% - 强调文字颜色 5 2 2 3 7" xfId="26837"/>
    <cellStyle name="汇总 2 4 2 2 2 4 2" xfId="26838"/>
    <cellStyle name="40% - 强调文字颜色 1 2 2 8" xfId="26839"/>
    <cellStyle name="输入 2 5 3 2" xfId="26840"/>
    <cellStyle name="60% - 强调文字颜色 2 2 2 3 2 2 2" xfId="26841"/>
    <cellStyle name="20% - 强调文字颜色 4 2" xfId="26842"/>
    <cellStyle name="计算 2 2 6 2 2 2 3" xfId="26843"/>
    <cellStyle name="40% - 强调文字颜色 2 3 2 2 2 2" xfId="26844"/>
    <cellStyle name="标题 1 2 2 4 4 3" xfId="26845"/>
    <cellStyle name="60% - 强调文字颜色 6 2 2 2 2 4" xfId="26846"/>
    <cellStyle name="注释 2 2 7 5" xfId="26847"/>
    <cellStyle name="40% - 强调文字颜色 6 2 4 2 2 2" xfId="26848"/>
    <cellStyle name="计算 2 7 2 2 3" xfId="26849"/>
    <cellStyle name="检查单元格 3 2 3" xfId="26850"/>
    <cellStyle name="20% - 强调文字颜色 2 2 3 2 2 3 2" xfId="26851"/>
    <cellStyle name="40% - 强调文字颜色 5 2 5 5 2 2" xfId="26852"/>
    <cellStyle name="计算 2 11 5" xfId="26853"/>
    <cellStyle name="链接单元格 2 2 6 2 3" xfId="26854"/>
    <cellStyle name="强调文字颜色 6 2 3 2 2 2" xfId="26855"/>
    <cellStyle name="输出 2 2 3 4 2 3" xfId="26856"/>
    <cellStyle name="适中 4 6" xfId="26857"/>
    <cellStyle name="20% - 强调文字颜色 2 2 2 4 3 3" xfId="26858"/>
    <cellStyle name="60% - 强调文字颜色 6 4 2 5" xfId="26859"/>
    <cellStyle name="20% - 强调文字颜色 2 2 2 2 4" xfId="26860"/>
    <cellStyle name="常规 10 2 4 4 2" xfId="26861"/>
    <cellStyle name="汇总 2 8 3 3 2 2" xfId="26862"/>
    <cellStyle name="计算 2 2 10 5" xfId="26863"/>
    <cellStyle name="40% - 强调文字颜色 4 2 2 2 2 2 4 3" xfId="26864"/>
    <cellStyle name="汇总 8 2" xfId="26865"/>
    <cellStyle name="汇总 2 2 2 2 2" xfId="26866"/>
    <cellStyle name="20% - 强调文字颜色 6 3 4 2 2 2" xfId="26867"/>
    <cellStyle name="40% - 强调文字颜色 4 2 3 2 2 3" xfId="26868"/>
    <cellStyle name="20% - 强调文字颜色 2 2 3 2 2 4" xfId="26869"/>
    <cellStyle name="60% - 强调文字颜色 5 2 3 2 3 2 2" xfId="26870"/>
    <cellStyle name="60% - 强调文字颜色 2 4 5" xfId="26871"/>
    <cellStyle name="计算 2 2 4 4 8" xfId="26872"/>
    <cellStyle name="20% - 强调文字颜色 4 2 2 3" xfId="26873"/>
    <cellStyle name="20% - 强调文字颜色 4 3 8" xfId="26874"/>
    <cellStyle name="60% - 强调文字颜色 6 4 5" xfId="26875"/>
    <cellStyle name="20% - 强调文字颜色 5 4 2 3" xfId="26876"/>
    <cellStyle name="计算 2 2 2 4 2 4 2" xfId="26877"/>
    <cellStyle name="60% - 强调文字颜色 1 2 4" xfId="26878"/>
    <cellStyle name="计算 2 2 3 2 7" xfId="26879"/>
    <cellStyle name="汇总 2 2 2 3 3 3 2 2" xfId="26880"/>
    <cellStyle name="计算 2 5 2 3 4 2 2" xfId="26881"/>
    <cellStyle name="常规 4 2" xfId="26882"/>
    <cellStyle name="标题 6 3 2 3" xfId="26883"/>
    <cellStyle name="60% - 强调文字颜色 1 3 2 2 4" xfId="26884"/>
    <cellStyle name="40% - 强调文字颜色 1 3 4 2" xfId="26885"/>
    <cellStyle name="适中 2 13" xfId="26886"/>
    <cellStyle name="20% - 强调文字颜色 2 2 3 2 3 2 2" xfId="26887"/>
    <cellStyle name="输出 3 2 2 5" xfId="26888"/>
    <cellStyle name="输入 2 2 2 3 8" xfId="26889"/>
    <cellStyle name="40% - 强调文字颜色 3 2 5 2 3" xfId="26890"/>
    <cellStyle name="注释 2 2 5 3 4" xfId="26891"/>
    <cellStyle name="链接单元格 2 2 4 2 2" xfId="26892"/>
    <cellStyle name="40% - 强调文字颜色 2 2 4 3 3 2" xfId="26893"/>
    <cellStyle name="常规 7 2 3" xfId="26894"/>
    <cellStyle name="40% - 强调文字颜色 5 2 5 5" xfId="26895"/>
    <cellStyle name="标题 1 2 2 3 2 2 2 2 2" xfId="26896"/>
    <cellStyle name="60% - 强调文字颜色 5 3 2 2 2 2 2" xfId="26897"/>
    <cellStyle name="40% - 强调文字颜色 3 2 4 5 2 2" xfId="26898"/>
    <cellStyle name="20% - 强调文字颜色 1 2 3 2 2 3 3 2 2" xfId="26899"/>
    <cellStyle name="常规 10 2 2 3 2" xfId="26900"/>
    <cellStyle name="链接单元格 2 5 4" xfId="26901"/>
    <cellStyle name="40% - 强调文字颜色 1 2 2 2 2 2" xfId="26902"/>
    <cellStyle name="输出 2 2 3 3 4 2" xfId="26903"/>
    <cellStyle name="60% - 强调文字颜色 2 2 7 2 2 2" xfId="26904"/>
    <cellStyle name="60% - 强调文字颜色 5 2 3 3 2 2 2" xfId="26905"/>
    <cellStyle name="20% - 强调文字颜色 2 2 5 3 2 2 2" xfId="26906"/>
    <cellStyle name="标题 1 2 3 2 4 2" xfId="26907"/>
    <cellStyle name="注释 2 3 2 2 2" xfId="26908"/>
    <cellStyle name="20% - 强调文字颜色 2 2 3 3" xfId="26909"/>
    <cellStyle name="强调文字颜色 5 2 2 6 3" xfId="26910"/>
    <cellStyle name="注释 2 4 2 11" xfId="26911"/>
    <cellStyle name="常规 13 3 2 4 2" xfId="26912"/>
    <cellStyle name="超链接 3 6 2 2 2" xfId="26913"/>
    <cellStyle name="计算 2 4 8 2" xfId="26914"/>
    <cellStyle name="20% - 强调文字颜色 3 2 2 4 3 3 2" xfId="26915"/>
    <cellStyle name="好 2 2 2 4 2 2" xfId="26916"/>
    <cellStyle name="常规 4 2 3 4 3 2" xfId="26917"/>
    <cellStyle name="40% - 强调文字颜色 3 2 7 3" xfId="26918"/>
    <cellStyle name="输入 2 5 2 3 6 2" xfId="26919"/>
    <cellStyle name="40% - 强调文字颜色 1 2 2 2 2 5 2" xfId="26920"/>
    <cellStyle name="40% - 强调文字颜色 6 2 3 2 2 3 2" xfId="26921"/>
    <cellStyle name="标题 9" xfId="26922"/>
    <cellStyle name="20% - 强调文字颜色 5 2 2 2 3 2" xfId="26923"/>
    <cellStyle name="20% - 强调文字颜色 2 2 4 2 2" xfId="26924"/>
    <cellStyle name="标题 2 2 2 6 2" xfId="26925"/>
    <cellStyle name="20% - 强调文字颜色 6 2 2 3 3 3" xfId="26926"/>
    <cellStyle name="常规 11 3 3 2 2" xfId="26927"/>
    <cellStyle name="20% - 强调文字颜色 2 2 3 2 4 3 2" xfId="26928"/>
    <cellStyle name="强调文字颜色 1 2 2 2 2 4 2 3" xfId="26929"/>
    <cellStyle name="20% - 强调文字颜色 4 2 3 2 3 2 2 2 2" xfId="26930"/>
    <cellStyle name="输入 2 5 2 2" xfId="26931"/>
    <cellStyle name="40% - 强调文字颜色 5 2 2 2 2 2 2 2" xfId="26932"/>
    <cellStyle name="标题 3 2 11" xfId="26933"/>
    <cellStyle name="60% - 强调文字颜色 4 2 2 2 2 5 2 2" xfId="26934"/>
    <cellStyle name="标题 2 2 3 2 3 3 2 2" xfId="26935"/>
    <cellStyle name="输出 2 2 2 2" xfId="26936"/>
    <cellStyle name="标题 2 2 2 5 2 2" xfId="26937"/>
    <cellStyle name="常规 3 7" xfId="26938"/>
    <cellStyle name="20% - 强调文字颜色 5 4 2 2 2" xfId="26939"/>
    <cellStyle name="常规 2 11" xfId="26940"/>
    <cellStyle name="标题 4 2 3 3 2 2 2" xfId="26941"/>
    <cellStyle name="标题 4 2 3 2 5 2" xfId="26942"/>
    <cellStyle name="注释 2 2 3 2 2 3 4" xfId="26943"/>
    <cellStyle name="40% - 强调文字颜色 4 5 2 2 2" xfId="26944"/>
    <cellStyle name="输入 2 2 4 3 4 2 2" xfId="26945"/>
    <cellStyle name="汇总 3 2 3 3 2" xfId="26946"/>
    <cellStyle name="强调文字颜色 4 2 2 2 2 4 3 2" xfId="26947"/>
    <cellStyle name="40% - 强调文字颜色 4 2 2 7" xfId="26948"/>
    <cellStyle name="注释 2 4 4 7" xfId="26949"/>
    <cellStyle name="汇总 2 2 9 2 3 3" xfId="26950"/>
    <cellStyle name="40% - 强调文字颜色 5 2 4 3 2" xfId="26951"/>
    <cellStyle name="检查单元格 2 6 2 2 2" xfId="26952"/>
    <cellStyle name="Normal 4 3" xfId="26953"/>
    <cellStyle name="40% - 强调文字颜色 4 2 2 4 2 2" xfId="26954"/>
    <cellStyle name="20% - 强调文字颜色 3 2 5 3 3 2" xfId="26955"/>
    <cellStyle name="常规 5 2 3 6" xfId="26956"/>
    <cellStyle name="计算 2 2 2 2 4 5" xfId="26957"/>
    <cellStyle name="检查单元格 2 4 6 2 2" xfId="26958"/>
    <cellStyle name="计算 2 2 4 5 2 2" xfId="26959"/>
    <cellStyle name="60% - 强调文字颜色 3 2 2 3 2 2 2" xfId="26960"/>
    <cellStyle name="好 2 3 2 3" xfId="26961"/>
    <cellStyle name="40% - 强调文字颜色 5 2 4 4 3 2" xfId="26962"/>
    <cellStyle name="常规 11 4 4 2" xfId="26963"/>
    <cellStyle name="输出 2 7 7 2" xfId="26964"/>
    <cellStyle name="20% - 强调文字颜色 6 4 2 3 2 2 2" xfId="26965"/>
    <cellStyle name="20% - 强调文字颜色 2 2 2 2 5 2 2" xfId="26966"/>
    <cellStyle name="计算 5 2" xfId="26967"/>
    <cellStyle name="百分比 2 3 2 3 2" xfId="26968"/>
    <cellStyle name="40% - 强调文字颜色 2 2 4 3 2 2 2" xfId="26969"/>
    <cellStyle name="输出 2 2 4 2 2 2 3" xfId="26970"/>
    <cellStyle name="标题 4 3 6 2" xfId="26971"/>
    <cellStyle name="20% - 强调文字颜色 2 2 5" xfId="26972"/>
    <cellStyle name="输入 2 7 10" xfId="26973"/>
    <cellStyle name="20% - 强调文字颜色 2 2 3 4 3 2" xfId="26974"/>
    <cellStyle name="检查单元格 2 4 2" xfId="26975"/>
    <cellStyle name="汇总 2 5 10 3" xfId="26976"/>
    <cellStyle name="百分比 2 3 3 2 3" xfId="26977"/>
    <cellStyle name="40% - 强调文字颜色 5 2 3 2 2 4" xfId="26978"/>
    <cellStyle name="计算 2 2 8 5 5" xfId="26979"/>
    <cellStyle name="60% - 强调文字颜色 6 5 2" xfId="26980"/>
    <cellStyle name="输出 2 2 2 2 2 4 2 2" xfId="26981"/>
    <cellStyle name="汇总 3 2 11" xfId="26982"/>
    <cellStyle name="40% - 强调文字颜色 2 3 3 3 2 2 2" xfId="26983"/>
    <cellStyle name="20% - 强调文字颜色 4 3 2 2 3 2 2" xfId="26984"/>
    <cellStyle name="40% - 强调文字颜色 1 2 6" xfId="26985"/>
    <cellStyle name="好 3 2 2 2 2 2 2" xfId="26986"/>
    <cellStyle name="60% - 强调文字颜色 6 2 3 2 3" xfId="26987"/>
    <cellStyle name="强调文字颜色 2 3 2 3" xfId="26988"/>
    <cellStyle name="20% - 强调文字颜色 6 2 3 2 2 3 2 2" xfId="26989"/>
    <cellStyle name="常规 13 4 3 2" xfId="26990"/>
    <cellStyle name="60% - 强调文字颜色 5 2 4 5 2" xfId="26991"/>
    <cellStyle name="注释 2 3 2 2 5 2" xfId="26992"/>
    <cellStyle name="好 2 3 2 3 2 3" xfId="26993"/>
    <cellStyle name="40% - 强调文字颜色 5 3 2" xfId="26994"/>
    <cellStyle name="汇总 2 2 8 5 2 3" xfId="26995"/>
    <cellStyle name="汇总 2 2 2 8 2" xfId="26996"/>
    <cellStyle name="输入 2 5 2 5 4" xfId="26997"/>
    <cellStyle name="计算 3 4 4 2" xfId="26998"/>
    <cellStyle name="40% - 强调文字颜色 6 2 2 2 2 2 2 2 2" xfId="26999"/>
    <cellStyle name="60% - 强调文字颜色 5 2 2 3 2 2 2 2" xfId="27000"/>
    <cellStyle name="计算 2 8 5 3 3" xfId="27001"/>
    <cellStyle name="注释 2 2 3 3 2 2 2 2" xfId="27002"/>
    <cellStyle name="计算 2 6 2 2 7" xfId="27003"/>
    <cellStyle name="计算 2 2 7 3 2 2 2" xfId="27004"/>
    <cellStyle name="强调文字颜色 4 2 2 2 2 2 2 2" xfId="27005"/>
    <cellStyle name="超链接 2 2" xfId="27006"/>
    <cellStyle name="40% - 强调文字颜色 4 2 2 2 3 2 2 2 2 2" xfId="27007"/>
    <cellStyle name="标题 5 3 2 2 2 2 3" xfId="27008"/>
    <cellStyle name="计算 2 6 3 8" xfId="27009"/>
    <cellStyle name="输入 2 2 7 4 4" xfId="27010"/>
    <cellStyle name="超链接 2 2 3 3 2 2" xfId="27011"/>
    <cellStyle name="标题 4 2 2 3 2 2 2 2 2" xfId="27012"/>
    <cellStyle name="常规 2 2 4 2" xfId="27013"/>
    <cellStyle name="输出 2 3 6 2" xfId="27014"/>
    <cellStyle name="常规 2 2 3 4 3" xfId="27015"/>
    <cellStyle name="强调文字颜色 3 2 2 3 4 4" xfId="27016"/>
    <cellStyle name="常规 2 2 3 6" xfId="27017"/>
    <cellStyle name="40% - 强调文字颜色 4 2 2 4 2 3" xfId="27018"/>
    <cellStyle name="输出 2 2 3 2 9" xfId="27019"/>
    <cellStyle name="注释 2 4 2 3 6" xfId="27020"/>
    <cellStyle name="汇总 2 2 6 2 9" xfId="27021"/>
    <cellStyle name="计算 2 2 4 3 2 2 3 2 2" xfId="27022"/>
    <cellStyle name="标题 2 2 2 4 5 2" xfId="27023"/>
    <cellStyle name="计算 2 13 3" xfId="27024"/>
    <cellStyle name="20% - 强调文字颜色 5 2 2 2 2 4 2" xfId="27025"/>
    <cellStyle name="常规 7 5 2 2" xfId="27026"/>
    <cellStyle name="计算 2 3 2 2" xfId="27027"/>
    <cellStyle name="标题 6 2 6" xfId="27028"/>
    <cellStyle name="20% - 强调文字颜色 1 2 3 3 2" xfId="27029"/>
    <cellStyle name="20% - 强调文字颜色 4 2 2 7 2" xfId="27030"/>
    <cellStyle name="40% - 强调文字颜色 6 2 2 8 2" xfId="27031"/>
    <cellStyle name="超链接 2 3 4 3 3" xfId="27032"/>
    <cellStyle name="20% - 强调文字颜色 2 2 2 4 2 3" xfId="27033"/>
    <cellStyle name="60% - 强调文字颜色 6 4 2 3 2 2 2" xfId="27034"/>
    <cellStyle name="链接单元格 3 2 4" xfId="27035"/>
    <cellStyle name="汇总 3 2 2 3 2" xfId="27036"/>
    <cellStyle name="标题 2 2 4 2 3" xfId="27037"/>
    <cellStyle name="汇总 2 4 2 6 2 2" xfId="27038"/>
    <cellStyle name="40% - 强调文字颜色 1 2 2" xfId="27039"/>
    <cellStyle name="计算 2 2 8 5 3 3" xfId="27040"/>
    <cellStyle name="注释 2 2 2 2 2 2 4" xfId="27041"/>
    <cellStyle name="标题 2 3 11" xfId="27042"/>
    <cellStyle name="汇总 4 2 3 3 2 2" xfId="27043"/>
    <cellStyle name="20% - 强调文字颜色 4 2 2 2 3 2 2" xfId="27044"/>
    <cellStyle name="常规 8 2 3 3" xfId="27045"/>
    <cellStyle name="40% - 强调文字颜色 2 2 2 2 2 3 2 2" xfId="27046"/>
    <cellStyle name="输出 2 3 2 2 2" xfId="27047"/>
    <cellStyle name="20% - 强调文字颜色 6 2 10" xfId="27048"/>
    <cellStyle name="20% - 强调文字颜色 5 2 2 8" xfId="27049"/>
    <cellStyle name="20% - 强调文字颜色 3 4 2 3 2 2" xfId="27050"/>
    <cellStyle name="40% - 强调文字颜色 1 3 5" xfId="27051"/>
    <cellStyle name="40% - 强调文字颜色 6 2 8 2" xfId="27052"/>
    <cellStyle name="计算 2 2 3 4 8" xfId="27053"/>
    <cellStyle name="60% - 强调文字颜色 1 4 5" xfId="27054"/>
    <cellStyle name="标题 2 2 2 3 4 2 2 2" xfId="27055"/>
    <cellStyle name="输入 2 2 5 3 2 5" xfId="27056"/>
    <cellStyle name="40% - 强调文字颜色 5 3 3 3 2 2" xfId="27057"/>
    <cellStyle name="标题 1 2 3 2 3 3 2 2" xfId="27058"/>
    <cellStyle name="40% - 强调文字颜色 5 2 3 6 2 2 2" xfId="27059"/>
    <cellStyle name="20% - 强调文字颜色 5 2 6" xfId="27060"/>
    <cellStyle name="40% - 强调文字颜色 6 3 3 3 2 2" xfId="27061"/>
    <cellStyle name="60% - 强调文字颜色 6 6 2 3" xfId="27062"/>
    <cellStyle name="20% - 强调文字颜色 4 4 4 2 2" xfId="27063"/>
    <cellStyle name="60% - 强调文字颜色 4 2 3 4 3 2 2" xfId="27064"/>
    <cellStyle name="40% - 强调文字颜色 4 3 3 3 2 2 2" xfId="27065"/>
    <cellStyle name="超链接 2 2 2 2 4 2 2" xfId="27066"/>
    <cellStyle name="标题 4 2 2 2 5 2" xfId="27067"/>
    <cellStyle name="40% - 强调文字颜色 1 3 2 2 3" xfId="27068"/>
    <cellStyle name="计算 2 5 2 5 3 2" xfId="27069"/>
    <cellStyle name="好 3 7" xfId="27070"/>
    <cellStyle name="标题 2 2 3 4 3 2 2" xfId="27071"/>
    <cellStyle name="40% - 强调文字颜色 5 2 2 2 2 2 3 2" xfId="27072"/>
    <cellStyle name="注释 2 2 2 2 6" xfId="27073"/>
    <cellStyle name="警告文本 2 2 8" xfId="27074"/>
    <cellStyle name="百分比 2 3 2 2 2 3" xfId="27075"/>
    <cellStyle name="标题 1 2 3 3" xfId="27076"/>
    <cellStyle name="计算 2 5 2 2 2 5 2" xfId="27077"/>
    <cellStyle name="20% - 强调文字颜色 5 2 4 7" xfId="27078"/>
    <cellStyle name="输出 2 7 2 3" xfId="27079"/>
    <cellStyle name="20% - 强调文字颜色 4 2 8" xfId="27080"/>
    <cellStyle name="40% - 强调文字颜色 4 2 3 2 3 2 2" xfId="27081"/>
    <cellStyle name="计算 3 2 2 4 2 2" xfId="27082"/>
    <cellStyle name="计算 2 9 9" xfId="27083"/>
    <cellStyle name="汇总 2 2 8 2 2 2 2" xfId="27084"/>
    <cellStyle name="计算 2 2 11 3 2 2" xfId="27085"/>
    <cellStyle name="计算 2 2 4 2 3 6 3" xfId="27086"/>
    <cellStyle name="强调文字颜色 3 2 2 4 2" xfId="27087"/>
    <cellStyle name="40% - 强调文字颜色 5 4 3" xfId="27088"/>
    <cellStyle name="强调文字颜色 1 2 2 4 3 2 2 2" xfId="27089"/>
    <cellStyle name="检查单元格 2 2 3 4 2 2 2" xfId="27090"/>
    <cellStyle name="输出 2 6 2 2 5" xfId="27091"/>
    <cellStyle name="40% - 强调文字颜色 3 2 2 6 2 2" xfId="27092"/>
    <cellStyle name="标题 4 2 3 2 3 3" xfId="27093"/>
    <cellStyle name="百分比 2 2 2 2 2 2" xfId="27094"/>
    <cellStyle name="20% - 强调文字颜色 3 2 2 4 4 2 2" xfId="27095"/>
    <cellStyle name="计算 2 5 7 2" xfId="27096"/>
    <cellStyle name="好 2 3 6 2 2 2" xfId="27097"/>
    <cellStyle name="常规 4 5 3 3" xfId="27098"/>
    <cellStyle name="汇总 2 6 6" xfId="27099"/>
    <cellStyle name="标题 2 2 3 2 3 3" xfId="27100"/>
    <cellStyle name="40% - 强调文字颜色 1 2 2 6 2 2" xfId="27101"/>
    <cellStyle name="20% - 强调文字颜色 5 3 2 4 2 2" xfId="27102"/>
    <cellStyle name="40% - 强调文字颜色 6 2 10 2" xfId="27103"/>
    <cellStyle name="汇总 2 6" xfId="27104"/>
    <cellStyle name="40% - 强调文字颜色 4 2 2 3 2 2" xfId="27105"/>
    <cellStyle name="汇总 2 2 2 5 4" xfId="27106"/>
    <cellStyle name="标题 4 2 2 2 2 4 4" xfId="27107"/>
    <cellStyle name="40% - 强调文字颜色 6 2 4 5 2" xfId="27108"/>
    <cellStyle name="汇总 2 2 5 2 2 8" xfId="27109"/>
    <cellStyle name="警告文本 3 5 2" xfId="27110"/>
    <cellStyle name="警告文本 2 2 6 3 3" xfId="27111"/>
    <cellStyle name="40% - 强调文字颜色 4 2 3 2 2 3 3 2" xfId="27112"/>
    <cellStyle name="标题 1 2 7 2 3" xfId="27113"/>
    <cellStyle name="20% - 强调文字颜色 2 2 2 3 4 2 2 2" xfId="27114"/>
    <cellStyle name="差 2 3 2 5 3" xfId="27115"/>
    <cellStyle name="20% - 强调文字颜色 1 2 2 2 3 2 2 2 2 2" xfId="27116"/>
    <cellStyle name="20% - 强调文字颜色 6 2 2 6 3" xfId="27117"/>
    <cellStyle name="20% - 强调文字颜色 3 2 2 4 5 2" xfId="27118"/>
    <cellStyle name="计算 2 6 7" xfId="27119"/>
    <cellStyle name="40% - 强调文字颜色 6 2 2 4 2 3" xfId="27120"/>
    <cellStyle name="计算 2 2 8 4 7" xfId="27121"/>
    <cellStyle name="60% - 强调文字颜色 6 4 4" xfId="27122"/>
    <cellStyle name="常规 4 3 2 3 3 2 2" xfId="27123"/>
    <cellStyle name="汇总 2 10 3" xfId="27124"/>
    <cellStyle name="60% - 强调文字颜色 6 2 5 2 2" xfId="27125"/>
    <cellStyle name="标题 4 2 2 3 5 2 2" xfId="27126"/>
    <cellStyle name="40% - 强调文字颜色 6 2 3 2 2 3" xfId="27127"/>
    <cellStyle name="标题 4 3 2 2 3 2 2" xfId="27128"/>
    <cellStyle name="20% - 强调文字颜色 6 2 2 5 3 2 2" xfId="27129"/>
    <cellStyle name="标题 4 2 2 2 2 4" xfId="27130"/>
    <cellStyle name="计算 2 5 2 3 5 2 2" xfId="27131"/>
    <cellStyle name="常规 3 3 7 2 4 2" xfId="27132"/>
    <cellStyle name="强调文字颜色 5 2 2 9" xfId="27133"/>
    <cellStyle name="40% - 强调文字颜色 5 2 2 2 7 2" xfId="27134"/>
    <cellStyle name="注释 2 2 6 6 3" xfId="27135"/>
    <cellStyle name="检查单元格 2 2 4 4" xfId="27136"/>
    <cellStyle name="汇总 2 2 4 2 2 2 2 4" xfId="27137"/>
    <cellStyle name="输入 2 2 5 2 2 9" xfId="27138"/>
    <cellStyle name="20% - 强调文字颜色 4 2 2 2 2" xfId="27139"/>
    <cellStyle name="20% - 强调文字颜色 4 2 4 4 2 2" xfId="27140"/>
    <cellStyle name="40% - 强调文字颜色 2 2 2 2" xfId="27141"/>
    <cellStyle name="注释 2 2 3 2 8 2" xfId="27142"/>
    <cellStyle name="计算 2 2 2 4 4 3" xfId="27143"/>
    <cellStyle name="60% - 强调文字颜色 2 4 2 3 2 2" xfId="27144"/>
    <cellStyle name="汇总 2 2 4 2 9" xfId="27145"/>
    <cellStyle name="解释性文本 2 11" xfId="27146"/>
    <cellStyle name="60% - 强调文字颜色 2 2" xfId="27147"/>
    <cellStyle name="强调文字颜色 4 2 3 2 4 2 3" xfId="27148"/>
    <cellStyle name="常规 8 4 3" xfId="27149"/>
    <cellStyle name="20% - 强调文字颜色 1 2 4 4" xfId="27150"/>
    <cellStyle name="检查单元格 3 2 4 2" xfId="27151"/>
    <cellStyle name="20% - 强调文字颜色 2 2 3 2 2 3 3 2" xfId="27152"/>
    <cellStyle name="计算 2 7 2 2 4 2" xfId="27153"/>
    <cellStyle name="40% - 强调文字颜色 3 2 2 3 3 3 2" xfId="27154"/>
    <cellStyle name="60% - 强调文字颜色 3 2 7 2" xfId="27155"/>
    <cellStyle name="60% - 强调文字颜色 2 2 3 5 2" xfId="27156"/>
    <cellStyle name="汇总 2 2 3 2 2 2 4 3" xfId="27157"/>
    <cellStyle name="汇总 2 2 6 2 2 3 3" xfId="27158"/>
    <cellStyle name="输入 2 2 2 4" xfId="27159"/>
    <cellStyle name="60% - 强调文字颜色 6 2 2 2 2 5" xfId="27160"/>
    <cellStyle name="计算 2 4 2 4 4 2" xfId="27161"/>
    <cellStyle name="汇总 2 4 4 2 3" xfId="27162"/>
    <cellStyle name="注释 2 3 3 2 3" xfId="27163"/>
    <cellStyle name="40% - 强调文字颜色 1 2 3 2 3 2" xfId="27164"/>
    <cellStyle name="40% - 强调文字颜色 2 2 2 2 4 2" xfId="27165"/>
    <cellStyle name="40% - 强调文字颜色 1 4 4 2 2" xfId="27166"/>
    <cellStyle name="40% - 强调文字颜色 3 3 2 2 2 2 2 2" xfId="27167"/>
    <cellStyle name="汇总 2 2 8 5 3 2" xfId="27168"/>
    <cellStyle name="计算 2 10 3 5" xfId="27169"/>
    <cellStyle name="40% - 强调文字颜色 3 2 2 5 3" xfId="27170"/>
    <cellStyle name="计算 2 2 2 2" xfId="27171"/>
    <cellStyle name="标题 5 2 6" xfId="27172"/>
    <cellStyle name="标题 4 3 2 2 2" xfId="27173"/>
    <cellStyle name="20% - 强调文字颜色 6 2 2 3 4 2" xfId="27174"/>
    <cellStyle name="汇总 2 5 4 3 3 3" xfId="27175"/>
    <cellStyle name="汇总 2 7 10 2 2" xfId="27176"/>
    <cellStyle name="汇总 2 2 4 4 2" xfId="27177"/>
    <cellStyle name="40% - 强调文字颜色 3 2 2 2 2 2 2 2 2 2" xfId="27178"/>
    <cellStyle name="40% - 强调文字颜色 3 2 2 2 3 5" xfId="27179"/>
    <cellStyle name="20% - 强调文字颜色 6 2 3 6 2 2 2" xfId="27180"/>
    <cellStyle name="标题 1 2 4 6 3" xfId="27181"/>
    <cellStyle name="40% - 强调文字颜色 5 2 3 3 3" xfId="27182"/>
    <cellStyle name="汇总 2 2 4 2 2 2 3 2 2" xfId="27183"/>
    <cellStyle name="40% - 强调文字颜色 4 3 2 4" xfId="27184"/>
    <cellStyle name="计算 3 11 2" xfId="27185"/>
    <cellStyle name="标题 5 2 2 2 2 5" xfId="27186"/>
    <cellStyle name="警告文本 2 2 4 2 2 2" xfId="27187"/>
    <cellStyle name="标题 5 3 2 5" xfId="27188"/>
    <cellStyle name="标题 4 3 4 2" xfId="27189"/>
    <cellStyle name="输入 2 2 4 8 2 2" xfId="27190"/>
    <cellStyle name="20% - 强调文字颜色 6 3 7" xfId="27191"/>
    <cellStyle name="警告文本 3 7" xfId="27192"/>
    <cellStyle name="20% - 强调文字颜色 2 2 2 2 2 2 3 3" xfId="27193"/>
    <cellStyle name="汇总 2 2 8 2 2 2 2 2" xfId="27194"/>
    <cellStyle name="检查单元格 3 2 2" xfId="27195"/>
    <cellStyle name="20% - 强调文字颜色 2 2 2 3 4 2" xfId="27196"/>
    <cellStyle name="40% - 强调文字颜色 4 2 3 2 3 2 2 2" xfId="27197"/>
    <cellStyle name="标题 1 2 2 2 5 2 2" xfId="27198"/>
    <cellStyle name="计算 2 2 4 5 2 3 2" xfId="27199"/>
    <cellStyle name="注释 2 7" xfId="27200"/>
    <cellStyle name="汇总 4 3 4 2" xfId="27201"/>
    <cellStyle name="强调文字颜色 5 2 2 8" xfId="27202"/>
    <cellStyle name="超链接 2 2 3 3 4" xfId="27203"/>
    <cellStyle name="常规 10 5 2 3" xfId="27204"/>
    <cellStyle name="40% - 强调文字颜色 6 2 2 2 2 2 3 3 2" xfId="27205"/>
    <cellStyle name="常规 4 2 2 2 5 2" xfId="27206"/>
    <cellStyle name="40% - 强调文字颜色 4 2 3 2 2 2 3 2" xfId="27207"/>
    <cellStyle name="40% - 强调文字颜色 4 3 2 2 4 2" xfId="27208"/>
    <cellStyle name="20% - 强调文字颜色 3 2 5 3" xfId="27209"/>
    <cellStyle name="汇总 2 4 2 4 5" xfId="27210"/>
    <cellStyle name="常规 7 3 3" xfId="27211"/>
    <cellStyle name="差 2 4 3 4" xfId="27212"/>
    <cellStyle name="计算 3 5 5" xfId="27213"/>
    <cellStyle name="40% - 强调文字颜色 6 2 2 2 2 2 3 3" xfId="27214"/>
    <cellStyle name="20% - 强调文字颜色 2 2 2 2 2 4 2" xfId="27215"/>
    <cellStyle name="警告文本 2 2 2 2 3 3 2 2" xfId="27216"/>
    <cellStyle name="输出 2 2 3 2 5 5" xfId="27217"/>
    <cellStyle name="标题 2 2 2 4 2 2 2" xfId="27218"/>
    <cellStyle name="40% - 强调文字颜色 3 3 2 4" xfId="27219"/>
    <cellStyle name="40% - 强调文字颜色 5 2 3 2 2 5" xfId="27220"/>
    <cellStyle name="好 2 7 2 2 2" xfId="27221"/>
    <cellStyle name="20% - 强调文字颜色 6 2 4 5 2" xfId="27222"/>
    <cellStyle name="20% - 强调文字颜色 3 2 3 2 2 3 2 2" xfId="27223"/>
    <cellStyle name="百分比 2 2 4 2 3" xfId="27224"/>
    <cellStyle name="标题 4 2 2 3 4 2" xfId="27225"/>
    <cellStyle name="输入 2 2 4 2 2 2" xfId="27226"/>
    <cellStyle name="常规 5 2 3 8 3" xfId="27227"/>
    <cellStyle name="标题 2 2 3 3 3 2" xfId="27228"/>
    <cellStyle name="注释 2 4 5 7" xfId="27229"/>
    <cellStyle name="40% - 强调文字颜色 5 2 4 4 2" xfId="27230"/>
    <cellStyle name="20% - 强调文字颜色 5 3 2 3" xfId="27231"/>
    <cellStyle name="60% - 强调文字颜色 6 2 3 3 6" xfId="27232"/>
    <cellStyle name="汇总 2 6 2 2 2 4 2 2" xfId="27233"/>
    <cellStyle name="输出 2 2 4 7 2 2" xfId="27234"/>
    <cellStyle name="60% - 强调文字颜色 1 2 4 5 2 2" xfId="27235"/>
    <cellStyle name="标题 3 2 2 4 5 3" xfId="27236"/>
    <cellStyle name="40% - 强调文字颜色 1 2 2 10" xfId="27237"/>
    <cellStyle name="20% - 强调文字颜色 5 2 5" xfId="27238"/>
    <cellStyle name="输入 2 2 6 5 4" xfId="27239"/>
    <cellStyle name="计算 2 5 4 8" xfId="27240"/>
    <cellStyle name="40% - 强调文字颜色 3 2 2 5 3 2" xfId="27241"/>
    <cellStyle name="计算 2 6 2 2 3 4 2" xfId="27242"/>
    <cellStyle name="常规 4 2 3 4" xfId="27243"/>
    <cellStyle name="60% - 强调文字颜色 6 2 3 2 2 2 3" xfId="27244"/>
    <cellStyle name="40% - 强调文字颜色 5 2 4 6" xfId="27245"/>
    <cellStyle name="汇总 2 2 2 2 10" xfId="27246"/>
    <cellStyle name="常规 8 2 5 2" xfId="27247"/>
    <cellStyle name="60% - 强调文字颜色 1 3 3 3 2" xfId="27248"/>
    <cellStyle name="常规 4 3 8" xfId="27249"/>
    <cellStyle name="40% - 强调文字颜色 6 2 2 6" xfId="27250"/>
    <cellStyle name="40% - 强调文字颜色 1 2 2 2 4" xfId="27251"/>
    <cellStyle name="汇总 2 2 4 2 2 4 2" xfId="27252"/>
    <cellStyle name="40% - 强调文字颜色 5 2 2 3 2 2 2 2 2" xfId="27253"/>
    <cellStyle name="40% - 强调文字颜色 3 2 2 2 2 5 2 2" xfId="27254"/>
    <cellStyle name="汇总 4 2 2 2 3" xfId="27255"/>
    <cellStyle name="20% - 强调文字颜色 6 3" xfId="27256"/>
    <cellStyle name="强调文字颜色 2 2 7 2" xfId="27257"/>
    <cellStyle name="链接单元格 2 3 2 4" xfId="27258"/>
    <cellStyle name="20% - 强调文字颜色 3 2 3 3 3 2" xfId="27259"/>
    <cellStyle name="20% - 强调文字颜色 6 2 2 4 3 2" xfId="27260"/>
    <cellStyle name="60% - 强调文字颜色 5 2 3 2 5 2" xfId="27261"/>
    <cellStyle name="20% - 强调文字颜色 6 2 2 2 2 2 4 2" xfId="27262"/>
    <cellStyle name="20% - 强调文字颜色 4 2 6 2" xfId="27263"/>
    <cellStyle name="标题 6 3 3" xfId="27264"/>
    <cellStyle name="计算 2 5 3 2 5 3" xfId="27265"/>
    <cellStyle name="20% - 强调文字颜色 4 2 6 2 2" xfId="27266"/>
    <cellStyle name="标题 3 2 6 3 2" xfId="27267"/>
    <cellStyle name="40% - 强调文字颜色 2 2 2 5 3 2" xfId="27268"/>
    <cellStyle name="输出 2 2 7 4" xfId="27269"/>
    <cellStyle name="计算 2 4 3 3" xfId="27270"/>
    <cellStyle name="标题 1 2 2 9" xfId="27271"/>
    <cellStyle name="计算 2 7 4 5 2" xfId="27272"/>
    <cellStyle name="汇总 2 2 5 4 5" xfId="27273"/>
    <cellStyle name="60% - 强调文字颜色 5 3 3 2 2 2 2" xfId="27274"/>
    <cellStyle name="40% - 强调文字颜色 6 2 2 5 3" xfId="27275"/>
    <cellStyle name="20% - 强调文字颜色 3 2 2 2 2 2 2" xfId="27276"/>
    <cellStyle name="强调文字颜色 5 2 4" xfId="27277"/>
    <cellStyle name="40% - 强调文字颜色 3 4 2 3 2 2 2" xfId="27278"/>
    <cellStyle name="20% - 强调文字颜色 5 3 2 4 2" xfId="27279"/>
    <cellStyle name="注释 2 2 7 3 4" xfId="27280"/>
    <cellStyle name="40% - 强调文字颜色 1 2 2 2 8" xfId="27281"/>
    <cellStyle name="60% - 强调文字颜色 1 2 4 4 2 2 2" xfId="27282"/>
    <cellStyle name="60% - 强调文字颜色 6 5" xfId="27283"/>
    <cellStyle name="注释 2 7 3 2 2 2" xfId="27284"/>
    <cellStyle name="40% - 强调文字颜色 3 2 4 3 3" xfId="27285"/>
    <cellStyle name="注释 2 2 4 4 4" xfId="27286"/>
    <cellStyle name="检查单元格 2 4 2 2" xfId="27287"/>
    <cellStyle name="20% - 强调文字颜色 2 2 3 4 3 2 2" xfId="27288"/>
    <cellStyle name="标题 1 2 2 2 4 3" xfId="27289"/>
    <cellStyle name="20% - 强调文字颜色 2 2 2 3 5 2" xfId="27290"/>
    <cellStyle name="好 4 3 3" xfId="27291"/>
    <cellStyle name="60% - 强调文字颜色 2 2 2 3 6" xfId="27292"/>
    <cellStyle name="标题 4 3 2 2 4" xfId="27293"/>
    <cellStyle name="60% - 强调文字颜色 1 3 3 3 2 2" xfId="27294"/>
    <cellStyle name="常规 5 6 3 3 3" xfId="27295"/>
    <cellStyle name="20% - 强调文字颜色 1 2 2 3 4 2 2" xfId="27296"/>
    <cellStyle name="40% - 强调文字颜色 2 2 2 3 3" xfId="27297"/>
    <cellStyle name="强调文字颜色 2 2 2 2 3 2" xfId="27298"/>
    <cellStyle name="20% - 强调文字颜色 1 3 3 2" xfId="27299"/>
    <cellStyle name="汇总 2 2 2 4 4 3" xfId="27300"/>
    <cellStyle name="常规 4 2 2 2 2 3 2 2" xfId="27301"/>
    <cellStyle name="适中 2 3 2 4 2 2" xfId="27302"/>
    <cellStyle name="标题 1 2 3 2 4 4" xfId="27303"/>
    <cellStyle name="20% - 强调文字颜色 2 2 2 3 4" xfId="27304"/>
    <cellStyle name="常规 4 3 2 2 4 2" xfId="27305"/>
    <cellStyle name="注释 2 2 2 3 6" xfId="27306"/>
    <cellStyle name="40% - 强调文字颜色 3 2 2 2 5" xfId="27307"/>
    <cellStyle name="计算 2 2 2 2 2 7" xfId="27308"/>
    <cellStyle name="20% - 强调文字颜色 2 2 3 2 4 2 2 2" xfId="27309"/>
    <cellStyle name="输入 2 8 2 2 5" xfId="27310"/>
    <cellStyle name="标题 5 8 2" xfId="27311"/>
    <cellStyle name="汇总 2 2 8 4 4" xfId="27312"/>
    <cellStyle name="40% - 强调文字颜色 1 2 3 7" xfId="27313"/>
    <cellStyle name="汇总 2 6 4 2 4" xfId="27314"/>
    <cellStyle name="常规 7 2 2 2 2 3 2" xfId="27315"/>
    <cellStyle name="汇总 2 2 4 5 3" xfId="27316"/>
    <cellStyle name="注释 3 3 2 2 2 2" xfId="27317"/>
    <cellStyle name="60% - 强调文字颜色 2 2 3 3 6" xfId="27318"/>
    <cellStyle name="常规 3 2 4 2 3" xfId="27319"/>
    <cellStyle name="计算 2 2 2 2 2 2" xfId="27320"/>
    <cellStyle name="强调文字颜色 6 2 2 2 3 4" xfId="27321"/>
    <cellStyle name="20% - 强调文字颜色 5 5 2 2 2" xfId="27322"/>
    <cellStyle name="40% - 强调文字颜色 1 3 7" xfId="27323"/>
    <cellStyle name="汇总 2 8 8 2" xfId="27324"/>
    <cellStyle name="汇总 2 2 3 4 5 2 2" xfId="27325"/>
    <cellStyle name="20% - 强调文字颜色 2 2 3 3 2 2 2 2 2" xfId="27326"/>
    <cellStyle name="汇总 2 2 7 5 4 2" xfId="27327"/>
    <cellStyle name="60% - 强调文字颜色 1 3 2 3 2" xfId="27328"/>
    <cellStyle name="强调文字颜色 3 3" xfId="27329"/>
    <cellStyle name="常规 3 2 2 2 2 3 2" xfId="27330"/>
    <cellStyle name="汇总 2 2 8 4 4 2" xfId="27331"/>
    <cellStyle name="强调文字颜色 5 2 3 3 5" xfId="27332"/>
    <cellStyle name="输入 2 2 2 3 9" xfId="27333"/>
    <cellStyle name="差 2 2 2 2 6 2 2" xfId="27334"/>
    <cellStyle name="强调文字颜色 5 3 2 4" xfId="27335"/>
    <cellStyle name="20% - 强调文字颜色 2 2 6" xfId="27336"/>
    <cellStyle name="标题 2 2 2 6 3 2 2" xfId="27337"/>
    <cellStyle name="40% - 强调文字颜色 3 2 3 2 2 3 3 2 2" xfId="27338"/>
    <cellStyle name="20% - 强调文字颜色 2 2 2 6 3 2 2" xfId="27339"/>
    <cellStyle name="60% - 强调文字颜色 4 2 2 2 2 2 2 2 2" xfId="27340"/>
    <cellStyle name="解释性文本 2 3 2 3 3 2 2" xfId="27341"/>
    <cellStyle name="20% - 强调文字颜色 2 4 2 2" xfId="27342"/>
    <cellStyle name="强调文字颜色 2 2 3 3 2 2" xfId="27343"/>
    <cellStyle name="40% - 强调文字颜色 5 2 2 7 2" xfId="27344"/>
    <cellStyle name="注释 2 2 8 7" xfId="27345"/>
    <cellStyle name="强调文字颜色 2 2 2 4 4 2" xfId="27346"/>
    <cellStyle name="好 2 4 4 2 2 2" xfId="27347"/>
    <cellStyle name="计算 2 4 8" xfId="27348"/>
    <cellStyle name="20% - 强调文字颜色 3 2 2 4 3 3" xfId="27349"/>
    <cellStyle name="计算 2 2 2 4 2 5" xfId="27350"/>
    <cellStyle name="常规 5 4 3 3" xfId="27351"/>
    <cellStyle name="40% - 强调文字颜色 5 2 2 3 7" xfId="27352"/>
    <cellStyle name="标题 6 2 3 2" xfId="27353"/>
    <cellStyle name="20% - 强调文字颜色 3 2 4 4 2" xfId="27354"/>
    <cellStyle name="常规 7 2 2 2 5 2" xfId="27355"/>
    <cellStyle name="40% - 强调文字颜色 2 3 2 2 2 2 2" xfId="27356"/>
    <cellStyle name="40% - 强调文字颜色 5 2 3 2 2 3 3" xfId="27357"/>
    <cellStyle name="40% - 强调文字颜色 4 2 3 2 2 2" xfId="27358"/>
    <cellStyle name="百分比 2 3 3 4" xfId="27359"/>
    <cellStyle name="60% - 强调文字颜色 4 2 2 3 3 2" xfId="27360"/>
    <cellStyle name="常规 7 2 5 2" xfId="27361"/>
    <cellStyle name="计算 2 3 2 2 2 3 3" xfId="27362"/>
    <cellStyle name="汇总 2 2 3 7 3" xfId="27363"/>
    <cellStyle name="60% - 强调文字颜色 5 2 3 2 2 2 2" xfId="27364"/>
    <cellStyle name="60% - 强调文字颜色 6 2 4 3 3" xfId="27365"/>
    <cellStyle name="40% - 强调文字颜色 2 2 3 3 2 2 2 2 2" xfId="27366"/>
    <cellStyle name="40% - 强调文字颜色 6 2 2 8" xfId="27367"/>
    <cellStyle name="20% - 强调文字颜色 3 3 2 2 3 2 2 2" xfId="27368"/>
    <cellStyle name="注释 2 4 2 3 2 2 2" xfId="27369"/>
    <cellStyle name="强调文字颜色 1 2 7 2 2 2" xfId="27370"/>
    <cellStyle name="40% - 强调文字颜色 6 4 2 4 2" xfId="27371"/>
    <cellStyle name="标题 4 2 2 2 2 4 2 2" xfId="27372"/>
    <cellStyle name="20% - 强调文字颜色 4 2 2 4" xfId="27373"/>
    <cellStyle name="20% - 强调文字颜色 2 2 5 5" xfId="27374"/>
    <cellStyle name="20% - 强调文字颜色 4 4 2 4" xfId="27375"/>
    <cellStyle name="20% - 强调文字颜色 6 2 3 2 3 3 2" xfId="27376"/>
    <cellStyle name="60% - 强调文字颜色 6 2 3 3" xfId="27377"/>
    <cellStyle name="40% - 强调文字颜色 5 2 3 2 3 2" xfId="27378"/>
    <cellStyle name="20% - 强调文字颜色 6 2 3 7" xfId="27379"/>
    <cellStyle name="百分比 2 4 3 2 2" xfId="27380"/>
    <cellStyle name="计算 2 6 2 2 2 2 3" xfId="27381"/>
    <cellStyle name="20% - 强调文字颜色 6 2 3 4 3" xfId="27382"/>
    <cellStyle name="计算 2 3 3 4 3" xfId="27383"/>
    <cellStyle name="常规 5 2 3 5 2" xfId="27384"/>
    <cellStyle name="警告文本 2 4 7" xfId="27385"/>
    <cellStyle name="链接单元格 2 2 3 3 2 3" xfId="27386"/>
    <cellStyle name="检查单元格 2 4 9" xfId="27387"/>
    <cellStyle name="60% - 强调文字颜色 3 6 2" xfId="27388"/>
    <cellStyle name="标题 2 2 2 2 3 3 2" xfId="27389"/>
    <cellStyle name="40% - 强调文字颜色 2 4 5 2" xfId="27390"/>
    <cellStyle name="输入 2 2 2 2 7 2" xfId="27391"/>
    <cellStyle name="20% - 强调文字颜色 2 2 5 2 2 2 2" xfId="27392"/>
    <cellStyle name="适中 4 4" xfId="27393"/>
    <cellStyle name="40% - 强调文字颜色 4 2 2 3 4" xfId="27394"/>
    <cellStyle name="输出 6" xfId="27395"/>
    <cellStyle name="60% - 强调文字颜色 2 2 10" xfId="27396"/>
    <cellStyle name="解释性文本 2 2 4 3 4" xfId="27397"/>
    <cellStyle name="汇总 2 5 12" xfId="27398"/>
    <cellStyle name="标题 1 2 3 2 2 2 2 2 3" xfId="27399"/>
    <cellStyle name="60% - 强调文字颜色 4 2 3 2 4 2 2" xfId="27400"/>
    <cellStyle name="标题 3 2 4 7" xfId="27401"/>
    <cellStyle name="20% - 强调文字颜色 5 5 2 2 2 2" xfId="27402"/>
    <cellStyle name="标题 4 2 3 2 3 2 2" xfId="27403"/>
    <cellStyle name="40% - 强调文字颜色 5 3 2 2 3" xfId="27404"/>
    <cellStyle name="汇总 2 2 6 4 4 2" xfId="27405"/>
    <cellStyle name="标题 2 4 2 5" xfId="27406"/>
    <cellStyle name="汇总 2 2 5 3 2 3 3" xfId="27407"/>
    <cellStyle name="40% - 强调文字颜色 4 2 2 3 3 2 2" xfId="27408"/>
    <cellStyle name="20% - 强调文字颜色 2 2 2 2 7 2" xfId="27409"/>
    <cellStyle name="计算 2 2 2 2 2 2 4 3" xfId="27410"/>
    <cellStyle name="适中 2 2 2 2" xfId="27411"/>
    <cellStyle name="常规 5 5 3 2 2" xfId="27412"/>
    <cellStyle name="20% - 强调文字颜色 3 2 2 6 3 2 2" xfId="27413"/>
    <cellStyle name="40% - 强调文字颜色 5 2 4 4" xfId="27414"/>
    <cellStyle name="40% - 强调文字颜色 3 2 2 2 5 2" xfId="27415"/>
    <cellStyle name="输入 2 2 3 2 3 2 2" xfId="27416"/>
    <cellStyle name="好 2 2 5 2 2 2" xfId="27417"/>
    <cellStyle name="汇总 2 3 5 3 3" xfId="27418"/>
    <cellStyle name="60% - 强调文字颜色 3 2 4 8" xfId="27419"/>
    <cellStyle name="计算 2 7 7 2" xfId="27420"/>
    <cellStyle name="标题 5 2 2 2" xfId="27421"/>
    <cellStyle name="汇总 2 10 2 2 2" xfId="27422"/>
    <cellStyle name="常规 7 4 4" xfId="27423"/>
    <cellStyle name="标题 1 2 2 4 5 2" xfId="27424"/>
    <cellStyle name="汇总 2 2 5 2 7 2" xfId="27425"/>
    <cellStyle name="40% - 强调文字颜色 3 2 2 2 3 3" xfId="27426"/>
    <cellStyle name="注释 2 2 2 3 4 3" xfId="27427"/>
    <cellStyle name="汇总 2 2 8 5 2 2 2" xfId="27428"/>
    <cellStyle name="40% - 强调文字颜色 1 3 3" xfId="27429"/>
    <cellStyle name="标题 1 2 2 7 2 2" xfId="27430"/>
    <cellStyle name="百分比 2 4 3 2" xfId="27431"/>
    <cellStyle name="20% - 强调文字颜色 2 2 4 5 2 2" xfId="27432"/>
    <cellStyle name="40% - 强调文字颜色 2 2 2 2 2 2 2 2" xfId="27433"/>
    <cellStyle name="40% - 强调文字颜色 5 2 3 2 5" xfId="27434"/>
    <cellStyle name="检查单元格 2 3 3 2 3" xfId="27435"/>
    <cellStyle name="检查单元格 2 2 2 3 5" xfId="27436"/>
    <cellStyle name="20% - 强调文字颜色 1 2 4 3 2" xfId="27437"/>
    <cellStyle name="计算 4 2 2 2" xfId="27438"/>
    <cellStyle name="40% - 强调文字颜色 6 2 2 4 2 2" xfId="27439"/>
    <cellStyle name="常规 4 3 6 2 2" xfId="27440"/>
    <cellStyle name="汇总 2 8 2 7" xfId="27441"/>
    <cellStyle name="60% - 强调文字颜色 6 2 4 2 2 2 2 2" xfId="27442"/>
    <cellStyle name="40% - 强调文字颜色 1 2 2 2 2" xfId="27443"/>
    <cellStyle name="40% - 强调文字颜色 2 2 2 3 7" xfId="27444"/>
    <cellStyle name="20% - 强调文字颜色 6 2 2 2 3 2 2 2 2" xfId="27445"/>
    <cellStyle name="20% - 强调文字颜色 2 2 4 4 2 2" xfId="27446"/>
    <cellStyle name="40% - 强调文字颜色 6 3 2 3 2 2 2" xfId="27447"/>
    <cellStyle name="计算 2 2 5 2 4 3 2" xfId="27448"/>
    <cellStyle name="60% - 强调文字颜色 2 2 2 3 3 2 2 2" xfId="27449"/>
    <cellStyle name="40% - 强调文字颜色 4 2 2 4 5 2" xfId="27450"/>
    <cellStyle name="60% - 强调文字颜色 5 2 3 2 2 3 2" xfId="27451"/>
    <cellStyle name="20% - 强调文字颜色 2 4 2 4 2" xfId="27452"/>
    <cellStyle name="超链接 2 3 4 2" xfId="27453"/>
    <cellStyle name="汇总 2 2 5 2 4 2 2 2" xfId="27454"/>
    <cellStyle name="20% - 强调文字颜色 5 3 2 4 2 2 2" xfId="27455"/>
    <cellStyle name="常规 2 5 3" xfId="27456"/>
    <cellStyle name="输出 2 6 5" xfId="27457"/>
    <cellStyle name="常规 5 4 3" xfId="27458"/>
    <cellStyle name="常规 5 2 3 4 2" xfId="27459"/>
    <cellStyle name="60% - 强调文字颜色 6 2 3 6 2 2" xfId="27460"/>
    <cellStyle name="40% - 强调文字颜色 1 2 2 5 3 2 2" xfId="27461"/>
    <cellStyle name="汇总 2 2 4 2 2 3 3" xfId="27462"/>
    <cellStyle name="20% - 强调文字颜色 2 2 3 2" xfId="27463"/>
    <cellStyle name="40% - 强调文字颜色 5 3 2 4" xfId="27464"/>
    <cellStyle name="20% - 强调文字颜色 4 2 2 3 2" xfId="27465"/>
    <cellStyle name="60% - 强调文字颜色 3 3" xfId="27466"/>
    <cellStyle name="常规 7 2 2 2 4 2" xfId="27467"/>
    <cellStyle name="20% - 强调文字颜色 3 2 4 3 2" xfId="27468"/>
    <cellStyle name="标题 2 2 2 2 4 2 2" xfId="27469"/>
    <cellStyle name="40% - 强调文字颜色 2 2 2 2 2 2 2 3" xfId="27470"/>
    <cellStyle name="输入 2 4 2 2 2" xfId="27471"/>
    <cellStyle name="标题 1 2 5 3 3" xfId="27472"/>
    <cellStyle name="汇总 2 2 3 2 3 4" xfId="27473"/>
    <cellStyle name="40% - 强调文字颜色 3 2 2 3 5" xfId="27474"/>
    <cellStyle name="注释 2 2 2 4 6" xfId="27475"/>
    <cellStyle name="百分比 2 5 2" xfId="27476"/>
    <cellStyle name="40% - 强调文字颜色 2 2 2 3 5" xfId="27477"/>
    <cellStyle name="差 2 8" xfId="27478"/>
    <cellStyle name="计算 2 2 12 2" xfId="27479"/>
    <cellStyle name="20% - 强调文字颜色 1 2 5 2 2 2 2" xfId="27480"/>
    <cellStyle name="百分比 2 3 4 2 2 2" xfId="27481"/>
    <cellStyle name="40% - 强调文字颜色 1 3 2 2 2" xfId="27482"/>
    <cellStyle name="20% - 强调文字颜色 4 3 9" xfId="27483"/>
    <cellStyle name="汇总 3 3 2 3 2" xfId="27484"/>
    <cellStyle name="40% - 强调文字颜色 3 2 2 4 3 2" xfId="27485"/>
    <cellStyle name="20% - 强调文字颜色 5 2 2 2 7" xfId="27486"/>
    <cellStyle name="标题 4 2 3 2 4" xfId="27487"/>
    <cellStyle name="计算 2 2 4 5 4 2 2" xfId="27488"/>
    <cellStyle name="输入 2 6 2 5 2 2" xfId="27489"/>
    <cellStyle name="Normal 3 2" xfId="27490"/>
    <cellStyle name="注释 2 3 2 8" xfId="27491"/>
    <cellStyle name="标题 2 2 2 2 2 2 5" xfId="27492"/>
    <cellStyle name="40% - 强调文字颜色 1 3 3 2 2" xfId="27493"/>
    <cellStyle name="20% - 强调文字颜色 4 3 2 4 2 2 2" xfId="27494"/>
    <cellStyle name="检查单元格 2 7 2" xfId="27495"/>
    <cellStyle name="标题 1 2 3 2 4 3" xfId="27496"/>
    <cellStyle name="常规 6 3 2 4 3 2 2" xfId="27497"/>
    <cellStyle name="常规 7 6 2 2 2" xfId="27498"/>
    <cellStyle name="好 4 4 2" xfId="27499"/>
    <cellStyle name="标题 5 3 6 2 2 2" xfId="27500"/>
    <cellStyle name="输出 8 3" xfId="27501"/>
    <cellStyle name="20% - 强调文字颜色 4 3 3 3 2 2 2" xfId="27502"/>
    <cellStyle name="差 2 4 5 3" xfId="27503"/>
    <cellStyle name="常规 4 3 2 2 5" xfId="27504"/>
    <cellStyle name="标题 3 2 6 3 2 2" xfId="27505"/>
    <cellStyle name="20% - 强调文字颜色 2 2 4 4 2 2 2" xfId="27506"/>
    <cellStyle name="标题 2 2 2 4 2 2" xfId="27507"/>
    <cellStyle name="汇总 2 2 6 4 2 2 2 2" xfId="27508"/>
    <cellStyle name="60% - 强调文字颜色 6 6 2" xfId="27509"/>
    <cellStyle name="汇总 2 6 2" xfId="27510"/>
    <cellStyle name="输入 3 5 3" xfId="27511"/>
    <cellStyle name="60% - 强调文字颜色 3 2 3 6" xfId="27512"/>
    <cellStyle name="输入 2 5 2 2 2 5 2" xfId="27513"/>
    <cellStyle name="说明文本 2 2" xfId="27514"/>
    <cellStyle name="输出 2 7 3 2" xfId="27515"/>
    <cellStyle name="标题 2 4 6" xfId="27516"/>
    <cellStyle name="40% - 强调文字颜色 4 3 2 2 3 2 2 2" xfId="27517"/>
    <cellStyle name="检查单元格 2 6 2" xfId="27518"/>
    <cellStyle name="百分比 2 4 2 2 3" xfId="27519"/>
    <cellStyle name="输入 2 5 4 2 3" xfId="27520"/>
    <cellStyle name="60% - 强调文字颜色 6 2 2 3 2 2 2 2" xfId="27521"/>
    <cellStyle name="常规 11 2 3 3" xfId="27522"/>
    <cellStyle name="20% - 强调文字颜色 1 2 5 3 2 2 2" xfId="27523"/>
    <cellStyle name="超链接 3 4 3 3 2" xfId="27524"/>
    <cellStyle name="标题 5 2 2" xfId="27525"/>
    <cellStyle name="20% - 强调文字颜色 2 4 2 3 2" xfId="27526"/>
    <cellStyle name="60% - 强调文字颜色 6 5 2 2 2" xfId="27527"/>
    <cellStyle name="60% - 强调文字颜色 2 2 2 2 2 2 2" xfId="27528"/>
    <cellStyle name="计算 2 5 4 3 3 3" xfId="27529"/>
    <cellStyle name="40% - 强调文字颜色 1 2 2 2 2 4" xfId="27530"/>
    <cellStyle name="标题 1 2 2 11" xfId="27531"/>
    <cellStyle name="标题 3 2 5 3" xfId="27532"/>
    <cellStyle name="计算 2 2 6 7 3" xfId="27533"/>
    <cellStyle name="20% - 强调文字颜色 5 2 3 4 3 2 2" xfId="27534"/>
    <cellStyle name="标题 2 2 3 2 6 2 2" xfId="27535"/>
    <cellStyle name="40% - 强调文字颜色 1 2 2 2 2 4 2 2" xfId="27536"/>
    <cellStyle name="40% - 强调文字颜色 4 2 3 2 3 3 2" xfId="27537"/>
    <cellStyle name="40% - 强调文字颜色 4 2 2 4 4" xfId="27538"/>
    <cellStyle name="20% - 强调文字颜色 1 2 2 2 3 5" xfId="27539"/>
    <cellStyle name="20% - 强调文字颜色 4 2 3 2 4 3 2" xfId="27540"/>
    <cellStyle name="检查单元格 2 2 2 2 2 5" xfId="27541"/>
    <cellStyle name="20% - 强调文字颜色 2 2 2 3" xfId="27542"/>
    <cellStyle name="汇总 3 4 2 3" xfId="27543"/>
    <cellStyle name="20% - 强调文字颜色 2 3 2 2 4" xfId="27544"/>
    <cellStyle name="适中 2 7 3 3" xfId="27545"/>
    <cellStyle name="常规 5 3 2 2 5 2 2" xfId="27546"/>
    <cellStyle name="链接单元格 2 2 2 4" xfId="27547"/>
    <cellStyle name="40% - 强调文字颜色 1 2 3 5 2 2" xfId="27548"/>
    <cellStyle name="汇总 2 6 4 2 2 2 2" xfId="27549"/>
    <cellStyle name="60% - 强调文字颜色 1 2 8 2" xfId="27550"/>
    <cellStyle name="常规 4 6 2" xfId="27551"/>
    <cellStyle name="强调文字颜色 3 2 3 2 2 2" xfId="27552"/>
    <cellStyle name="汇总 2 2 5 2 2 3 2" xfId="27553"/>
    <cellStyle name="汇总 2 2 2 3 3 2 2" xfId="27554"/>
    <cellStyle name="差 2 2 3 3 2 2 2" xfId="27555"/>
    <cellStyle name="标题 5 2 3 2 2" xfId="27556"/>
    <cellStyle name="标题 6 3 2" xfId="27557"/>
    <cellStyle name="好 2 6 3 2" xfId="27558"/>
    <cellStyle name="40% - 强调文字颜色 3 2 3 5 2 2" xfId="27559"/>
    <cellStyle name="输出 2 5 2 3 6" xfId="27560"/>
    <cellStyle name="好 2 3 3 2" xfId="27561"/>
    <cellStyle name="40% - 强调文字颜色 2 2 2 2 5 2" xfId="27562"/>
    <cellStyle name="20% - 强调文字颜色 1 2 2 2 2 3 3 2" xfId="27563"/>
    <cellStyle name="40% - 强调文字颜色 1 2 3 2 2" xfId="27564"/>
    <cellStyle name="40% - 强调文字颜色 6 2 2 2 2 2 2 3 2" xfId="27565"/>
    <cellStyle name="计算 3 4 5 2" xfId="27566"/>
    <cellStyle name="20% - 强调文字颜色 3 2 3 3 3 2 2" xfId="27567"/>
    <cellStyle name="检查单元格 2 2 4 5 2 2" xfId="27568"/>
    <cellStyle name="标题 1 4 4 2 3" xfId="27569"/>
    <cellStyle name="常规 5 3 2 2 6" xfId="27570"/>
    <cellStyle name="20% - 强调文字颜色 2 2 3 2 2 2 2 2" xfId="27571"/>
    <cellStyle name="标题 1 2 3 2 5 2" xfId="27572"/>
    <cellStyle name="强调文字颜色 1 3 2 2 2" xfId="27573"/>
    <cellStyle name="常规 10 2 4" xfId="27574"/>
    <cellStyle name="60% - 强调文字颜色 5 6" xfId="27575"/>
    <cellStyle name="标题 3 2 3 3 2 2 2 2" xfId="27576"/>
    <cellStyle name="计算 2 3 5 4" xfId="27577"/>
    <cellStyle name="输入 2 2 5 2 2 4 2 2" xfId="27578"/>
    <cellStyle name="20% - 强调文字颜色 6 2 2 4 4 2 2" xfId="27579"/>
    <cellStyle name="20% - 强调文字颜色 2 2 3 2 2 5 2 2" xfId="27580"/>
    <cellStyle name="20% - 强调文字颜色 1 2 2 2 2 2 3" xfId="27581"/>
    <cellStyle name="20% - 强调文字颜色 3 2 3 2 4 3 2" xfId="27582"/>
    <cellStyle name="40% - 强调文字颜色 2 2 2 3 3 2 2" xfId="27583"/>
    <cellStyle name="注释 2 4 3" xfId="27584"/>
    <cellStyle name="20% - 强调文字颜色 1 2 2 2 2 4 3 2" xfId="27585"/>
    <cellStyle name="汇总 2 2 4 2 2 2 5 2" xfId="27586"/>
    <cellStyle name="常规 5 3 2 6 2" xfId="27587"/>
    <cellStyle name="60% - 强调文字颜色 5 2 5 2" xfId="27588"/>
    <cellStyle name="40% - 强调文字颜色 2 2 2 2 2 2 4" xfId="27589"/>
    <cellStyle name="20% - 强调文字颜色 2 2 5 2" xfId="27590"/>
    <cellStyle name="常规 5 2 2 6 2" xfId="27591"/>
    <cellStyle name="检查单元格 2 2 2 2" xfId="27592"/>
    <cellStyle name="常规 3 7 2 3 3" xfId="27593"/>
    <cellStyle name="20% - 强调文字颜色 3 2 3 6 2" xfId="27594"/>
    <cellStyle name="20% - 强调文字颜色 4 2 4 4 3" xfId="27595"/>
    <cellStyle name="20% - 强调文字颜色 1 2 3 2 2 5 2" xfId="27596"/>
    <cellStyle name="60% - 强调文字颜色 5 2 2 3 4 3 2" xfId="27597"/>
    <cellStyle name="标题 5 3 8" xfId="27598"/>
    <cellStyle name="注释 2 3 3 2 2" xfId="27599"/>
    <cellStyle name="40% - 强调文字颜色 3 2 2 3 3 2 2" xfId="27600"/>
    <cellStyle name="60% - 强调文字颜色 4 2 6 2 2" xfId="27601"/>
    <cellStyle name="20% - 强调文字颜色 3 4 2 3 2 2 2" xfId="27602"/>
    <cellStyle name="40% - 强调文字颜色 4 2 3 2 2 2 2 2" xfId="27603"/>
    <cellStyle name="解释性文本 2 2 2 2 2 2 2" xfId="27604"/>
    <cellStyle name="常规 5 5 2 2 3 3" xfId="27605"/>
    <cellStyle name="超链接 2 3 4 2 2 3" xfId="27606"/>
    <cellStyle name="20% - 强调文字颜色 2 2 2 4 2 2" xfId="27607"/>
    <cellStyle name="检查单元格 2 3 3 2" xfId="27608"/>
    <cellStyle name="汇总 2 10" xfId="27609"/>
    <cellStyle name="强调文字颜色 6 2 3 3" xfId="27610"/>
    <cellStyle name="输出 3 7 2" xfId="27611"/>
    <cellStyle name="40% - 强调文字颜色 4 2 2 2 2 2 3 2" xfId="27612"/>
    <cellStyle name="标题 4 2 2 4 2 3" xfId="27613"/>
    <cellStyle name="注释 2 7 2 4" xfId="27614"/>
    <cellStyle name="输出 2 16" xfId="27615"/>
    <cellStyle name="汇总 2 2 4 4 2 4" xfId="27616"/>
    <cellStyle name="标题 4 2 3 3 2 2 2 3" xfId="27617"/>
    <cellStyle name="20% - 强调文字颜色 4 2 3 4 3 2" xfId="27618"/>
    <cellStyle name="计算 2 5 2" xfId="27619"/>
    <cellStyle name="40% - 强调文字颜色 4 2 2 4 3 2" xfId="27620"/>
    <cellStyle name="40% - 强调文字颜色 6 2 2 2 2 3 2 2 2 2" xfId="27621"/>
    <cellStyle name="40% - 强调文字颜色 1 2 2 2 3" xfId="27622"/>
    <cellStyle name="40% - 强调文字颜色 4 2 2 6" xfId="27623"/>
    <cellStyle name="60% - 强调文字颜色 4 2 2 9 2" xfId="27624"/>
    <cellStyle name="40% - 强调文字颜色 2 2 3 2 2 4 3 2" xfId="27625"/>
    <cellStyle name="标题 4 2 2 2 2 2" xfId="27626"/>
    <cellStyle name="汇总 2 2 10 3 3" xfId="27627"/>
    <cellStyle name="汇总 2 2 6 6 2 2 2" xfId="27628"/>
    <cellStyle name="20% - 强调文字颜色 6 3 3 3 2 2" xfId="27629"/>
    <cellStyle name="输入 2 2 4 2 2 2 3" xfId="27630"/>
    <cellStyle name="60% - 强调文字颜色 2 2 3 3 2 2 2 2 2" xfId="27631"/>
    <cellStyle name="40% - 强调文字颜色 5 2 4 2 2 2" xfId="27632"/>
    <cellStyle name="标题 5 2 4 5 2" xfId="27633"/>
    <cellStyle name="40% - 强调文字颜色 5 2 2 2 2 2 4 2 2 2" xfId="27634"/>
    <cellStyle name="40% - 强调文字颜色 2 2 2 2 2 2 2" xfId="27635"/>
    <cellStyle name="计算 2 2 4 3 2 2 3 3" xfId="27636"/>
    <cellStyle name="标题 5 2 2 3 7" xfId="27637"/>
    <cellStyle name="标题 5 4 7" xfId="27638"/>
    <cellStyle name="60% - 强调文字颜色 2 2 2 2 4 2 2" xfId="27639"/>
    <cellStyle name="注释 2 6 2 2 3 2 2" xfId="27640"/>
    <cellStyle name="60% - 强调文字颜色 6 2 5 2" xfId="27641"/>
    <cellStyle name="40% - 强调文字颜色 3 2 2 5 2 2 2" xfId="27642"/>
    <cellStyle name="60% - 强调文字颜色 1 2 3 6 2 2 2" xfId="27643"/>
    <cellStyle name="输入 2 2 7 7" xfId="27644"/>
    <cellStyle name="汇总 2 4 2 2 4 2 2" xfId="27645"/>
    <cellStyle name="40% - 强调文字颜色 4 2 2 4 3" xfId="27646"/>
    <cellStyle name="60% - 强调文字颜色 2 2 2 3 4 2 2" xfId="27647"/>
    <cellStyle name="汇总 2 2 4 3 5 2 2" xfId="27648"/>
    <cellStyle name="输入 2 5 4 9" xfId="27649"/>
    <cellStyle name="输入 2 4 4 2 2 2" xfId="27650"/>
    <cellStyle name="标题 3 2 4 3 2 3" xfId="27651"/>
    <cellStyle name="常规 11 8" xfId="27652"/>
    <cellStyle name="标题 1 2 2 3 6 2" xfId="27653"/>
    <cellStyle name="40% - 强调文字颜色 4 2 3 2 2 5" xfId="27654"/>
    <cellStyle name="输入 2 2 2 2 2 2 3" xfId="27655"/>
    <cellStyle name="40% - 强调文字颜色 4 2 3 4 3" xfId="27656"/>
    <cellStyle name="20% - 强调文字颜色 6 3 2 2 2 2 2" xfId="27657"/>
    <cellStyle name="60% - 强调文字颜色 1 2 9 2" xfId="27658"/>
    <cellStyle name="60% - 强调文字颜色 5 2 3 2 4 3 2" xfId="27659"/>
    <cellStyle name="20% - 强调文字颜色 1 2 2 2 2 3 2 2" xfId="27660"/>
    <cellStyle name="常规 10 2 2 2 5 2" xfId="27661"/>
    <cellStyle name="20% - 强调文字颜色 1 2 3 2 2" xfId="27662"/>
    <cellStyle name="输出 2 3 3 8" xfId="27663"/>
    <cellStyle name="常规 3 3 4 2 2" xfId="27664"/>
    <cellStyle name="60% - 强调文字颜色 6 2 4 2 3" xfId="27665"/>
    <cellStyle name="计算 2 6 4 2 3 2" xfId="27666"/>
    <cellStyle name="60% - 强调文字颜色 6 5 3" xfId="27667"/>
    <cellStyle name="60% - 强调文字颜色 3 3 3 4" xfId="27668"/>
    <cellStyle name="输出 2 5 4 4 2 2" xfId="27669"/>
    <cellStyle name="60% - 强调文字颜色 1 3 9" xfId="27670"/>
    <cellStyle name="常规 12 2 2 5 3" xfId="27671"/>
    <cellStyle name="强调文字颜色 6 2 2 2 2 4 2 2 2" xfId="27672"/>
    <cellStyle name="标题 3 2 6 2 2 3" xfId="27673"/>
    <cellStyle name="20% - 强调文字颜色 2 2 3 2 2" xfId="27674"/>
    <cellStyle name="20% - 强调文字颜色 6 2 5 2" xfId="27675"/>
    <cellStyle name="20% - 强调文字颜色 5 2 2 2 2 2 2" xfId="27676"/>
    <cellStyle name="60% - 强调文字颜色 6 2 4 4 3 2" xfId="27677"/>
    <cellStyle name="输出 4 5" xfId="27678"/>
    <cellStyle name="20% - 强调文字颜色 2 2 6 3" xfId="27679"/>
    <cellStyle name="标题 4 2 2 3 8" xfId="27680"/>
    <cellStyle name="汇总 2 2 4 2 6 4" xfId="27681"/>
    <cellStyle name="标题 1 2 2 2 4 3 3" xfId="27682"/>
    <cellStyle name="输入 2 4 4" xfId="27683"/>
    <cellStyle name="20% - 强调文字颜色 6 2 2 5 2 2 2" xfId="27684"/>
    <cellStyle name="标题 3 2" xfId="27685"/>
    <cellStyle name="输入 2 5 5 2 3 2" xfId="27686"/>
    <cellStyle name="40% - 强调文字颜色 3 2 2 4 3 3" xfId="27687"/>
    <cellStyle name="汇总 2 5 5 2 2" xfId="27688"/>
    <cellStyle name="20% - 强调文字颜色 6 2 7 3 2" xfId="27689"/>
    <cellStyle name="60% - 强调文字颜色 5 2 2 2 4 3 2" xfId="27690"/>
    <cellStyle name="标题 5 3 2 4 2 2" xfId="27691"/>
    <cellStyle name="好 2 2 2 8" xfId="27692"/>
    <cellStyle name="汇总 2 13" xfId="27693"/>
    <cellStyle name="差 2 2 2 7" xfId="27694"/>
    <cellStyle name="检查单元格 4 4 2" xfId="27695"/>
    <cellStyle name="汇总 2 5 3 3 4" xfId="27696"/>
    <cellStyle name="超链接 2 2 2 3 3" xfId="27697"/>
    <cellStyle name="20% - 强调文字颜色 2 2 3 3 2 2 2 2" xfId="27698"/>
    <cellStyle name="20% - 强调文字颜色 2 2 3 2 2 2 3 2" xfId="27699"/>
    <cellStyle name="40% - 强调文字颜色 3 2 3 2 2 3 2 2 2" xfId="27700"/>
    <cellStyle name="40% - 强调文字颜色 6 2 2 2 3 4" xfId="27701"/>
    <cellStyle name="计算 2 5 2 4 5 2" xfId="27702"/>
    <cellStyle name="输出 2 4 2 3 9" xfId="27703"/>
    <cellStyle name="20% - 强调文字颜色 2 4 5 2" xfId="27704"/>
    <cellStyle name="计算 2 2 3 2 3 4 2" xfId="27705"/>
    <cellStyle name="标题 1 3 2 3" xfId="27706"/>
    <cellStyle name="输入 2 4 2 2 5 2 2" xfId="27707"/>
    <cellStyle name="检查单元格 2 2 2 4 3 2" xfId="27708"/>
    <cellStyle name="标题 2 2 3 4 4" xfId="27709"/>
    <cellStyle name="40% - 强调文字颜色 4 2 2 5 3" xfId="27710"/>
    <cellStyle name="输出 2 7 10" xfId="27711"/>
    <cellStyle name="标题 5 3 4 3 2 2" xfId="27712"/>
    <cellStyle name="40% - 强调文字颜色 5 2 3 6 2" xfId="27713"/>
    <cellStyle name="计算 2 11 3" xfId="27714"/>
    <cellStyle name="超链接 3 2 4 2 2 3" xfId="27715"/>
    <cellStyle name="20% - 强调文字颜色 2 2 3 3 2 2 2" xfId="27716"/>
    <cellStyle name="标题 1 2 2 3 8" xfId="27717"/>
    <cellStyle name="注释 2 4 2 2 5" xfId="27718"/>
    <cellStyle name="20% - 强调文字颜色 5 3 2 3 2 2" xfId="27719"/>
    <cellStyle name="标题 5 3 6 3" xfId="27720"/>
    <cellStyle name="标题 5 2 2 2 6 3" xfId="27721"/>
    <cellStyle name="20% - 强调文字颜色 2 2 2 5 2 2 2" xfId="27722"/>
    <cellStyle name="40% - 强调文字颜色 6 2 2 2 2 2 4" xfId="27723"/>
    <cellStyle name="标题 4 2 2 2 5 3" xfId="27724"/>
    <cellStyle name="60% - 强调文字颜色 1 2 2 2 4" xfId="27725"/>
    <cellStyle name="标题 2 2 4 6 2 2" xfId="27726"/>
    <cellStyle name="计算 2 2 4 2 3 5 2 2" xfId="27727"/>
    <cellStyle name="40% - 强调文字颜色 2 2 2 4 4 2" xfId="27728"/>
    <cellStyle name="标题 2 2 2 2 2 3 2" xfId="27729"/>
    <cellStyle name="20% - 强调文字颜色 2 2 8 2 2" xfId="27730"/>
    <cellStyle name="常规 4 3 4 2 3 3" xfId="27731"/>
    <cellStyle name="40% - 强调文字颜色 6 2 2 2 2 3 3" xfId="27732"/>
    <cellStyle name="20% - 强调文字颜色 6 3 5" xfId="27733"/>
    <cellStyle name="汇总 2 6 2 7" xfId="27734"/>
    <cellStyle name="汇总 2 2 5 2 4 3 2" xfId="27735"/>
    <cellStyle name="20% - 强调文字颜色 1 2 7 2" xfId="27736"/>
    <cellStyle name="40% - 强调文字颜色 1 3 4 2 2 2" xfId="27737"/>
    <cellStyle name="计算 2 3 2 2 2 4" xfId="27738"/>
    <cellStyle name="汇总 2 2 3 8" xfId="27739"/>
    <cellStyle name="汇总 2 4 4 4 3" xfId="27740"/>
    <cellStyle name="20% - 强调文字颜色 6 2 2 4 3 2 2" xfId="27741"/>
    <cellStyle name="60% - 强调文字颜色 3 2 2 2 2 4 2 2" xfId="27742"/>
    <cellStyle name="标题 1 2 3 2 3 2 2 2" xfId="27743"/>
    <cellStyle name="20% - 强调文字颜色 6 2 2 4 3 3 2" xfId="27744"/>
    <cellStyle name="计算 6 2" xfId="27745"/>
    <cellStyle name="20% - 强调文字颜色 6 2 2 3 3 2" xfId="27746"/>
    <cellStyle name="40% - 强调文字颜色 2 2 2 2 2 2 3" xfId="27747"/>
    <cellStyle name="警告文本 2 2 6 2 2 2" xfId="27748"/>
    <cellStyle name="40% - 强调文字颜色 1 2 5 2 2 2 2" xfId="27749"/>
    <cellStyle name="输出 2 6 2 2 7" xfId="27750"/>
    <cellStyle name="标题 2 2 3 6 2 2" xfId="27751"/>
    <cellStyle name="汇总 2 2 4 2 13" xfId="27752"/>
    <cellStyle name="标题 5 4 2" xfId="27753"/>
    <cellStyle name="标题 5 2 2 3 2" xfId="27754"/>
    <cellStyle name="差 2 2 3 7" xfId="27755"/>
    <cellStyle name="常规 4 5 3 5" xfId="27756"/>
    <cellStyle name="汇总 2 6 8" xfId="27757"/>
    <cellStyle name="输入 2 2 4 4 2 4" xfId="27758"/>
    <cellStyle name="20% - 强调文字颜色 1 2 4 4 3 2" xfId="27759"/>
    <cellStyle name="40% - 强调文字颜色 4 3 7" xfId="27760"/>
    <cellStyle name="20% - 强调文字颜色 4 2 3 2 2 4 3 2" xfId="27761"/>
    <cellStyle name="汇总 2 2 5 3 2 7" xfId="27762"/>
    <cellStyle name="40% - 强调文字颜色 6 2 4 4 3" xfId="27763"/>
    <cellStyle name="常规 3 3 7 2 2" xfId="27764"/>
    <cellStyle name="解释性文本 2 3 2 2" xfId="27765"/>
    <cellStyle name="40% - 强调文字颜色 4 2 2 3 3 3 2" xfId="27766"/>
    <cellStyle name="20% - 强调文字颜色 2 2 2 3 3 2 2 2" xfId="27767"/>
    <cellStyle name="40% - 强调文字颜色 2 2 7" xfId="27768"/>
    <cellStyle name="强调文字颜色 3 2 4 5 2 2" xfId="27769"/>
    <cellStyle name="60% - 强调文字颜色 2 3 2 4 2" xfId="27770"/>
    <cellStyle name="注释 2 6 3 2 4" xfId="27771"/>
    <cellStyle name="注释 2 4 2 3 4 2" xfId="27772"/>
    <cellStyle name="常规 13 2 2 2" xfId="27773"/>
    <cellStyle name="40% - 强调文字颜色 5 2 2 8 2" xfId="27774"/>
    <cellStyle name="注释 2 2 9 7" xfId="27775"/>
    <cellStyle name="计算 2 6 2 3 2" xfId="27776"/>
    <cellStyle name="标题 2 2 2 4 3 2 3" xfId="27777"/>
    <cellStyle name="60% - 强调文字颜色 2 3 2 2 2 2 2 2" xfId="27778"/>
    <cellStyle name="60% - 强调文字颜色 1 2 6 3 2 2" xfId="27779"/>
    <cellStyle name="解释性文本 2 4 6" xfId="27780"/>
    <cellStyle name="40% - 强调文字颜色 4 2 2 2 3 2 2 2" xfId="27781"/>
    <cellStyle name="标题 4 2 3 4 2 2" xfId="27782"/>
    <cellStyle name="警告文本 2 2 2 2 2 2 2 2" xfId="27783"/>
    <cellStyle name="40% - 强调文字颜色 3 2 4 4 3" xfId="27784"/>
    <cellStyle name="20% - 强调文字颜色 6 2 2 7" xfId="27785"/>
    <cellStyle name="常规 3 2 4 2 3 2" xfId="27786"/>
    <cellStyle name="40% - 强调文字颜色 4 2 2 3 4 2" xfId="27787"/>
    <cellStyle name="40% - 强调文字颜色 5 3 5 2 2 2" xfId="27788"/>
    <cellStyle name="20% - 强调文字颜色 1 4 2 3 2" xfId="27789"/>
    <cellStyle name="60% - 强调文字颜色 1 2 3 2 2 3 2" xfId="27790"/>
    <cellStyle name="超链接 2 5 3 2" xfId="27791"/>
    <cellStyle name="标题 4 2 6" xfId="27792"/>
    <cellStyle name="20% - 强调文字颜色 1 2 2 2 4 2 2 2" xfId="27793"/>
    <cellStyle name="40% - 强调文字颜色 1 2 2 2 6" xfId="27794"/>
    <cellStyle name="20% - 强调文字颜色 6 2 2 3 3 3 2" xfId="27795"/>
    <cellStyle name="40% - 强调文字颜色 4 2 2 2 2 4 3 2" xfId="27796"/>
    <cellStyle name="常规 3 5 2 2 2 2 2" xfId="27797"/>
    <cellStyle name="40% - 强调文字颜色 6 3 2 3 2 2" xfId="27798"/>
    <cellStyle name="常规 9 2 2 2 2 2 2" xfId="27799"/>
    <cellStyle name="注释 2 4 2 3 2 2" xfId="27800"/>
    <cellStyle name="输出 2 2 5 5 2" xfId="27801"/>
    <cellStyle name="20% - 强调文字颜色 2 2 2 2 2 3 3 2" xfId="27802"/>
    <cellStyle name="20% - 强调文字颜色 2 2 2 2 6 2" xfId="27803"/>
    <cellStyle name="60% - 强调文字颜色 1 3 3 2 2 2" xfId="27804"/>
    <cellStyle name="40% - 强调文字颜色 5 2 3 2 4 2 2 2" xfId="27805"/>
    <cellStyle name="输入 2 2 7 3 6" xfId="27806"/>
    <cellStyle name="40% - 强调文字颜色 5 2 3 2 4 2 2" xfId="27807"/>
    <cellStyle name="20% - 强调文字颜色 1 2 2 2 7 2" xfId="27808"/>
    <cellStyle name="标题 1 2 3 8" xfId="27809"/>
    <cellStyle name="计算 2 4 2 2 3 3 2" xfId="27810"/>
    <cellStyle name="强调文字颜色 6 2 7 2 2 2" xfId="27811"/>
    <cellStyle name="输出 2 2 4 3" xfId="27812"/>
    <cellStyle name="40% - 强调文字颜色 4 2 3 3 3 2" xfId="27813"/>
    <cellStyle name="20% - 强调文字颜色 3 2 2 5 2" xfId="27814"/>
    <cellStyle name="20% - 强调文字颜色 1 2 2 2 7" xfId="27815"/>
    <cellStyle name="标题 9 2 2 2" xfId="27816"/>
    <cellStyle name="40% - 强调文字颜色 6 3 9" xfId="27817"/>
    <cellStyle name="40% - 强调文字颜色 1 3 4 2 2" xfId="27818"/>
    <cellStyle name="40% - 强调文字颜色 1 3 5 2 2" xfId="27819"/>
    <cellStyle name="40% - 强调文字颜色 6 2 5 5 2 2" xfId="27820"/>
    <cellStyle name="40% - 强调文字颜色 3 3 5 2" xfId="27821"/>
    <cellStyle name="60% - 强调文字颜色 3 3 2 4" xfId="27822"/>
    <cellStyle name="百分比 2 5 3 2" xfId="27823"/>
    <cellStyle name="60% - 强调文字颜色 6 2 3 3 3 2" xfId="27824"/>
    <cellStyle name="标题 2 2 2 2 2 2 2" xfId="27825"/>
    <cellStyle name="常规 8 3 3" xfId="27826"/>
    <cellStyle name="60% - 强调文字颜色 6 4 2 3 2 2" xfId="27827"/>
    <cellStyle name="40% - 强调文字颜色 6 2 2 2 3 2 2 2 2" xfId="27828"/>
    <cellStyle name="40% - 强调文字颜色 4 2 2 5 2 2" xfId="27829"/>
    <cellStyle name="40% - 强调文字颜色 3 2 2 2 2 3 3" xfId="27830"/>
    <cellStyle name="40% - 强调文字颜色 2 2 2 3 4 2 2" xfId="27831"/>
    <cellStyle name="计算 2 7 2 2 2 4" xfId="27832"/>
    <cellStyle name="标题 1 2 3 2 6 3" xfId="27833"/>
    <cellStyle name="检查单元格 3 2 2 4" xfId="27834"/>
    <cellStyle name="常规 5 4 2 3 2" xfId="27835"/>
    <cellStyle name="40% - 强调文字颜色 5 2 3 3" xfId="27836"/>
    <cellStyle name="好 2 3 2 2" xfId="27837"/>
    <cellStyle name="40% - 强调文字颜色 6 2 2 2 2 2 3 2 2 2" xfId="27838"/>
    <cellStyle name="汇总 2 6 3 3 3 3" xfId="27839"/>
    <cellStyle name="输入 2 4 8 3" xfId="27840"/>
    <cellStyle name="计算 2 6 3 2 3" xfId="27841"/>
    <cellStyle name="标题 2 2 3 2 3 2 2" xfId="27842"/>
    <cellStyle name="标题 5 2 5 2 2" xfId="27843"/>
    <cellStyle name="汇总 3 2 4 3 2 2" xfId="27844"/>
    <cellStyle name="40% - 强调文字颜色 3 2 2 2 2 5 2" xfId="27845"/>
    <cellStyle name="40% - 强调文字颜色 6 3 2 2 2 2 2 2" xfId="27846"/>
    <cellStyle name="20% - 强调文字颜色 2 2 2 3 6" xfId="27847"/>
    <cellStyle name="40% - 强调文字颜色 1 2 3 2 2 2" xfId="27848"/>
    <cellStyle name="40% - 强调文字颜色 4 2 3 3 4" xfId="27849"/>
    <cellStyle name="标题 4 2 3 3 7" xfId="27850"/>
    <cellStyle name="60% - 强调文字颜色 1 3 5" xfId="27851"/>
    <cellStyle name="计算 2 2 3 3 8" xfId="27852"/>
    <cellStyle name="汇总 2 2 8 5 2 2" xfId="27853"/>
    <cellStyle name="标题 6 2 2 2 2" xfId="27854"/>
    <cellStyle name="40% - 强调文字颜色 1 2 3 2 3" xfId="27855"/>
    <cellStyle name="标题 5 3 2 4 2" xfId="27856"/>
    <cellStyle name="标题 1 2 2 2 2 2 3 2" xfId="27857"/>
    <cellStyle name="40% - 强调文字颜色 3 2 2 4 2 2 2" xfId="27858"/>
    <cellStyle name="输出 3 4 2 2 2" xfId="27859"/>
    <cellStyle name="60% - 强调文字颜色 4 2 2 5 2 2 2" xfId="27860"/>
    <cellStyle name="标题 2 2 2 4 2 3" xfId="27861"/>
    <cellStyle name="40% - 强调文字颜色 6 4 4 2 2" xfId="27862"/>
    <cellStyle name="注释 2 2 7 2 2 5" xfId="27863"/>
    <cellStyle name="输入 2 4 2 2 4 2" xfId="27864"/>
  </cellStyles>
  <dxfs count="7">
    <dxf>
      <font>
        <color theme="4" tint="0.8"/>
      </font>
    </dxf>
    <dxf>
      <font>
        <color rgb="FF0000FF"/>
      </font>
    </dxf>
    <dxf>
      <font>
        <color theme="7"/>
      </font>
    </dxf>
    <dxf>
      <font>
        <color rgb="FFFF0000"/>
      </font>
    </dxf>
    <dxf>
      <font>
        <color theme="0" tint="-0.25"/>
      </font>
    </dxf>
    <dxf>
      <font>
        <color theme="0"/>
      </font>
    </dxf>
    <dxf>
      <font>
        <color theme="9" tint="0.8"/>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4472C4"/>
      <color rgb="00DD0806"/>
      <color rgb="00F4FFE8"/>
      <color rgb="00BDD7EE"/>
      <color rgb="00CCFFC0"/>
      <color rgb="00F61EF8"/>
      <color rgb="000000D4"/>
      <color rgb="00FF0000"/>
      <color rgb="000000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6985</xdr:colOff>
      <xdr:row>1</xdr:row>
      <xdr:rowOff>8890</xdr:rowOff>
    </xdr:from>
    <xdr:to>
      <xdr:col>0</xdr:col>
      <xdr:colOff>248920</xdr:colOff>
      <xdr:row>1</xdr:row>
      <xdr:rowOff>198120</xdr:rowOff>
    </xdr:to>
    <xdr:pic>
      <xdr:nvPicPr>
        <xdr:cNvPr id="2" name="图片 1"/>
        <xdr:cNvPicPr>
          <a:picLocks noChangeAspect="1"/>
        </xdr:cNvPicPr>
      </xdr:nvPicPr>
      <xdr:blipFill>
        <a:blip r:embed="rId1"/>
        <a:stretch>
          <a:fillRect/>
        </a:stretch>
      </xdr:blipFill>
      <xdr:spPr>
        <a:xfrm>
          <a:off x="6985" y="46990"/>
          <a:ext cx="241935" cy="1892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5746;&#21333;&#36319;&#36394;&#34920;am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5746;&#21333;&#36319;&#36394;&#34920;2020.3.2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autoPageBreaks="0"/>
  </sheetPr>
  <dimension ref="A1:X1569"/>
  <sheetViews>
    <sheetView tabSelected="1" zoomScale="130" zoomScaleNormal="130" workbookViewId="0">
      <pane xSplit="5" ySplit="3" topLeftCell="F4" activePane="bottomRight" state="frozen"/>
      <selection/>
      <selection pane="topRight"/>
      <selection pane="bottomLeft"/>
      <selection pane="bottomRight" activeCell="E1573" sqref="E1573"/>
    </sheetView>
  </sheetViews>
  <sheetFormatPr defaultColWidth="9" defaultRowHeight="15"/>
  <cols>
    <col min="1" max="1" width="7.13333333333333" style="46" customWidth="1"/>
    <col min="2" max="2" width="1.875" style="47" customWidth="1"/>
    <col min="3" max="3" width="1.875" style="48" customWidth="1"/>
    <col min="4" max="4" width="4.2" style="49" customWidth="1"/>
    <col min="5" max="5" width="14.25" style="49" customWidth="1"/>
    <col min="6" max="6" width="7.40833333333333" style="50" customWidth="1"/>
    <col min="7" max="7" width="12.625" style="49" customWidth="1"/>
    <col min="8" max="8" width="6.05" style="49" customWidth="1"/>
    <col min="9" max="9" width="13" style="49" customWidth="1"/>
    <col min="10" max="10" width="8.625" style="49" customWidth="1"/>
    <col min="11" max="11" width="9.75" style="51" customWidth="1"/>
    <col min="12" max="12" width="11.8416666666667" style="52" customWidth="1"/>
    <col min="13" max="13" width="19.125" style="53" customWidth="1"/>
    <col min="14" max="14" width="19.875" style="53" customWidth="1"/>
    <col min="15" max="15" width="4.75" style="53" customWidth="1"/>
    <col min="16" max="16" width="9.375" style="54" customWidth="1"/>
    <col min="17" max="17" width="10.1" style="54" customWidth="1"/>
    <col min="18" max="18" width="10.0916666666667" style="55" customWidth="1"/>
    <col min="19" max="19" width="9.01666666666667" style="56" customWidth="1"/>
    <col min="20" max="20" width="10.5" style="54" customWidth="1"/>
    <col min="21" max="21" width="9.125" style="51" customWidth="1"/>
    <col min="22" max="22" width="10.5" style="54" customWidth="1"/>
    <col min="23" max="23" width="8.375" style="49" customWidth="1"/>
    <col min="24" max="24" width="10.75" style="57" customWidth="1"/>
    <col min="25" max="16384" width="9" style="57"/>
  </cols>
  <sheetData>
    <row r="1" s="36" customFormat="1" ht="3" customHeight="1" spans="1:23">
      <c r="A1" s="58"/>
      <c r="B1" s="59"/>
      <c r="C1" s="60"/>
      <c r="D1" s="61"/>
      <c r="E1" s="61"/>
      <c r="F1" s="62"/>
      <c r="G1" s="61"/>
      <c r="H1" s="61"/>
      <c r="I1" s="61"/>
      <c r="J1" s="61"/>
      <c r="K1" s="86"/>
      <c r="L1" s="87"/>
      <c r="M1" s="88"/>
      <c r="N1" s="88"/>
      <c r="O1" s="88"/>
      <c r="P1" s="89"/>
      <c r="Q1" s="89"/>
      <c r="R1" s="117"/>
      <c r="S1" s="118"/>
      <c r="T1" s="89"/>
      <c r="U1" s="86"/>
      <c r="V1" s="89"/>
      <c r="W1" s="61"/>
    </row>
    <row r="2" s="37" customFormat="1" ht="17" customHeight="1" spans="1:23">
      <c r="A2" s="63"/>
      <c r="B2" s="64"/>
      <c r="C2" s="65"/>
      <c r="D2" s="66" t="s">
        <v>0</v>
      </c>
      <c r="E2" s="67">
        <f>COUNTIF(D:D,D2)-1</f>
        <v>6</v>
      </c>
      <c r="F2" s="68"/>
      <c r="G2" s="69" t="s">
        <v>1</v>
      </c>
      <c r="H2" s="67">
        <f>COUNTIF(D:D,G2)</f>
        <v>10</v>
      </c>
      <c r="I2" s="69" t="s">
        <v>2</v>
      </c>
      <c r="J2" s="90">
        <f>COUNTIF(D:D,I2)</f>
        <v>9</v>
      </c>
      <c r="K2" s="69" t="s">
        <v>3</v>
      </c>
      <c r="L2" s="67">
        <f>COUNTIF(D:D,K2)</f>
        <v>51</v>
      </c>
      <c r="M2" s="91"/>
      <c r="N2" s="91"/>
      <c r="O2" s="91"/>
      <c r="P2" s="69" t="s">
        <v>4</v>
      </c>
      <c r="Q2" s="119">
        <f>SUMIF(A4:A1545,"J*",R4:R1545)+SUMIF(A4:A1545,"M*",R4:R1545)</f>
        <v>439947</v>
      </c>
      <c r="R2" s="69" t="s">
        <v>5</v>
      </c>
      <c r="S2" s="119">
        <f>SUMIF(A4:A1545,"J*",S4:S1545)+SUMIF(A4:A1545,"M*",S4:S1545)</f>
        <v>11490</v>
      </c>
      <c r="T2" s="69" t="s">
        <v>6</v>
      </c>
      <c r="U2" s="119">
        <f>SUMIF(A4:A1545,"X*",R4:R1545)</f>
        <v>85098.446</v>
      </c>
      <c r="V2" s="69" t="s">
        <v>7</v>
      </c>
      <c r="W2" s="119">
        <f>SUMIF(A4:A1545,"X*",S4:S1545)</f>
        <v>0</v>
      </c>
    </row>
    <row r="3" s="38" customFormat="1" ht="29.1" customHeight="1" spans="1:23">
      <c r="A3" s="70" t="s">
        <v>8</v>
      </c>
      <c r="B3" s="71" t="s">
        <v>9</v>
      </c>
      <c r="C3" s="72" t="s">
        <v>10</v>
      </c>
      <c r="D3" s="73"/>
      <c r="E3" s="74" t="s">
        <v>11</v>
      </c>
      <c r="F3" s="75" t="s">
        <v>12</v>
      </c>
      <c r="G3" s="76" t="s">
        <v>13</v>
      </c>
      <c r="H3" s="75" t="s">
        <v>14</v>
      </c>
      <c r="I3" s="92" t="s">
        <v>15</v>
      </c>
      <c r="J3" s="93" t="s">
        <v>16</v>
      </c>
      <c r="K3" s="94" t="s">
        <v>17</v>
      </c>
      <c r="L3" s="95" t="s">
        <v>18</v>
      </c>
      <c r="M3" s="96" t="s">
        <v>19</v>
      </c>
      <c r="N3" s="97" t="s">
        <v>20</v>
      </c>
      <c r="O3" s="98" t="s">
        <v>21</v>
      </c>
      <c r="P3" s="99" t="s">
        <v>22</v>
      </c>
      <c r="Q3" s="120" t="s">
        <v>23</v>
      </c>
      <c r="R3" s="121" t="s">
        <v>24</v>
      </c>
      <c r="S3" s="122" t="s">
        <v>25</v>
      </c>
      <c r="T3" s="123" t="s">
        <v>26</v>
      </c>
      <c r="U3" s="123" t="s">
        <v>27</v>
      </c>
      <c r="V3" s="124" t="s">
        <v>28</v>
      </c>
      <c r="W3" s="125"/>
    </row>
    <row r="4" s="39" customFormat="1" ht="22" hidden="1" customHeight="1" spans="1:23">
      <c r="A4" s="77" t="s">
        <v>29</v>
      </c>
      <c r="B4" s="78" t="s">
        <v>30</v>
      </c>
      <c r="C4" s="79"/>
      <c r="D4" s="80" t="s">
        <v>31</v>
      </c>
      <c r="E4" s="80" t="s">
        <v>32</v>
      </c>
      <c r="F4" s="81" t="str">
        <f>IFERROR(VLOOKUP(E4,客户!B:C,2,FALSE),"/")</f>
        <v>/</v>
      </c>
      <c r="G4" s="80" t="s">
        <v>33</v>
      </c>
      <c r="H4" s="45"/>
      <c r="I4" s="45"/>
      <c r="J4" s="45"/>
      <c r="K4" s="100"/>
      <c r="L4" s="100"/>
      <c r="M4" s="101"/>
      <c r="N4" s="101"/>
      <c r="O4" s="101"/>
      <c r="P4" s="102">
        <v>35789</v>
      </c>
      <c r="Q4" s="102">
        <v>11000</v>
      </c>
      <c r="R4" s="126"/>
      <c r="S4" s="127"/>
      <c r="T4" s="128">
        <f>-N4+P4</f>
        <v>35789</v>
      </c>
      <c r="U4" s="100"/>
      <c r="V4" s="102"/>
      <c r="W4" s="45"/>
    </row>
    <row r="5" s="39" customFormat="1" ht="22" hidden="1" customHeight="1" spans="1:23">
      <c r="A5" s="77" t="s">
        <v>34</v>
      </c>
      <c r="B5" s="78" t="s">
        <v>30</v>
      </c>
      <c r="C5" s="79"/>
      <c r="D5" s="80" t="s">
        <v>31</v>
      </c>
      <c r="E5" s="80" t="s">
        <v>35</v>
      </c>
      <c r="F5" s="81" t="str">
        <f>IFERROR(VLOOKUP(E5,客户!B:C,2,FALSE),"/")</f>
        <v>/</v>
      </c>
      <c r="G5" s="80" t="s">
        <v>36</v>
      </c>
      <c r="H5" s="45"/>
      <c r="I5" s="45"/>
      <c r="J5" s="45"/>
      <c r="K5" s="103"/>
      <c r="L5" s="103"/>
      <c r="M5" s="101"/>
      <c r="N5" s="101"/>
      <c r="O5" s="104"/>
      <c r="P5" s="102">
        <v>37173.5</v>
      </c>
      <c r="Q5" s="102">
        <v>1772</v>
      </c>
      <c r="R5" s="126"/>
      <c r="S5" s="127"/>
      <c r="T5" s="128">
        <f>N5-P5-P6</f>
        <v>-37173.5</v>
      </c>
      <c r="U5" s="100"/>
      <c r="V5" s="128"/>
      <c r="W5" s="45"/>
    </row>
    <row r="6" s="39" customFormat="1" ht="22" hidden="1" customHeight="1" spans="1:23">
      <c r="A6" s="77" t="s">
        <v>37</v>
      </c>
      <c r="B6" s="78" t="s">
        <v>30</v>
      </c>
      <c r="C6" s="79"/>
      <c r="D6" s="80" t="s">
        <v>31</v>
      </c>
      <c r="E6" s="80" t="s">
        <v>35</v>
      </c>
      <c r="F6" s="81" t="str">
        <f>IFERROR(VLOOKUP(E6,客户!B:C,2,FALSE),"/")</f>
        <v>/</v>
      </c>
      <c r="G6" s="80" t="s">
        <v>36</v>
      </c>
      <c r="H6" s="45"/>
      <c r="I6" s="45"/>
      <c r="J6" s="45"/>
      <c r="K6" s="103"/>
      <c r="L6" s="103"/>
      <c r="M6" s="101"/>
      <c r="N6" s="101"/>
      <c r="O6" s="104"/>
      <c r="P6" s="102"/>
      <c r="Q6" s="102">
        <v>1772</v>
      </c>
      <c r="R6" s="126"/>
      <c r="S6" s="127"/>
      <c r="T6" s="128"/>
      <c r="U6" s="100"/>
      <c r="V6" s="128"/>
      <c r="W6" s="45"/>
    </row>
    <row r="7" s="39" customFormat="1" ht="22" hidden="1" customHeight="1" spans="1:23">
      <c r="A7" s="77" t="s">
        <v>38</v>
      </c>
      <c r="B7" s="78" t="s">
        <v>30</v>
      </c>
      <c r="C7" s="79"/>
      <c r="D7" s="80" t="s">
        <v>31</v>
      </c>
      <c r="E7" s="82" t="s">
        <v>39</v>
      </c>
      <c r="F7" s="81" t="str">
        <f>IFERROR(VLOOKUP(E7,客户!B:C,2,FALSE),"/")</f>
        <v>/</v>
      </c>
      <c r="G7" s="80" t="s">
        <v>40</v>
      </c>
      <c r="H7" s="45"/>
      <c r="I7" s="45"/>
      <c r="J7" s="45"/>
      <c r="K7" s="100"/>
      <c r="L7" s="100"/>
      <c r="M7" s="101"/>
      <c r="N7" s="101"/>
      <c r="O7" s="104"/>
      <c r="P7" s="102">
        <v>35610.5</v>
      </c>
      <c r="Q7" s="102"/>
      <c r="R7" s="126"/>
      <c r="S7" s="127"/>
      <c r="T7" s="128">
        <v>35610.5</v>
      </c>
      <c r="U7" s="100"/>
      <c r="V7" s="102"/>
      <c r="W7" s="45"/>
    </row>
    <row r="8" s="39" customFormat="1" ht="22" hidden="1" customHeight="1" spans="1:23">
      <c r="A8" s="77" t="s">
        <v>41</v>
      </c>
      <c r="B8" s="78" t="s">
        <v>30</v>
      </c>
      <c r="C8" s="79"/>
      <c r="D8" s="80" t="s">
        <v>31</v>
      </c>
      <c r="E8" s="82" t="s">
        <v>42</v>
      </c>
      <c r="F8" s="81" t="str">
        <f>IFERROR(VLOOKUP(E8,客户!B:C,2,FALSE),"/")</f>
        <v>/</v>
      </c>
      <c r="G8" s="80" t="s">
        <v>43</v>
      </c>
      <c r="H8" s="45"/>
      <c r="I8" s="45"/>
      <c r="J8" s="45"/>
      <c r="K8" s="100"/>
      <c r="L8" s="100"/>
      <c r="M8" s="101"/>
      <c r="N8" s="101"/>
      <c r="O8" s="104"/>
      <c r="P8" s="102">
        <v>22154.85</v>
      </c>
      <c r="Q8" s="129">
        <v>4430.97</v>
      </c>
      <c r="R8" s="126"/>
      <c r="S8" s="127"/>
      <c r="T8" s="128">
        <f>N8-P8</f>
        <v>-22154.85</v>
      </c>
      <c r="U8" s="100"/>
      <c r="V8" s="102"/>
      <c r="W8" s="45"/>
    </row>
    <row r="9" s="39" customFormat="1" ht="22" hidden="1" customHeight="1" spans="1:23">
      <c r="A9" s="77" t="s">
        <v>44</v>
      </c>
      <c r="B9" s="78" t="s">
        <v>30</v>
      </c>
      <c r="C9" s="79"/>
      <c r="D9" s="80" t="s">
        <v>31</v>
      </c>
      <c r="E9" s="83" t="s">
        <v>45</v>
      </c>
      <c r="F9" s="81" t="str">
        <f>IFERROR(VLOOKUP(E9,客户!B:C,2,FALSE),"/")</f>
        <v>/</v>
      </c>
      <c r="G9" s="80" t="s">
        <v>43</v>
      </c>
      <c r="H9" s="45"/>
      <c r="I9" s="45"/>
      <c r="J9" s="45"/>
      <c r="K9" s="100"/>
      <c r="L9" s="100"/>
      <c r="M9" s="101"/>
      <c r="N9" s="101"/>
      <c r="O9" s="104"/>
      <c r="P9" s="102">
        <v>18356.75</v>
      </c>
      <c r="Q9" s="102" t="s">
        <v>46</v>
      </c>
      <c r="R9" s="126"/>
      <c r="S9" s="127"/>
      <c r="T9" s="128">
        <f>N9-5000</f>
        <v>-5000</v>
      </c>
      <c r="U9" s="100"/>
      <c r="V9" s="102"/>
      <c r="W9" s="45"/>
    </row>
    <row r="10" s="39" customFormat="1" ht="22" hidden="1" customHeight="1" spans="1:23">
      <c r="A10" s="77" t="s">
        <v>47</v>
      </c>
      <c r="B10" s="78" t="s">
        <v>30</v>
      </c>
      <c r="C10" s="79"/>
      <c r="D10" s="80" t="s">
        <v>31</v>
      </c>
      <c r="E10" s="80" t="s">
        <v>48</v>
      </c>
      <c r="F10" s="81" t="str">
        <f>IFERROR(VLOOKUP(E10,客户!B:C,2,FALSE),"/")</f>
        <v>/</v>
      </c>
      <c r="G10" s="80" t="s">
        <v>49</v>
      </c>
      <c r="H10" s="45"/>
      <c r="I10" s="45"/>
      <c r="J10" s="45"/>
      <c r="K10" s="100"/>
      <c r="L10" s="100"/>
      <c r="M10" s="101"/>
      <c r="N10" s="101"/>
      <c r="O10" s="104"/>
      <c r="P10" s="102">
        <v>41384.88</v>
      </c>
      <c r="Q10" s="102">
        <f>P10-U10</f>
        <v>41384.88</v>
      </c>
      <c r="R10" s="126"/>
      <c r="S10" s="127"/>
      <c r="T10" s="128">
        <v>30151.8</v>
      </c>
      <c r="U10" s="100"/>
      <c r="V10" s="102"/>
      <c r="W10" s="45"/>
    </row>
    <row r="11" s="39" customFormat="1" ht="22" hidden="1" customHeight="1" spans="1:23">
      <c r="A11" s="77" t="s">
        <v>50</v>
      </c>
      <c r="B11" s="78" t="s">
        <v>30</v>
      </c>
      <c r="C11" s="79"/>
      <c r="D11" s="80" t="s">
        <v>31</v>
      </c>
      <c r="E11" s="80" t="s">
        <v>51</v>
      </c>
      <c r="F11" s="81" t="str">
        <f>IFERROR(VLOOKUP(E11,客户!B:C,2,FALSE),"/")</f>
        <v>/</v>
      </c>
      <c r="G11" s="80" t="s">
        <v>43</v>
      </c>
      <c r="H11" s="45"/>
      <c r="I11" s="45"/>
      <c r="J11" s="45"/>
      <c r="K11" s="103"/>
      <c r="L11" s="103"/>
      <c r="M11" s="101"/>
      <c r="N11" s="101"/>
      <c r="O11" s="104"/>
      <c r="P11" s="102"/>
      <c r="Q11" s="130"/>
      <c r="R11" s="131"/>
      <c r="S11" s="132"/>
      <c r="T11" s="102"/>
      <c r="U11" s="100"/>
      <c r="V11" s="128"/>
      <c r="W11" s="45"/>
    </row>
    <row r="12" s="39" customFormat="1" ht="22" hidden="1" customHeight="1" spans="1:23">
      <c r="A12" s="77" t="s">
        <v>52</v>
      </c>
      <c r="B12" s="78" t="s">
        <v>30</v>
      </c>
      <c r="C12" s="79"/>
      <c r="D12" s="80" t="s">
        <v>31</v>
      </c>
      <c r="E12" s="80" t="s">
        <v>53</v>
      </c>
      <c r="F12" s="81" t="str">
        <f>IFERROR(VLOOKUP(E12,客户!B:C,2,FALSE),"/")</f>
        <v>/</v>
      </c>
      <c r="G12" s="80" t="s">
        <v>54</v>
      </c>
      <c r="H12" s="45"/>
      <c r="I12" s="45"/>
      <c r="J12" s="45"/>
      <c r="K12" s="100"/>
      <c r="L12" s="100"/>
      <c r="M12" s="101"/>
      <c r="N12" s="101"/>
      <c r="O12" s="104"/>
      <c r="P12" s="102">
        <v>23577.6</v>
      </c>
      <c r="Q12" s="130"/>
      <c r="R12" s="126"/>
      <c r="S12" s="127"/>
      <c r="T12" s="128">
        <v>23577.6</v>
      </c>
      <c r="U12" s="100"/>
      <c r="V12" s="102"/>
      <c r="W12" s="45"/>
    </row>
    <row r="13" s="39" customFormat="1" ht="22" hidden="1" customHeight="1" spans="1:23">
      <c r="A13" s="77" t="s">
        <v>55</v>
      </c>
      <c r="B13" s="78" t="s">
        <v>30</v>
      </c>
      <c r="C13" s="79"/>
      <c r="D13" s="80" t="s">
        <v>31</v>
      </c>
      <c r="E13" s="80" t="s">
        <v>56</v>
      </c>
      <c r="F13" s="81" t="str">
        <f>IFERROR(VLOOKUP(E13,客户!B:C,2,FALSE),"/")</f>
        <v>/</v>
      </c>
      <c r="G13" s="80" t="s">
        <v>57</v>
      </c>
      <c r="H13" s="45"/>
      <c r="I13" s="45"/>
      <c r="J13" s="45"/>
      <c r="K13" s="100"/>
      <c r="L13" s="100"/>
      <c r="M13" s="101"/>
      <c r="N13" s="101"/>
      <c r="O13" s="104"/>
      <c r="P13" s="102">
        <v>20017.05</v>
      </c>
      <c r="Q13" s="102">
        <v>4003.41</v>
      </c>
      <c r="R13" s="126"/>
      <c r="S13" s="127"/>
      <c r="T13" s="128">
        <f>N13-P13</f>
        <v>-20017.05</v>
      </c>
      <c r="U13" s="100"/>
      <c r="V13" s="102"/>
      <c r="W13" s="45"/>
    </row>
    <row r="14" s="39" customFormat="1" ht="22" hidden="1" customHeight="1" spans="1:23">
      <c r="A14" s="77" t="s">
        <v>58</v>
      </c>
      <c r="B14" s="78" t="s">
        <v>30</v>
      </c>
      <c r="C14" s="79"/>
      <c r="D14" s="80" t="s">
        <v>31</v>
      </c>
      <c r="E14" s="80" t="s">
        <v>51</v>
      </c>
      <c r="F14" s="81" t="str">
        <f>IFERROR(VLOOKUP(E14,客户!B:C,2,FALSE),"/")</f>
        <v>/</v>
      </c>
      <c r="G14" s="80" t="s">
        <v>54</v>
      </c>
      <c r="H14" s="45"/>
      <c r="I14" s="45"/>
      <c r="J14" s="45"/>
      <c r="K14" s="105"/>
      <c r="L14" s="103"/>
      <c r="M14" s="101"/>
      <c r="N14" s="101"/>
      <c r="O14" s="104"/>
      <c r="P14" s="102"/>
      <c r="Q14" s="130"/>
      <c r="R14" s="133"/>
      <c r="S14" s="134"/>
      <c r="T14" s="107"/>
      <c r="U14" s="100"/>
      <c r="V14" s="135"/>
      <c r="W14" s="45"/>
    </row>
    <row r="15" s="39" customFormat="1" ht="22" hidden="1" customHeight="1" spans="1:23">
      <c r="A15" s="77" t="s">
        <v>59</v>
      </c>
      <c r="B15" s="78" t="s">
        <v>30</v>
      </c>
      <c r="C15" s="79"/>
      <c r="D15" s="80" t="s">
        <v>31</v>
      </c>
      <c r="E15" s="80" t="s">
        <v>60</v>
      </c>
      <c r="F15" s="81" t="str">
        <f>IFERROR(VLOOKUP(E15,客户!B:C,2,FALSE),"/")</f>
        <v>外送费用945人民币+装箱费用 加在发票里</v>
      </c>
      <c r="G15" s="84" t="s">
        <v>61</v>
      </c>
      <c r="H15" s="45"/>
      <c r="I15" s="45"/>
      <c r="J15" s="45"/>
      <c r="K15" s="100"/>
      <c r="L15" s="100"/>
      <c r="M15" s="101"/>
      <c r="N15" s="101"/>
      <c r="O15" s="104"/>
      <c r="P15" s="102">
        <v>99268</v>
      </c>
      <c r="Q15" s="130"/>
      <c r="R15" s="126"/>
      <c r="S15" s="127"/>
      <c r="T15" s="128">
        <v>98939</v>
      </c>
      <c r="U15" s="100"/>
      <c r="V15" s="102"/>
      <c r="W15" s="45"/>
    </row>
    <row r="16" s="39" customFormat="1" ht="22" hidden="1" customHeight="1" spans="1:23">
      <c r="A16" s="77" t="s">
        <v>62</v>
      </c>
      <c r="B16" s="78" t="s">
        <v>30</v>
      </c>
      <c r="C16" s="79"/>
      <c r="D16" s="80" t="s">
        <v>31</v>
      </c>
      <c r="E16" s="80" t="s">
        <v>60</v>
      </c>
      <c r="F16" s="81" t="str">
        <f>IFERROR(VLOOKUP(E16,客户!B:C,2,FALSE),"/")</f>
        <v>外送费用945人民币+装箱费用 加在发票里</v>
      </c>
      <c r="G16" s="80" t="s">
        <v>63</v>
      </c>
      <c r="H16" s="45"/>
      <c r="I16" s="45"/>
      <c r="J16" s="45"/>
      <c r="K16" s="100"/>
      <c r="L16" s="100"/>
      <c r="M16" s="101"/>
      <c r="N16" s="101"/>
      <c r="O16" s="104"/>
      <c r="P16" s="102">
        <v>99253.6</v>
      </c>
      <c r="Q16" s="128"/>
      <c r="R16" s="126"/>
      <c r="S16" s="127"/>
      <c r="T16" s="128">
        <v>98996</v>
      </c>
      <c r="U16" s="100"/>
      <c r="V16" s="102"/>
      <c r="W16" s="45"/>
    </row>
    <row r="17" s="39" customFormat="1" ht="22" hidden="1" customHeight="1" spans="1:23">
      <c r="A17" s="77" t="s">
        <v>64</v>
      </c>
      <c r="B17" s="78" t="s">
        <v>30</v>
      </c>
      <c r="C17" s="79"/>
      <c r="D17" s="80" t="s">
        <v>31</v>
      </c>
      <c r="E17" s="80" t="s">
        <v>65</v>
      </c>
      <c r="F17" s="81" t="str">
        <f>IFERROR(VLOOKUP(E17,客户!B:C,2,FALSE),"/")</f>
        <v>/</v>
      </c>
      <c r="G17" s="80" t="s">
        <v>33</v>
      </c>
      <c r="H17" s="45"/>
      <c r="I17" s="45"/>
      <c r="J17" s="45"/>
      <c r="K17" s="100"/>
      <c r="L17" s="100"/>
      <c r="M17" s="101"/>
      <c r="N17" s="101"/>
      <c r="O17" s="104"/>
      <c r="P17" s="102">
        <v>41030</v>
      </c>
      <c r="Q17" s="102">
        <v>11700</v>
      </c>
      <c r="R17" s="126"/>
      <c r="S17" s="127"/>
      <c r="T17" s="128">
        <f>N17-P17</f>
        <v>-41030</v>
      </c>
      <c r="U17" s="100"/>
      <c r="V17" s="102"/>
      <c r="W17" s="45"/>
    </row>
    <row r="18" s="39" customFormat="1" ht="22" hidden="1" customHeight="1" spans="1:23">
      <c r="A18" s="77" t="s">
        <v>66</v>
      </c>
      <c r="B18" s="78" t="s">
        <v>30</v>
      </c>
      <c r="C18" s="79"/>
      <c r="D18" s="80" t="s">
        <v>31</v>
      </c>
      <c r="E18" s="80" t="s">
        <v>51</v>
      </c>
      <c r="F18" s="81" t="str">
        <f>IFERROR(VLOOKUP(E18,客户!B:C,2,FALSE),"/")</f>
        <v>/</v>
      </c>
      <c r="G18" s="80" t="s">
        <v>54</v>
      </c>
      <c r="H18" s="45"/>
      <c r="I18" s="45"/>
      <c r="J18" s="45"/>
      <c r="K18" s="105"/>
      <c r="L18" s="103"/>
      <c r="M18" s="101"/>
      <c r="N18" s="101"/>
      <c r="O18" s="104"/>
      <c r="P18" s="102"/>
      <c r="Q18" s="130"/>
      <c r="R18" s="131"/>
      <c r="S18" s="132"/>
      <c r="T18" s="102"/>
      <c r="U18" s="100"/>
      <c r="V18" s="130"/>
      <c r="W18" s="45"/>
    </row>
    <row r="19" s="39" customFormat="1" ht="22" hidden="1" customHeight="1" spans="1:23">
      <c r="A19" s="77" t="s">
        <v>67</v>
      </c>
      <c r="B19" s="78" t="s">
        <v>30</v>
      </c>
      <c r="C19" s="79"/>
      <c r="D19" s="80" t="s">
        <v>31</v>
      </c>
      <c r="E19" s="80" t="s">
        <v>65</v>
      </c>
      <c r="F19" s="81" t="str">
        <f>IFERROR(VLOOKUP(E19,客户!B:C,2,FALSE),"/")</f>
        <v>/</v>
      </c>
      <c r="G19" s="80" t="s">
        <v>68</v>
      </c>
      <c r="H19" s="45"/>
      <c r="I19" s="45"/>
      <c r="J19" s="45"/>
      <c r="K19" s="100"/>
      <c r="L19" s="100"/>
      <c r="M19" s="101"/>
      <c r="N19" s="101"/>
      <c r="O19" s="104"/>
      <c r="P19" s="102">
        <v>47192.3</v>
      </c>
      <c r="Q19" s="102">
        <v>12000</v>
      </c>
      <c r="R19" s="126"/>
      <c r="S19" s="127"/>
      <c r="T19" s="128">
        <f>N19-6000</f>
        <v>-6000</v>
      </c>
      <c r="U19" s="100"/>
      <c r="V19" s="102"/>
      <c r="W19" s="45"/>
    </row>
    <row r="20" s="39" customFormat="1" ht="22" hidden="1" customHeight="1" spans="1:23">
      <c r="A20" s="77" t="s">
        <v>69</v>
      </c>
      <c r="B20" s="78" t="s">
        <v>30</v>
      </c>
      <c r="C20" s="79"/>
      <c r="D20" s="80" t="s">
        <v>31</v>
      </c>
      <c r="E20" s="80" t="s">
        <v>65</v>
      </c>
      <c r="F20" s="81" t="str">
        <f>IFERROR(VLOOKUP(E20,客户!B:C,2,FALSE),"/")</f>
        <v>/</v>
      </c>
      <c r="G20" s="80" t="s">
        <v>70</v>
      </c>
      <c r="H20" s="45"/>
      <c r="I20" s="45"/>
      <c r="J20" s="45"/>
      <c r="K20" s="100"/>
      <c r="L20" s="100"/>
      <c r="M20" s="101"/>
      <c r="N20" s="101"/>
      <c r="O20" s="104"/>
      <c r="P20" s="102">
        <v>22812.85</v>
      </c>
      <c r="Q20" s="102"/>
      <c r="R20" s="126"/>
      <c r="S20" s="127"/>
      <c r="T20" s="128">
        <f>N20-6000</f>
        <v>-6000</v>
      </c>
      <c r="U20" s="100"/>
      <c r="V20" s="102"/>
      <c r="W20" s="45"/>
    </row>
    <row r="21" s="39" customFormat="1" ht="22" hidden="1" customHeight="1" spans="1:23">
      <c r="A21" s="77" t="s">
        <v>71</v>
      </c>
      <c r="B21" s="78" t="s">
        <v>30</v>
      </c>
      <c r="C21" s="79"/>
      <c r="D21" s="80" t="s">
        <v>31</v>
      </c>
      <c r="E21" s="80" t="s">
        <v>72</v>
      </c>
      <c r="F21" s="81">
        <f>IFERROR(VLOOKUP(E21,客户!B:C,2,FALSE),"/")</f>
        <v>0</v>
      </c>
      <c r="G21" s="80" t="s">
        <v>73</v>
      </c>
      <c r="H21" s="45"/>
      <c r="I21" s="45"/>
      <c r="J21" s="45"/>
      <c r="K21" s="100"/>
      <c r="L21" s="100"/>
      <c r="M21" s="101"/>
      <c r="N21" s="101"/>
      <c r="O21" s="101"/>
      <c r="P21" s="102">
        <v>39291.5</v>
      </c>
      <c r="Q21" s="102">
        <v>5298</v>
      </c>
      <c r="R21" s="126"/>
      <c r="S21" s="127"/>
      <c r="T21" s="128">
        <f>N21-5298-2207</f>
        <v>-7505</v>
      </c>
      <c r="U21" s="100"/>
      <c r="V21" s="102"/>
      <c r="W21" s="45"/>
    </row>
    <row r="22" s="39" customFormat="1" ht="22" hidden="1" customHeight="1" spans="1:23">
      <c r="A22" s="77" t="s">
        <v>74</v>
      </c>
      <c r="B22" s="78" t="s">
        <v>30</v>
      </c>
      <c r="C22" s="79"/>
      <c r="D22" s="80" t="s">
        <v>31</v>
      </c>
      <c r="E22" s="80" t="s">
        <v>75</v>
      </c>
      <c r="F22" s="81" t="str">
        <f>IFERROR(VLOOKUP(E22,客户!B:C,2,FALSE),"/")</f>
        <v>/</v>
      </c>
      <c r="G22" s="80" t="s">
        <v>76</v>
      </c>
      <c r="H22" s="45"/>
      <c r="I22" s="45"/>
      <c r="J22" s="45"/>
      <c r="K22" s="100"/>
      <c r="L22" s="100"/>
      <c r="M22" s="101"/>
      <c r="N22" s="101"/>
      <c r="O22" s="101"/>
      <c r="P22" s="102">
        <v>41093.48</v>
      </c>
      <c r="Q22" s="102">
        <f>P22-U22</f>
        <v>41093.48</v>
      </c>
      <c r="R22" s="126"/>
      <c r="S22" s="127"/>
      <c r="T22" s="128">
        <v>31265.9</v>
      </c>
      <c r="U22" s="100"/>
      <c r="V22" s="102"/>
      <c r="W22" s="45"/>
    </row>
    <row r="23" s="39" customFormat="1" ht="22" hidden="1" customHeight="1" spans="1:23">
      <c r="A23" s="77" t="s">
        <v>77</v>
      </c>
      <c r="B23" s="78" t="s">
        <v>30</v>
      </c>
      <c r="C23" s="79"/>
      <c r="D23" s="80" t="s">
        <v>31</v>
      </c>
      <c r="E23" s="80" t="s">
        <v>75</v>
      </c>
      <c r="F23" s="81" t="str">
        <f>IFERROR(VLOOKUP(E23,客户!B:C,2,FALSE),"/")</f>
        <v>/</v>
      </c>
      <c r="G23" s="80" t="s">
        <v>54</v>
      </c>
      <c r="H23" s="45"/>
      <c r="I23" s="45"/>
      <c r="J23" s="45"/>
      <c r="K23" s="100"/>
      <c r="L23" s="100"/>
      <c r="M23" s="101"/>
      <c r="N23" s="101"/>
      <c r="O23" s="101"/>
      <c r="P23" s="102"/>
      <c r="Q23" s="102"/>
      <c r="R23" s="126"/>
      <c r="S23" s="127"/>
      <c r="T23" s="128"/>
      <c r="U23" s="100"/>
      <c r="V23" s="102"/>
      <c r="W23" s="45"/>
    </row>
    <row r="24" s="39" customFormat="1" ht="22" hidden="1" customHeight="1" spans="1:23">
      <c r="A24" s="77" t="s">
        <v>78</v>
      </c>
      <c r="B24" s="78" t="s">
        <v>30</v>
      </c>
      <c r="C24" s="79"/>
      <c r="D24" s="80" t="s">
        <v>31</v>
      </c>
      <c r="E24" s="80" t="s">
        <v>79</v>
      </c>
      <c r="F24" s="81" t="str">
        <f>IFERROR(VLOOKUP(E24,客户!B:C,2,FALSE),"/")</f>
        <v>/</v>
      </c>
      <c r="G24" s="80" t="s">
        <v>80</v>
      </c>
      <c r="H24" s="45"/>
      <c r="I24" s="45"/>
      <c r="J24" s="45"/>
      <c r="K24" s="100"/>
      <c r="L24" s="100"/>
      <c r="M24" s="101"/>
      <c r="N24" s="101"/>
      <c r="O24" s="101"/>
      <c r="P24" s="102">
        <v>24769.35</v>
      </c>
      <c r="Q24" s="102">
        <v>8294.42</v>
      </c>
      <c r="R24" s="126"/>
      <c r="S24" s="127"/>
      <c r="T24" s="128">
        <f>N24-P24</f>
        <v>-24769.35</v>
      </c>
      <c r="U24" s="100"/>
      <c r="V24" s="102"/>
      <c r="W24" s="45"/>
    </row>
    <row r="25" s="39" customFormat="1" ht="22" hidden="1" customHeight="1" spans="1:23">
      <c r="A25" s="77" t="s">
        <v>81</v>
      </c>
      <c r="B25" s="78" t="s">
        <v>30</v>
      </c>
      <c r="C25" s="79"/>
      <c r="D25" s="80" t="s">
        <v>31</v>
      </c>
      <c r="E25" s="80" t="s">
        <v>82</v>
      </c>
      <c r="F25" s="81" t="str">
        <f>IFERROR(VLOOKUP(E25,客户!B:C,2,FALSE),"/")</f>
        <v>/</v>
      </c>
      <c r="G25" s="80" t="s">
        <v>83</v>
      </c>
      <c r="H25" s="45"/>
      <c r="I25" s="45"/>
      <c r="J25" s="45"/>
      <c r="K25" s="100"/>
      <c r="L25" s="100"/>
      <c r="M25" s="101"/>
      <c r="N25" s="101"/>
      <c r="O25" s="101"/>
      <c r="P25" s="102"/>
      <c r="Q25" s="102">
        <v>1450</v>
      </c>
      <c r="R25" s="131"/>
      <c r="S25" s="132"/>
      <c r="T25" s="102"/>
      <c r="U25" s="100"/>
      <c r="V25" s="102"/>
      <c r="W25" s="45"/>
    </row>
    <row r="26" s="39" customFormat="1" ht="22" hidden="1" customHeight="1" spans="1:23">
      <c r="A26" s="77" t="s">
        <v>84</v>
      </c>
      <c r="B26" s="78" t="s">
        <v>30</v>
      </c>
      <c r="C26" s="79"/>
      <c r="D26" s="80" t="s">
        <v>31</v>
      </c>
      <c r="E26" s="80" t="s">
        <v>85</v>
      </c>
      <c r="F26" s="81" t="str">
        <f>IFERROR(VLOOKUP(E26,客户!B:C,2,FALSE),"/")</f>
        <v>/</v>
      </c>
      <c r="G26" s="80" t="s">
        <v>86</v>
      </c>
      <c r="H26" s="45"/>
      <c r="I26" s="45"/>
      <c r="J26" s="45"/>
      <c r="K26" s="100"/>
      <c r="L26" s="100"/>
      <c r="M26" s="101"/>
      <c r="N26" s="101"/>
      <c r="O26" s="101"/>
      <c r="P26" s="102"/>
      <c r="Q26" s="102">
        <v>5890</v>
      </c>
      <c r="R26" s="131"/>
      <c r="S26" s="132"/>
      <c r="T26" s="102"/>
      <c r="U26" s="100"/>
      <c r="V26" s="102"/>
      <c r="W26" s="45"/>
    </row>
    <row r="27" s="39" customFormat="1" ht="22" hidden="1" customHeight="1" spans="1:23">
      <c r="A27" s="77" t="s">
        <v>87</v>
      </c>
      <c r="B27" s="78" t="s">
        <v>30</v>
      </c>
      <c r="C27" s="79"/>
      <c r="D27" s="80" t="s">
        <v>31</v>
      </c>
      <c r="E27" s="80" t="s">
        <v>85</v>
      </c>
      <c r="F27" s="81" t="str">
        <f>IFERROR(VLOOKUP(E27,客户!B:C,2,FALSE),"/")</f>
        <v>/</v>
      </c>
      <c r="G27" s="80"/>
      <c r="H27" s="45"/>
      <c r="I27" s="45"/>
      <c r="J27" s="45"/>
      <c r="K27" s="100"/>
      <c r="L27" s="100"/>
      <c r="M27" s="101"/>
      <c r="N27" s="101"/>
      <c r="O27" s="101"/>
      <c r="P27" s="102"/>
      <c r="Q27" s="102"/>
      <c r="R27" s="131"/>
      <c r="S27" s="132"/>
      <c r="T27" s="102"/>
      <c r="U27" s="100"/>
      <c r="V27" s="102"/>
      <c r="W27" s="45"/>
    </row>
    <row r="28" s="39" customFormat="1" ht="22" hidden="1" customHeight="1" spans="1:23">
      <c r="A28" s="77" t="s">
        <v>88</v>
      </c>
      <c r="B28" s="78" t="s">
        <v>30</v>
      </c>
      <c r="C28" s="79"/>
      <c r="D28" s="80" t="s">
        <v>31</v>
      </c>
      <c r="E28" s="80" t="s">
        <v>85</v>
      </c>
      <c r="F28" s="81" t="str">
        <f>IFERROR(VLOOKUP(E28,客户!B:C,2,FALSE),"/")</f>
        <v>/</v>
      </c>
      <c r="G28" s="80"/>
      <c r="H28" s="45"/>
      <c r="I28" s="45"/>
      <c r="J28" s="45"/>
      <c r="K28" s="100"/>
      <c r="L28" s="100"/>
      <c r="M28" s="101"/>
      <c r="N28" s="101"/>
      <c r="O28" s="101"/>
      <c r="P28" s="102"/>
      <c r="Q28" s="102"/>
      <c r="R28" s="131" t="s">
        <v>89</v>
      </c>
      <c r="S28" s="132"/>
      <c r="T28" s="102"/>
      <c r="U28" s="100"/>
      <c r="V28" s="102"/>
      <c r="W28" s="45"/>
    </row>
    <row r="29" s="39" customFormat="1" ht="22" hidden="1" customHeight="1" spans="1:23">
      <c r="A29" s="77" t="s">
        <v>90</v>
      </c>
      <c r="B29" s="78" t="s">
        <v>30</v>
      </c>
      <c r="C29" s="79"/>
      <c r="D29" s="80" t="s">
        <v>31</v>
      </c>
      <c r="E29" s="80" t="s">
        <v>85</v>
      </c>
      <c r="F29" s="81" t="str">
        <f>IFERROR(VLOOKUP(E29,客户!B:C,2,FALSE),"/")</f>
        <v>/</v>
      </c>
      <c r="G29" s="80" t="s">
        <v>91</v>
      </c>
      <c r="H29" s="45"/>
      <c r="I29" s="45"/>
      <c r="J29" s="45"/>
      <c r="K29" s="100"/>
      <c r="L29" s="100"/>
      <c r="M29" s="101"/>
      <c r="N29" s="101"/>
      <c r="O29" s="101"/>
      <c r="P29" s="102"/>
      <c r="Q29" s="102"/>
      <c r="R29" s="131"/>
      <c r="S29" s="132"/>
      <c r="T29" s="102"/>
      <c r="U29" s="100"/>
      <c r="V29" s="102"/>
      <c r="W29" s="45"/>
    </row>
    <row r="30" s="39" customFormat="1" ht="22" hidden="1" customHeight="1" spans="1:23">
      <c r="A30" s="77" t="s">
        <v>92</v>
      </c>
      <c r="B30" s="78" t="s">
        <v>30</v>
      </c>
      <c r="C30" s="79"/>
      <c r="D30" s="80" t="s">
        <v>31</v>
      </c>
      <c r="E30" s="80" t="s">
        <v>72</v>
      </c>
      <c r="F30" s="81">
        <f>IFERROR(VLOOKUP(E30,客户!B:C,2,FALSE),"/")</f>
        <v>0</v>
      </c>
      <c r="G30" s="80" t="s">
        <v>93</v>
      </c>
      <c r="H30" s="45"/>
      <c r="I30" s="45"/>
      <c r="J30" s="45"/>
      <c r="K30" s="100"/>
      <c r="L30" s="100"/>
      <c r="M30" s="101"/>
      <c r="N30" s="101"/>
      <c r="O30" s="104"/>
      <c r="P30" s="102">
        <v>18968</v>
      </c>
      <c r="Q30" s="102">
        <v>6207</v>
      </c>
      <c r="R30" s="126"/>
      <c r="S30" s="127"/>
      <c r="T30" s="128">
        <f>N30-P30-130</f>
        <v>-19098</v>
      </c>
      <c r="U30" s="100"/>
      <c r="V30" s="102"/>
      <c r="W30" s="45"/>
    </row>
    <row r="31" s="39" customFormat="1" ht="22" hidden="1" customHeight="1" spans="1:23">
      <c r="A31" s="77" t="s">
        <v>94</v>
      </c>
      <c r="B31" s="78" t="s">
        <v>30</v>
      </c>
      <c r="C31" s="79"/>
      <c r="D31" s="80" t="s">
        <v>31</v>
      </c>
      <c r="E31" s="80" t="s">
        <v>95</v>
      </c>
      <c r="F31" s="81" t="str">
        <f>IFERROR(VLOOKUP(E31,客户!B:C,2,FALSE),"/")</f>
        <v>/</v>
      </c>
      <c r="G31" s="80" t="s">
        <v>83</v>
      </c>
      <c r="H31" s="45"/>
      <c r="I31" s="45"/>
      <c r="J31" s="45"/>
      <c r="K31" s="106"/>
      <c r="L31" s="103"/>
      <c r="M31" s="101"/>
      <c r="N31" s="101"/>
      <c r="O31" s="104"/>
      <c r="P31" s="107" t="s">
        <v>96</v>
      </c>
      <c r="Q31" s="102" t="s">
        <v>97</v>
      </c>
      <c r="R31" s="131"/>
      <c r="S31" s="132"/>
      <c r="T31" s="102"/>
      <c r="U31" s="100"/>
      <c r="V31" s="136"/>
      <c r="W31" s="45"/>
    </row>
    <row r="32" s="39" customFormat="1" ht="22" hidden="1" customHeight="1" spans="1:23">
      <c r="A32" s="77" t="s">
        <v>98</v>
      </c>
      <c r="B32" s="78" t="s">
        <v>30</v>
      </c>
      <c r="C32" s="79"/>
      <c r="D32" s="80" t="s">
        <v>31</v>
      </c>
      <c r="E32" s="80" t="s">
        <v>99</v>
      </c>
      <c r="F32" s="81" t="str">
        <f>IFERROR(VLOOKUP(E32,客户!B:C,2,FALSE),"/")</f>
        <v>/</v>
      </c>
      <c r="G32" s="80" t="s">
        <v>61</v>
      </c>
      <c r="H32" s="45"/>
      <c r="I32" s="45"/>
      <c r="J32" s="45"/>
      <c r="K32" s="100"/>
      <c r="L32" s="100"/>
      <c r="M32" s="101"/>
      <c r="N32" s="101"/>
      <c r="O32" s="104"/>
      <c r="P32" s="102">
        <v>106240.25</v>
      </c>
      <c r="Q32" s="130"/>
      <c r="R32" s="126"/>
      <c r="S32" s="127"/>
      <c r="T32" s="128">
        <v>105974.35</v>
      </c>
      <c r="U32" s="100"/>
      <c r="V32" s="102"/>
      <c r="W32" s="45"/>
    </row>
    <row r="33" s="39" customFormat="1" ht="22" hidden="1" customHeight="1" spans="1:23">
      <c r="A33" s="77" t="s">
        <v>100</v>
      </c>
      <c r="B33" s="78" t="s">
        <v>30</v>
      </c>
      <c r="C33" s="79"/>
      <c r="D33" s="80" t="s">
        <v>31</v>
      </c>
      <c r="E33" s="80" t="s">
        <v>99</v>
      </c>
      <c r="F33" s="81" t="str">
        <f>IFERROR(VLOOKUP(E33,客户!B:C,2,FALSE),"/")</f>
        <v>/</v>
      </c>
      <c r="G33" s="80" t="s">
        <v>61</v>
      </c>
      <c r="H33" s="45"/>
      <c r="I33" s="45"/>
      <c r="J33" s="45"/>
      <c r="K33" s="100"/>
      <c r="L33" s="100"/>
      <c r="M33" s="101"/>
      <c r="N33" s="101"/>
      <c r="O33" s="104"/>
      <c r="P33" s="102">
        <v>106240.25</v>
      </c>
      <c r="Q33" s="130"/>
      <c r="R33" s="126"/>
      <c r="S33" s="127"/>
      <c r="T33" s="128">
        <v>105974</v>
      </c>
      <c r="U33" s="100"/>
      <c r="V33" s="102"/>
      <c r="W33" s="45"/>
    </row>
    <row r="34" s="39" customFormat="1" ht="22" hidden="1" customHeight="1" spans="1:23">
      <c r="A34" s="77" t="s">
        <v>101</v>
      </c>
      <c r="B34" s="78" t="s">
        <v>30</v>
      </c>
      <c r="C34" s="79"/>
      <c r="D34" s="80" t="s">
        <v>31</v>
      </c>
      <c r="E34" s="80" t="s">
        <v>102</v>
      </c>
      <c r="F34" s="81" t="str">
        <f>IFERROR(VLOOKUP(E34,客户!B:C,2,FALSE),"/")</f>
        <v>/</v>
      </c>
      <c r="G34" s="80" t="s">
        <v>54</v>
      </c>
      <c r="H34" s="45"/>
      <c r="I34" s="45"/>
      <c r="J34" s="45"/>
      <c r="K34" s="105"/>
      <c r="L34" s="103"/>
      <c r="M34" s="101"/>
      <c r="N34" s="101"/>
      <c r="O34" s="104"/>
      <c r="P34" s="102"/>
      <c r="Q34" s="130"/>
      <c r="R34" s="131"/>
      <c r="S34" s="132"/>
      <c r="T34" s="102"/>
      <c r="U34" s="100"/>
      <c r="V34" s="130"/>
      <c r="W34" s="45"/>
    </row>
    <row r="35" s="39" customFormat="1" ht="22" hidden="1" customHeight="1" spans="1:23">
      <c r="A35" s="77" t="s">
        <v>103</v>
      </c>
      <c r="B35" s="78" t="s">
        <v>30</v>
      </c>
      <c r="C35" s="79"/>
      <c r="D35" s="80" t="s">
        <v>31</v>
      </c>
      <c r="E35" s="80" t="s">
        <v>104</v>
      </c>
      <c r="F35" s="81" t="str">
        <f>IFERROR(VLOOKUP(E35,客户!B:C,2,FALSE),"/")</f>
        <v>/</v>
      </c>
      <c r="G35" s="80" t="s">
        <v>105</v>
      </c>
      <c r="H35" s="45"/>
      <c r="I35" s="45"/>
      <c r="J35" s="45"/>
      <c r="K35" s="100"/>
      <c r="L35" s="100"/>
      <c r="M35" s="101"/>
      <c r="N35" s="101"/>
      <c r="O35" s="104"/>
      <c r="P35" s="102">
        <v>45630.65</v>
      </c>
      <c r="Q35" s="102">
        <v>13240.06</v>
      </c>
      <c r="R35" s="126"/>
      <c r="S35" s="127"/>
      <c r="T35" s="128">
        <f>N35-P35+4000</f>
        <v>-41630.65</v>
      </c>
      <c r="U35" s="100"/>
      <c r="V35" s="102"/>
      <c r="W35" s="45"/>
    </row>
    <row r="36" s="39" customFormat="1" ht="22" hidden="1" customHeight="1" spans="1:23">
      <c r="A36" s="77" t="s">
        <v>106</v>
      </c>
      <c r="B36" s="78" t="s">
        <v>30</v>
      </c>
      <c r="C36" s="79"/>
      <c r="D36" s="80" t="s">
        <v>31</v>
      </c>
      <c r="E36" s="80" t="s">
        <v>65</v>
      </c>
      <c r="F36" s="81" t="str">
        <f>IFERROR(VLOOKUP(E36,客户!B:C,2,FALSE),"/")</f>
        <v>/</v>
      </c>
      <c r="G36" s="80" t="s">
        <v>43</v>
      </c>
      <c r="H36" s="45"/>
      <c r="I36" s="45"/>
      <c r="J36" s="45"/>
      <c r="K36" s="100"/>
      <c r="L36" s="100"/>
      <c r="M36" s="101"/>
      <c r="N36" s="101"/>
      <c r="O36" s="104"/>
      <c r="P36" s="102">
        <v>22518.05</v>
      </c>
      <c r="Q36" s="130"/>
      <c r="R36" s="126"/>
      <c r="S36" s="127"/>
      <c r="T36" s="128">
        <f>N36-4000</f>
        <v>-4000</v>
      </c>
      <c r="U36" s="100"/>
      <c r="V36" s="102"/>
      <c r="W36" s="45"/>
    </row>
    <row r="37" s="39" customFormat="1" ht="22" hidden="1" customHeight="1" spans="1:23">
      <c r="A37" s="77" t="s">
        <v>107</v>
      </c>
      <c r="B37" s="78" t="s">
        <v>30</v>
      </c>
      <c r="C37" s="79"/>
      <c r="D37" s="80" t="s">
        <v>31</v>
      </c>
      <c r="E37" s="80" t="s">
        <v>108</v>
      </c>
      <c r="F37" s="81" t="str">
        <f>IFERROR(VLOOKUP(E37,客户!B:C,2,FALSE),"/")</f>
        <v>/</v>
      </c>
      <c r="G37" s="80" t="s">
        <v>109</v>
      </c>
      <c r="H37" s="45"/>
      <c r="I37" s="45"/>
      <c r="J37" s="45"/>
      <c r="K37" s="100"/>
      <c r="L37" s="100"/>
      <c r="M37" s="101"/>
      <c r="N37" s="101"/>
      <c r="O37" s="104"/>
      <c r="P37" s="102">
        <v>22635.15</v>
      </c>
      <c r="Q37" s="102">
        <v>7472</v>
      </c>
      <c r="R37" s="126"/>
      <c r="S37" s="127"/>
      <c r="T37" s="128">
        <f>N37-P37</f>
        <v>-22635.15</v>
      </c>
      <c r="U37" s="100"/>
      <c r="V37" s="102"/>
      <c r="W37" s="45"/>
    </row>
    <row r="38" s="40" customFormat="1" ht="22" hidden="1" customHeight="1" spans="1:22">
      <c r="A38" s="77" t="s">
        <v>110</v>
      </c>
      <c r="B38" s="78" t="s">
        <v>30</v>
      </c>
      <c r="C38" s="79"/>
      <c r="D38" s="80" t="s">
        <v>31</v>
      </c>
      <c r="E38" s="80" t="s">
        <v>111</v>
      </c>
      <c r="F38" s="81" t="str">
        <f>IFERROR(VLOOKUP(E38,客户!B:C,2,FALSE),"/")</f>
        <v>/</v>
      </c>
      <c r="G38" s="80" t="s">
        <v>43</v>
      </c>
      <c r="K38" s="100"/>
      <c r="L38" s="100"/>
      <c r="M38" s="108"/>
      <c r="N38" s="108"/>
      <c r="O38" s="104"/>
      <c r="P38" s="102">
        <v>23123.78</v>
      </c>
      <c r="Q38" s="102">
        <v>4877</v>
      </c>
      <c r="R38" s="137"/>
      <c r="S38" s="138"/>
      <c r="T38" s="128">
        <f>N38-P38</f>
        <v>-23123.78</v>
      </c>
      <c r="U38" s="100"/>
      <c r="V38" s="102"/>
    </row>
    <row r="39" s="39" customFormat="1" ht="22" hidden="1" customHeight="1" spans="1:23">
      <c r="A39" s="77" t="s">
        <v>112</v>
      </c>
      <c r="B39" s="78" t="s">
        <v>30</v>
      </c>
      <c r="C39" s="79"/>
      <c r="D39" s="80" t="s">
        <v>31</v>
      </c>
      <c r="E39" s="80" t="s">
        <v>102</v>
      </c>
      <c r="F39" s="81" t="str">
        <f>IFERROR(VLOOKUP(E39,客户!B:C,2,FALSE),"/")</f>
        <v>/</v>
      </c>
      <c r="G39" s="80" t="s">
        <v>43</v>
      </c>
      <c r="H39" s="45"/>
      <c r="I39" s="45"/>
      <c r="J39" s="45"/>
      <c r="K39" s="103"/>
      <c r="L39" s="103"/>
      <c r="M39" s="101"/>
      <c r="N39" s="101"/>
      <c r="O39" s="104"/>
      <c r="P39" s="102"/>
      <c r="Q39" s="102"/>
      <c r="R39" s="131"/>
      <c r="S39" s="132"/>
      <c r="T39" s="102"/>
      <c r="U39" s="100"/>
      <c r="V39" s="128"/>
      <c r="W39" s="45"/>
    </row>
    <row r="40" s="39" customFormat="1" ht="22" hidden="1" customHeight="1" spans="1:23">
      <c r="A40" s="77" t="s">
        <v>113</v>
      </c>
      <c r="B40" s="78" t="s">
        <v>30</v>
      </c>
      <c r="C40" s="79"/>
      <c r="D40" s="80" t="s">
        <v>31</v>
      </c>
      <c r="E40" s="80" t="s">
        <v>102</v>
      </c>
      <c r="F40" s="81" t="str">
        <f>IFERROR(VLOOKUP(E40,客户!B:C,2,FALSE),"/")</f>
        <v>/</v>
      </c>
      <c r="G40" s="80" t="s">
        <v>43</v>
      </c>
      <c r="H40" s="45"/>
      <c r="I40" s="45"/>
      <c r="J40" s="45"/>
      <c r="K40" s="103"/>
      <c r="L40" s="103"/>
      <c r="M40" s="101"/>
      <c r="N40" s="101"/>
      <c r="O40" s="104"/>
      <c r="P40" s="102"/>
      <c r="Q40" s="102"/>
      <c r="R40" s="131"/>
      <c r="S40" s="132"/>
      <c r="T40" s="102"/>
      <c r="U40" s="100"/>
      <c r="V40" s="128"/>
      <c r="W40" s="45"/>
    </row>
    <row r="41" s="39" customFormat="1" ht="22" hidden="1" customHeight="1" spans="1:23">
      <c r="A41" s="77" t="s">
        <v>114</v>
      </c>
      <c r="B41" s="78" t="s">
        <v>30</v>
      </c>
      <c r="C41" s="79"/>
      <c r="D41" s="80" t="s">
        <v>31</v>
      </c>
      <c r="E41" s="80" t="s">
        <v>115</v>
      </c>
      <c r="F41" s="81" t="str">
        <f>IFERROR(VLOOKUP(E41,客户!B:C,2,FALSE),"/")</f>
        <v>/</v>
      </c>
      <c r="G41" s="80" t="s">
        <v>116</v>
      </c>
      <c r="H41" s="45"/>
      <c r="I41" s="45"/>
      <c r="J41" s="45"/>
      <c r="K41" s="100"/>
      <c r="L41" s="100"/>
      <c r="M41" s="101"/>
      <c r="N41" s="101"/>
      <c r="O41" s="104"/>
      <c r="P41" s="102">
        <v>85789.65</v>
      </c>
      <c r="Q41" s="102">
        <v>12000</v>
      </c>
      <c r="R41" s="126"/>
      <c r="S41" s="127"/>
      <c r="T41" s="128">
        <f>(N41-P41)*6.55</f>
        <v>-561922.2075</v>
      </c>
      <c r="U41" s="100"/>
      <c r="V41" s="102"/>
      <c r="W41" s="45"/>
    </row>
    <row r="42" s="39" customFormat="1" ht="22" hidden="1" customHeight="1" spans="1:23">
      <c r="A42" s="77" t="s">
        <v>117</v>
      </c>
      <c r="B42" s="78" t="s">
        <v>30</v>
      </c>
      <c r="C42" s="79"/>
      <c r="D42" s="80" t="s">
        <v>31</v>
      </c>
      <c r="E42" s="80" t="s">
        <v>99</v>
      </c>
      <c r="F42" s="81" t="str">
        <f>IFERROR(VLOOKUP(E42,客户!B:C,2,FALSE),"/")</f>
        <v>/</v>
      </c>
      <c r="G42" s="80" t="s">
        <v>118</v>
      </c>
      <c r="H42" s="45"/>
      <c r="I42" s="45"/>
      <c r="J42" s="45"/>
      <c r="K42" s="100"/>
      <c r="L42" s="100"/>
      <c r="M42" s="101"/>
      <c r="N42" s="101"/>
      <c r="O42" s="104"/>
      <c r="P42" s="102">
        <v>107758</v>
      </c>
      <c r="Q42" s="102">
        <f>P42-U42</f>
        <v>107758</v>
      </c>
      <c r="R42" s="126"/>
      <c r="S42" s="127"/>
      <c r="T42" s="128">
        <v>107489.8</v>
      </c>
      <c r="U42" s="100"/>
      <c r="V42" s="102"/>
      <c r="W42" s="45"/>
    </row>
    <row r="43" s="39" customFormat="1" ht="22" hidden="1" customHeight="1" spans="1:23">
      <c r="A43" s="77" t="s">
        <v>119</v>
      </c>
      <c r="B43" s="78" t="s">
        <v>30</v>
      </c>
      <c r="C43" s="79"/>
      <c r="D43" s="80" t="s">
        <v>31</v>
      </c>
      <c r="E43" s="80" t="s">
        <v>99</v>
      </c>
      <c r="F43" s="81" t="str">
        <f>IFERROR(VLOOKUP(E43,客户!B:C,2,FALSE),"/")</f>
        <v>/</v>
      </c>
      <c r="G43" s="80" t="s">
        <v>118</v>
      </c>
      <c r="H43" s="45"/>
      <c r="I43" s="45"/>
      <c r="J43" s="45"/>
      <c r="K43" s="100"/>
      <c r="L43" s="100"/>
      <c r="M43" s="101"/>
      <c r="N43" s="101"/>
      <c r="O43" s="104"/>
      <c r="P43" s="102">
        <v>107706.2</v>
      </c>
      <c r="Q43" s="102">
        <v>4291.42</v>
      </c>
      <c r="R43" s="126"/>
      <c r="S43" s="127"/>
      <c r="T43" s="128">
        <f>N43-P43</f>
        <v>-107706.2</v>
      </c>
      <c r="U43" s="100"/>
      <c r="V43" s="102"/>
      <c r="W43" s="45"/>
    </row>
    <row r="44" s="39" customFormat="1" ht="22" hidden="1" customHeight="1" spans="1:23">
      <c r="A44" s="77" t="s">
        <v>120</v>
      </c>
      <c r="B44" s="78" t="s">
        <v>30</v>
      </c>
      <c r="C44" s="79"/>
      <c r="D44" s="80" t="s">
        <v>31</v>
      </c>
      <c r="E44" s="80" t="s">
        <v>121</v>
      </c>
      <c r="F44" s="81" t="str">
        <f>IFERROR(VLOOKUP(E44,客户!B:C,2,FALSE),"/")</f>
        <v>/</v>
      </c>
      <c r="G44" s="80" t="s">
        <v>122</v>
      </c>
      <c r="H44" s="45" t="s">
        <v>123</v>
      </c>
      <c r="I44" s="45"/>
      <c r="J44" s="45"/>
      <c r="K44" s="100"/>
      <c r="L44" s="100"/>
      <c r="M44" s="101"/>
      <c r="N44" s="101"/>
      <c r="O44" s="104"/>
      <c r="P44" s="102">
        <v>22815.53</v>
      </c>
      <c r="Q44" s="102">
        <f>P44-U44</f>
        <v>22815.53</v>
      </c>
      <c r="R44" s="126"/>
      <c r="S44" s="127"/>
      <c r="T44" s="128">
        <v>17155</v>
      </c>
      <c r="U44" s="100"/>
      <c r="V44" s="102"/>
      <c r="W44" s="45"/>
    </row>
    <row r="45" s="39" customFormat="1" ht="22" hidden="1" customHeight="1" spans="1:23">
      <c r="A45" s="77" t="s">
        <v>124</v>
      </c>
      <c r="B45" s="78" t="s">
        <v>30</v>
      </c>
      <c r="C45" s="79"/>
      <c r="D45" s="80" t="s">
        <v>31</v>
      </c>
      <c r="E45" s="80" t="s">
        <v>125</v>
      </c>
      <c r="F45" s="81" t="str">
        <f>IFERROR(VLOOKUP(E45,客户!B:C,2,FALSE),"/")</f>
        <v>/</v>
      </c>
      <c r="G45" s="80" t="s">
        <v>126</v>
      </c>
      <c r="H45" s="45" t="s">
        <v>127</v>
      </c>
      <c r="I45" s="45"/>
      <c r="J45" s="45"/>
      <c r="K45" s="100"/>
      <c r="L45" s="100"/>
      <c r="M45" s="101"/>
      <c r="N45" s="101"/>
      <c r="O45" s="104"/>
      <c r="P45" s="102">
        <v>89760</v>
      </c>
      <c r="Q45" s="102">
        <v>26000</v>
      </c>
      <c r="R45" s="126"/>
      <c r="S45" s="127"/>
      <c r="T45" s="128">
        <f>N45-P45</f>
        <v>-89760</v>
      </c>
      <c r="U45" s="100"/>
      <c r="V45" s="102"/>
      <c r="W45" s="45"/>
    </row>
    <row r="46" s="39" customFormat="1" ht="22" hidden="1" customHeight="1" spans="1:23">
      <c r="A46" s="77" t="s">
        <v>128</v>
      </c>
      <c r="B46" s="78" t="s">
        <v>30</v>
      </c>
      <c r="C46" s="79"/>
      <c r="D46" s="80" t="s">
        <v>31</v>
      </c>
      <c r="E46" s="80" t="s">
        <v>102</v>
      </c>
      <c r="F46" s="81" t="str">
        <f>IFERROR(VLOOKUP(E46,客户!B:C,2,FALSE),"/")</f>
        <v>/</v>
      </c>
      <c r="G46" s="80" t="s">
        <v>129</v>
      </c>
      <c r="H46" s="45" t="s">
        <v>123</v>
      </c>
      <c r="I46" s="45"/>
      <c r="J46" s="45"/>
      <c r="K46" s="105"/>
      <c r="L46" s="103"/>
      <c r="M46" s="101"/>
      <c r="N46" s="101"/>
      <c r="O46" s="104"/>
      <c r="P46" s="102"/>
      <c r="Q46" s="102"/>
      <c r="R46" s="131"/>
      <c r="S46" s="132"/>
      <c r="T46" s="102"/>
      <c r="U46" s="100"/>
      <c r="V46" s="130"/>
      <c r="W46" s="45"/>
    </row>
    <row r="47" s="39" customFormat="1" ht="22" hidden="1" customHeight="1" spans="1:23">
      <c r="A47" s="77" t="s">
        <v>130</v>
      </c>
      <c r="B47" s="78" t="s">
        <v>30</v>
      </c>
      <c r="C47" s="79"/>
      <c r="D47" s="80" t="s">
        <v>31</v>
      </c>
      <c r="E47" s="80" t="s">
        <v>102</v>
      </c>
      <c r="F47" s="81" t="str">
        <f>IFERROR(VLOOKUP(E47,客户!B:C,2,FALSE),"/")</f>
        <v>/</v>
      </c>
      <c r="G47" s="80" t="s">
        <v>129</v>
      </c>
      <c r="H47" s="45" t="s">
        <v>123</v>
      </c>
      <c r="I47" s="45"/>
      <c r="J47" s="45"/>
      <c r="K47" s="105"/>
      <c r="L47" s="103"/>
      <c r="M47" s="101"/>
      <c r="N47" s="101"/>
      <c r="O47" s="104"/>
      <c r="P47" s="102"/>
      <c r="Q47" s="102"/>
      <c r="R47" s="131"/>
      <c r="S47" s="132"/>
      <c r="T47" s="102"/>
      <c r="U47" s="100"/>
      <c r="V47" s="130"/>
      <c r="W47" s="45"/>
    </row>
    <row r="48" s="39" customFormat="1" ht="22" hidden="1" customHeight="1" spans="1:23">
      <c r="A48" s="77" t="s">
        <v>131</v>
      </c>
      <c r="B48" s="78" t="s">
        <v>30</v>
      </c>
      <c r="C48" s="79"/>
      <c r="D48" s="80" t="s">
        <v>31</v>
      </c>
      <c r="E48" s="80" t="s">
        <v>132</v>
      </c>
      <c r="F48" s="81" t="str">
        <f>IFERROR(VLOOKUP(E48,客户!B:C,2,FALSE),"/")</f>
        <v>/</v>
      </c>
      <c r="G48" s="80" t="s">
        <v>133</v>
      </c>
      <c r="H48" s="45" t="s">
        <v>123</v>
      </c>
      <c r="I48" s="45"/>
      <c r="J48" s="45"/>
      <c r="K48" s="100"/>
      <c r="L48" s="100"/>
      <c r="M48" s="101"/>
      <c r="N48" s="101"/>
      <c r="O48" s="104"/>
      <c r="P48" s="102">
        <v>84405.6</v>
      </c>
      <c r="Q48" s="102"/>
      <c r="R48" s="126"/>
      <c r="S48" s="127"/>
      <c r="T48" s="128">
        <f>N48-P48</f>
        <v>-84405.6</v>
      </c>
      <c r="U48" s="100"/>
      <c r="V48" s="102"/>
      <c r="W48" s="45"/>
    </row>
    <row r="49" s="39" customFormat="1" ht="22" hidden="1" customHeight="1" spans="1:23">
      <c r="A49" s="77" t="s">
        <v>134</v>
      </c>
      <c r="B49" s="78" t="s">
        <v>30</v>
      </c>
      <c r="C49" s="79"/>
      <c r="D49" s="80" t="s">
        <v>31</v>
      </c>
      <c r="E49" s="80" t="s">
        <v>135</v>
      </c>
      <c r="F49" s="81" t="str">
        <f>IFERROR(VLOOKUP(E49,客户!B:C,2,FALSE),"/")</f>
        <v>/</v>
      </c>
      <c r="G49" s="80" t="s">
        <v>136</v>
      </c>
      <c r="H49" s="45" t="s">
        <v>123</v>
      </c>
      <c r="I49" s="45"/>
      <c r="J49" s="45"/>
      <c r="K49" s="100"/>
      <c r="L49" s="100"/>
      <c r="M49" s="101"/>
      <c r="N49" s="101"/>
      <c r="O49" s="104"/>
      <c r="P49" s="102">
        <v>19447.75</v>
      </c>
      <c r="Q49" s="102">
        <v>5801</v>
      </c>
      <c r="R49" s="126"/>
      <c r="S49" s="127"/>
      <c r="T49" s="128">
        <f>N49-P49</f>
        <v>-19447.75</v>
      </c>
      <c r="U49" s="100"/>
      <c r="V49" s="102"/>
      <c r="W49" s="45"/>
    </row>
    <row r="50" s="39" customFormat="1" ht="22" hidden="1" customHeight="1" spans="1:23">
      <c r="A50" s="77" t="s">
        <v>137</v>
      </c>
      <c r="B50" s="78" t="s">
        <v>30</v>
      </c>
      <c r="C50" s="79"/>
      <c r="D50" s="80" t="s">
        <v>31</v>
      </c>
      <c r="E50" s="80" t="s">
        <v>121</v>
      </c>
      <c r="F50" s="81" t="str">
        <f>IFERROR(VLOOKUP(E50,客户!B:C,2,FALSE),"/")</f>
        <v>/</v>
      </c>
      <c r="G50" s="80" t="s">
        <v>122</v>
      </c>
      <c r="H50" s="45" t="s">
        <v>123</v>
      </c>
      <c r="I50" s="45"/>
      <c r="J50" s="45"/>
      <c r="K50" s="100"/>
      <c r="L50" s="100"/>
      <c r="M50" s="101"/>
      <c r="N50" s="101"/>
      <c r="O50" s="104"/>
      <c r="P50" s="102">
        <v>23939.58</v>
      </c>
      <c r="Q50" s="139">
        <f>P50-U50</f>
        <v>23939.58</v>
      </c>
      <c r="R50" s="126"/>
      <c r="S50" s="127"/>
      <c r="T50" s="128">
        <v>17958</v>
      </c>
      <c r="U50" s="100"/>
      <c r="V50" s="102"/>
      <c r="W50" s="45"/>
    </row>
    <row r="51" s="39" customFormat="1" ht="22" hidden="1" customHeight="1" spans="1:23">
      <c r="A51" s="77" t="s">
        <v>138</v>
      </c>
      <c r="B51" s="78" t="s">
        <v>30</v>
      </c>
      <c r="C51" s="79"/>
      <c r="D51" s="80" t="s">
        <v>31</v>
      </c>
      <c r="E51" s="80" t="s">
        <v>139</v>
      </c>
      <c r="F51" s="81" t="str">
        <f>IFERROR(VLOOKUP(E51,客户!B:C,2,FALSE),"/")</f>
        <v>/</v>
      </c>
      <c r="G51" s="80" t="s">
        <v>140</v>
      </c>
      <c r="H51" s="45" t="s">
        <v>123</v>
      </c>
      <c r="I51" s="45"/>
      <c r="J51" s="45"/>
      <c r="K51" s="100"/>
      <c r="L51" s="100"/>
      <c r="M51" s="109"/>
      <c r="N51" s="110"/>
      <c r="O51" s="104"/>
      <c r="P51" s="102">
        <v>45771.4</v>
      </c>
      <c r="Q51" s="102">
        <v>13697</v>
      </c>
      <c r="R51" s="126"/>
      <c r="S51" s="127"/>
      <c r="T51" s="128">
        <f>N51-P51</f>
        <v>-45771.4</v>
      </c>
      <c r="U51" s="100"/>
      <c r="V51" s="102"/>
      <c r="W51" s="45"/>
    </row>
    <row r="52" s="39" customFormat="1" ht="22" hidden="1" customHeight="1" spans="1:23">
      <c r="A52" s="77" t="s">
        <v>141</v>
      </c>
      <c r="B52" s="78" t="s">
        <v>30</v>
      </c>
      <c r="C52" s="79"/>
      <c r="D52" s="80" t="s">
        <v>31</v>
      </c>
      <c r="E52" s="80" t="s">
        <v>125</v>
      </c>
      <c r="F52" s="81" t="str">
        <f>IFERROR(VLOOKUP(E52,客户!B:C,2,FALSE),"/")</f>
        <v>/</v>
      </c>
      <c r="G52" s="80" t="s">
        <v>126</v>
      </c>
      <c r="H52" s="45" t="s">
        <v>127</v>
      </c>
      <c r="I52" s="45"/>
      <c r="J52" s="45"/>
      <c r="K52" s="100"/>
      <c r="L52" s="100"/>
      <c r="M52" s="101"/>
      <c r="N52" s="101"/>
      <c r="O52" s="104"/>
      <c r="P52" s="102">
        <v>89849.4</v>
      </c>
      <c r="Q52" s="102">
        <v>26000</v>
      </c>
      <c r="R52" s="126"/>
      <c r="S52" s="127"/>
      <c r="T52" s="128">
        <f>N52-P52</f>
        <v>-89849.4</v>
      </c>
      <c r="U52" s="100"/>
      <c r="V52" s="102"/>
      <c r="W52" s="45"/>
    </row>
    <row r="53" s="39" customFormat="1" ht="22" hidden="1" customHeight="1" spans="1:23">
      <c r="A53" s="77" t="s">
        <v>142</v>
      </c>
      <c r="B53" s="78" t="s">
        <v>30</v>
      </c>
      <c r="C53" s="79"/>
      <c r="D53" s="80" t="s">
        <v>31</v>
      </c>
      <c r="E53" s="80" t="s">
        <v>111</v>
      </c>
      <c r="F53" s="81" t="str">
        <f>IFERROR(VLOOKUP(E53,客户!B:C,2,FALSE),"/")</f>
        <v>/</v>
      </c>
      <c r="G53" s="80" t="s">
        <v>129</v>
      </c>
      <c r="H53" s="45" t="s">
        <v>123</v>
      </c>
      <c r="I53" s="45"/>
      <c r="J53" s="45"/>
      <c r="K53" s="111"/>
      <c r="L53" s="100"/>
      <c r="M53" s="112"/>
      <c r="N53" s="112"/>
      <c r="O53" s="104"/>
      <c r="P53" s="113">
        <v>22783.18</v>
      </c>
      <c r="Q53" s="113">
        <v>6000</v>
      </c>
      <c r="R53" s="126"/>
      <c r="S53" s="127"/>
      <c r="T53" s="128">
        <f>N53-4277</f>
        <v>-4277</v>
      </c>
      <c r="U53" s="100"/>
      <c r="V53" s="113"/>
      <c r="W53" s="45"/>
    </row>
    <row r="54" s="39" customFormat="1" ht="22" hidden="1" customHeight="1" spans="1:23">
      <c r="A54" s="77" t="s">
        <v>143</v>
      </c>
      <c r="B54" s="78" t="s">
        <v>30</v>
      </c>
      <c r="C54" s="79"/>
      <c r="D54" s="80" t="s">
        <v>31</v>
      </c>
      <c r="E54" s="80" t="s">
        <v>102</v>
      </c>
      <c r="F54" s="81" t="str">
        <f>IFERROR(VLOOKUP(E54,客户!B:C,2,FALSE),"/")</f>
        <v>/</v>
      </c>
      <c r="G54" s="80" t="s">
        <v>129</v>
      </c>
      <c r="H54" s="45" t="s">
        <v>123</v>
      </c>
      <c r="I54" s="45"/>
      <c r="J54" s="45"/>
      <c r="K54" s="114"/>
      <c r="L54" s="103"/>
      <c r="M54" s="112"/>
      <c r="N54" s="112"/>
      <c r="O54" s="104"/>
      <c r="P54" s="113"/>
      <c r="Q54" s="113"/>
      <c r="R54" s="131"/>
      <c r="S54" s="132"/>
      <c r="T54" s="102"/>
      <c r="U54" s="100"/>
      <c r="V54" s="140"/>
      <c r="W54" s="45"/>
    </row>
    <row r="55" s="39" customFormat="1" ht="22" hidden="1" customHeight="1" spans="1:23">
      <c r="A55" s="77" t="s">
        <v>144</v>
      </c>
      <c r="B55" s="78" t="s">
        <v>30</v>
      </c>
      <c r="C55" s="79"/>
      <c r="D55" s="80" t="s">
        <v>31</v>
      </c>
      <c r="E55" s="80" t="s">
        <v>145</v>
      </c>
      <c r="F55" s="81" t="str">
        <f>IFERROR(VLOOKUP(E55,客户!B:C,2,FALSE),"/")</f>
        <v>/</v>
      </c>
      <c r="G55" s="80" t="s">
        <v>129</v>
      </c>
      <c r="H55" s="45" t="s">
        <v>123</v>
      </c>
      <c r="I55" s="45"/>
      <c r="J55" s="45"/>
      <c r="K55" s="111"/>
      <c r="L55" s="100"/>
      <c r="M55" s="112"/>
      <c r="N55" s="112"/>
      <c r="O55" s="104"/>
      <c r="P55" s="113">
        <v>23088.73</v>
      </c>
      <c r="Q55" s="113">
        <v>6761</v>
      </c>
      <c r="R55" s="126"/>
      <c r="S55" s="127"/>
      <c r="T55" s="128">
        <f>N55-P55</f>
        <v>-23088.73</v>
      </c>
      <c r="U55" s="100"/>
      <c r="V55" s="113"/>
      <c r="W55" s="45"/>
    </row>
    <row r="56" s="39" customFormat="1" ht="22" hidden="1" customHeight="1" spans="1:23">
      <c r="A56" s="77" t="s">
        <v>146</v>
      </c>
      <c r="B56" s="78" t="s">
        <v>30</v>
      </c>
      <c r="C56" s="79"/>
      <c r="D56" s="80" t="s">
        <v>31</v>
      </c>
      <c r="E56" s="80" t="s">
        <v>99</v>
      </c>
      <c r="F56" s="81" t="str">
        <f>IFERROR(VLOOKUP(E56,客户!B:C,2,FALSE),"/")</f>
        <v>/</v>
      </c>
      <c r="G56" s="80" t="s">
        <v>118</v>
      </c>
      <c r="H56" s="45" t="s">
        <v>147</v>
      </c>
      <c r="I56" s="45"/>
      <c r="J56" s="45"/>
      <c r="K56" s="111"/>
      <c r="L56" s="100"/>
      <c r="M56" s="112"/>
      <c r="N56" s="112"/>
      <c r="O56" s="104"/>
      <c r="P56" s="113"/>
      <c r="Q56" s="113"/>
      <c r="R56" s="126"/>
      <c r="S56" s="127"/>
      <c r="T56" s="128">
        <v>109029.47</v>
      </c>
      <c r="U56" s="100"/>
      <c r="V56" s="113"/>
      <c r="W56" s="45"/>
    </row>
    <row r="57" s="39" customFormat="1" ht="22" hidden="1" customHeight="1" spans="1:23">
      <c r="A57" s="77" t="s">
        <v>148</v>
      </c>
      <c r="B57" s="78" t="s">
        <v>30</v>
      </c>
      <c r="C57" s="79"/>
      <c r="D57" s="80" t="s">
        <v>31</v>
      </c>
      <c r="E57" s="80" t="s">
        <v>99</v>
      </c>
      <c r="F57" s="81" t="str">
        <f>IFERROR(VLOOKUP(E57,客户!B:C,2,FALSE),"/")</f>
        <v>/</v>
      </c>
      <c r="G57" s="80" t="s">
        <v>118</v>
      </c>
      <c r="H57" s="45" t="s">
        <v>147</v>
      </c>
      <c r="I57" s="45"/>
      <c r="J57" s="45"/>
      <c r="K57" s="114"/>
      <c r="L57" s="103"/>
      <c r="M57" s="112"/>
      <c r="N57" s="112"/>
      <c r="O57" s="104"/>
      <c r="P57" s="113"/>
      <c r="Q57" s="113"/>
      <c r="R57" s="131"/>
      <c r="S57" s="132"/>
      <c r="T57" s="102"/>
      <c r="U57" s="100"/>
      <c r="V57" s="140"/>
      <c r="W57" s="45"/>
    </row>
    <row r="58" s="39" customFormat="1" ht="22" hidden="1" customHeight="1" spans="1:23">
      <c r="A58" s="85" t="s">
        <v>149</v>
      </c>
      <c r="B58" s="78" t="s">
        <v>30</v>
      </c>
      <c r="C58" s="79"/>
      <c r="D58" s="80" t="s">
        <v>31</v>
      </c>
      <c r="E58" s="80" t="s">
        <v>99</v>
      </c>
      <c r="F58" s="81" t="str">
        <f>IFERROR(VLOOKUP(E58,客户!B:C,2,FALSE),"/")</f>
        <v>/</v>
      </c>
      <c r="G58" s="80" t="s">
        <v>118</v>
      </c>
      <c r="H58" s="45" t="s">
        <v>147</v>
      </c>
      <c r="I58" s="45"/>
      <c r="J58" s="45"/>
      <c r="K58" s="114"/>
      <c r="L58" s="103"/>
      <c r="M58" s="115"/>
      <c r="N58" s="115"/>
      <c r="O58" s="104"/>
      <c r="P58" s="112"/>
      <c r="Q58" s="113"/>
      <c r="R58" s="126"/>
      <c r="S58" s="127"/>
      <c r="T58" s="128" t="s">
        <v>150</v>
      </c>
      <c r="U58" s="100"/>
      <c r="V58" s="140"/>
      <c r="W58" s="45"/>
    </row>
    <row r="59" s="39" customFormat="1" ht="22" hidden="1" customHeight="1" spans="1:23">
      <c r="A59" s="77" t="s">
        <v>151</v>
      </c>
      <c r="B59" s="78" t="s">
        <v>30</v>
      </c>
      <c r="C59" s="79"/>
      <c r="D59" s="80" t="s">
        <v>31</v>
      </c>
      <c r="E59" s="80" t="s">
        <v>152</v>
      </c>
      <c r="F59" s="81" t="str">
        <f>IFERROR(VLOOKUP(E59,客户!B:C,2,FALSE),"/")</f>
        <v>/</v>
      </c>
      <c r="G59" s="80" t="s">
        <v>153</v>
      </c>
      <c r="H59" s="45" t="s">
        <v>154</v>
      </c>
      <c r="I59" s="45"/>
      <c r="J59" s="45"/>
      <c r="K59" s="111"/>
      <c r="L59" s="100"/>
      <c r="M59" s="112"/>
      <c r="N59" s="112"/>
      <c r="O59" s="104"/>
      <c r="P59" s="113">
        <v>21186.17</v>
      </c>
      <c r="Q59" s="113">
        <v>3000</v>
      </c>
      <c r="R59" s="126"/>
      <c r="S59" s="127"/>
      <c r="T59" s="128">
        <f>N59-P59</f>
        <v>-21186.17</v>
      </c>
      <c r="U59" s="100"/>
      <c r="V59" s="113"/>
      <c r="W59" s="45"/>
    </row>
    <row r="60" s="39" customFormat="1" ht="22" hidden="1" customHeight="1" spans="1:23">
      <c r="A60" s="77" t="s">
        <v>155</v>
      </c>
      <c r="B60" s="78" t="s">
        <v>30</v>
      </c>
      <c r="C60" s="79"/>
      <c r="D60" s="80" t="s">
        <v>31</v>
      </c>
      <c r="E60" s="80" t="s">
        <v>156</v>
      </c>
      <c r="F60" s="81" t="str">
        <f>IFERROR(VLOOKUP(E60,客户!B:C,2,FALSE),"/")</f>
        <v>/</v>
      </c>
      <c r="G60" s="80" t="s">
        <v>133</v>
      </c>
      <c r="H60" s="45" t="s">
        <v>154</v>
      </c>
      <c r="I60" s="45"/>
      <c r="J60" s="45"/>
      <c r="K60" s="111"/>
      <c r="L60" s="100"/>
      <c r="M60" s="116"/>
      <c r="N60" s="116"/>
      <c r="O60" s="104"/>
      <c r="P60" s="113">
        <v>93930</v>
      </c>
      <c r="Q60" s="113">
        <v>12000</v>
      </c>
      <c r="R60" s="126"/>
      <c r="S60" s="127"/>
      <c r="T60" s="128">
        <f>N60-P60</f>
        <v>-93930</v>
      </c>
      <c r="U60" s="100"/>
      <c r="V60" s="113"/>
      <c r="W60" s="45"/>
    </row>
    <row r="61" s="39" customFormat="1" ht="22" hidden="1" customHeight="1" spans="1:23">
      <c r="A61" s="77" t="s">
        <v>157</v>
      </c>
      <c r="B61" s="78" t="s">
        <v>30</v>
      </c>
      <c r="C61" s="79"/>
      <c r="D61" s="80" t="s">
        <v>31</v>
      </c>
      <c r="E61" s="80" t="s">
        <v>158</v>
      </c>
      <c r="F61" s="81" t="str">
        <f>IFERROR(VLOOKUP(E61,客户!B:C,2,FALSE),"/")</f>
        <v>/</v>
      </c>
      <c r="G61" s="80" t="s">
        <v>122</v>
      </c>
      <c r="H61" s="45" t="s">
        <v>154</v>
      </c>
      <c r="I61" s="45"/>
      <c r="J61" s="45"/>
      <c r="K61" s="111"/>
      <c r="L61" s="100"/>
      <c r="M61" s="116"/>
      <c r="N61" s="116"/>
      <c r="O61" s="104"/>
      <c r="P61" s="113">
        <v>49973.43</v>
      </c>
      <c r="Q61" s="113">
        <v>5100</v>
      </c>
      <c r="R61" s="126"/>
      <c r="S61" s="127"/>
      <c r="T61" s="128">
        <f>N61-5100-4500</f>
        <v>-9600</v>
      </c>
      <c r="U61" s="100"/>
      <c r="V61" s="113"/>
      <c r="W61" s="45"/>
    </row>
    <row r="62" s="39" customFormat="1" ht="22" hidden="1" customHeight="1" spans="1:23">
      <c r="A62" s="77" t="s">
        <v>159</v>
      </c>
      <c r="B62" s="78" t="s">
        <v>30</v>
      </c>
      <c r="C62" s="79"/>
      <c r="D62" s="80" t="s">
        <v>31</v>
      </c>
      <c r="E62" s="80" t="s">
        <v>158</v>
      </c>
      <c r="F62" s="81" t="str">
        <f>IFERROR(VLOOKUP(E62,客户!B:C,2,FALSE),"/")</f>
        <v>/</v>
      </c>
      <c r="G62" s="80" t="s">
        <v>122</v>
      </c>
      <c r="H62" s="45" t="s">
        <v>154</v>
      </c>
      <c r="I62" s="45"/>
      <c r="J62" s="45"/>
      <c r="K62" s="111"/>
      <c r="L62" s="100"/>
      <c r="M62" s="116"/>
      <c r="N62" s="116"/>
      <c r="O62" s="104"/>
      <c r="P62" s="113"/>
      <c r="Q62" s="113">
        <v>4500</v>
      </c>
      <c r="R62" s="126"/>
      <c r="S62" s="127"/>
      <c r="T62" s="128"/>
      <c r="U62" s="100"/>
      <c r="V62" s="113"/>
      <c r="W62" s="45"/>
    </row>
    <row r="63" s="39" customFormat="1" ht="22" hidden="1" customHeight="1" spans="1:23">
      <c r="A63" s="77" t="s">
        <v>160</v>
      </c>
      <c r="B63" s="78" t="s">
        <v>30</v>
      </c>
      <c r="C63" s="79"/>
      <c r="D63" s="80" t="s">
        <v>31</v>
      </c>
      <c r="E63" s="80" t="s">
        <v>125</v>
      </c>
      <c r="F63" s="81" t="str">
        <f>IFERROR(VLOOKUP(E63,客户!B:C,2,FALSE),"/")</f>
        <v>/</v>
      </c>
      <c r="G63" s="80" t="s">
        <v>161</v>
      </c>
      <c r="H63" s="45" t="s">
        <v>127</v>
      </c>
      <c r="I63" s="45"/>
      <c r="J63" s="45"/>
      <c r="K63" s="111"/>
      <c r="L63" s="100"/>
      <c r="M63" s="116"/>
      <c r="N63" s="116"/>
      <c r="O63" s="104"/>
      <c r="P63" s="113">
        <v>116700</v>
      </c>
      <c r="Q63" s="113">
        <v>25000</v>
      </c>
      <c r="R63" s="126"/>
      <c r="S63" s="127"/>
      <c r="T63" s="128">
        <f>N63-25000</f>
        <v>-25000</v>
      </c>
      <c r="U63" s="100"/>
      <c r="V63" s="113"/>
      <c r="W63" s="45"/>
    </row>
    <row r="64" s="39" customFormat="1" ht="22" hidden="1" customHeight="1" spans="1:23">
      <c r="A64" s="77" t="s">
        <v>162</v>
      </c>
      <c r="B64" s="78" t="s">
        <v>30</v>
      </c>
      <c r="C64" s="79"/>
      <c r="D64" s="80" t="s">
        <v>31</v>
      </c>
      <c r="E64" s="80" t="s">
        <v>125</v>
      </c>
      <c r="F64" s="81" t="str">
        <f>IFERROR(VLOOKUP(E64,客户!B:C,2,FALSE),"/")</f>
        <v>/</v>
      </c>
      <c r="G64" s="80" t="s">
        <v>161</v>
      </c>
      <c r="H64" s="45" t="s">
        <v>127</v>
      </c>
      <c r="I64" s="45"/>
      <c r="J64" s="45"/>
      <c r="K64" s="111"/>
      <c r="L64" s="100"/>
      <c r="M64" s="112"/>
      <c r="N64" s="112"/>
      <c r="O64" s="104"/>
      <c r="P64" s="113">
        <v>117662</v>
      </c>
      <c r="Q64" s="113">
        <v>25000</v>
      </c>
      <c r="R64" s="126"/>
      <c r="S64" s="127"/>
      <c r="T64" s="128">
        <v>50000</v>
      </c>
      <c r="U64" s="100"/>
      <c r="V64" s="113"/>
      <c r="W64" s="45"/>
    </row>
    <row r="65" s="41" customFormat="1" ht="22" hidden="1" customHeight="1" spans="1:23">
      <c r="A65" s="141" t="s">
        <v>163</v>
      </c>
      <c r="B65" s="78" t="s">
        <v>30</v>
      </c>
      <c r="C65" s="79"/>
      <c r="D65" s="80" t="s">
        <v>31</v>
      </c>
      <c r="E65" s="142" t="s">
        <v>164</v>
      </c>
      <c r="F65" s="81" t="str">
        <f>IFERROR(VLOOKUP(E65,客户!B:C,2,FALSE),"/")</f>
        <v>/</v>
      </c>
      <c r="G65" s="142" t="s">
        <v>165</v>
      </c>
      <c r="H65" s="143" t="s">
        <v>123</v>
      </c>
      <c r="I65" s="143"/>
      <c r="J65" s="143"/>
      <c r="K65" s="114"/>
      <c r="L65" s="103"/>
      <c r="M65" s="113"/>
      <c r="N65" s="113"/>
      <c r="O65" s="104"/>
      <c r="P65" s="113"/>
      <c r="Q65" s="140">
        <v>22335</v>
      </c>
      <c r="R65" s="131"/>
      <c r="S65" s="132"/>
      <c r="T65" s="102"/>
      <c r="U65" s="100"/>
      <c r="V65" s="140"/>
      <c r="W65" s="143"/>
    </row>
    <row r="66" s="39" customFormat="1" ht="22" hidden="1" customHeight="1" spans="1:23">
      <c r="A66" s="77" t="s">
        <v>166</v>
      </c>
      <c r="B66" s="78" t="s">
        <v>30</v>
      </c>
      <c r="C66" s="79"/>
      <c r="D66" s="80" t="s">
        <v>31</v>
      </c>
      <c r="E66" s="80" t="s">
        <v>158</v>
      </c>
      <c r="F66" s="81" t="str">
        <f>IFERROR(VLOOKUP(E66,客户!B:C,2,FALSE),"/")</f>
        <v>/</v>
      </c>
      <c r="G66" s="80" t="s">
        <v>122</v>
      </c>
      <c r="H66" s="45" t="s">
        <v>123</v>
      </c>
      <c r="I66" s="45"/>
      <c r="J66" s="45"/>
      <c r="K66" s="111"/>
      <c r="L66" s="100"/>
      <c r="M66" s="116"/>
      <c r="N66" s="116"/>
      <c r="O66" s="104"/>
      <c r="P66" s="113">
        <v>23385</v>
      </c>
      <c r="Q66" s="113">
        <v>5000</v>
      </c>
      <c r="R66" s="126"/>
      <c r="S66" s="127"/>
      <c r="T66" s="128">
        <v>23384</v>
      </c>
      <c r="U66" s="100"/>
      <c r="V66" s="113"/>
      <c r="W66" s="45"/>
    </row>
    <row r="67" s="39" customFormat="1" ht="22" hidden="1" customHeight="1" spans="1:23">
      <c r="A67" s="77" t="s">
        <v>167</v>
      </c>
      <c r="B67" s="78" t="s">
        <v>30</v>
      </c>
      <c r="C67" s="79"/>
      <c r="D67" s="80" t="s">
        <v>31</v>
      </c>
      <c r="E67" s="80" t="s">
        <v>168</v>
      </c>
      <c r="F67" s="81" t="str">
        <f>IFERROR(VLOOKUP(E67,客户!B:C,2,FALSE),"/")</f>
        <v>/</v>
      </c>
      <c r="G67" s="80" t="s">
        <v>122</v>
      </c>
      <c r="H67" s="45" t="s">
        <v>123</v>
      </c>
      <c r="I67" s="45"/>
      <c r="J67" s="45"/>
      <c r="K67" s="114"/>
      <c r="L67" s="103"/>
      <c r="M67" s="116"/>
      <c r="N67" s="116"/>
      <c r="O67" s="104"/>
      <c r="P67" s="113">
        <v>0</v>
      </c>
      <c r="Q67" s="113">
        <v>6730.34</v>
      </c>
      <c r="R67" s="131"/>
      <c r="S67" s="132"/>
      <c r="T67" s="102"/>
      <c r="U67" s="100"/>
      <c r="V67" s="140"/>
      <c r="W67" s="45"/>
    </row>
    <row r="68" s="39" customFormat="1" ht="22" hidden="1" customHeight="1" spans="1:23">
      <c r="A68" s="77" t="s">
        <v>169</v>
      </c>
      <c r="B68" s="78" t="s">
        <v>30</v>
      </c>
      <c r="C68" s="79"/>
      <c r="D68" s="80" t="s">
        <v>31</v>
      </c>
      <c r="E68" s="80" t="s">
        <v>168</v>
      </c>
      <c r="F68" s="81" t="str">
        <f>IFERROR(VLOOKUP(E68,客户!B:C,2,FALSE),"/")</f>
        <v>/</v>
      </c>
      <c r="G68" s="80" t="s">
        <v>170</v>
      </c>
      <c r="H68" s="45" t="s">
        <v>123</v>
      </c>
      <c r="I68" s="45"/>
      <c r="J68" s="45"/>
      <c r="K68" s="114"/>
      <c r="L68" s="103"/>
      <c r="M68" s="116"/>
      <c r="N68" s="116"/>
      <c r="O68" s="104"/>
      <c r="P68" s="113">
        <v>66873</v>
      </c>
      <c r="Q68" s="113">
        <v>19944</v>
      </c>
      <c r="R68" s="131"/>
      <c r="S68" s="132"/>
      <c r="T68" s="102"/>
      <c r="U68" s="100"/>
      <c r="V68" s="140"/>
      <c r="W68" s="45"/>
    </row>
    <row r="69" s="39" customFormat="1" ht="22" hidden="1" customHeight="1" spans="1:23">
      <c r="A69" s="77" t="s">
        <v>171</v>
      </c>
      <c r="B69" s="78" t="s">
        <v>30</v>
      </c>
      <c r="C69" s="79"/>
      <c r="D69" s="80" t="s">
        <v>31</v>
      </c>
      <c r="E69" s="80" t="s">
        <v>168</v>
      </c>
      <c r="F69" s="81" t="str">
        <f>IFERROR(VLOOKUP(E69,客户!B:C,2,FALSE),"/")</f>
        <v>/</v>
      </c>
      <c r="G69" s="80" t="s">
        <v>122</v>
      </c>
      <c r="H69" s="45" t="s">
        <v>123</v>
      </c>
      <c r="I69" s="45"/>
      <c r="J69" s="45"/>
      <c r="K69" s="114"/>
      <c r="L69" s="103"/>
      <c r="M69" s="116"/>
      <c r="N69" s="116"/>
      <c r="O69" s="104"/>
      <c r="P69" s="113">
        <v>22290</v>
      </c>
      <c r="Q69" s="113"/>
      <c r="R69" s="131"/>
      <c r="S69" s="132"/>
      <c r="T69" s="102"/>
      <c r="U69" s="100"/>
      <c r="V69" s="140"/>
      <c r="W69" s="45"/>
    </row>
    <row r="70" s="39" customFormat="1" ht="22" hidden="1" customHeight="1" spans="1:23">
      <c r="A70" s="77" t="s">
        <v>172</v>
      </c>
      <c r="B70" s="78" t="s">
        <v>30</v>
      </c>
      <c r="C70" s="79"/>
      <c r="D70" s="80" t="s">
        <v>31</v>
      </c>
      <c r="E70" s="80" t="s">
        <v>102</v>
      </c>
      <c r="F70" s="81" t="str">
        <f>IFERROR(VLOOKUP(E70,客户!B:C,2,FALSE),"/")</f>
        <v>/</v>
      </c>
      <c r="G70" s="80" t="s">
        <v>122</v>
      </c>
      <c r="H70" s="45" t="s">
        <v>123</v>
      </c>
      <c r="I70" s="45"/>
      <c r="J70" s="45"/>
      <c r="K70" s="114"/>
      <c r="L70" s="103"/>
      <c r="M70" s="116"/>
      <c r="N70" s="116"/>
      <c r="O70" s="104"/>
      <c r="P70" s="145"/>
      <c r="Q70" s="113">
        <v>21734</v>
      </c>
      <c r="R70" s="131"/>
      <c r="S70" s="132"/>
      <c r="T70" s="102"/>
      <c r="U70" s="100"/>
      <c r="V70" s="140"/>
      <c r="W70" s="45"/>
    </row>
    <row r="71" s="39" customFormat="1" ht="22" hidden="1" customHeight="1" spans="1:23">
      <c r="A71" s="77" t="s">
        <v>173</v>
      </c>
      <c r="B71" s="78" t="s">
        <v>30</v>
      </c>
      <c r="C71" s="79"/>
      <c r="D71" s="80" t="s">
        <v>31</v>
      </c>
      <c r="E71" s="80" t="s">
        <v>174</v>
      </c>
      <c r="F71" s="81" t="str">
        <f>IFERROR(VLOOKUP(E71,客户!B:C,2,FALSE),"/")</f>
        <v>/</v>
      </c>
      <c r="G71" s="80" t="s">
        <v>136</v>
      </c>
      <c r="H71" s="45" t="s">
        <v>123</v>
      </c>
      <c r="I71" s="45"/>
      <c r="J71" s="45"/>
      <c r="K71" s="114"/>
      <c r="L71" s="103"/>
      <c r="M71" s="116"/>
      <c r="N71" s="116"/>
      <c r="O71" s="104"/>
      <c r="P71" s="140"/>
      <c r="Q71" s="113">
        <v>10000</v>
      </c>
      <c r="R71" s="126"/>
      <c r="S71" s="127"/>
      <c r="T71" s="128">
        <v>19642.3</v>
      </c>
      <c r="U71" s="100"/>
      <c r="V71" s="140"/>
      <c r="W71" s="45"/>
    </row>
    <row r="72" s="42" customFormat="1" ht="22" hidden="1" customHeight="1" spans="1:23">
      <c r="A72" s="77" t="s">
        <v>175</v>
      </c>
      <c r="B72" s="78" t="s">
        <v>30</v>
      </c>
      <c r="C72" s="79"/>
      <c r="D72" s="80" t="s">
        <v>31</v>
      </c>
      <c r="E72" s="80" t="s">
        <v>111</v>
      </c>
      <c r="F72" s="81" t="str">
        <f>IFERROR(VLOOKUP(E72,客户!B:C,2,FALSE),"/")</f>
        <v>/</v>
      </c>
      <c r="G72" s="80" t="s">
        <v>122</v>
      </c>
      <c r="H72" s="45" t="s">
        <v>123</v>
      </c>
      <c r="I72" s="45"/>
      <c r="J72" s="45"/>
      <c r="K72" s="114"/>
      <c r="L72" s="103"/>
      <c r="M72" s="116"/>
      <c r="N72" s="116"/>
      <c r="O72" s="104"/>
      <c r="P72" s="113">
        <v>23092.08</v>
      </c>
      <c r="Q72" s="113">
        <v>4792.6</v>
      </c>
      <c r="R72" s="126"/>
      <c r="S72" s="127"/>
      <c r="T72" s="128">
        <v>17553</v>
      </c>
      <c r="U72" s="100"/>
      <c r="V72" s="140"/>
      <c r="W72" s="45"/>
    </row>
    <row r="73" s="42" customFormat="1" ht="22" hidden="1" customHeight="1" spans="1:23">
      <c r="A73" s="77" t="s">
        <v>176</v>
      </c>
      <c r="B73" s="78" t="s">
        <v>30</v>
      </c>
      <c r="C73" s="79"/>
      <c r="D73" s="80" t="s">
        <v>31</v>
      </c>
      <c r="E73" s="80" t="s">
        <v>174</v>
      </c>
      <c r="F73" s="81" t="str">
        <f>IFERROR(VLOOKUP(E73,客户!B:C,2,FALSE),"/")</f>
        <v>/</v>
      </c>
      <c r="G73" s="80" t="s">
        <v>177</v>
      </c>
      <c r="H73" s="45" t="s">
        <v>123</v>
      </c>
      <c r="I73" s="45"/>
      <c r="J73" s="45"/>
      <c r="K73" s="114"/>
      <c r="L73" s="103"/>
      <c r="M73" s="116"/>
      <c r="N73" s="116"/>
      <c r="O73" s="104"/>
      <c r="P73" s="113"/>
      <c r="Q73" s="113"/>
      <c r="R73" s="126"/>
      <c r="S73" s="127"/>
      <c r="T73" s="128">
        <v>58926.9</v>
      </c>
      <c r="U73" s="100"/>
      <c r="V73" s="140"/>
      <c r="W73" s="45"/>
    </row>
    <row r="74" s="41" customFormat="1" ht="22" hidden="1" customHeight="1" spans="1:23">
      <c r="A74" s="141" t="s">
        <v>178</v>
      </c>
      <c r="B74" s="78" t="s">
        <v>30</v>
      </c>
      <c r="C74" s="79"/>
      <c r="D74" s="80" t="s">
        <v>31</v>
      </c>
      <c r="E74" s="142" t="s">
        <v>179</v>
      </c>
      <c r="F74" s="81" t="str">
        <f>IFERROR(VLOOKUP(E74,客户!B:C,2,FALSE),"/")</f>
        <v>/</v>
      </c>
      <c r="G74" s="142" t="s">
        <v>122</v>
      </c>
      <c r="H74" s="143" t="s">
        <v>147</v>
      </c>
      <c r="I74" s="143"/>
      <c r="J74" s="143"/>
      <c r="K74" s="114"/>
      <c r="L74" s="103"/>
      <c r="M74" s="112"/>
      <c r="N74" s="112"/>
      <c r="O74" s="104"/>
      <c r="P74" s="140"/>
      <c r="Q74" s="166" t="s">
        <v>180</v>
      </c>
      <c r="R74" s="126"/>
      <c r="S74" s="127"/>
      <c r="T74" s="128">
        <v>18804.5</v>
      </c>
      <c r="U74" s="100"/>
      <c r="V74" s="140"/>
      <c r="W74" s="143"/>
    </row>
    <row r="75" s="39" customFormat="1" ht="22" hidden="1" customHeight="1" spans="1:23">
      <c r="A75" s="77" t="s">
        <v>181</v>
      </c>
      <c r="B75" s="78" t="s">
        <v>30</v>
      </c>
      <c r="C75" s="79"/>
      <c r="D75" s="80" t="s">
        <v>31</v>
      </c>
      <c r="E75" s="80" t="s">
        <v>108</v>
      </c>
      <c r="F75" s="81" t="str">
        <f>IFERROR(VLOOKUP(E75,客户!B:C,2,FALSE),"/")</f>
        <v>/</v>
      </c>
      <c r="G75" s="80" t="s">
        <v>122</v>
      </c>
      <c r="H75" s="45" t="s">
        <v>123</v>
      </c>
      <c r="I75" s="45"/>
      <c r="J75" s="45"/>
      <c r="K75" s="114"/>
      <c r="L75" s="103"/>
      <c r="M75" s="112"/>
      <c r="N75" s="112"/>
      <c r="O75" s="104"/>
      <c r="P75" s="113"/>
      <c r="Q75" s="113">
        <v>4999.86</v>
      </c>
      <c r="R75" s="126"/>
      <c r="S75" s="127"/>
      <c r="T75" s="128"/>
      <c r="U75" s="100"/>
      <c r="V75" s="140"/>
      <c r="W75" s="45"/>
    </row>
    <row r="76" s="39" customFormat="1" ht="22" hidden="1" customHeight="1" spans="1:23">
      <c r="A76" s="141" t="s">
        <v>182</v>
      </c>
      <c r="B76" s="78" t="s">
        <v>30</v>
      </c>
      <c r="C76" s="79"/>
      <c r="D76" s="80" t="s">
        <v>31</v>
      </c>
      <c r="E76" s="80" t="s">
        <v>183</v>
      </c>
      <c r="F76" s="81" t="str">
        <f>IFERROR(VLOOKUP(E76,客户!B:C,2,FALSE),"/")</f>
        <v>/</v>
      </c>
      <c r="G76" s="80" t="s">
        <v>136</v>
      </c>
      <c r="H76" s="144" t="s">
        <v>127</v>
      </c>
      <c r="I76" s="144"/>
      <c r="J76" s="45"/>
      <c r="K76" s="114"/>
      <c r="L76" s="103"/>
      <c r="M76" s="112"/>
      <c r="N76" s="112"/>
      <c r="O76" s="104"/>
      <c r="P76" s="113">
        <v>19631.136</v>
      </c>
      <c r="Q76" s="113">
        <v>12360.25</v>
      </c>
      <c r="R76" s="126"/>
      <c r="S76" s="127"/>
      <c r="T76" s="128">
        <v>13640</v>
      </c>
      <c r="U76" s="100"/>
      <c r="V76" s="140"/>
      <c r="W76" s="45"/>
    </row>
    <row r="77" s="39" customFormat="1" ht="22" hidden="1" customHeight="1" spans="1:23">
      <c r="A77" s="141" t="s">
        <v>184</v>
      </c>
      <c r="B77" s="78" t="s">
        <v>30</v>
      </c>
      <c r="C77" s="79"/>
      <c r="D77" s="80" t="s">
        <v>31</v>
      </c>
      <c r="E77" s="80" t="s">
        <v>185</v>
      </c>
      <c r="F77" s="81">
        <f>IFERROR(VLOOKUP(E77,客户!B:C,2,FALSE),"/")</f>
        <v>0</v>
      </c>
      <c r="G77" s="80" t="s">
        <v>136</v>
      </c>
      <c r="H77" s="45" t="s">
        <v>186</v>
      </c>
      <c r="I77" s="45"/>
      <c r="J77" s="45"/>
      <c r="K77" s="114"/>
      <c r="L77" s="103"/>
      <c r="M77" s="112"/>
      <c r="N77" s="112"/>
      <c r="O77" s="104"/>
      <c r="P77" s="146">
        <v>126800</v>
      </c>
      <c r="Q77" s="113">
        <v>36000</v>
      </c>
      <c r="R77" s="131"/>
      <c r="S77" s="132"/>
      <c r="T77" s="102"/>
      <c r="U77" s="100"/>
      <c r="V77" s="140"/>
      <c r="W77" s="45"/>
    </row>
    <row r="78" s="39" customFormat="1" ht="22" hidden="1" customHeight="1" spans="1:23">
      <c r="A78" s="141" t="s">
        <v>187</v>
      </c>
      <c r="B78" s="78" t="s">
        <v>30</v>
      </c>
      <c r="C78" s="79"/>
      <c r="D78" s="80" t="s">
        <v>31</v>
      </c>
      <c r="E78" s="80" t="s">
        <v>102</v>
      </c>
      <c r="F78" s="81" t="str">
        <f>IFERROR(VLOOKUP(E78,客户!B:C,2,FALSE),"/")</f>
        <v>/</v>
      </c>
      <c r="G78" s="80" t="s">
        <v>122</v>
      </c>
      <c r="H78" s="45" t="s">
        <v>123</v>
      </c>
      <c r="I78" s="45"/>
      <c r="J78" s="45"/>
      <c r="K78" s="111"/>
      <c r="L78" s="100"/>
      <c r="M78" s="116"/>
      <c r="N78" s="116"/>
      <c r="O78" s="104"/>
      <c r="P78" s="147"/>
      <c r="Q78" s="140"/>
      <c r="R78" s="126"/>
      <c r="S78" s="127"/>
      <c r="T78" s="128"/>
      <c r="U78" s="100"/>
      <c r="V78" s="113"/>
      <c r="W78" s="45"/>
    </row>
    <row r="79" s="39" customFormat="1" ht="22" hidden="1" customHeight="1" spans="1:23">
      <c r="A79" s="77" t="s">
        <v>188</v>
      </c>
      <c r="B79" s="78" t="s">
        <v>30</v>
      </c>
      <c r="C79" s="79"/>
      <c r="D79" s="80" t="s">
        <v>31</v>
      </c>
      <c r="E79" s="80" t="s">
        <v>75</v>
      </c>
      <c r="F79" s="81" t="str">
        <f>IFERROR(VLOOKUP(E79,客户!B:C,2,FALSE),"/")</f>
        <v>/</v>
      </c>
      <c r="G79" s="80" t="s">
        <v>189</v>
      </c>
      <c r="H79" s="45" t="s">
        <v>154</v>
      </c>
      <c r="I79" s="45"/>
      <c r="J79" s="45"/>
      <c r="K79" s="111"/>
      <c r="L79" s="100"/>
      <c r="M79" s="116"/>
      <c r="N79" s="116"/>
      <c r="O79" s="104"/>
      <c r="P79" s="113">
        <v>20522.8</v>
      </c>
      <c r="Q79" s="140">
        <v>16744</v>
      </c>
      <c r="R79" s="126"/>
      <c r="S79" s="127"/>
      <c r="T79" s="128">
        <f>N79-P79</f>
        <v>-20522.8</v>
      </c>
      <c r="U79" s="100"/>
      <c r="V79" s="113"/>
      <c r="W79" s="45"/>
    </row>
    <row r="80" s="39" customFormat="1" ht="22" hidden="1" customHeight="1" spans="1:23">
      <c r="A80" s="77" t="s">
        <v>190</v>
      </c>
      <c r="B80" s="78" t="s">
        <v>30</v>
      </c>
      <c r="C80" s="79"/>
      <c r="D80" s="80" t="s">
        <v>31</v>
      </c>
      <c r="E80" s="80" t="s">
        <v>99</v>
      </c>
      <c r="F80" s="81" t="str">
        <f>IFERROR(VLOOKUP(E80,客户!B:C,2,FALSE),"/")</f>
        <v>/</v>
      </c>
      <c r="G80" s="80" t="s">
        <v>191</v>
      </c>
      <c r="H80" s="45" t="s">
        <v>147</v>
      </c>
      <c r="I80" s="45"/>
      <c r="J80" s="108">
        <v>43168</v>
      </c>
      <c r="K80" s="111"/>
      <c r="L80" s="100"/>
      <c r="M80" s="112"/>
      <c r="N80" s="112"/>
      <c r="O80" s="104"/>
      <c r="P80" s="113">
        <v>64472.4</v>
      </c>
      <c r="Q80" s="113" t="s">
        <v>192</v>
      </c>
      <c r="R80" s="126"/>
      <c r="S80" s="127"/>
      <c r="T80" s="128">
        <v>64472.4</v>
      </c>
      <c r="U80" s="100"/>
      <c r="V80" s="113"/>
      <c r="W80" s="108"/>
    </row>
    <row r="81" s="39" customFormat="1" ht="22" hidden="1" customHeight="1" spans="1:23">
      <c r="A81" s="77" t="s">
        <v>193</v>
      </c>
      <c r="B81" s="78" t="s">
        <v>30</v>
      </c>
      <c r="C81" s="79"/>
      <c r="D81" s="80" t="s">
        <v>31</v>
      </c>
      <c r="E81" s="80" t="s">
        <v>99</v>
      </c>
      <c r="F81" s="81" t="str">
        <f>IFERROR(VLOOKUP(E81,客户!B:C,2,FALSE),"/")</f>
        <v>/</v>
      </c>
      <c r="G81" s="80" t="s">
        <v>194</v>
      </c>
      <c r="H81" s="45" t="s">
        <v>147</v>
      </c>
      <c r="I81" s="45"/>
      <c r="J81" s="108">
        <v>43168</v>
      </c>
      <c r="K81" s="100"/>
      <c r="L81" s="100"/>
      <c r="M81" s="148"/>
      <c r="N81" s="148"/>
      <c r="O81" s="104"/>
      <c r="P81" s="113">
        <v>42981.6</v>
      </c>
      <c r="Q81" s="102">
        <f>P81-U81</f>
        <v>42981.6</v>
      </c>
      <c r="R81" s="126"/>
      <c r="S81" s="127"/>
      <c r="T81" s="128">
        <v>42807</v>
      </c>
      <c r="U81" s="100"/>
      <c r="V81" s="102"/>
      <c r="W81" s="108"/>
    </row>
    <row r="82" s="39" customFormat="1" ht="22" hidden="1" customHeight="1" spans="1:23">
      <c r="A82" s="77" t="s">
        <v>195</v>
      </c>
      <c r="B82" s="78" t="s">
        <v>30</v>
      </c>
      <c r="C82" s="79"/>
      <c r="D82" s="80" t="s">
        <v>31</v>
      </c>
      <c r="E82" s="80" t="s">
        <v>196</v>
      </c>
      <c r="F82" s="81" t="str">
        <f>IFERROR(VLOOKUP(E82,客户!B:C,2,FALSE),"/")</f>
        <v>/</v>
      </c>
      <c r="G82" s="80" t="s">
        <v>197</v>
      </c>
      <c r="H82" s="45" t="s">
        <v>147</v>
      </c>
      <c r="I82" s="45"/>
      <c r="J82" s="108">
        <v>43168</v>
      </c>
      <c r="K82" s="111"/>
      <c r="L82" s="100"/>
      <c r="M82" s="112" t="s">
        <v>198</v>
      </c>
      <c r="N82" s="149"/>
      <c r="O82" s="104"/>
      <c r="P82" s="102">
        <v>64472.4</v>
      </c>
      <c r="Q82" s="113">
        <v>208</v>
      </c>
      <c r="R82" s="126"/>
      <c r="S82" s="127"/>
      <c r="T82" s="128">
        <v>64472.4</v>
      </c>
      <c r="U82" s="100"/>
      <c r="V82" s="113"/>
      <c r="W82" s="167"/>
    </row>
    <row r="83" s="39" customFormat="1" ht="22" hidden="1" customHeight="1" spans="1:23">
      <c r="A83" s="77" t="s">
        <v>199</v>
      </c>
      <c r="B83" s="78" t="s">
        <v>30</v>
      </c>
      <c r="C83" s="79"/>
      <c r="D83" s="80" t="s">
        <v>31</v>
      </c>
      <c r="E83" s="80" t="s">
        <v>196</v>
      </c>
      <c r="F83" s="81" t="str">
        <f>IFERROR(VLOOKUP(E83,客户!B:C,2,FALSE),"/")</f>
        <v>/</v>
      </c>
      <c r="G83" s="80" t="s">
        <v>200</v>
      </c>
      <c r="H83" s="45" t="s">
        <v>147</v>
      </c>
      <c r="I83" s="45"/>
      <c r="J83" s="108">
        <v>43168</v>
      </c>
      <c r="K83" s="114"/>
      <c r="L83" s="103"/>
      <c r="M83" s="150" t="s">
        <v>201</v>
      </c>
      <c r="N83" s="151" t="s">
        <v>202</v>
      </c>
      <c r="O83" s="104"/>
      <c r="P83" s="102">
        <v>62476.8</v>
      </c>
      <c r="Q83" s="113" t="s">
        <v>192</v>
      </c>
      <c r="R83" s="126"/>
      <c r="S83" s="127"/>
      <c r="T83" s="128">
        <v>62295</v>
      </c>
      <c r="U83" s="100"/>
      <c r="V83" s="140"/>
      <c r="W83" s="167"/>
    </row>
    <row r="84" s="39" customFormat="1" ht="22" hidden="1" customHeight="1" spans="1:23">
      <c r="A84" s="77" t="s">
        <v>203</v>
      </c>
      <c r="B84" s="78" t="s">
        <v>30</v>
      </c>
      <c r="C84" s="79"/>
      <c r="D84" s="80" t="s">
        <v>31</v>
      </c>
      <c r="E84" s="80" t="s">
        <v>196</v>
      </c>
      <c r="F84" s="81" t="str">
        <f>IFERROR(VLOOKUP(E84,客户!B:C,2,FALSE),"/")</f>
        <v>/</v>
      </c>
      <c r="G84" s="80" t="s">
        <v>204</v>
      </c>
      <c r="H84" s="45" t="s">
        <v>147</v>
      </c>
      <c r="I84" s="45" t="s">
        <v>205</v>
      </c>
      <c r="J84" s="108">
        <v>43168</v>
      </c>
      <c r="K84" s="100">
        <v>43372</v>
      </c>
      <c r="L84" s="100">
        <v>43421</v>
      </c>
      <c r="M84" s="152" t="s">
        <v>206</v>
      </c>
      <c r="N84" s="151" t="s">
        <v>207</v>
      </c>
      <c r="O84" s="104"/>
      <c r="P84" s="102">
        <v>62476.8</v>
      </c>
      <c r="Q84" s="113"/>
      <c r="R84" s="131"/>
      <c r="S84" s="132"/>
      <c r="T84" s="102"/>
      <c r="U84" s="100"/>
      <c r="V84" s="102"/>
      <c r="W84" s="167"/>
    </row>
    <row r="85" s="39" customFormat="1" ht="22" hidden="1" customHeight="1" spans="1:23">
      <c r="A85" s="77" t="s">
        <v>208</v>
      </c>
      <c r="B85" s="78" t="s">
        <v>30</v>
      </c>
      <c r="C85" s="79"/>
      <c r="D85" s="80" t="s">
        <v>31</v>
      </c>
      <c r="E85" s="80" t="s">
        <v>174</v>
      </c>
      <c r="F85" s="81" t="str">
        <f>IFERROR(VLOOKUP(E85,客户!B:C,2,FALSE),"/")</f>
        <v>/</v>
      </c>
      <c r="G85" s="80" t="s">
        <v>209</v>
      </c>
      <c r="H85" s="45" t="s">
        <v>123</v>
      </c>
      <c r="I85" s="45" t="s">
        <v>210</v>
      </c>
      <c r="J85" s="108"/>
      <c r="K85" s="100">
        <v>43223</v>
      </c>
      <c r="L85" s="100">
        <v>43252</v>
      </c>
      <c r="M85" s="112"/>
      <c r="N85" s="112"/>
      <c r="O85" s="104"/>
      <c r="P85" s="113">
        <v>41553</v>
      </c>
      <c r="Q85" s="113">
        <v>480</v>
      </c>
      <c r="R85" s="126"/>
      <c r="S85" s="127"/>
      <c r="T85" s="128">
        <v>41073.09</v>
      </c>
      <c r="U85" s="100"/>
      <c r="V85" s="102"/>
      <c r="W85" s="167"/>
    </row>
    <row r="86" s="39" customFormat="1" ht="22" hidden="1" customHeight="1" spans="1:23">
      <c r="A86" s="77" t="s">
        <v>211</v>
      </c>
      <c r="B86" s="78" t="s">
        <v>30</v>
      </c>
      <c r="C86" s="79"/>
      <c r="D86" s="80" t="s">
        <v>31</v>
      </c>
      <c r="E86" s="80" t="s">
        <v>174</v>
      </c>
      <c r="F86" s="81" t="str">
        <f>IFERROR(VLOOKUP(E86,客户!B:C,2,FALSE),"/")</f>
        <v>/</v>
      </c>
      <c r="G86" s="80" t="s">
        <v>212</v>
      </c>
      <c r="H86" s="45" t="s">
        <v>123</v>
      </c>
      <c r="I86" s="45" t="s">
        <v>210</v>
      </c>
      <c r="J86" s="108"/>
      <c r="K86" s="100">
        <v>43245</v>
      </c>
      <c r="L86" s="100">
        <v>43287</v>
      </c>
      <c r="M86" s="112"/>
      <c r="N86" s="112"/>
      <c r="O86" s="104"/>
      <c r="P86" s="113">
        <v>121953.88</v>
      </c>
      <c r="Q86" s="140"/>
      <c r="R86" s="126"/>
      <c r="S86" s="127"/>
      <c r="T86" s="128">
        <v>121633</v>
      </c>
      <c r="U86" s="100"/>
      <c r="V86" s="102"/>
      <c r="W86" s="167"/>
    </row>
    <row r="87" s="39" customFormat="1" ht="22" hidden="1" customHeight="1" spans="1:23">
      <c r="A87" s="77" t="s">
        <v>213</v>
      </c>
      <c r="B87" s="78" t="s">
        <v>30</v>
      </c>
      <c r="C87" s="79"/>
      <c r="D87" s="80" t="s">
        <v>31</v>
      </c>
      <c r="E87" s="80" t="s">
        <v>125</v>
      </c>
      <c r="F87" s="81" t="str">
        <f>IFERROR(VLOOKUP(E87,客户!B:C,2,FALSE),"/")</f>
        <v>/</v>
      </c>
      <c r="G87" s="80" t="s">
        <v>214</v>
      </c>
      <c r="H87" s="45" t="s">
        <v>127</v>
      </c>
      <c r="I87" s="45" t="s">
        <v>215</v>
      </c>
      <c r="J87" s="108"/>
      <c r="K87" s="100">
        <v>43242</v>
      </c>
      <c r="L87" s="100">
        <v>43280</v>
      </c>
      <c r="M87" s="112"/>
      <c r="N87" s="112"/>
      <c r="O87" s="104"/>
      <c r="P87" s="113">
        <v>44452.5</v>
      </c>
      <c r="Q87" s="113">
        <v>46900</v>
      </c>
      <c r="R87" s="126"/>
      <c r="S87" s="127"/>
      <c r="T87" s="128">
        <v>13179.5</v>
      </c>
      <c r="U87" s="100"/>
      <c r="V87" s="102"/>
      <c r="W87" s="167"/>
    </row>
    <row r="88" s="39" customFormat="1" ht="22" hidden="1" customHeight="1" spans="1:23">
      <c r="A88" s="77" t="s">
        <v>216</v>
      </c>
      <c r="B88" s="78" t="s">
        <v>30</v>
      </c>
      <c r="C88" s="79"/>
      <c r="D88" s="80" t="s">
        <v>31</v>
      </c>
      <c r="E88" s="80" t="s">
        <v>125</v>
      </c>
      <c r="F88" s="81" t="str">
        <f>IFERROR(VLOOKUP(E88,客户!B:C,2,FALSE),"/")</f>
        <v>/</v>
      </c>
      <c r="G88" s="80" t="s">
        <v>214</v>
      </c>
      <c r="H88" s="45" t="s">
        <v>127</v>
      </c>
      <c r="I88" s="45" t="s">
        <v>215</v>
      </c>
      <c r="J88" s="108"/>
      <c r="K88" s="100">
        <v>43261</v>
      </c>
      <c r="L88" s="100">
        <v>43279</v>
      </c>
      <c r="M88" s="112"/>
      <c r="N88" s="112"/>
      <c r="O88" s="104"/>
      <c r="P88" s="113">
        <v>21805</v>
      </c>
      <c r="Q88" s="113"/>
      <c r="R88" s="126"/>
      <c r="S88" s="127"/>
      <c r="T88" s="128">
        <v>6169</v>
      </c>
      <c r="U88" s="100"/>
      <c r="V88" s="102"/>
      <c r="W88" s="167"/>
    </row>
    <row r="89" s="39" customFormat="1" ht="22" hidden="1" customHeight="1" spans="1:23">
      <c r="A89" s="77" t="s">
        <v>217</v>
      </c>
      <c r="B89" s="78" t="s">
        <v>30</v>
      </c>
      <c r="C89" s="79"/>
      <c r="D89" s="80" t="s">
        <v>31</v>
      </c>
      <c r="E89" s="80" t="s">
        <v>75</v>
      </c>
      <c r="F89" s="81" t="str">
        <f>IFERROR(VLOOKUP(E89,客户!B:C,2,FALSE),"/")</f>
        <v>/</v>
      </c>
      <c r="G89" s="80" t="s">
        <v>218</v>
      </c>
      <c r="H89" s="45" t="s">
        <v>154</v>
      </c>
      <c r="I89" s="45" t="s">
        <v>219</v>
      </c>
      <c r="J89" s="108">
        <v>43186</v>
      </c>
      <c r="K89" s="100">
        <v>43250</v>
      </c>
      <c r="L89" s="100">
        <v>43307</v>
      </c>
      <c r="M89" s="112"/>
      <c r="N89" s="112"/>
      <c r="O89" s="104"/>
      <c r="P89" s="113">
        <v>24944.05</v>
      </c>
      <c r="Q89" s="113">
        <v>7605</v>
      </c>
      <c r="R89" s="126"/>
      <c r="S89" s="127"/>
      <c r="T89" s="128">
        <v>17298.08</v>
      </c>
      <c r="U89" s="100"/>
      <c r="V89" s="102"/>
      <c r="W89" s="167"/>
    </row>
    <row r="90" s="40" customFormat="1" ht="22" hidden="1" customHeight="1" spans="1:23">
      <c r="A90" s="77" t="s">
        <v>220</v>
      </c>
      <c r="B90" s="78" t="s">
        <v>30</v>
      </c>
      <c r="C90" s="79"/>
      <c r="D90" s="80" t="s">
        <v>31</v>
      </c>
      <c r="E90" s="80" t="s">
        <v>221</v>
      </c>
      <c r="F90" s="81" t="str">
        <f>IFERROR(VLOOKUP(E90,客户!B:C,2,FALSE),"/")</f>
        <v>/</v>
      </c>
      <c r="G90" s="80" t="s">
        <v>222</v>
      </c>
      <c r="H90" s="45" t="s">
        <v>123</v>
      </c>
      <c r="I90" s="45" t="s">
        <v>223</v>
      </c>
      <c r="J90" s="108">
        <v>43194</v>
      </c>
      <c r="K90" s="100">
        <v>43239</v>
      </c>
      <c r="L90" s="100">
        <v>43279</v>
      </c>
      <c r="M90" s="112"/>
      <c r="N90" s="112"/>
      <c r="O90" s="104"/>
      <c r="P90" s="113">
        <v>23669.25</v>
      </c>
      <c r="Q90" s="113">
        <v>15100</v>
      </c>
      <c r="R90" s="131"/>
      <c r="S90" s="132"/>
      <c r="T90" s="102"/>
      <c r="U90" s="100"/>
      <c r="V90" s="102"/>
      <c r="W90" s="167"/>
    </row>
    <row r="91" s="40" customFormat="1" ht="22" hidden="1" customHeight="1" spans="1:23">
      <c r="A91" s="77" t="s">
        <v>224</v>
      </c>
      <c r="B91" s="78" t="s">
        <v>30</v>
      </c>
      <c r="C91" s="79"/>
      <c r="D91" s="80" t="s">
        <v>31</v>
      </c>
      <c r="E91" s="142" t="s">
        <v>164</v>
      </c>
      <c r="F91" s="81" t="str">
        <f>IFERROR(VLOOKUP(E91,客户!B:C,2,FALSE),"/")</f>
        <v>/</v>
      </c>
      <c r="G91" s="80" t="s">
        <v>225</v>
      </c>
      <c r="H91" s="143" t="s">
        <v>123</v>
      </c>
      <c r="I91" s="143" t="s">
        <v>226</v>
      </c>
      <c r="J91" s="108"/>
      <c r="K91" s="100">
        <v>43289</v>
      </c>
      <c r="L91" s="100">
        <v>43324</v>
      </c>
      <c r="M91" s="112"/>
      <c r="N91" s="112"/>
      <c r="O91" s="104"/>
      <c r="P91" s="113">
        <v>20991.7</v>
      </c>
      <c r="Q91" s="113">
        <v>6387.9</v>
      </c>
      <c r="R91" s="137"/>
      <c r="S91" s="138"/>
      <c r="T91" s="128">
        <f>N91-P91</f>
        <v>-20991.7</v>
      </c>
      <c r="U91" s="100"/>
      <c r="V91" s="102"/>
      <c r="W91" s="167"/>
    </row>
    <row r="92" s="40" customFormat="1" ht="22" hidden="1" customHeight="1" spans="1:23">
      <c r="A92" s="77" t="s">
        <v>227</v>
      </c>
      <c r="B92" s="78" t="s">
        <v>30</v>
      </c>
      <c r="C92" s="79"/>
      <c r="D92" s="80" t="s">
        <v>31</v>
      </c>
      <c r="E92" s="80" t="s">
        <v>75</v>
      </c>
      <c r="F92" s="81" t="str">
        <f>IFERROR(VLOOKUP(E92,客户!B:C,2,FALSE),"/")</f>
        <v>/</v>
      </c>
      <c r="G92" s="80" t="s">
        <v>228</v>
      </c>
      <c r="H92" s="45" t="s">
        <v>154</v>
      </c>
      <c r="I92" s="45" t="s">
        <v>229</v>
      </c>
      <c r="J92" s="108"/>
      <c r="K92" s="100">
        <v>43269</v>
      </c>
      <c r="L92" s="100">
        <v>43309</v>
      </c>
      <c r="M92" s="112"/>
      <c r="N92" s="112"/>
      <c r="O92" s="104"/>
      <c r="P92" s="113">
        <v>24330.88</v>
      </c>
      <c r="Q92" s="102">
        <v>16850.59</v>
      </c>
      <c r="R92" s="137"/>
      <c r="S92" s="138"/>
      <c r="T92" s="128">
        <f>N92-P92</f>
        <v>-24330.88</v>
      </c>
      <c r="U92" s="100"/>
      <c r="V92" s="102"/>
      <c r="W92" s="167"/>
    </row>
    <row r="93" s="40" customFormat="1" ht="22" hidden="1" customHeight="1" spans="1:23">
      <c r="A93" s="77" t="s">
        <v>230</v>
      </c>
      <c r="B93" s="78" t="s">
        <v>30</v>
      </c>
      <c r="C93" s="79"/>
      <c r="D93" s="80" t="s">
        <v>31</v>
      </c>
      <c r="E93" s="80" t="s">
        <v>111</v>
      </c>
      <c r="F93" s="81" t="str">
        <f>IFERROR(VLOOKUP(E93,客户!B:C,2,FALSE),"/")</f>
        <v>/</v>
      </c>
      <c r="G93" s="80" t="s">
        <v>228</v>
      </c>
      <c r="H93" s="45" t="s">
        <v>123</v>
      </c>
      <c r="I93" s="45" t="s">
        <v>219</v>
      </c>
      <c r="J93" s="108"/>
      <c r="K93" s="100">
        <v>43269</v>
      </c>
      <c r="L93" s="100">
        <v>43302</v>
      </c>
      <c r="M93" s="116"/>
      <c r="N93" s="116"/>
      <c r="O93" s="104"/>
      <c r="P93" s="113">
        <v>23200.83</v>
      </c>
      <c r="Q93" s="129">
        <v>16916</v>
      </c>
      <c r="R93" s="137"/>
      <c r="S93" s="138"/>
      <c r="T93" s="128">
        <f>2059.84+4750</f>
        <v>6809.84</v>
      </c>
      <c r="U93" s="100"/>
      <c r="V93" s="102"/>
      <c r="W93" s="167"/>
    </row>
    <row r="94" s="40" customFormat="1" ht="22" hidden="1" customHeight="1" spans="1:23">
      <c r="A94" s="77" t="s">
        <v>231</v>
      </c>
      <c r="B94" s="78" t="s">
        <v>30</v>
      </c>
      <c r="C94" s="79"/>
      <c r="D94" s="80" t="s">
        <v>31</v>
      </c>
      <c r="E94" s="142" t="s">
        <v>179</v>
      </c>
      <c r="F94" s="81" t="str">
        <f>IFERROR(VLOOKUP(E94,客户!B:C,2,FALSE),"/")</f>
        <v>/</v>
      </c>
      <c r="G94" s="80" t="s">
        <v>228</v>
      </c>
      <c r="H94" s="143" t="s">
        <v>123</v>
      </c>
      <c r="I94" s="143" t="s">
        <v>232</v>
      </c>
      <c r="J94" s="108"/>
      <c r="K94" s="100">
        <v>43246</v>
      </c>
      <c r="L94" s="100">
        <v>43262</v>
      </c>
      <c r="M94" s="116"/>
      <c r="N94" s="116"/>
      <c r="O94" s="104"/>
      <c r="P94" s="113">
        <v>22126.5</v>
      </c>
      <c r="Q94" s="140">
        <v>15526</v>
      </c>
      <c r="R94" s="137"/>
      <c r="S94" s="138"/>
      <c r="T94" s="128">
        <v>6514</v>
      </c>
      <c r="U94" s="100"/>
      <c r="V94" s="102"/>
      <c r="W94" s="167"/>
    </row>
    <row r="95" s="40" customFormat="1" ht="22" hidden="1" customHeight="1" spans="1:23">
      <c r="A95" s="77" t="s">
        <v>233</v>
      </c>
      <c r="B95" s="78" t="s">
        <v>30</v>
      </c>
      <c r="C95" s="79"/>
      <c r="D95" s="80" t="s">
        <v>31</v>
      </c>
      <c r="E95" s="80" t="s">
        <v>174</v>
      </c>
      <c r="F95" s="81" t="str">
        <f>IFERROR(VLOOKUP(E95,客户!B:C,2,FALSE),"/")</f>
        <v>/</v>
      </c>
      <c r="G95" s="80" t="s">
        <v>234</v>
      </c>
      <c r="H95" s="143" t="s">
        <v>123</v>
      </c>
      <c r="I95" s="143" t="s">
        <v>205</v>
      </c>
      <c r="J95" s="108"/>
      <c r="K95" s="100">
        <v>43258</v>
      </c>
      <c r="L95" s="100">
        <v>43284</v>
      </c>
      <c r="M95" s="116"/>
      <c r="N95" s="116"/>
      <c r="O95" s="104"/>
      <c r="P95" s="102">
        <v>62071.44</v>
      </c>
      <c r="Q95" s="129">
        <f>P95-U95</f>
        <v>62071.44</v>
      </c>
      <c r="R95" s="137"/>
      <c r="S95" s="138"/>
      <c r="T95" s="128">
        <v>61908.65</v>
      </c>
      <c r="U95" s="100"/>
      <c r="V95" s="102"/>
      <c r="W95" s="167"/>
    </row>
    <row r="96" s="40" customFormat="1" ht="22" hidden="1" customHeight="1" spans="1:23">
      <c r="A96" s="77" t="s">
        <v>235</v>
      </c>
      <c r="B96" s="78" t="s">
        <v>30</v>
      </c>
      <c r="C96" s="79"/>
      <c r="D96" s="80" t="s">
        <v>31</v>
      </c>
      <c r="E96" s="80" t="s">
        <v>174</v>
      </c>
      <c r="F96" s="81" t="str">
        <f>IFERROR(VLOOKUP(E96,客户!B:C,2,FALSE),"/")</f>
        <v>/</v>
      </c>
      <c r="G96" s="80" t="s">
        <v>234</v>
      </c>
      <c r="H96" s="143" t="s">
        <v>123</v>
      </c>
      <c r="I96" s="143" t="s">
        <v>205</v>
      </c>
      <c r="J96" s="108"/>
      <c r="K96" s="100">
        <v>43287</v>
      </c>
      <c r="L96" s="100">
        <v>43315</v>
      </c>
      <c r="M96" s="116"/>
      <c r="N96" s="116"/>
      <c r="O96" s="104"/>
      <c r="P96" s="102">
        <v>41704</v>
      </c>
      <c r="Q96" s="129">
        <f>P96-U96</f>
        <v>41704</v>
      </c>
      <c r="R96" s="137"/>
      <c r="S96" s="138"/>
      <c r="T96" s="128">
        <v>41566</v>
      </c>
      <c r="U96" s="100"/>
      <c r="V96" s="102"/>
      <c r="W96" s="167"/>
    </row>
    <row r="97" s="40" customFormat="1" ht="22" hidden="1" customHeight="1" spans="1:23">
      <c r="A97" s="77" t="s">
        <v>236</v>
      </c>
      <c r="B97" s="78" t="s">
        <v>30</v>
      </c>
      <c r="C97" s="79"/>
      <c r="D97" s="80" t="s">
        <v>31</v>
      </c>
      <c r="E97" s="80" t="s">
        <v>174</v>
      </c>
      <c r="F97" s="81" t="str">
        <f>IFERROR(VLOOKUP(E97,客户!B:C,2,FALSE),"/")</f>
        <v>/</v>
      </c>
      <c r="G97" s="80" t="s">
        <v>234</v>
      </c>
      <c r="H97" s="143" t="s">
        <v>123</v>
      </c>
      <c r="I97" s="143" t="s">
        <v>205</v>
      </c>
      <c r="J97" s="108"/>
      <c r="K97" s="100">
        <v>43315</v>
      </c>
      <c r="L97" s="100">
        <v>43345</v>
      </c>
      <c r="M97" s="112"/>
      <c r="N97" s="112"/>
      <c r="O97" s="104"/>
      <c r="P97" s="113">
        <v>63024.56</v>
      </c>
      <c r="Q97" s="168"/>
      <c r="R97" s="137"/>
      <c r="S97" s="138"/>
      <c r="T97" s="128">
        <v>63024</v>
      </c>
      <c r="U97" s="100"/>
      <c r="V97" s="102"/>
      <c r="W97" s="167"/>
    </row>
    <row r="98" s="40" customFormat="1" ht="22" hidden="1" customHeight="1" spans="1:23">
      <c r="A98" s="77" t="s">
        <v>237</v>
      </c>
      <c r="B98" s="78" t="s">
        <v>30</v>
      </c>
      <c r="C98" s="79"/>
      <c r="D98" s="80" t="s">
        <v>31</v>
      </c>
      <c r="E98" s="80" t="s">
        <v>56</v>
      </c>
      <c r="F98" s="81" t="str">
        <f>IFERROR(VLOOKUP(E98,客户!B:C,2,FALSE),"/")</f>
        <v>/</v>
      </c>
      <c r="G98" s="80" t="s">
        <v>228</v>
      </c>
      <c r="H98" s="143" t="s">
        <v>123</v>
      </c>
      <c r="I98" s="143" t="s">
        <v>238</v>
      </c>
      <c r="J98" s="108"/>
      <c r="K98" s="100">
        <v>43297</v>
      </c>
      <c r="L98" s="100">
        <v>43325</v>
      </c>
      <c r="M98" s="116"/>
      <c r="N98" s="116"/>
      <c r="O98" s="104"/>
      <c r="P98" s="102">
        <v>23146.2</v>
      </c>
      <c r="Q98" s="169">
        <v>4629</v>
      </c>
      <c r="R98" s="137"/>
      <c r="S98" s="138"/>
      <c r="T98" s="128">
        <f>N98-P98</f>
        <v>-23146.2</v>
      </c>
      <c r="U98" s="100"/>
      <c r="V98" s="102"/>
      <c r="W98" s="167"/>
    </row>
    <row r="99" s="40" customFormat="1" ht="22" hidden="1" customHeight="1" spans="1:23">
      <c r="A99" s="77" t="s">
        <v>239</v>
      </c>
      <c r="B99" s="78" t="s">
        <v>30</v>
      </c>
      <c r="C99" s="79"/>
      <c r="D99" s="80" t="s">
        <v>31</v>
      </c>
      <c r="E99" s="80" t="s">
        <v>174</v>
      </c>
      <c r="F99" s="81" t="str">
        <f>IFERROR(VLOOKUP(E99,客户!B:C,2,FALSE),"/")</f>
        <v>/</v>
      </c>
      <c r="G99" s="80" t="s">
        <v>240</v>
      </c>
      <c r="H99" s="143" t="s">
        <v>123</v>
      </c>
      <c r="I99" s="143" t="s">
        <v>241</v>
      </c>
      <c r="J99" s="108"/>
      <c r="K99" s="100">
        <v>43265</v>
      </c>
      <c r="L99" s="100">
        <v>43298</v>
      </c>
      <c r="M99" s="116"/>
      <c r="N99" s="116"/>
      <c r="O99" s="104"/>
      <c r="P99" s="113">
        <v>20825.2</v>
      </c>
      <c r="Q99" s="168"/>
      <c r="R99" s="137"/>
      <c r="S99" s="138"/>
      <c r="T99" s="128">
        <v>20825</v>
      </c>
      <c r="U99" s="100"/>
      <c r="V99" s="102"/>
      <c r="W99" s="167"/>
    </row>
    <row r="100" s="40" customFormat="1" ht="22" hidden="1" customHeight="1" spans="1:23">
      <c r="A100" s="77" t="s">
        <v>242</v>
      </c>
      <c r="B100" s="78" t="s">
        <v>30</v>
      </c>
      <c r="C100" s="79"/>
      <c r="D100" s="80" t="s">
        <v>31</v>
      </c>
      <c r="E100" s="80" t="s">
        <v>102</v>
      </c>
      <c r="F100" s="81" t="str">
        <f>IFERROR(VLOOKUP(E100,客户!B:C,2,FALSE),"/")</f>
        <v>/</v>
      </c>
      <c r="G100" s="80" t="s">
        <v>57</v>
      </c>
      <c r="H100" s="45" t="s">
        <v>123</v>
      </c>
      <c r="I100" s="45" t="s">
        <v>223</v>
      </c>
      <c r="J100" s="108"/>
      <c r="K100" s="100">
        <v>43267</v>
      </c>
      <c r="L100" s="100">
        <v>43291</v>
      </c>
      <c r="M100" s="112"/>
      <c r="N100" s="112"/>
      <c r="O100" s="104"/>
      <c r="P100" s="113">
        <v>21990.4</v>
      </c>
      <c r="Q100" s="129">
        <v>22000</v>
      </c>
      <c r="R100" s="131"/>
      <c r="S100" s="132"/>
      <c r="T100" s="102"/>
      <c r="U100" s="100"/>
      <c r="V100" s="102"/>
      <c r="W100" s="167"/>
    </row>
    <row r="101" s="40" customFormat="1" ht="22" hidden="1" customHeight="1" spans="1:23">
      <c r="A101" s="77" t="s">
        <v>243</v>
      </c>
      <c r="B101" s="78" t="s">
        <v>30</v>
      </c>
      <c r="C101" s="79"/>
      <c r="D101" s="80" t="s">
        <v>31</v>
      </c>
      <c r="E101" s="80" t="s">
        <v>196</v>
      </c>
      <c r="F101" s="81" t="str">
        <f>IFERROR(VLOOKUP(E101,客户!B:C,2,FALSE),"/")</f>
        <v>/</v>
      </c>
      <c r="G101" s="80" t="s">
        <v>197</v>
      </c>
      <c r="H101" s="45" t="s">
        <v>147</v>
      </c>
      <c r="I101" s="45" t="s">
        <v>210</v>
      </c>
      <c r="J101" s="108">
        <v>43193</v>
      </c>
      <c r="K101" s="100">
        <v>43299</v>
      </c>
      <c r="L101" s="100">
        <v>43330</v>
      </c>
      <c r="M101" s="112"/>
      <c r="N101" s="112"/>
      <c r="O101" s="104"/>
      <c r="P101" s="102">
        <v>66051.45</v>
      </c>
      <c r="Q101" s="129">
        <f>P101-U101</f>
        <v>66051.45</v>
      </c>
      <c r="R101" s="137"/>
      <c r="S101" s="138"/>
      <c r="T101" s="128">
        <v>65900</v>
      </c>
      <c r="U101" s="100"/>
      <c r="V101" s="102"/>
      <c r="W101" s="167"/>
    </row>
    <row r="102" s="40" customFormat="1" ht="22" hidden="1" customHeight="1" spans="1:23">
      <c r="A102" s="77" t="s">
        <v>244</v>
      </c>
      <c r="B102" s="78" t="s">
        <v>30</v>
      </c>
      <c r="C102" s="79"/>
      <c r="D102" s="80" t="s">
        <v>31</v>
      </c>
      <c r="E102" s="80" t="s">
        <v>196</v>
      </c>
      <c r="F102" s="81" t="str">
        <f>IFERROR(VLOOKUP(E102,客户!B:C,2,FALSE),"/")</f>
        <v>/</v>
      </c>
      <c r="G102" s="80" t="s">
        <v>245</v>
      </c>
      <c r="H102" s="45" t="s">
        <v>147</v>
      </c>
      <c r="I102" s="45" t="s">
        <v>210</v>
      </c>
      <c r="J102" s="108">
        <v>43193</v>
      </c>
      <c r="K102" s="100">
        <v>43350</v>
      </c>
      <c r="L102" s="100">
        <v>43375</v>
      </c>
      <c r="M102" s="153" t="s">
        <v>246</v>
      </c>
      <c r="N102" s="151" t="s">
        <v>247</v>
      </c>
      <c r="O102" s="104"/>
      <c r="P102" s="102">
        <v>66047.4</v>
      </c>
      <c r="Q102" s="129">
        <v>157</v>
      </c>
      <c r="R102" s="137"/>
      <c r="S102" s="138"/>
      <c r="T102" s="128">
        <v>65896</v>
      </c>
      <c r="U102" s="100"/>
      <c r="V102" s="102"/>
      <c r="W102" s="167"/>
    </row>
    <row r="103" s="39" customFormat="1" ht="22" hidden="1" customHeight="1" spans="1:23">
      <c r="A103" s="77" t="s">
        <v>248</v>
      </c>
      <c r="B103" s="78" t="s">
        <v>30</v>
      </c>
      <c r="C103" s="79"/>
      <c r="D103" s="80" t="s">
        <v>31</v>
      </c>
      <c r="E103" s="80" t="s">
        <v>196</v>
      </c>
      <c r="F103" s="81" t="str">
        <f>IFERROR(VLOOKUP(E103,客户!B:C,2,FALSE),"/")</f>
        <v>/</v>
      </c>
      <c r="G103" s="80" t="s">
        <v>249</v>
      </c>
      <c r="H103" s="45" t="s">
        <v>147</v>
      </c>
      <c r="I103" s="45" t="s">
        <v>205</v>
      </c>
      <c r="J103" s="108">
        <v>43168</v>
      </c>
      <c r="K103" s="100">
        <v>43393</v>
      </c>
      <c r="L103" s="100">
        <v>43423</v>
      </c>
      <c r="M103" s="154" t="s">
        <v>250</v>
      </c>
      <c r="N103" s="153" t="s">
        <v>251</v>
      </c>
      <c r="O103" s="104"/>
      <c r="P103" s="102">
        <v>128772.6</v>
      </c>
      <c r="Q103" s="113"/>
      <c r="R103" s="131"/>
      <c r="S103" s="132"/>
      <c r="T103" s="102"/>
      <c r="U103" s="100"/>
      <c r="V103" s="102"/>
      <c r="W103" s="167"/>
    </row>
    <row r="104" s="42" customFormat="1" ht="22" hidden="1" customHeight="1" spans="1:23">
      <c r="A104" s="77" t="s">
        <v>252</v>
      </c>
      <c r="B104" s="78" t="s">
        <v>30</v>
      </c>
      <c r="C104" s="79"/>
      <c r="D104" s="80" t="s">
        <v>31</v>
      </c>
      <c r="E104" s="80" t="s">
        <v>196</v>
      </c>
      <c r="F104" s="81" t="str">
        <f>IFERROR(VLOOKUP(E104,客户!B:C,2,FALSE),"/")</f>
        <v>/</v>
      </c>
      <c r="G104" s="80" t="s">
        <v>61</v>
      </c>
      <c r="H104" s="45" t="s">
        <v>147</v>
      </c>
      <c r="I104" s="45" t="s">
        <v>205</v>
      </c>
      <c r="J104" s="108">
        <v>43236</v>
      </c>
      <c r="K104" s="100"/>
      <c r="L104" s="100"/>
      <c r="M104" s="153" t="s">
        <v>253</v>
      </c>
      <c r="N104" s="153"/>
      <c r="O104" s="104"/>
      <c r="P104" s="102"/>
      <c r="Q104" s="168"/>
      <c r="R104" s="131"/>
      <c r="S104" s="132"/>
      <c r="T104" s="102"/>
      <c r="U104" s="100"/>
      <c r="V104" s="102"/>
      <c r="W104" s="167"/>
    </row>
    <row r="105" s="42" customFormat="1" ht="22" hidden="1" customHeight="1" spans="1:23">
      <c r="A105" s="77" t="s">
        <v>254</v>
      </c>
      <c r="B105" s="78" t="s">
        <v>30</v>
      </c>
      <c r="C105" s="79"/>
      <c r="D105" s="80" t="s">
        <v>31</v>
      </c>
      <c r="E105" s="80" t="s">
        <v>196</v>
      </c>
      <c r="F105" s="81" t="str">
        <f>IFERROR(VLOOKUP(E105,客户!B:C,2,FALSE),"/")</f>
        <v>/</v>
      </c>
      <c r="G105" s="80" t="s">
        <v>234</v>
      </c>
      <c r="H105" s="45" t="s">
        <v>147</v>
      </c>
      <c r="I105" s="45" t="s">
        <v>205</v>
      </c>
      <c r="J105" s="108">
        <v>43236</v>
      </c>
      <c r="K105" s="100">
        <v>43401</v>
      </c>
      <c r="L105" s="100">
        <v>43445</v>
      </c>
      <c r="M105" s="155" t="s">
        <v>255</v>
      </c>
      <c r="N105" s="153" t="s">
        <v>256</v>
      </c>
      <c r="O105" s="104"/>
      <c r="P105" s="102">
        <v>64771.2</v>
      </c>
      <c r="Q105" s="168"/>
      <c r="R105" s="126"/>
      <c r="S105" s="127"/>
      <c r="T105" s="128">
        <v>64586.473</v>
      </c>
      <c r="U105" s="100"/>
      <c r="V105" s="102"/>
      <c r="W105" s="167"/>
    </row>
    <row r="106" s="42" customFormat="1" ht="22" hidden="1" customHeight="1" spans="1:23">
      <c r="A106" s="77" t="s">
        <v>257</v>
      </c>
      <c r="B106" s="78" t="s">
        <v>30</v>
      </c>
      <c r="C106" s="79"/>
      <c r="D106" s="80" t="s">
        <v>31</v>
      </c>
      <c r="E106" s="80" t="s">
        <v>196</v>
      </c>
      <c r="F106" s="81" t="str">
        <f>IFERROR(VLOOKUP(E106,客户!B:C,2,FALSE),"/")</f>
        <v>/</v>
      </c>
      <c r="G106" s="80" t="s">
        <v>234</v>
      </c>
      <c r="H106" s="45" t="s">
        <v>147</v>
      </c>
      <c r="I106" s="45" t="s">
        <v>205</v>
      </c>
      <c r="J106" s="108">
        <v>43236</v>
      </c>
      <c r="K106" s="100">
        <v>43407</v>
      </c>
      <c r="L106" s="100">
        <v>43449</v>
      </c>
      <c r="M106" s="153" t="s">
        <v>258</v>
      </c>
      <c r="N106" s="153" t="s">
        <v>259</v>
      </c>
      <c r="O106" s="104"/>
      <c r="P106" s="102">
        <v>64771.2</v>
      </c>
      <c r="Q106" s="168"/>
      <c r="R106" s="131"/>
      <c r="S106" s="132"/>
      <c r="T106" s="102">
        <v>59386</v>
      </c>
      <c r="U106" s="100"/>
      <c r="V106" s="102"/>
      <c r="W106" s="167"/>
    </row>
    <row r="107" s="40" customFormat="1" ht="22" hidden="1" customHeight="1" spans="1:23">
      <c r="A107" s="77" t="s">
        <v>260</v>
      </c>
      <c r="B107" s="78" t="s">
        <v>30</v>
      </c>
      <c r="C107" s="79"/>
      <c r="D107" s="80" t="s">
        <v>31</v>
      </c>
      <c r="E107" s="80" t="s">
        <v>196</v>
      </c>
      <c r="F107" s="81" t="str">
        <f>IFERROR(VLOOKUP(E107,客户!B:C,2,FALSE),"/")</f>
        <v>/</v>
      </c>
      <c r="G107" s="80" t="s">
        <v>234</v>
      </c>
      <c r="H107" s="45" t="s">
        <v>147</v>
      </c>
      <c r="I107" s="45" t="s">
        <v>205</v>
      </c>
      <c r="J107" s="108">
        <v>43236</v>
      </c>
      <c r="K107" s="100">
        <v>43112</v>
      </c>
      <c r="L107" s="100">
        <v>43519</v>
      </c>
      <c r="M107" s="45" t="s">
        <v>261</v>
      </c>
      <c r="N107" s="153" t="s">
        <v>262</v>
      </c>
      <c r="O107" s="104"/>
      <c r="P107" s="102">
        <v>63072.6</v>
      </c>
      <c r="Q107" s="102">
        <v>0</v>
      </c>
      <c r="R107" s="131"/>
      <c r="S107" s="132"/>
      <c r="T107" s="102">
        <v>62865</v>
      </c>
      <c r="U107" s="100"/>
      <c r="V107" s="102"/>
      <c r="W107" s="170"/>
    </row>
    <row r="108" s="40" customFormat="1" ht="22" hidden="1" customHeight="1" spans="1:23">
      <c r="A108" s="77" t="s">
        <v>263</v>
      </c>
      <c r="B108" s="78" t="s">
        <v>30</v>
      </c>
      <c r="C108" s="79"/>
      <c r="D108" s="80" t="s">
        <v>31</v>
      </c>
      <c r="E108" s="80" t="s">
        <v>196</v>
      </c>
      <c r="F108" s="81" t="str">
        <f>IFERROR(VLOOKUP(E108,客户!B:C,2,FALSE),"/")</f>
        <v>/</v>
      </c>
      <c r="G108" s="80" t="s">
        <v>234</v>
      </c>
      <c r="H108" s="45" t="s">
        <v>147</v>
      </c>
      <c r="I108" s="45" t="s">
        <v>205</v>
      </c>
      <c r="J108" s="108">
        <v>43236</v>
      </c>
      <c r="K108" s="100">
        <v>43534</v>
      </c>
      <c r="L108" s="100">
        <v>43565</v>
      </c>
      <c r="M108" s="153" t="s">
        <v>264</v>
      </c>
      <c r="N108" s="45" t="s">
        <v>265</v>
      </c>
      <c r="O108" s="104"/>
      <c r="P108" s="102">
        <v>64827</v>
      </c>
      <c r="Q108" s="102">
        <v>0</v>
      </c>
      <c r="R108" s="131"/>
      <c r="S108" s="132"/>
      <c r="T108" s="102">
        <v>64642</v>
      </c>
      <c r="U108" s="100">
        <v>43570</v>
      </c>
      <c r="V108" s="102"/>
      <c r="W108" s="170"/>
    </row>
    <row r="109" s="42" customFormat="1" ht="22" hidden="1" customHeight="1" spans="1:23">
      <c r="A109" s="77" t="s">
        <v>266</v>
      </c>
      <c r="B109" s="78" t="s">
        <v>30</v>
      </c>
      <c r="C109" s="79"/>
      <c r="D109" s="80" t="s">
        <v>31</v>
      </c>
      <c r="E109" s="80" t="s">
        <v>196</v>
      </c>
      <c r="F109" s="81" t="str">
        <f>IFERROR(VLOOKUP(E109,客户!B:C,2,FALSE),"/")</f>
        <v>/</v>
      </c>
      <c r="G109" s="80" t="s">
        <v>234</v>
      </c>
      <c r="H109" s="45" t="s">
        <v>147</v>
      </c>
      <c r="I109" s="45" t="s">
        <v>210</v>
      </c>
      <c r="J109" s="108">
        <v>43363</v>
      </c>
      <c r="K109" s="100">
        <v>43449</v>
      </c>
      <c r="L109" s="100">
        <v>43488</v>
      </c>
      <c r="M109" s="45" t="s">
        <v>267</v>
      </c>
      <c r="N109" s="153" t="s">
        <v>268</v>
      </c>
      <c r="O109" s="104"/>
      <c r="P109" s="113">
        <v>67945.12</v>
      </c>
      <c r="Q109" s="129">
        <v>0</v>
      </c>
      <c r="R109" s="131"/>
      <c r="S109" s="132"/>
      <c r="T109" s="102">
        <v>67790</v>
      </c>
      <c r="U109" s="100">
        <v>43482</v>
      </c>
      <c r="V109" s="102"/>
      <c r="W109" s="170"/>
    </row>
    <row r="110" s="40" customFormat="1" ht="22" hidden="1" customHeight="1" spans="1:23">
      <c r="A110" s="77" t="s">
        <v>269</v>
      </c>
      <c r="B110" s="78" t="s">
        <v>30</v>
      </c>
      <c r="C110" s="79"/>
      <c r="D110" s="80" t="s">
        <v>31</v>
      </c>
      <c r="E110" s="80" t="s">
        <v>221</v>
      </c>
      <c r="F110" s="81" t="str">
        <f>IFERROR(VLOOKUP(E110,客户!B:C,2,FALSE),"/")</f>
        <v>/</v>
      </c>
      <c r="G110" s="80" t="s">
        <v>54</v>
      </c>
      <c r="H110" s="45" t="s">
        <v>123</v>
      </c>
      <c r="I110" s="45" t="s">
        <v>223</v>
      </c>
      <c r="J110" s="108">
        <v>43238</v>
      </c>
      <c r="K110" s="100">
        <v>43275</v>
      </c>
      <c r="L110" s="100">
        <v>43306</v>
      </c>
      <c r="M110" s="112"/>
      <c r="N110" s="112"/>
      <c r="O110" s="104"/>
      <c r="P110" s="113">
        <v>22383.5</v>
      </c>
      <c r="Q110" s="102"/>
      <c r="R110" s="131"/>
      <c r="S110" s="132"/>
      <c r="T110" s="102">
        <v>15165</v>
      </c>
      <c r="U110" s="102">
        <v>22383.5</v>
      </c>
      <c r="V110" s="102"/>
      <c r="W110" s="170"/>
    </row>
    <row r="111" s="40" customFormat="1" ht="22" hidden="1" customHeight="1" spans="1:23">
      <c r="A111" s="77" t="s">
        <v>270</v>
      </c>
      <c r="B111" s="78" t="s">
        <v>30</v>
      </c>
      <c r="C111" s="79"/>
      <c r="D111" s="80" t="s">
        <v>31</v>
      </c>
      <c r="E111" s="80" t="s">
        <v>221</v>
      </c>
      <c r="F111" s="81" t="str">
        <f>IFERROR(VLOOKUP(E111,客户!B:C,2,FALSE),"/")</f>
        <v>/</v>
      </c>
      <c r="G111" s="80" t="s">
        <v>271</v>
      </c>
      <c r="H111" s="45" t="s">
        <v>123</v>
      </c>
      <c r="I111" s="45" t="s">
        <v>272</v>
      </c>
      <c r="J111" s="108">
        <v>43254</v>
      </c>
      <c r="K111" s="100">
        <v>43312</v>
      </c>
      <c r="L111" s="100">
        <v>43346</v>
      </c>
      <c r="M111" s="156" t="s">
        <v>273</v>
      </c>
      <c r="N111" s="156"/>
      <c r="O111" s="104"/>
      <c r="P111" s="102">
        <v>46045.21</v>
      </c>
      <c r="Q111" s="102"/>
      <c r="R111" s="131"/>
      <c r="S111" s="132"/>
      <c r="T111" s="102">
        <v>30630</v>
      </c>
      <c r="U111" s="102">
        <v>46045.21</v>
      </c>
      <c r="V111" s="102"/>
      <c r="W111" s="170"/>
    </row>
    <row r="112" s="40" customFormat="1" ht="22" hidden="1" customHeight="1" spans="1:23">
      <c r="A112" s="77" t="s">
        <v>274</v>
      </c>
      <c r="B112" s="78" t="s">
        <v>30</v>
      </c>
      <c r="C112" s="79"/>
      <c r="D112" s="80" t="s">
        <v>31</v>
      </c>
      <c r="E112" s="82" t="s">
        <v>275</v>
      </c>
      <c r="F112" s="81" t="str">
        <f>IFERROR(VLOOKUP(E112,客户!B:C,2,FALSE),"/")</f>
        <v>/</v>
      </c>
      <c r="G112" s="80" t="s">
        <v>91</v>
      </c>
      <c r="H112" s="45" t="s">
        <v>123</v>
      </c>
      <c r="I112" s="45" t="s">
        <v>276</v>
      </c>
      <c r="J112" s="108">
        <v>43255</v>
      </c>
      <c r="K112" s="100">
        <v>43328</v>
      </c>
      <c r="L112" s="100">
        <v>43363</v>
      </c>
      <c r="M112" s="157" t="s">
        <v>277</v>
      </c>
      <c r="N112" s="151" t="s">
        <v>278</v>
      </c>
      <c r="O112" s="104"/>
      <c r="P112" s="102">
        <v>20578.91</v>
      </c>
      <c r="Q112" s="102"/>
      <c r="R112" s="131"/>
      <c r="S112" s="132"/>
      <c r="T112" s="102">
        <v>6155</v>
      </c>
      <c r="U112" s="102">
        <v>20578.91</v>
      </c>
      <c r="V112" s="102"/>
      <c r="W112" s="170"/>
    </row>
    <row r="113" s="40" customFormat="1" ht="22" hidden="1" customHeight="1" spans="1:23">
      <c r="A113" s="77" t="s">
        <v>279</v>
      </c>
      <c r="B113" s="78" t="s">
        <v>30</v>
      </c>
      <c r="C113" s="79"/>
      <c r="D113" s="80" t="s">
        <v>31</v>
      </c>
      <c r="E113" s="80" t="s">
        <v>125</v>
      </c>
      <c r="F113" s="81" t="str">
        <f>IFERROR(VLOOKUP(E113,客户!B:C,2,FALSE),"/")</f>
        <v>/</v>
      </c>
      <c r="G113" s="80" t="s">
        <v>280</v>
      </c>
      <c r="H113" s="45" t="s">
        <v>127</v>
      </c>
      <c r="I113" s="45" t="s">
        <v>215</v>
      </c>
      <c r="J113" s="108"/>
      <c r="K113" s="100">
        <v>43324</v>
      </c>
      <c r="L113" s="100">
        <v>43340</v>
      </c>
      <c r="M113" s="112" t="s">
        <v>281</v>
      </c>
      <c r="N113" s="112"/>
      <c r="O113" s="104"/>
      <c r="P113" s="102">
        <v>69515</v>
      </c>
      <c r="Q113" s="129"/>
      <c r="R113" s="171"/>
      <c r="S113" s="172"/>
      <c r="T113" s="129">
        <v>21535</v>
      </c>
      <c r="U113" s="102">
        <v>69515</v>
      </c>
      <c r="V113" s="102"/>
      <c r="W113" s="170"/>
    </row>
    <row r="114" s="40" customFormat="1" ht="22" hidden="1" customHeight="1" spans="1:23">
      <c r="A114" s="85" t="s">
        <v>282</v>
      </c>
      <c r="B114" s="78" t="s">
        <v>30</v>
      </c>
      <c r="C114" s="79"/>
      <c r="D114" s="80" t="s">
        <v>31</v>
      </c>
      <c r="E114" s="80" t="s">
        <v>221</v>
      </c>
      <c r="F114" s="81" t="str">
        <f>IFERROR(VLOOKUP(E114,客户!B:C,2,FALSE),"/")</f>
        <v>/</v>
      </c>
      <c r="G114" s="80" t="s">
        <v>54</v>
      </c>
      <c r="H114" s="45" t="s">
        <v>123</v>
      </c>
      <c r="I114" s="45" t="s">
        <v>272</v>
      </c>
      <c r="J114" s="108">
        <v>43306</v>
      </c>
      <c r="K114" s="100">
        <v>43330</v>
      </c>
      <c r="L114" s="100">
        <v>43363</v>
      </c>
      <c r="M114" s="158" t="s">
        <v>273</v>
      </c>
      <c r="N114" s="157" t="s">
        <v>283</v>
      </c>
      <c r="O114" s="104"/>
      <c r="P114" s="102">
        <v>23317.38</v>
      </c>
      <c r="Q114" s="102"/>
      <c r="R114" s="131"/>
      <c r="S114" s="132"/>
      <c r="T114" s="102">
        <v>7959.25</v>
      </c>
      <c r="U114" s="102">
        <v>23317.38</v>
      </c>
      <c r="V114" s="102"/>
      <c r="W114" s="170"/>
    </row>
    <row r="115" s="40" customFormat="1" ht="22" hidden="1" customHeight="1" spans="1:23">
      <c r="A115" s="77" t="s">
        <v>284</v>
      </c>
      <c r="B115" s="78" t="s">
        <v>30</v>
      </c>
      <c r="C115" s="79"/>
      <c r="D115" s="80" t="s">
        <v>31</v>
      </c>
      <c r="E115" s="80" t="s">
        <v>221</v>
      </c>
      <c r="F115" s="81" t="str">
        <f>IFERROR(VLOOKUP(E115,客户!B:C,2,FALSE),"/")</f>
        <v>/</v>
      </c>
      <c r="G115" s="80" t="s">
        <v>54</v>
      </c>
      <c r="H115" s="45" t="s">
        <v>123</v>
      </c>
      <c r="I115" s="45" t="s">
        <v>272</v>
      </c>
      <c r="J115" s="159">
        <v>43306</v>
      </c>
      <c r="K115" s="100">
        <v>43366</v>
      </c>
      <c r="L115" s="100">
        <v>43389</v>
      </c>
      <c r="M115" s="160" t="s">
        <v>285</v>
      </c>
      <c r="N115" s="42" t="s">
        <v>286</v>
      </c>
      <c r="O115" s="104"/>
      <c r="P115" s="102">
        <v>24089.85</v>
      </c>
      <c r="Q115" s="129"/>
      <c r="R115" s="137"/>
      <c r="S115" s="138"/>
      <c r="T115" s="129">
        <v>22933.65</v>
      </c>
      <c r="U115" s="102">
        <v>24089.85</v>
      </c>
      <c r="V115" s="173" t="s">
        <v>287</v>
      </c>
      <c r="W115" s="170"/>
    </row>
    <row r="116" s="39" customFormat="1" ht="22" hidden="1" customHeight="1" spans="1:23">
      <c r="A116" s="85" t="s">
        <v>288</v>
      </c>
      <c r="B116" s="78" t="s">
        <v>30</v>
      </c>
      <c r="C116" s="79"/>
      <c r="D116" s="80" t="s">
        <v>31</v>
      </c>
      <c r="E116" s="80" t="s">
        <v>53</v>
      </c>
      <c r="F116" s="81" t="str">
        <f>IFERROR(VLOOKUP(E116,客户!B:C,2,FALSE),"/")</f>
        <v>/</v>
      </c>
      <c r="G116" s="80" t="s">
        <v>54</v>
      </c>
      <c r="H116" s="45" t="s">
        <v>123</v>
      </c>
      <c r="I116" s="45" t="s">
        <v>232</v>
      </c>
      <c r="J116" s="108">
        <v>43298</v>
      </c>
      <c r="K116" s="100">
        <v>43344</v>
      </c>
      <c r="L116" s="100">
        <v>43357</v>
      </c>
      <c r="M116" s="161" t="s">
        <v>289</v>
      </c>
      <c r="N116" s="159" t="s">
        <v>290</v>
      </c>
      <c r="O116" s="104"/>
      <c r="P116" s="102">
        <v>20440.5</v>
      </c>
      <c r="Q116" s="102">
        <v>6072.15</v>
      </c>
      <c r="R116" s="131"/>
      <c r="S116" s="132"/>
      <c r="T116" s="102"/>
      <c r="U116" s="102"/>
      <c r="V116" s="102"/>
      <c r="W116" s="170"/>
    </row>
    <row r="117" s="42" customFormat="1" ht="22" hidden="1" customHeight="1" spans="1:23">
      <c r="A117" s="144" t="s">
        <v>291</v>
      </c>
      <c r="B117" s="78" t="s">
        <v>30</v>
      </c>
      <c r="C117" s="79"/>
      <c r="D117" s="80" t="s">
        <v>31</v>
      </c>
      <c r="E117" s="80" t="s">
        <v>292</v>
      </c>
      <c r="F117" s="81" t="str">
        <f>IFERROR(VLOOKUP(E117,客户!B:C,2,FALSE),"/")</f>
        <v>/</v>
      </c>
      <c r="G117" s="80" t="s">
        <v>136</v>
      </c>
      <c r="H117" s="45" t="s">
        <v>123</v>
      </c>
      <c r="I117" s="45" t="s">
        <v>276</v>
      </c>
      <c r="J117" s="159">
        <v>43300</v>
      </c>
      <c r="K117" s="100">
        <v>43365</v>
      </c>
      <c r="L117" s="100">
        <v>43396</v>
      </c>
      <c r="M117" s="159" t="s">
        <v>293</v>
      </c>
      <c r="N117" s="159" t="s">
        <v>294</v>
      </c>
      <c r="O117" s="104"/>
      <c r="P117" s="102">
        <v>11750.24</v>
      </c>
      <c r="Q117" s="102">
        <v>11750.24</v>
      </c>
      <c r="R117" s="131"/>
      <c r="S117" s="132"/>
      <c r="T117" s="102"/>
      <c r="U117" s="102"/>
      <c r="V117" s="102"/>
      <c r="W117" s="170"/>
    </row>
    <row r="118" s="39" customFormat="1" ht="22" hidden="1" customHeight="1" spans="1:23">
      <c r="A118" s="85" t="s">
        <v>295</v>
      </c>
      <c r="B118" s="78" t="s">
        <v>30</v>
      </c>
      <c r="C118" s="79"/>
      <c r="D118" s="80" t="s">
        <v>31</v>
      </c>
      <c r="E118" s="80" t="s">
        <v>296</v>
      </c>
      <c r="F118" s="81">
        <f>IFERROR(VLOOKUP(E118,客户!B:C,2,FALSE),"/")</f>
        <v>0</v>
      </c>
      <c r="G118" s="80" t="s">
        <v>122</v>
      </c>
      <c r="H118" s="45" t="s">
        <v>123</v>
      </c>
      <c r="I118" s="45" t="s">
        <v>297</v>
      </c>
      <c r="J118" s="108">
        <v>43307</v>
      </c>
      <c r="K118" s="100">
        <v>43346</v>
      </c>
      <c r="L118" s="100">
        <v>43383</v>
      </c>
      <c r="M118" s="162" t="s">
        <v>298</v>
      </c>
      <c r="N118" s="159" t="s">
        <v>299</v>
      </c>
      <c r="O118" s="104"/>
      <c r="P118" s="102">
        <v>23368.5</v>
      </c>
      <c r="Q118" s="102">
        <v>6969</v>
      </c>
      <c r="R118" s="131"/>
      <c r="S118" s="132"/>
      <c r="T118" s="102"/>
      <c r="U118" s="102"/>
      <c r="V118" s="102"/>
      <c r="W118" s="170"/>
    </row>
    <row r="119" s="39" customFormat="1" ht="22" hidden="1" customHeight="1" spans="1:23">
      <c r="A119" s="77" t="s">
        <v>300</v>
      </c>
      <c r="B119" s="78" t="s">
        <v>30</v>
      </c>
      <c r="C119" s="79"/>
      <c r="D119" s="80" t="s">
        <v>31</v>
      </c>
      <c r="E119" s="80" t="s">
        <v>301</v>
      </c>
      <c r="F119" s="81" t="str">
        <f>IFERROR(VLOOKUP(E119,客户!B:C,2,FALSE),"/")</f>
        <v>/</v>
      </c>
      <c r="G119" s="80" t="s">
        <v>302</v>
      </c>
      <c r="H119" s="45" t="s">
        <v>127</v>
      </c>
      <c r="I119" s="45" t="s">
        <v>215</v>
      </c>
      <c r="J119" s="108">
        <v>43319</v>
      </c>
      <c r="K119" s="100">
        <v>43338</v>
      </c>
      <c r="L119" s="100">
        <v>43359</v>
      </c>
      <c r="M119" s="112" t="s">
        <v>303</v>
      </c>
      <c r="N119" s="163" t="s">
        <v>304</v>
      </c>
      <c r="O119" s="104"/>
      <c r="P119" s="102">
        <v>128683.8</v>
      </c>
      <c r="Q119" s="102">
        <v>40000</v>
      </c>
      <c r="R119" s="131"/>
      <c r="S119" s="132"/>
      <c r="T119" s="102"/>
      <c r="U119" s="102"/>
      <c r="V119" s="102"/>
      <c r="W119" s="170"/>
    </row>
    <row r="120" s="39" customFormat="1" ht="22" hidden="1" customHeight="1" spans="1:23">
      <c r="A120" s="77" t="s">
        <v>305</v>
      </c>
      <c r="B120" s="78" t="s">
        <v>30</v>
      </c>
      <c r="C120" s="79"/>
      <c r="D120" s="80" t="s">
        <v>31</v>
      </c>
      <c r="E120" s="82" t="s">
        <v>306</v>
      </c>
      <c r="F120" s="81" t="str">
        <f>IFERROR(VLOOKUP(E120,客户!B:C,2,FALSE),"/")</f>
        <v>/</v>
      </c>
      <c r="G120" s="80" t="s">
        <v>40</v>
      </c>
      <c r="H120" s="45"/>
      <c r="I120" s="45" t="s">
        <v>210</v>
      </c>
      <c r="J120" s="108">
        <v>43326</v>
      </c>
      <c r="K120" s="100">
        <v>43392</v>
      </c>
      <c r="L120" s="100">
        <v>43417</v>
      </c>
      <c r="M120" s="159" t="s">
        <v>307</v>
      </c>
      <c r="N120" s="162" t="s">
        <v>308</v>
      </c>
      <c r="O120" s="104"/>
      <c r="P120" s="102">
        <v>42738.26</v>
      </c>
      <c r="Q120" s="102">
        <v>13073</v>
      </c>
      <c r="R120" s="131"/>
      <c r="S120" s="132"/>
      <c r="T120" s="102"/>
      <c r="U120" s="102"/>
      <c r="V120" s="102"/>
      <c r="W120" s="170"/>
    </row>
    <row r="121" s="42" customFormat="1" ht="22" hidden="1" customHeight="1" spans="1:23">
      <c r="A121" s="144" t="s">
        <v>309</v>
      </c>
      <c r="B121" s="78" t="s">
        <v>30</v>
      </c>
      <c r="C121" s="79"/>
      <c r="D121" s="80" t="s">
        <v>31</v>
      </c>
      <c r="E121" s="80" t="s">
        <v>310</v>
      </c>
      <c r="F121" s="81" t="str">
        <f>IFERROR(VLOOKUP(E121,客户!B:C,2,FALSE),"/")</f>
        <v>/</v>
      </c>
      <c r="G121" s="80" t="s">
        <v>311</v>
      </c>
      <c r="H121" s="45" t="s">
        <v>154</v>
      </c>
      <c r="I121" s="45" t="s">
        <v>312</v>
      </c>
      <c r="J121" s="159">
        <v>43340</v>
      </c>
      <c r="K121" s="100">
        <v>43365</v>
      </c>
      <c r="L121" s="100">
        <v>43388</v>
      </c>
      <c r="M121" s="159" t="s">
        <v>313</v>
      </c>
      <c r="N121" s="159" t="s">
        <v>314</v>
      </c>
      <c r="O121" s="104"/>
      <c r="P121" s="102">
        <v>86659.6</v>
      </c>
      <c r="Q121" s="102"/>
      <c r="R121" s="131"/>
      <c r="S121" s="132"/>
      <c r="T121" s="102">
        <v>86659.6</v>
      </c>
      <c r="U121" s="100"/>
      <c r="V121" s="102"/>
      <c r="W121" s="170"/>
    </row>
    <row r="122" s="39" customFormat="1" ht="22" hidden="1" customHeight="1" spans="1:23">
      <c r="A122" s="144" t="s">
        <v>315</v>
      </c>
      <c r="B122" s="78" t="s">
        <v>30</v>
      </c>
      <c r="C122" s="79"/>
      <c r="D122" s="80" t="s">
        <v>31</v>
      </c>
      <c r="E122" s="80" t="s">
        <v>310</v>
      </c>
      <c r="F122" s="81" t="str">
        <f>IFERROR(VLOOKUP(E122,客户!B:C,2,FALSE),"/")</f>
        <v>/</v>
      </c>
      <c r="G122" s="80" t="s">
        <v>316</v>
      </c>
      <c r="H122" s="45" t="s">
        <v>154</v>
      </c>
      <c r="I122" s="45" t="s">
        <v>312</v>
      </c>
      <c r="J122" s="108">
        <v>43340</v>
      </c>
      <c r="K122" s="100">
        <v>43380</v>
      </c>
      <c r="L122" s="100">
        <v>43406</v>
      </c>
      <c r="M122" s="164" t="s">
        <v>317</v>
      </c>
      <c r="N122" s="165" t="s">
        <v>318</v>
      </c>
      <c r="O122" s="104"/>
      <c r="P122" s="102">
        <v>129989.4</v>
      </c>
      <c r="Q122" s="102"/>
      <c r="R122" s="131"/>
      <c r="S122" s="132"/>
      <c r="T122" s="102">
        <v>129989.4</v>
      </c>
      <c r="U122" s="100"/>
      <c r="V122" s="102"/>
      <c r="W122" s="170"/>
    </row>
    <row r="123" s="39" customFormat="1" ht="22" hidden="1" customHeight="1" spans="1:23">
      <c r="A123" s="144" t="s">
        <v>319</v>
      </c>
      <c r="B123" s="78" t="s">
        <v>30</v>
      </c>
      <c r="C123" s="79"/>
      <c r="D123" s="80" t="s">
        <v>31</v>
      </c>
      <c r="E123" s="80" t="s">
        <v>310</v>
      </c>
      <c r="F123" s="81" t="str">
        <f>IFERROR(VLOOKUP(E123,客户!B:C,2,FALSE),"/")</f>
        <v>/</v>
      </c>
      <c r="G123" s="80" t="s">
        <v>320</v>
      </c>
      <c r="H123" s="45" t="s">
        <v>123</v>
      </c>
      <c r="I123" s="45" t="s">
        <v>312</v>
      </c>
      <c r="J123" s="108">
        <v>43340</v>
      </c>
      <c r="K123" s="100">
        <v>43393</v>
      </c>
      <c r="L123" s="100">
        <v>43419</v>
      </c>
      <c r="M123" s="108" t="s">
        <v>321</v>
      </c>
      <c r="N123" s="159" t="s">
        <v>322</v>
      </c>
      <c r="O123" s="104"/>
      <c r="P123" s="102">
        <v>64994.7</v>
      </c>
      <c r="Q123" s="102"/>
      <c r="R123" s="131"/>
      <c r="S123" s="132"/>
      <c r="T123" s="102">
        <v>64994.7</v>
      </c>
      <c r="U123" s="100"/>
      <c r="V123" s="102"/>
      <c r="W123" s="170"/>
    </row>
    <row r="124" s="39" customFormat="1" ht="22" hidden="1" customHeight="1" spans="1:23">
      <c r="A124" s="144" t="s">
        <v>323</v>
      </c>
      <c r="B124" s="78" t="s">
        <v>30</v>
      </c>
      <c r="C124" s="79"/>
      <c r="D124" s="80" t="s">
        <v>31</v>
      </c>
      <c r="E124" s="80" t="s">
        <v>310</v>
      </c>
      <c r="F124" s="81" t="str">
        <f>IFERROR(VLOOKUP(E124,客户!B:C,2,FALSE),"/")</f>
        <v>/</v>
      </c>
      <c r="G124" s="80" t="s">
        <v>320</v>
      </c>
      <c r="H124" s="45" t="s">
        <v>123</v>
      </c>
      <c r="I124" s="45" t="s">
        <v>312</v>
      </c>
      <c r="J124" s="108">
        <v>43340</v>
      </c>
      <c r="K124" s="100">
        <v>43393</v>
      </c>
      <c r="L124" s="100">
        <v>43423</v>
      </c>
      <c r="M124" s="159" t="s">
        <v>324</v>
      </c>
      <c r="N124" s="159" t="s">
        <v>322</v>
      </c>
      <c r="O124" s="104"/>
      <c r="P124" s="102">
        <v>64994.7</v>
      </c>
      <c r="Q124" s="102"/>
      <c r="R124" s="131"/>
      <c r="S124" s="132"/>
      <c r="T124" s="102">
        <v>64994.7</v>
      </c>
      <c r="U124" s="100"/>
      <c r="V124" s="102"/>
      <c r="W124" s="170"/>
    </row>
    <row r="125" s="39" customFormat="1" ht="22" hidden="1" customHeight="1" spans="1:23">
      <c r="A125" s="144" t="s">
        <v>325</v>
      </c>
      <c r="B125" s="78" t="s">
        <v>30</v>
      </c>
      <c r="C125" s="79"/>
      <c r="D125" s="80" t="s">
        <v>31</v>
      </c>
      <c r="E125" s="80" t="s">
        <v>326</v>
      </c>
      <c r="F125" s="81" t="str">
        <f>IFERROR(VLOOKUP(E125,客户!B:C,2,FALSE),"/")</f>
        <v>/</v>
      </c>
      <c r="G125" s="80" t="s">
        <v>327</v>
      </c>
      <c r="H125" s="45" t="s">
        <v>123</v>
      </c>
      <c r="I125" s="45" t="s">
        <v>312</v>
      </c>
      <c r="J125" s="108">
        <v>43340</v>
      </c>
      <c r="K125" s="100">
        <v>43413</v>
      </c>
      <c r="L125" s="100">
        <v>43442</v>
      </c>
      <c r="M125" s="159" t="s">
        <v>328</v>
      </c>
      <c r="N125" s="159" t="s">
        <v>329</v>
      </c>
      <c r="O125" s="104"/>
      <c r="P125" s="102">
        <v>86659.6</v>
      </c>
      <c r="Q125" s="102">
        <f>P125-U125</f>
        <v>86659.6</v>
      </c>
      <c r="R125" s="131"/>
      <c r="S125" s="132"/>
      <c r="T125" s="102">
        <v>86659.6</v>
      </c>
      <c r="U125" s="100"/>
      <c r="V125" s="102"/>
      <c r="W125" s="170"/>
    </row>
    <row r="126" s="39" customFormat="1" ht="22" hidden="1" customHeight="1" spans="1:23">
      <c r="A126" s="144" t="s">
        <v>330</v>
      </c>
      <c r="B126" s="78" t="s">
        <v>30</v>
      </c>
      <c r="C126" s="79"/>
      <c r="D126" s="80" t="s">
        <v>31</v>
      </c>
      <c r="E126" s="80" t="s">
        <v>326</v>
      </c>
      <c r="F126" s="81" t="str">
        <f>IFERROR(VLOOKUP(E126,客户!B:C,2,FALSE),"/")</f>
        <v>/</v>
      </c>
      <c r="G126" s="80" t="s">
        <v>320</v>
      </c>
      <c r="H126" s="45" t="s">
        <v>123</v>
      </c>
      <c r="I126" s="45" t="s">
        <v>312</v>
      </c>
      <c r="J126" s="108">
        <v>43340</v>
      </c>
      <c r="K126" s="100">
        <v>43427</v>
      </c>
      <c r="L126" s="100">
        <v>43461</v>
      </c>
      <c r="M126" s="159" t="s">
        <v>331</v>
      </c>
      <c r="N126" s="159" t="s">
        <v>332</v>
      </c>
      <c r="O126" s="104"/>
      <c r="P126" s="102">
        <v>64994.7</v>
      </c>
      <c r="Q126" s="102"/>
      <c r="R126" s="131"/>
      <c r="S126" s="132"/>
      <c r="T126" s="102">
        <v>64994.7</v>
      </c>
      <c r="U126" s="100"/>
      <c r="V126" s="102"/>
      <c r="W126" s="170"/>
    </row>
    <row r="127" s="39" customFormat="1" ht="22" hidden="1" customHeight="1" spans="1:23">
      <c r="A127" s="144" t="s">
        <v>333</v>
      </c>
      <c r="B127" s="78" t="s">
        <v>30</v>
      </c>
      <c r="C127" s="79"/>
      <c r="D127" s="80" t="s">
        <v>31</v>
      </c>
      <c r="E127" s="80" t="s">
        <v>326</v>
      </c>
      <c r="F127" s="81" t="str">
        <f>IFERROR(VLOOKUP(E127,客户!B:C,2,FALSE),"/")</f>
        <v>/</v>
      </c>
      <c r="G127" s="80" t="s">
        <v>334</v>
      </c>
      <c r="H127" s="45" t="s">
        <v>123</v>
      </c>
      <c r="I127" s="45" t="s">
        <v>312</v>
      </c>
      <c r="J127" s="108">
        <v>43340</v>
      </c>
      <c r="K127" s="100">
        <v>43434</v>
      </c>
      <c r="L127" s="100">
        <v>43103</v>
      </c>
      <c r="M127" s="159" t="s">
        <v>335</v>
      </c>
      <c r="N127" s="159" t="s">
        <v>336</v>
      </c>
      <c r="O127" s="104"/>
      <c r="P127" s="102">
        <v>33181.8</v>
      </c>
      <c r="Q127" s="102"/>
      <c r="R127" s="131"/>
      <c r="S127" s="132"/>
      <c r="T127" s="102">
        <v>33181.8</v>
      </c>
      <c r="U127" s="100">
        <v>43473</v>
      </c>
      <c r="V127" s="102"/>
      <c r="W127" s="170"/>
    </row>
    <row r="128" s="39" customFormat="1" ht="22" hidden="1" customHeight="1" spans="1:23">
      <c r="A128" s="145" t="s">
        <v>337</v>
      </c>
      <c r="B128" s="78" t="s">
        <v>30</v>
      </c>
      <c r="C128" s="79"/>
      <c r="D128" s="80" t="s">
        <v>31</v>
      </c>
      <c r="E128" s="80" t="s">
        <v>338</v>
      </c>
      <c r="F128" s="81" t="str">
        <f>IFERROR(VLOOKUP(E128,客户!B:C,2,FALSE),"/")</f>
        <v>/</v>
      </c>
      <c r="G128" s="80" t="s">
        <v>339</v>
      </c>
      <c r="H128" s="45" t="s">
        <v>123</v>
      </c>
      <c r="I128" s="45" t="s">
        <v>340</v>
      </c>
      <c r="J128" s="108">
        <v>43350</v>
      </c>
      <c r="K128" s="100">
        <v>43409</v>
      </c>
      <c r="L128" s="100">
        <v>43440</v>
      </c>
      <c r="M128" s="159" t="s">
        <v>341</v>
      </c>
      <c r="N128" s="162" t="s">
        <v>294</v>
      </c>
      <c r="O128" s="104"/>
      <c r="P128" s="102">
        <v>17843</v>
      </c>
      <c r="Q128" s="102">
        <v>5309.9</v>
      </c>
      <c r="R128" s="131"/>
      <c r="S128" s="132"/>
      <c r="T128" s="102">
        <v>17843</v>
      </c>
      <c r="U128" s="100"/>
      <c r="V128" s="102"/>
      <c r="W128" s="170"/>
    </row>
    <row r="129" s="39" customFormat="1" ht="22" hidden="1" customHeight="1" spans="1:23">
      <c r="A129" s="144" t="s">
        <v>342</v>
      </c>
      <c r="B129" s="78" t="s">
        <v>30</v>
      </c>
      <c r="C129" s="79"/>
      <c r="D129" s="80" t="s">
        <v>31</v>
      </c>
      <c r="E129" s="82" t="s">
        <v>343</v>
      </c>
      <c r="F129" s="81" t="str">
        <f>IFERROR(VLOOKUP(E129,客户!B:C,2,FALSE),"/")</f>
        <v>/</v>
      </c>
      <c r="G129" s="80" t="s">
        <v>344</v>
      </c>
      <c r="H129" s="45" t="s">
        <v>123</v>
      </c>
      <c r="I129" s="45" t="s">
        <v>345</v>
      </c>
      <c r="J129" s="108">
        <v>43349</v>
      </c>
      <c r="K129" s="100">
        <v>43392</v>
      </c>
      <c r="L129" s="100">
        <v>43426</v>
      </c>
      <c r="M129" s="159" t="s">
        <v>341</v>
      </c>
      <c r="N129" s="162" t="s">
        <v>346</v>
      </c>
      <c r="O129" s="104"/>
      <c r="P129" s="102">
        <v>51798.78</v>
      </c>
      <c r="Q129" s="102">
        <v>8000</v>
      </c>
      <c r="R129" s="131"/>
      <c r="S129" s="132"/>
      <c r="T129" s="102">
        <v>51798.78</v>
      </c>
      <c r="U129" s="100"/>
      <c r="V129" s="102"/>
      <c r="W129" s="170"/>
    </row>
    <row r="130" s="39" customFormat="1" ht="22" hidden="1" customHeight="1" spans="1:23">
      <c r="A130" s="144" t="s">
        <v>347</v>
      </c>
      <c r="B130" s="78" t="s">
        <v>30</v>
      </c>
      <c r="C130" s="79"/>
      <c r="D130" s="80" t="s">
        <v>31</v>
      </c>
      <c r="E130" s="80" t="s">
        <v>348</v>
      </c>
      <c r="F130" s="81" t="str">
        <f>IFERROR(VLOOKUP(E130,客户!B:C,2,FALSE),"/")</f>
        <v>/</v>
      </c>
      <c r="G130" s="80" t="s">
        <v>349</v>
      </c>
      <c r="H130" s="45"/>
      <c r="I130" s="45" t="s">
        <v>350</v>
      </c>
      <c r="J130" s="108">
        <v>43350</v>
      </c>
      <c r="K130" s="100">
        <v>43407</v>
      </c>
      <c r="L130" s="100">
        <v>43440</v>
      </c>
      <c r="M130" s="159" t="s">
        <v>351</v>
      </c>
      <c r="N130" s="159" t="s">
        <v>352</v>
      </c>
      <c r="O130" s="104"/>
      <c r="P130" s="102">
        <v>25205.45</v>
      </c>
      <c r="Q130" s="102">
        <v>8138</v>
      </c>
      <c r="R130" s="131"/>
      <c r="S130" s="132"/>
      <c r="T130" s="102">
        <v>25205</v>
      </c>
      <c r="U130" s="100"/>
      <c r="V130" s="102"/>
      <c r="W130" s="170"/>
    </row>
    <row r="131" s="39" customFormat="1" ht="22" hidden="1" customHeight="1" spans="1:23">
      <c r="A131" s="144" t="s">
        <v>353</v>
      </c>
      <c r="B131" s="78" t="s">
        <v>30</v>
      </c>
      <c r="C131" s="79"/>
      <c r="D131" s="80" t="s">
        <v>31</v>
      </c>
      <c r="E131" s="80" t="s">
        <v>354</v>
      </c>
      <c r="F131" s="81" t="str">
        <f>IFERROR(VLOOKUP(E131,客户!B:C,2,FALSE),"/")</f>
        <v>/</v>
      </c>
      <c r="G131" s="80" t="s">
        <v>355</v>
      </c>
      <c r="H131" s="45" t="s">
        <v>123</v>
      </c>
      <c r="I131" s="45" t="s">
        <v>356</v>
      </c>
      <c r="J131" s="108">
        <v>43359</v>
      </c>
      <c r="K131" s="100">
        <v>43400</v>
      </c>
      <c r="L131" s="100">
        <v>43429</v>
      </c>
      <c r="M131" s="159" t="s">
        <v>357</v>
      </c>
      <c r="N131" s="162" t="s">
        <v>358</v>
      </c>
      <c r="O131" s="104"/>
      <c r="P131" s="102">
        <v>23981.6</v>
      </c>
      <c r="Q131" s="102">
        <v>6384</v>
      </c>
      <c r="R131" s="131"/>
      <c r="S131" s="132"/>
      <c r="T131" s="102">
        <v>23981.6</v>
      </c>
      <c r="U131" s="100"/>
      <c r="V131" s="102"/>
      <c r="W131" s="170"/>
    </row>
    <row r="132" s="39" customFormat="1" ht="22" hidden="1" customHeight="1" spans="1:23">
      <c r="A132" s="144" t="s">
        <v>359</v>
      </c>
      <c r="B132" s="78" t="s">
        <v>30</v>
      </c>
      <c r="C132" s="79"/>
      <c r="D132" s="80" t="s">
        <v>31</v>
      </c>
      <c r="E132" s="80" t="s">
        <v>360</v>
      </c>
      <c r="F132" s="81" t="str">
        <f>IFERROR(VLOOKUP(E132,客户!B:C,2,FALSE),"/")</f>
        <v>/</v>
      </c>
      <c r="G132" s="80" t="s">
        <v>361</v>
      </c>
      <c r="H132" s="45" t="s">
        <v>123</v>
      </c>
      <c r="I132" s="45" t="s">
        <v>362</v>
      </c>
      <c r="J132" s="108">
        <v>43363</v>
      </c>
      <c r="K132" s="100">
        <v>43425</v>
      </c>
      <c r="L132" s="100">
        <v>43457</v>
      </c>
      <c r="M132" s="162" t="s">
        <v>363</v>
      </c>
      <c r="N132" s="162" t="s">
        <v>364</v>
      </c>
      <c r="O132" s="104"/>
      <c r="P132" s="102">
        <v>21443.8</v>
      </c>
      <c r="Q132" s="102">
        <v>5972</v>
      </c>
      <c r="R132" s="131"/>
      <c r="S132" s="132"/>
      <c r="T132" s="102">
        <v>21443.8</v>
      </c>
      <c r="U132" s="100"/>
      <c r="V132" s="102"/>
      <c r="W132" s="184"/>
    </row>
    <row r="133" s="39" customFormat="1" ht="22" hidden="1" customHeight="1" spans="1:23">
      <c r="A133" s="144" t="s">
        <v>365</v>
      </c>
      <c r="B133" s="78" t="s">
        <v>30</v>
      </c>
      <c r="C133" s="79"/>
      <c r="D133" s="80" t="s">
        <v>31</v>
      </c>
      <c r="E133" s="80" t="s">
        <v>366</v>
      </c>
      <c r="F133" s="81" t="str">
        <f>IFERROR(VLOOKUP(E133,客户!B:C,2,FALSE),"/")</f>
        <v>/</v>
      </c>
      <c r="G133" s="80" t="s">
        <v>367</v>
      </c>
      <c r="H133" s="45" t="s">
        <v>123</v>
      </c>
      <c r="I133" s="45" t="s">
        <v>368</v>
      </c>
      <c r="J133" s="108">
        <v>43368</v>
      </c>
      <c r="K133" s="100">
        <v>43430</v>
      </c>
      <c r="L133" s="100">
        <v>43458</v>
      </c>
      <c r="M133" s="159" t="s">
        <v>369</v>
      </c>
      <c r="N133" s="162" t="s">
        <v>370</v>
      </c>
      <c r="O133" s="104"/>
      <c r="P133" s="102">
        <v>20899.7</v>
      </c>
      <c r="Q133" s="102">
        <v>8450</v>
      </c>
      <c r="R133" s="131"/>
      <c r="S133" s="132"/>
      <c r="T133" s="102">
        <v>20899.7</v>
      </c>
      <c r="U133" s="100"/>
      <c r="V133" s="102"/>
      <c r="W133" s="170"/>
    </row>
    <row r="134" s="39" customFormat="1" ht="22" hidden="1" customHeight="1" spans="1:23">
      <c r="A134" s="77" t="s">
        <v>371</v>
      </c>
      <c r="B134" s="78" t="s">
        <v>30</v>
      </c>
      <c r="C134" s="79"/>
      <c r="D134" s="80" t="s">
        <v>31</v>
      </c>
      <c r="E134" s="80" t="s">
        <v>372</v>
      </c>
      <c r="F134" s="81" t="str">
        <f>IFERROR(VLOOKUP(E134,客户!B:C,2,FALSE),"/")</f>
        <v>/</v>
      </c>
      <c r="G134" s="80" t="s">
        <v>373</v>
      </c>
      <c r="H134" s="45" t="s">
        <v>123</v>
      </c>
      <c r="I134" s="45" t="s">
        <v>374</v>
      </c>
      <c r="J134" s="108"/>
      <c r="K134" s="100">
        <v>43367</v>
      </c>
      <c r="L134" s="100">
        <v>43392</v>
      </c>
      <c r="M134" s="154" t="s">
        <v>375</v>
      </c>
      <c r="N134" s="151" t="s">
        <v>376</v>
      </c>
      <c r="O134" s="104"/>
      <c r="P134" s="102">
        <v>78318.88</v>
      </c>
      <c r="Q134" s="130"/>
      <c r="R134" s="131"/>
      <c r="S134" s="132"/>
      <c r="T134" s="102">
        <v>78318.88</v>
      </c>
      <c r="U134" s="100"/>
      <c r="V134" s="102"/>
      <c r="W134" s="184"/>
    </row>
    <row r="135" s="39" customFormat="1" ht="22" hidden="1" customHeight="1" spans="1:23">
      <c r="A135" s="77" t="s">
        <v>377</v>
      </c>
      <c r="B135" s="78" t="s">
        <v>30</v>
      </c>
      <c r="C135" s="79"/>
      <c r="D135" s="80" t="s">
        <v>31</v>
      </c>
      <c r="E135" s="80" t="s">
        <v>372</v>
      </c>
      <c r="F135" s="81" t="str">
        <f>IFERROR(VLOOKUP(E135,客户!B:C,2,FALSE),"/")</f>
        <v>/</v>
      </c>
      <c r="G135" s="80" t="s">
        <v>378</v>
      </c>
      <c r="H135" s="45" t="s">
        <v>123</v>
      </c>
      <c r="I135" s="45" t="s">
        <v>374</v>
      </c>
      <c r="J135" s="108"/>
      <c r="K135" s="100"/>
      <c r="L135" s="100"/>
      <c r="M135" s="154"/>
      <c r="N135" s="176"/>
      <c r="O135" s="104"/>
      <c r="P135" s="102"/>
      <c r="Q135" s="130"/>
      <c r="R135" s="131"/>
      <c r="S135" s="132"/>
      <c r="T135" s="102"/>
      <c r="U135" s="100"/>
      <c r="V135" s="102"/>
      <c r="W135" s="184"/>
    </row>
    <row r="136" s="39" customFormat="1" ht="22" hidden="1" customHeight="1" spans="1:23">
      <c r="A136" s="77" t="s">
        <v>379</v>
      </c>
      <c r="B136" s="78" t="s">
        <v>30</v>
      </c>
      <c r="C136" s="79"/>
      <c r="D136" s="80" t="s">
        <v>31</v>
      </c>
      <c r="E136" s="80" t="s">
        <v>372</v>
      </c>
      <c r="F136" s="81" t="str">
        <f>IFERROR(VLOOKUP(E136,客户!B:C,2,FALSE),"/")</f>
        <v>/</v>
      </c>
      <c r="G136" s="80" t="s">
        <v>378</v>
      </c>
      <c r="H136" s="45" t="s">
        <v>123</v>
      </c>
      <c r="I136" s="45" t="s">
        <v>380</v>
      </c>
      <c r="J136" s="108"/>
      <c r="K136" s="100">
        <v>43325</v>
      </c>
      <c r="L136" s="100">
        <v>43358</v>
      </c>
      <c r="M136" s="101" t="s">
        <v>381</v>
      </c>
      <c r="N136" s="101"/>
      <c r="O136" s="104"/>
      <c r="P136" s="102">
        <v>21875.19</v>
      </c>
      <c r="Q136" s="130"/>
      <c r="R136" s="131"/>
      <c r="S136" s="132"/>
      <c r="T136" s="102">
        <v>21875.19</v>
      </c>
      <c r="U136" s="100"/>
      <c r="V136" s="102"/>
      <c r="W136" s="184"/>
    </row>
    <row r="137" s="39" customFormat="1" ht="22" hidden="1" customHeight="1" spans="1:23">
      <c r="A137" s="144" t="s">
        <v>382</v>
      </c>
      <c r="B137" s="78" t="s">
        <v>30</v>
      </c>
      <c r="C137" s="79"/>
      <c r="D137" s="80" t="s">
        <v>31</v>
      </c>
      <c r="E137" s="80" t="s">
        <v>383</v>
      </c>
      <c r="F137" s="81" t="str">
        <f>IFERROR(VLOOKUP(E137,客户!B:C,2,FALSE),"/")</f>
        <v>/</v>
      </c>
      <c r="G137" s="80" t="s">
        <v>384</v>
      </c>
      <c r="H137" s="45" t="s">
        <v>385</v>
      </c>
      <c r="I137" s="45" t="s">
        <v>386</v>
      </c>
      <c r="J137" s="108">
        <v>43372</v>
      </c>
      <c r="K137" s="100">
        <v>43449</v>
      </c>
      <c r="L137" s="100">
        <v>43462</v>
      </c>
      <c r="M137" s="116"/>
      <c r="N137" s="162" t="s">
        <v>387</v>
      </c>
      <c r="O137" s="104"/>
      <c r="P137" s="102">
        <v>26373</v>
      </c>
      <c r="Q137" s="102">
        <v>7372.8</v>
      </c>
      <c r="R137" s="131">
        <v>0</v>
      </c>
      <c r="S137" s="132"/>
      <c r="T137" s="102">
        <v>26373</v>
      </c>
      <c r="U137" s="100"/>
      <c r="V137" s="102"/>
      <c r="W137" s="170"/>
    </row>
    <row r="138" s="39" customFormat="1" ht="22" hidden="1" customHeight="1" spans="1:23">
      <c r="A138" s="144" t="s">
        <v>388</v>
      </c>
      <c r="B138" s="78" t="s">
        <v>30</v>
      </c>
      <c r="C138" s="79"/>
      <c r="D138" s="80" t="s">
        <v>31</v>
      </c>
      <c r="E138" s="80" t="s">
        <v>389</v>
      </c>
      <c r="F138" s="81" t="str">
        <f>IFERROR(VLOOKUP(E138,客户!B:C,2,FALSE),"/")</f>
        <v>/</v>
      </c>
      <c r="G138" s="80" t="s">
        <v>390</v>
      </c>
      <c r="H138" s="45" t="s">
        <v>154</v>
      </c>
      <c r="I138" s="45" t="s">
        <v>391</v>
      </c>
      <c r="J138" s="108">
        <v>43377</v>
      </c>
      <c r="K138" s="100">
        <v>43451</v>
      </c>
      <c r="L138" s="100">
        <v>43118</v>
      </c>
      <c r="M138" s="116"/>
      <c r="N138" s="177" t="s">
        <v>392</v>
      </c>
      <c r="O138" s="104"/>
      <c r="P138" s="102">
        <v>26711.65</v>
      </c>
      <c r="Q138" s="102">
        <v>5200</v>
      </c>
      <c r="R138" s="131">
        <v>0</v>
      </c>
      <c r="S138" s="132"/>
      <c r="T138" s="102" t="s">
        <v>393</v>
      </c>
      <c r="U138" s="100"/>
      <c r="V138" s="139"/>
      <c r="W138" s="170"/>
    </row>
    <row r="139" s="39" customFormat="1" ht="22" hidden="1" customHeight="1" spans="1:23">
      <c r="A139" s="144" t="s">
        <v>394</v>
      </c>
      <c r="B139" s="78" t="s">
        <v>30</v>
      </c>
      <c r="C139" s="79"/>
      <c r="D139" s="80" t="s">
        <v>31</v>
      </c>
      <c r="E139" s="80" t="s">
        <v>395</v>
      </c>
      <c r="F139" s="81" t="str">
        <f>IFERROR(VLOOKUP(E139,客户!B:C,2,FALSE),"/")</f>
        <v>/</v>
      </c>
      <c r="G139" s="80" t="s">
        <v>390</v>
      </c>
      <c r="H139" s="45" t="s">
        <v>396</v>
      </c>
      <c r="I139" s="45" t="s">
        <v>397</v>
      </c>
      <c r="J139" s="108">
        <v>43386</v>
      </c>
      <c r="K139" s="100">
        <v>43428</v>
      </c>
      <c r="L139" s="100">
        <v>43446</v>
      </c>
      <c r="M139" s="165" t="s">
        <v>398</v>
      </c>
      <c r="N139" s="162" t="s">
        <v>399</v>
      </c>
      <c r="O139" s="104"/>
      <c r="P139" s="102">
        <v>22834.4</v>
      </c>
      <c r="Q139" s="102"/>
      <c r="R139" s="131">
        <v>0</v>
      </c>
      <c r="S139" s="132"/>
      <c r="T139" s="102">
        <v>22834</v>
      </c>
      <c r="U139" s="100"/>
      <c r="V139" s="102"/>
      <c r="W139" s="170"/>
    </row>
    <row r="140" s="39" customFormat="1" ht="22" hidden="1" customHeight="1" spans="1:23">
      <c r="A140" s="144" t="s">
        <v>400</v>
      </c>
      <c r="B140" s="78" t="s">
        <v>30</v>
      </c>
      <c r="C140" s="79"/>
      <c r="D140" s="80" t="s">
        <v>31</v>
      </c>
      <c r="E140" s="80" t="s">
        <v>221</v>
      </c>
      <c r="F140" s="81" t="str">
        <f>IFERROR(VLOOKUP(E140,客户!B:C,2,FALSE),"/")</f>
        <v>/</v>
      </c>
      <c r="G140" s="80" t="s">
        <v>401</v>
      </c>
      <c r="H140" s="45" t="s">
        <v>123</v>
      </c>
      <c r="I140" s="45" t="s">
        <v>402</v>
      </c>
      <c r="J140" s="108">
        <v>43391</v>
      </c>
      <c r="K140" s="100">
        <v>43442</v>
      </c>
      <c r="L140" s="100">
        <v>43484</v>
      </c>
      <c r="M140" s="178"/>
      <c r="N140" s="162" t="s">
        <v>403</v>
      </c>
      <c r="O140" s="104"/>
      <c r="P140" s="102">
        <f>21121.68+1156</f>
        <v>22277.68</v>
      </c>
      <c r="Q140" s="102"/>
      <c r="R140" s="131"/>
      <c r="S140" s="132"/>
      <c r="T140" s="102">
        <f>15006.13+5000</f>
        <v>20006.13</v>
      </c>
      <c r="U140" s="100"/>
      <c r="V140" s="185" t="s">
        <v>404</v>
      </c>
      <c r="W140" s="170"/>
    </row>
    <row r="141" s="39" customFormat="1" ht="22" hidden="1" customHeight="1" spans="1:23">
      <c r="A141" s="144" t="s">
        <v>405</v>
      </c>
      <c r="B141" s="78" t="s">
        <v>30</v>
      </c>
      <c r="C141" s="79"/>
      <c r="D141" s="80" t="s">
        <v>31</v>
      </c>
      <c r="E141" s="80" t="s">
        <v>301</v>
      </c>
      <c r="F141" s="81" t="str">
        <f>IFERROR(VLOOKUP(E141,客户!B:C,2,FALSE),"/")</f>
        <v>/</v>
      </c>
      <c r="G141" s="80" t="s">
        <v>406</v>
      </c>
      <c r="H141" s="45" t="s">
        <v>407</v>
      </c>
      <c r="I141" s="45"/>
      <c r="J141" s="108">
        <v>43394</v>
      </c>
      <c r="K141" s="100">
        <v>43424</v>
      </c>
      <c r="L141" s="100">
        <v>43445</v>
      </c>
      <c r="M141" s="159" t="s">
        <v>408</v>
      </c>
      <c r="N141" s="162" t="s">
        <v>409</v>
      </c>
      <c r="O141" s="104"/>
      <c r="P141" s="45" t="s">
        <v>410</v>
      </c>
      <c r="Q141" s="102"/>
      <c r="R141" s="131"/>
      <c r="S141" s="132"/>
      <c r="T141" s="102"/>
      <c r="U141" s="100"/>
      <c r="V141" s="130"/>
      <c r="W141" s="186"/>
    </row>
    <row r="142" s="39" customFormat="1" ht="22" hidden="1" customHeight="1" spans="1:23">
      <c r="A142" s="144" t="s">
        <v>411</v>
      </c>
      <c r="B142" s="78" t="s">
        <v>30</v>
      </c>
      <c r="C142" s="79"/>
      <c r="D142" s="80" t="s">
        <v>31</v>
      </c>
      <c r="E142" s="80" t="s">
        <v>412</v>
      </c>
      <c r="F142" s="81">
        <f>IFERROR(VLOOKUP(E142,客户!B:C,2,FALSE),"/")</f>
        <v>0</v>
      </c>
      <c r="G142" s="80" t="s">
        <v>413</v>
      </c>
      <c r="H142" s="45" t="s">
        <v>123</v>
      </c>
      <c r="I142" s="45" t="s">
        <v>414</v>
      </c>
      <c r="J142" s="108">
        <v>43399</v>
      </c>
      <c r="K142" s="100">
        <v>43483</v>
      </c>
      <c r="L142" s="100">
        <v>43523</v>
      </c>
      <c r="M142" s="45" t="s">
        <v>415</v>
      </c>
      <c r="N142" s="108" t="s">
        <v>416</v>
      </c>
      <c r="O142" s="104"/>
      <c r="P142" s="102">
        <v>22228</v>
      </c>
      <c r="Q142" s="102">
        <v>0</v>
      </c>
      <c r="R142" s="131">
        <v>0</v>
      </c>
      <c r="S142" s="132"/>
      <c r="T142" s="102">
        <v>22176</v>
      </c>
      <c r="U142" s="100">
        <v>43524</v>
      </c>
      <c r="V142" s="130"/>
      <c r="W142" s="170"/>
    </row>
    <row r="143" s="39" customFormat="1" ht="22" hidden="1" customHeight="1" spans="1:23">
      <c r="A143" s="144" t="s">
        <v>417</v>
      </c>
      <c r="B143" s="78" t="s">
        <v>30</v>
      </c>
      <c r="C143" s="79"/>
      <c r="D143" s="80" t="s">
        <v>31</v>
      </c>
      <c r="E143" s="80" t="s">
        <v>301</v>
      </c>
      <c r="F143" s="81" t="str">
        <f>IFERROR(VLOOKUP(E143,客户!B:C,2,FALSE),"/")</f>
        <v>/</v>
      </c>
      <c r="G143" s="80" t="s">
        <v>418</v>
      </c>
      <c r="H143" s="144" t="s">
        <v>127</v>
      </c>
      <c r="I143" s="45" t="s">
        <v>419</v>
      </c>
      <c r="J143" s="108">
        <v>43409</v>
      </c>
      <c r="K143" s="100"/>
      <c r="L143" s="179"/>
      <c r="M143" s="159"/>
      <c r="N143" s="108" t="s">
        <v>420</v>
      </c>
      <c r="O143" s="104"/>
      <c r="P143" s="102">
        <v>128994</v>
      </c>
      <c r="Q143" s="102">
        <v>26232</v>
      </c>
      <c r="R143" s="131"/>
      <c r="S143" s="132"/>
      <c r="T143" s="102"/>
      <c r="U143" s="100"/>
      <c r="V143" s="102"/>
      <c r="W143" s="170"/>
    </row>
    <row r="144" s="39" customFormat="1" ht="22" hidden="1" customHeight="1" spans="1:24">
      <c r="A144" s="144" t="s">
        <v>421</v>
      </c>
      <c r="B144" s="78" t="s">
        <v>30</v>
      </c>
      <c r="C144" s="79"/>
      <c r="D144" s="80" t="s">
        <v>31</v>
      </c>
      <c r="E144" s="82" t="s">
        <v>422</v>
      </c>
      <c r="F144" s="81" t="str">
        <f>IFERROR(VLOOKUP(E144,客户!B:C,2,FALSE),"/")</f>
        <v>埃及红线客户配件 样品都要单独显示在箱单发票上</v>
      </c>
      <c r="G144" s="80" t="s">
        <v>423</v>
      </c>
      <c r="H144" s="45" t="s">
        <v>123</v>
      </c>
      <c r="I144" s="45" t="s">
        <v>219</v>
      </c>
      <c r="J144" s="108">
        <v>43413</v>
      </c>
      <c r="K144" s="100">
        <v>43491</v>
      </c>
      <c r="L144" s="100">
        <v>43533</v>
      </c>
      <c r="M144" s="180"/>
      <c r="N144" s="116" t="s">
        <v>424</v>
      </c>
      <c r="O144" s="104"/>
      <c r="P144" s="102">
        <v>23910.45</v>
      </c>
      <c r="Q144" s="102"/>
      <c r="R144" s="131">
        <v>0</v>
      </c>
      <c r="S144" s="132"/>
      <c r="T144" s="102" t="s">
        <v>425</v>
      </c>
      <c r="U144" s="100">
        <v>43528</v>
      </c>
      <c r="V144" s="128">
        <v>16762.26</v>
      </c>
      <c r="W144" s="128">
        <f>P144-V144</f>
        <v>7148.19</v>
      </c>
      <c r="X144" s="187" t="s">
        <v>426</v>
      </c>
    </row>
    <row r="145" s="39" customFormat="1" ht="22" hidden="1" customHeight="1" spans="1:23">
      <c r="A145" s="144" t="s">
        <v>427</v>
      </c>
      <c r="B145" s="78" t="s">
        <v>30</v>
      </c>
      <c r="C145" s="79"/>
      <c r="D145" s="80" t="s">
        <v>31</v>
      </c>
      <c r="E145" s="80" t="s">
        <v>428</v>
      </c>
      <c r="F145" s="81">
        <f>IFERROR(VLOOKUP(E145,客户!B:C,2,FALSE),"/")</f>
        <v>0</v>
      </c>
      <c r="G145" s="80" t="s">
        <v>429</v>
      </c>
      <c r="H145" s="45"/>
      <c r="I145" s="45" t="s">
        <v>419</v>
      </c>
      <c r="J145" s="108">
        <v>43445</v>
      </c>
      <c r="K145" s="100">
        <v>43478</v>
      </c>
      <c r="L145" s="100">
        <v>43494</v>
      </c>
      <c r="M145" s="159"/>
      <c r="N145" s="108" t="s">
        <v>430</v>
      </c>
      <c r="O145" s="104"/>
      <c r="P145" s="102">
        <v>141897</v>
      </c>
      <c r="Q145" s="102">
        <v>14000</v>
      </c>
      <c r="R145" s="131">
        <v>0</v>
      </c>
      <c r="S145" s="132"/>
      <c r="T145" s="102">
        <v>127850</v>
      </c>
      <c r="U145" s="100">
        <v>43487</v>
      </c>
      <c r="V145" s="130"/>
      <c r="W145" s="170"/>
    </row>
    <row r="146" s="39" customFormat="1" ht="22" hidden="1" customHeight="1" spans="1:23">
      <c r="A146" s="144" t="s">
        <v>431</v>
      </c>
      <c r="B146" s="78" t="s">
        <v>30</v>
      </c>
      <c r="C146" s="79"/>
      <c r="D146" s="80" t="s">
        <v>31</v>
      </c>
      <c r="E146" s="80" t="s">
        <v>296</v>
      </c>
      <c r="F146" s="81">
        <f>IFERROR(VLOOKUP(E146,客户!B:C,2,FALSE),"/")</f>
        <v>0</v>
      </c>
      <c r="G146" s="80" t="s">
        <v>432</v>
      </c>
      <c r="H146" s="45"/>
      <c r="I146" s="45"/>
      <c r="J146" s="108">
        <v>43447</v>
      </c>
      <c r="K146" s="100">
        <v>43490</v>
      </c>
      <c r="L146" s="100">
        <v>43530</v>
      </c>
      <c r="M146" s="159" t="s">
        <v>433</v>
      </c>
      <c r="N146" s="108" t="s">
        <v>434</v>
      </c>
      <c r="O146" s="104"/>
      <c r="P146" s="102">
        <v>23679.2</v>
      </c>
      <c r="Q146" s="102">
        <v>7070.76</v>
      </c>
      <c r="R146" s="131">
        <v>0</v>
      </c>
      <c r="S146" s="132"/>
      <c r="T146" s="102">
        <v>16534</v>
      </c>
      <c r="U146" s="100"/>
      <c r="V146" s="130"/>
      <c r="W146" s="170"/>
    </row>
    <row r="147" s="39" customFormat="1" ht="22" hidden="1" customHeight="1" spans="1:23">
      <c r="A147" s="144" t="s">
        <v>435</v>
      </c>
      <c r="B147" s="78" t="s">
        <v>30</v>
      </c>
      <c r="C147" s="79"/>
      <c r="D147" s="80" t="s">
        <v>31</v>
      </c>
      <c r="E147" s="80" t="s">
        <v>436</v>
      </c>
      <c r="F147" s="81" t="str">
        <f>IFERROR(VLOOKUP(E147,客户!B:C,2,FALSE),"/")</f>
        <v>$53.50 TUV Austria administration cost 革力减掉150代理费</v>
      </c>
      <c r="G147" s="80" t="s">
        <v>437</v>
      </c>
      <c r="H147" s="45" t="s">
        <v>123</v>
      </c>
      <c r="I147" s="45" t="s">
        <v>226</v>
      </c>
      <c r="J147" s="108">
        <v>43448</v>
      </c>
      <c r="K147" s="100">
        <v>43519</v>
      </c>
      <c r="L147" s="100">
        <v>43552</v>
      </c>
      <c r="M147" s="159" t="s">
        <v>438</v>
      </c>
      <c r="N147" s="108"/>
      <c r="O147" s="104"/>
      <c r="P147" s="102">
        <v>21014.6</v>
      </c>
      <c r="Q147" s="102">
        <v>6675</v>
      </c>
      <c r="R147" s="131">
        <v>0</v>
      </c>
      <c r="S147" s="132"/>
      <c r="T147" s="102">
        <v>14287</v>
      </c>
      <c r="U147" s="100">
        <v>43532</v>
      </c>
      <c r="V147" s="130"/>
      <c r="W147" s="170"/>
    </row>
    <row r="148" s="39" customFormat="1" ht="22" hidden="1" customHeight="1" spans="1:23">
      <c r="A148" s="144" t="s">
        <v>439</v>
      </c>
      <c r="B148" s="78" t="s">
        <v>30</v>
      </c>
      <c r="C148" s="79"/>
      <c r="D148" s="80" t="s">
        <v>31</v>
      </c>
      <c r="E148" s="80" t="s">
        <v>440</v>
      </c>
      <c r="F148" s="81">
        <f>IFERROR(VLOOKUP(E148,客户!B:C,2,FALSE),"/")</f>
        <v>0</v>
      </c>
      <c r="G148" s="80" t="s">
        <v>441</v>
      </c>
      <c r="H148" s="45" t="s">
        <v>123</v>
      </c>
      <c r="I148" s="45" t="s">
        <v>442</v>
      </c>
      <c r="J148" s="108">
        <v>43468</v>
      </c>
      <c r="K148" s="100">
        <v>43493</v>
      </c>
      <c r="L148" s="100">
        <v>43533</v>
      </c>
      <c r="M148" s="159" t="s">
        <v>443</v>
      </c>
      <c r="N148" s="108" t="s">
        <v>444</v>
      </c>
      <c r="O148" s="104"/>
      <c r="P148" s="102">
        <v>4054.95</v>
      </c>
      <c r="Q148" s="102">
        <v>1200</v>
      </c>
      <c r="R148" s="131">
        <v>0</v>
      </c>
      <c r="S148" s="132"/>
      <c r="T148" s="102">
        <v>2833</v>
      </c>
      <c r="U148" s="100">
        <v>43483</v>
      </c>
      <c r="V148" s="130"/>
      <c r="W148" s="170"/>
    </row>
    <row r="149" s="39" customFormat="1" ht="22" hidden="1" customHeight="1" spans="1:23">
      <c r="A149" s="144" t="s">
        <v>445</v>
      </c>
      <c r="B149" s="78" t="s">
        <v>30</v>
      </c>
      <c r="C149" s="79"/>
      <c r="D149" s="80" t="s">
        <v>31</v>
      </c>
      <c r="E149" s="80" t="s">
        <v>446</v>
      </c>
      <c r="F149" s="81">
        <f>IFERROR(VLOOKUP(E149,客户!B:C,2,FALSE),"/")</f>
        <v>0</v>
      </c>
      <c r="G149" s="80" t="s">
        <v>43</v>
      </c>
      <c r="H149" s="45" t="s">
        <v>123</v>
      </c>
      <c r="I149" s="45" t="s">
        <v>238</v>
      </c>
      <c r="J149" s="108">
        <v>43468</v>
      </c>
      <c r="K149" s="100">
        <v>43500</v>
      </c>
      <c r="L149" s="100">
        <v>43528</v>
      </c>
      <c r="M149" s="159" t="s">
        <v>447</v>
      </c>
      <c r="N149" s="108" t="s">
        <v>448</v>
      </c>
      <c r="O149" s="104"/>
      <c r="P149" s="102">
        <v>24383.35</v>
      </c>
      <c r="Q149" s="102">
        <v>4972.97</v>
      </c>
      <c r="R149" s="131">
        <v>0</v>
      </c>
      <c r="S149" s="132"/>
      <c r="T149" s="102">
        <v>19361</v>
      </c>
      <c r="U149" s="100">
        <v>43525</v>
      </c>
      <c r="V149" s="130"/>
      <c r="W149" s="170"/>
    </row>
    <row r="150" s="39" customFormat="1" ht="22" hidden="1" customHeight="1" spans="1:23">
      <c r="A150" s="144" t="s">
        <v>449</v>
      </c>
      <c r="B150" s="78" t="s">
        <v>30</v>
      </c>
      <c r="C150" s="79"/>
      <c r="D150" s="80" t="s">
        <v>31</v>
      </c>
      <c r="E150" s="80" t="s">
        <v>450</v>
      </c>
      <c r="F150" s="81">
        <f>IFERROR(VLOOKUP(E150,客户!B:C,2,FALSE),"/")</f>
        <v>0</v>
      </c>
      <c r="G150" s="80" t="s">
        <v>43</v>
      </c>
      <c r="H150" s="45" t="s">
        <v>123</v>
      </c>
      <c r="I150" s="45" t="s">
        <v>223</v>
      </c>
      <c r="J150" s="108">
        <v>43469</v>
      </c>
      <c r="K150" s="100">
        <v>43496</v>
      </c>
      <c r="L150" s="100">
        <v>43552</v>
      </c>
      <c r="M150" s="181" t="s">
        <v>451</v>
      </c>
      <c r="N150" s="108" t="s">
        <v>452</v>
      </c>
      <c r="O150" s="104"/>
      <c r="P150" s="102">
        <v>23385.45</v>
      </c>
      <c r="Q150" s="102" t="s">
        <v>453</v>
      </c>
      <c r="R150" s="131"/>
      <c r="S150" s="132"/>
      <c r="T150" s="102">
        <f>14790+8600</f>
        <v>23390</v>
      </c>
      <c r="U150" s="100"/>
      <c r="V150" s="188" t="s">
        <v>454</v>
      </c>
      <c r="W150" s="170"/>
    </row>
    <row r="151" s="39" customFormat="1" ht="22" hidden="1" customHeight="1" spans="1:24">
      <c r="A151" s="144" t="s">
        <v>455</v>
      </c>
      <c r="B151" s="78" t="s">
        <v>30</v>
      </c>
      <c r="C151" s="79"/>
      <c r="D151" s="80" t="s">
        <v>31</v>
      </c>
      <c r="E151" s="80" t="s">
        <v>456</v>
      </c>
      <c r="F151" s="81" t="str">
        <f>IFERROR(VLOOKUP(E151,客户!B:C,2,FALSE),"/")</f>
        <v>埃及红线客户配件 样品都要单独显示在箱单发票上</v>
      </c>
      <c r="G151" s="80" t="s">
        <v>43</v>
      </c>
      <c r="H151" s="45" t="s">
        <v>123</v>
      </c>
      <c r="I151" s="45" t="s">
        <v>219</v>
      </c>
      <c r="J151" s="108">
        <v>43474</v>
      </c>
      <c r="K151" s="100">
        <v>43561</v>
      </c>
      <c r="L151" s="100">
        <v>43589</v>
      </c>
      <c r="M151" s="159" t="s">
        <v>457</v>
      </c>
      <c r="N151" s="159" t="s">
        <v>458</v>
      </c>
      <c r="O151" s="104"/>
      <c r="P151" s="102">
        <v>23425.03</v>
      </c>
      <c r="Q151" s="139"/>
      <c r="R151" s="131">
        <v>0</v>
      </c>
      <c r="S151" s="132"/>
      <c r="T151" s="102" t="s">
        <v>459</v>
      </c>
      <c r="U151" s="100"/>
      <c r="V151" s="128">
        <v>16563.81</v>
      </c>
      <c r="W151" s="128">
        <f>P151-V151</f>
        <v>6861.22</v>
      </c>
      <c r="X151" s="187"/>
    </row>
    <row r="152" s="39" customFormat="1" ht="22" hidden="1" customHeight="1" spans="1:24">
      <c r="A152" s="144" t="s">
        <v>460</v>
      </c>
      <c r="B152" s="78" t="s">
        <v>30</v>
      </c>
      <c r="C152" s="79"/>
      <c r="D152" s="80" t="s">
        <v>31</v>
      </c>
      <c r="E152" s="80" t="s">
        <v>456</v>
      </c>
      <c r="F152" s="81" t="str">
        <f>IFERROR(VLOOKUP(E152,客户!B:C,2,FALSE),"/")</f>
        <v>埃及红线客户配件 样品都要单独显示在箱单发票上</v>
      </c>
      <c r="G152" s="80" t="s">
        <v>43</v>
      </c>
      <c r="H152" s="45" t="s">
        <v>123</v>
      </c>
      <c r="I152" s="45" t="s">
        <v>219</v>
      </c>
      <c r="J152" s="108">
        <v>43481</v>
      </c>
      <c r="K152" s="100">
        <v>43561</v>
      </c>
      <c r="L152" s="100">
        <v>43589</v>
      </c>
      <c r="M152" s="159" t="s">
        <v>461</v>
      </c>
      <c r="N152" s="159" t="s">
        <v>458</v>
      </c>
      <c r="O152" s="104"/>
      <c r="P152" s="102">
        <v>24737.78</v>
      </c>
      <c r="Q152" s="139"/>
      <c r="R152" s="131">
        <v>0</v>
      </c>
      <c r="S152" s="132"/>
      <c r="T152" s="102" t="s">
        <v>462</v>
      </c>
      <c r="U152" s="100"/>
      <c r="V152" s="130"/>
      <c r="W152" s="130"/>
      <c r="X152" s="42"/>
    </row>
    <row r="153" s="39" customFormat="1" ht="22" hidden="1" customHeight="1" spans="1:23">
      <c r="A153" s="144" t="s">
        <v>463</v>
      </c>
      <c r="B153" s="78" t="s">
        <v>30</v>
      </c>
      <c r="C153" s="79"/>
      <c r="D153" s="80" t="s">
        <v>31</v>
      </c>
      <c r="E153" s="80" t="s">
        <v>464</v>
      </c>
      <c r="F153" s="81">
        <f>IFERROR(VLOOKUP(E153,客户!B:C,2,FALSE),"/")</f>
        <v>0</v>
      </c>
      <c r="G153" s="80" t="s">
        <v>43</v>
      </c>
      <c r="H153" s="45" t="s">
        <v>123</v>
      </c>
      <c r="I153" s="45" t="s">
        <v>465</v>
      </c>
      <c r="J153" s="108">
        <v>43493</v>
      </c>
      <c r="K153" s="100">
        <v>43559</v>
      </c>
      <c r="L153" s="100">
        <v>43589</v>
      </c>
      <c r="M153" s="159" t="s">
        <v>466</v>
      </c>
      <c r="N153" s="108" t="s">
        <v>467</v>
      </c>
      <c r="O153" s="104"/>
      <c r="P153" s="102">
        <v>41221.8</v>
      </c>
      <c r="Q153" s="102" t="s">
        <v>468</v>
      </c>
      <c r="R153" s="131">
        <v>0</v>
      </c>
      <c r="S153" s="132"/>
      <c r="T153" s="102" t="s">
        <v>469</v>
      </c>
      <c r="U153" s="100">
        <v>43578</v>
      </c>
      <c r="V153" s="130"/>
      <c r="W153" s="130"/>
    </row>
    <row r="154" s="39" customFormat="1" ht="22" hidden="1" customHeight="1" spans="1:23">
      <c r="A154" s="144" t="s">
        <v>470</v>
      </c>
      <c r="B154" s="78" t="s">
        <v>30</v>
      </c>
      <c r="C154" s="79"/>
      <c r="D154" s="80" t="s">
        <v>31</v>
      </c>
      <c r="E154" s="80" t="s">
        <v>464</v>
      </c>
      <c r="F154" s="81">
        <f>IFERROR(VLOOKUP(E154,客户!B:C,2,FALSE),"/")</f>
        <v>0</v>
      </c>
      <c r="G154" s="80" t="s">
        <v>43</v>
      </c>
      <c r="H154" s="45" t="s">
        <v>123</v>
      </c>
      <c r="I154" s="45" t="s">
        <v>465</v>
      </c>
      <c r="J154" s="108">
        <v>43493</v>
      </c>
      <c r="K154" s="100">
        <v>43559</v>
      </c>
      <c r="L154" s="100">
        <v>43589</v>
      </c>
      <c r="M154" s="159" t="s">
        <v>466</v>
      </c>
      <c r="N154" s="108" t="s">
        <v>467</v>
      </c>
      <c r="O154" s="104"/>
      <c r="P154" s="102"/>
      <c r="Q154" s="102" t="s">
        <v>468</v>
      </c>
      <c r="R154" s="131"/>
      <c r="S154" s="132"/>
      <c r="T154" s="102" t="s">
        <v>471</v>
      </c>
      <c r="U154" s="100">
        <v>43580</v>
      </c>
      <c r="V154" s="130"/>
      <c r="W154" s="189">
        <f>SUBTOTAL(9,W144:W153)</f>
        <v>0</v>
      </c>
    </row>
    <row r="155" s="39" customFormat="1" ht="22" hidden="1" customHeight="1" spans="1:23">
      <c r="A155" s="144" t="s">
        <v>472</v>
      </c>
      <c r="B155" s="78" t="s">
        <v>30</v>
      </c>
      <c r="C155" s="79"/>
      <c r="D155" s="80" t="s">
        <v>31</v>
      </c>
      <c r="E155" s="80" t="s">
        <v>473</v>
      </c>
      <c r="F155" s="81">
        <f>IFERROR(VLOOKUP(E155,客户!B:C,2,FALSE),"/")</f>
        <v>0</v>
      </c>
      <c r="G155" s="80" t="s">
        <v>474</v>
      </c>
      <c r="H155" s="144" t="s">
        <v>127</v>
      </c>
      <c r="I155" s="45" t="s">
        <v>475</v>
      </c>
      <c r="J155" s="108">
        <v>43509</v>
      </c>
      <c r="K155" s="100">
        <v>43554</v>
      </c>
      <c r="L155" s="103">
        <v>43567</v>
      </c>
      <c r="M155" s="181" t="s">
        <v>476</v>
      </c>
      <c r="N155" s="108" t="s">
        <v>477</v>
      </c>
      <c r="O155" s="104"/>
      <c r="P155" s="102">
        <v>115563.28</v>
      </c>
      <c r="Q155" s="102" t="s">
        <v>478</v>
      </c>
      <c r="R155" s="131">
        <v>0</v>
      </c>
      <c r="S155" s="132"/>
      <c r="T155" s="102" t="s">
        <v>479</v>
      </c>
      <c r="U155" s="100">
        <v>43563</v>
      </c>
      <c r="V155" s="130"/>
      <c r="W155" s="170"/>
    </row>
    <row r="156" s="39" customFormat="1" ht="22" hidden="1" customHeight="1" spans="1:23">
      <c r="A156" s="144" t="s">
        <v>480</v>
      </c>
      <c r="B156" s="78" t="s">
        <v>30</v>
      </c>
      <c r="C156" s="79"/>
      <c r="D156" s="80" t="s">
        <v>31</v>
      </c>
      <c r="E156" s="80" t="s">
        <v>481</v>
      </c>
      <c r="F156" s="81" t="str">
        <f>IFERROR(VLOOKUP(E156,客户!B:C,2,FALSE),"/")</f>
        <v>$53.50 TUV Austria administration cost 革力减掉150代理费</v>
      </c>
      <c r="G156" s="80" t="s">
        <v>91</v>
      </c>
      <c r="H156" s="45" t="s">
        <v>123</v>
      </c>
      <c r="I156" s="45" t="s">
        <v>226</v>
      </c>
      <c r="J156" s="108">
        <v>43510</v>
      </c>
      <c r="K156" s="100">
        <v>43578</v>
      </c>
      <c r="L156" s="100">
        <v>43622</v>
      </c>
      <c r="M156" s="181" t="s">
        <v>482</v>
      </c>
      <c r="N156" s="159" t="s">
        <v>483</v>
      </c>
      <c r="O156" s="104"/>
      <c r="P156" s="102">
        <v>18776</v>
      </c>
      <c r="Q156" s="102">
        <v>5786.7</v>
      </c>
      <c r="R156" s="131">
        <v>0</v>
      </c>
      <c r="S156" s="132"/>
      <c r="T156" s="102">
        <v>12938</v>
      </c>
      <c r="U156" s="100">
        <v>43588</v>
      </c>
      <c r="V156" s="130"/>
      <c r="W156" s="170"/>
    </row>
    <row r="157" s="39" customFormat="1" ht="22" hidden="1" customHeight="1" spans="1:23">
      <c r="A157" s="144" t="s">
        <v>484</v>
      </c>
      <c r="B157" s="78" t="s">
        <v>30</v>
      </c>
      <c r="C157" s="79"/>
      <c r="D157" s="80" t="s">
        <v>31</v>
      </c>
      <c r="E157" s="80" t="s">
        <v>446</v>
      </c>
      <c r="F157" s="81">
        <f>IFERROR(VLOOKUP(E157,客户!B:C,2,FALSE),"/")</f>
        <v>0</v>
      </c>
      <c r="G157" s="80" t="s">
        <v>485</v>
      </c>
      <c r="H157" s="45" t="s">
        <v>123</v>
      </c>
      <c r="I157" s="45" t="s">
        <v>238</v>
      </c>
      <c r="J157" s="108">
        <v>43514</v>
      </c>
      <c r="K157" s="100">
        <v>43556</v>
      </c>
      <c r="L157" s="100">
        <v>43584</v>
      </c>
      <c r="M157" s="159" t="s">
        <v>486</v>
      </c>
      <c r="N157" s="108" t="s">
        <v>487</v>
      </c>
      <c r="O157" s="104"/>
      <c r="P157" s="102">
        <v>24292.88</v>
      </c>
      <c r="Q157" s="102">
        <v>4858.5</v>
      </c>
      <c r="R157" s="131">
        <v>0</v>
      </c>
      <c r="S157" s="132"/>
      <c r="T157" s="102">
        <v>14385</v>
      </c>
      <c r="U157" s="100">
        <v>43580</v>
      </c>
      <c r="V157" s="130"/>
      <c r="W157" s="170"/>
    </row>
    <row r="158" s="39" customFormat="1" ht="22" hidden="1" customHeight="1" spans="1:23">
      <c r="A158" s="144" t="s">
        <v>488</v>
      </c>
      <c r="B158" s="78" t="s">
        <v>30</v>
      </c>
      <c r="C158" s="79"/>
      <c r="D158" s="80" t="s">
        <v>31</v>
      </c>
      <c r="E158" s="80" t="s">
        <v>450</v>
      </c>
      <c r="F158" s="81">
        <f>IFERROR(VLOOKUP(E158,客户!B:C,2,FALSE),"/")</f>
        <v>0</v>
      </c>
      <c r="G158" s="80" t="s">
        <v>485</v>
      </c>
      <c r="H158" s="45" t="s">
        <v>123</v>
      </c>
      <c r="I158" s="45" t="s">
        <v>223</v>
      </c>
      <c r="J158" s="108">
        <v>43516</v>
      </c>
      <c r="K158" s="100">
        <v>43556</v>
      </c>
      <c r="L158" s="100">
        <v>43595</v>
      </c>
      <c r="M158" s="159" t="s">
        <v>489</v>
      </c>
      <c r="N158" s="108" t="s">
        <v>490</v>
      </c>
      <c r="O158" s="104"/>
      <c r="P158" s="102">
        <v>22555.63</v>
      </c>
      <c r="Q158" s="102"/>
      <c r="R158" s="131"/>
      <c r="S158" s="132"/>
      <c r="T158" s="102">
        <f>6858+15190</f>
        <v>22048</v>
      </c>
      <c r="U158" s="100">
        <v>43590</v>
      </c>
      <c r="V158" s="130" t="s">
        <v>491</v>
      </c>
      <c r="W158" s="170"/>
    </row>
    <row r="159" s="39" customFormat="1" ht="22" hidden="1" customHeight="1" spans="1:23">
      <c r="A159" s="144" t="s">
        <v>492</v>
      </c>
      <c r="B159" s="78" t="s">
        <v>30</v>
      </c>
      <c r="C159" s="79"/>
      <c r="D159" s="80" t="s">
        <v>31</v>
      </c>
      <c r="E159" s="80" t="s">
        <v>473</v>
      </c>
      <c r="F159" s="81">
        <f>IFERROR(VLOOKUP(E159,客户!B:C,2,FALSE),"/")</f>
        <v>0</v>
      </c>
      <c r="G159" s="80" t="s">
        <v>493</v>
      </c>
      <c r="H159" s="144" t="s">
        <v>127</v>
      </c>
      <c r="I159" s="45" t="s">
        <v>475</v>
      </c>
      <c r="J159" s="108">
        <v>43518</v>
      </c>
      <c r="K159" s="100">
        <v>43609</v>
      </c>
      <c r="L159" s="100">
        <v>43623</v>
      </c>
      <c r="M159" s="159" t="s">
        <v>494</v>
      </c>
      <c r="N159" s="108" t="s">
        <v>495</v>
      </c>
      <c r="O159" s="104"/>
      <c r="P159" s="102">
        <v>17795.22</v>
      </c>
      <c r="Q159" s="102">
        <v>6926</v>
      </c>
      <c r="R159" s="131"/>
      <c r="S159" s="132"/>
      <c r="T159" s="102">
        <v>9960</v>
      </c>
      <c r="U159" s="100">
        <v>43612</v>
      </c>
      <c r="V159" s="130" t="s">
        <v>496</v>
      </c>
      <c r="W159" s="170"/>
    </row>
    <row r="160" s="39" customFormat="1" ht="22" hidden="1" customHeight="1" spans="1:23">
      <c r="A160" s="144" t="s">
        <v>497</v>
      </c>
      <c r="B160" s="78" t="s">
        <v>30</v>
      </c>
      <c r="C160" s="79"/>
      <c r="D160" s="80" t="s">
        <v>31</v>
      </c>
      <c r="E160" s="80" t="s">
        <v>473</v>
      </c>
      <c r="F160" s="81">
        <f>IFERROR(VLOOKUP(E160,客户!B:C,2,FALSE),"/")</f>
        <v>0</v>
      </c>
      <c r="G160" s="80" t="s">
        <v>498</v>
      </c>
      <c r="H160" s="144" t="s">
        <v>127</v>
      </c>
      <c r="I160" s="45" t="s">
        <v>475</v>
      </c>
      <c r="J160" s="108">
        <v>43518</v>
      </c>
      <c r="K160" s="100">
        <v>43619</v>
      </c>
      <c r="L160" s="100">
        <v>43630</v>
      </c>
      <c r="M160" s="159" t="s">
        <v>499</v>
      </c>
      <c r="N160" s="108" t="s">
        <v>500</v>
      </c>
      <c r="O160" s="104"/>
      <c r="P160" s="102">
        <v>11823.83</v>
      </c>
      <c r="Q160" s="102"/>
      <c r="R160" s="131">
        <v>0</v>
      </c>
      <c r="S160" s="132"/>
      <c r="T160" s="102" t="s">
        <v>501</v>
      </c>
      <c r="U160" s="100" t="s">
        <v>502</v>
      </c>
      <c r="V160" s="130"/>
      <c r="W160" s="170"/>
    </row>
    <row r="161" s="39" customFormat="1" ht="22" hidden="1" customHeight="1" spans="1:23">
      <c r="A161" s="144" t="s">
        <v>503</v>
      </c>
      <c r="B161" s="78" t="s">
        <v>30</v>
      </c>
      <c r="C161" s="79"/>
      <c r="D161" s="80" t="s">
        <v>31</v>
      </c>
      <c r="E161" s="80" t="s">
        <v>504</v>
      </c>
      <c r="F161" s="81" t="str">
        <f>IFERROR(VLOOKUP(E161,客户!B:C,2,FALSE),"/")</f>
        <v>收货人可能变 每次和客户确认下收货人 必须受到客户明确回复</v>
      </c>
      <c r="G161" s="80" t="s">
        <v>505</v>
      </c>
      <c r="H161" s="45" t="s">
        <v>123</v>
      </c>
      <c r="I161" s="45" t="s">
        <v>465</v>
      </c>
      <c r="J161" s="108">
        <v>43524</v>
      </c>
      <c r="K161" s="100">
        <v>43578</v>
      </c>
      <c r="L161" s="100">
        <v>43605</v>
      </c>
      <c r="M161" s="159" t="s">
        <v>506</v>
      </c>
      <c r="N161" s="108" t="s">
        <v>507</v>
      </c>
      <c r="O161" s="104"/>
      <c r="P161" s="102">
        <v>47359.3</v>
      </c>
      <c r="Q161" s="102">
        <v>8000</v>
      </c>
      <c r="R161" s="131">
        <v>0</v>
      </c>
      <c r="S161" s="132"/>
      <c r="T161" s="102">
        <v>39359</v>
      </c>
      <c r="U161" s="100">
        <v>43639</v>
      </c>
      <c r="V161" s="130"/>
      <c r="W161" s="170"/>
    </row>
    <row r="162" s="39" customFormat="1" ht="22" hidden="1" customHeight="1" spans="1:23">
      <c r="A162" s="144" t="s">
        <v>508</v>
      </c>
      <c r="B162" s="78" t="s">
        <v>30</v>
      </c>
      <c r="C162" s="79"/>
      <c r="D162" s="80" t="s">
        <v>31</v>
      </c>
      <c r="E162" s="80" t="s">
        <v>60</v>
      </c>
      <c r="F162" s="81" t="str">
        <f>IFERROR(VLOOKUP(E162,客户!B:C,2,FALSE),"/")</f>
        <v>外送费用945人民币+装箱费用 加在发票里</v>
      </c>
      <c r="G162" s="80" t="s">
        <v>509</v>
      </c>
      <c r="H162" s="144" t="s">
        <v>147</v>
      </c>
      <c r="I162" s="45" t="s">
        <v>205</v>
      </c>
      <c r="J162" s="108">
        <v>43528</v>
      </c>
      <c r="K162" s="100">
        <v>43557</v>
      </c>
      <c r="L162" s="100">
        <v>43589</v>
      </c>
      <c r="M162" s="181" t="s">
        <v>510</v>
      </c>
      <c r="N162" s="108" t="s">
        <v>511</v>
      </c>
      <c r="O162" s="104"/>
      <c r="P162" s="102">
        <v>59831.25</v>
      </c>
      <c r="Q162" s="102">
        <v>0</v>
      </c>
      <c r="R162" s="131">
        <v>0</v>
      </c>
      <c r="S162" s="132"/>
      <c r="T162" s="102">
        <v>59831</v>
      </c>
      <c r="U162" s="100"/>
      <c r="V162" s="130"/>
      <c r="W162" s="130">
        <f>W152-61</f>
        <v>-61</v>
      </c>
    </row>
    <row r="163" s="39" customFormat="1" ht="22" hidden="1" customHeight="1" spans="1:23">
      <c r="A163" s="144" t="s">
        <v>512</v>
      </c>
      <c r="B163" s="78" t="s">
        <v>30</v>
      </c>
      <c r="C163" s="79"/>
      <c r="D163" s="80" t="s">
        <v>31</v>
      </c>
      <c r="E163" s="80" t="s">
        <v>60</v>
      </c>
      <c r="F163" s="81" t="str">
        <f>IFERROR(VLOOKUP(E163,客户!B:C,2,FALSE),"/")</f>
        <v>外送费用945人民币+装箱费用 加在发票里</v>
      </c>
      <c r="G163" s="80" t="s">
        <v>513</v>
      </c>
      <c r="H163" s="144" t="s">
        <v>147</v>
      </c>
      <c r="I163" s="45" t="s">
        <v>205</v>
      </c>
      <c r="J163" s="108">
        <v>43528</v>
      </c>
      <c r="K163" s="100">
        <v>43592</v>
      </c>
      <c r="L163" s="100">
        <v>43630</v>
      </c>
      <c r="M163" s="181" t="s">
        <v>514</v>
      </c>
      <c r="N163" s="108" t="s">
        <v>515</v>
      </c>
      <c r="O163" s="104"/>
      <c r="P163" s="102">
        <v>81309.76</v>
      </c>
      <c r="Q163" s="102">
        <v>0</v>
      </c>
      <c r="R163" s="131">
        <v>0</v>
      </c>
      <c r="S163" s="132"/>
      <c r="T163" s="102">
        <v>81224</v>
      </c>
      <c r="U163" s="100">
        <v>43630</v>
      </c>
      <c r="V163" s="130"/>
      <c r="W163" s="170"/>
    </row>
    <row r="164" s="39" customFormat="1" ht="22" hidden="1" customHeight="1" spans="1:23">
      <c r="A164" s="144" t="s">
        <v>516</v>
      </c>
      <c r="B164" s="174" t="s">
        <v>30</v>
      </c>
      <c r="C164" s="175"/>
      <c r="D164" s="80" t="s">
        <v>31</v>
      </c>
      <c r="E164" s="80" t="s">
        <v>60</v>
      </c>
      <c r="F164" s="81" t="str">
        <f>IFERROR(VLOOKUP(E164,客户!B:C,2,FALSE),"/")</f>
        <v>外送费用945人民币+装箱费用 加在发票里</v>
      </c>
      <c r="G164" s="80" t="s">
        <v>513</v>
      </c>
      <c r="H164" s="144" t="s">
        <v>147</v>
      </c>
      <c r="I164" s="45" t="s">
        <v>205</v>
      </c>
      <c r="J164" s="108">
        <v>43528</v>
      </c>
      <c r="K164" s="100">
        <v>43625</v>
      </c>
      <c r="L164" s="100">
        <v>43679</v>
      </c>
      <c r="M164" s="159" t="s">
        <v>517</v>
      </c>
      <c r="N164" s="108" t="s">
        <v>518</v>
      </c>
      <c r="O164" s="104"/>
      <c r="P164" s="102">
        <v>77607.4</v>
      </c>
      <c r="Q164" s="102">
        <v>0</v>
      </c>
      <c r="R164" s="131">
        <v>0</v>
      </c>
      <c r="S164" s="132"/>
      <c r="T164" s="102">
        <v>77108</v>
      </c>
      <c r="U164" s="100">
        <v>43696</v>
      </c>
      <c r="V164" s="130"/>
      <c r="W164" s="170"/>
    </row>
    <row r="165" s="39" customFormat="1" ht="22" hidden="1" customHeight="1" spans="1:23">
      <c r="A165" s="144" t="s">
        <v>519</v>
      </c>
      <c r="B165" s="174" t="s">
        <v>30</v>
      </c>
      <c r="C165" s="175"/>
      <c r="D165" s="80" t="s">
        <v>31</v>
      </c>
      <c r="E165" s="83" t="s">
        <v>520</v>
      </c>
      <c r="F165" s="81">
        <f>IFERROR(VLOOKUP(E165,客户!B:C,2,FALSE),"/")</f>
        <v>0</v>
      </c>
      <c r="G165" s="80" t="s">
        <v>43</v>
      </c>
      <c r="H165" s="45" t="s">
        <v>123</v>
      </c>
      <c r="I165" s="45" t="s">
        <v>465</v>
      </c>
      <c r="J165" s="108">
        <v>43530</v>
      </c>
      <c r="K165" s="100">
        <v>43585</v>
      </c>
      <c r="L165" s="100">
        <v>43616</v>
      </c>
      <c r="M165" s="159" t="s">
        <v>521</v>
      </c>
      <c r="N165" s="108" t="s">
        <v>522</v>
      </c>
      <c r="O165" s="104" t="s">
        <v>523</v>
      </c>
      <c r="P165" s="102">
        <v>45183</v>
      </c>
      <c r="Q165" s="102">
        <v>2200</v>
      </c>
      <c r="R165" s="131">
        <v>0</v>
      </c>
      <c r="S165" s="132"/>
      <c r="T165" s="102" t="s">
        <v>524</v>
      </c>
      <c r="U165" s="100">
        <v>43782</v>
      </c>
      <c r="V165" s="130"/>
      <c r="W165" s="170"/>
    </row>
    <row r="166" s="39" customFormat="1" ht="22" hidden="1" customHeight="1" spans="1:23">
      <c r="A166" s="144" t="s">
        <v>525</v>
      </c>
      <c r="B166" s="174" t="s">
        <v>30</v>
      </c>
      <c r="C166" s="175"/>
      <c r="D166" s="80" t="s">
        <v>31</v>
      </c>
      <c r="E166" s="80" t="s">
        <v>464</v>
      </c>
      <c r="F166" s="81">
        <f>IFERROR(VLOOKUP(E166,客户!B:C,2,FALSE),"/")</f>
        <v>0</v>
      </c>
      <c r="G166" s="80" t="s">
        <v>43</v>
      </c>
      <c r="H166" s="45" t="s">
        <v>123</v>
      </c>
      <c r="I166" s="45" t="s">
        <v>465</v>
      </c>
      <c r="J166" s="108">
        <v>43538</v>
      </c>
      <c r="K166" s="100">
        <v>43585</v>
      </c>
      <c r="L166" s="100">
        <v>43616</v>
      </c>
      <c r="M166" s="159" t="s">
        <v>521</v>
      </c>
      <c r="N166" s="108" t="s">
        <v>522</v>
      </c>
      <c r="O166" s="104" t="s">
        <v>523</v>
      </c>
      <c r="P166" s="102"/>
      <c r="Q166" s="102" t="s">
        <v>526</v>
      </c>
      <c r="R166" s="131"/>
      <c r="S166" s="132"/>
      <c r="T166" s="102">
        <v>3000</v>
      </c>
      <c r="U166" s="100"/>
      <c r="V166" s="130"/>
      <c r="W166" s="170"/>
    </row>
    <row r="167" s="39" customFormat="1" ht="22" hidden="1" customHeight="1" spans="1:23">
      <c r="A167" s="144" t="s">
        <v>527</v>
      </c>
      <c r="B167" s="78" t="s">
        <v>30</v>
      </c>
      <c r="C167" s="79"/>
      <c r="D167" s="80" t="s">
        <v>31</v>
      </c>
      <c r="E167" s="80" t="s">
        <v>528</v>
      </c>
      <c r="F167" s="81" t="str">
        <f>IFERROR(VLOOKUP(E167,客户!B:C,2,FALSE),"/")</f>
        <v>/</v>
      </c>
      <c r="G167" s="80" t="s">
        <v>529</v>
      </c>
      <c r="H167" s="45" t="s">
        <v>123</v>
      </c>
      <c r="I167" s="45" t="s">
        <v>530</v>
      </c>
      <c r="J167" s="108">
        <v>43536</v>
      </c>
      <c r="K167" s="100">
        <v>43581</v>
      </c>
      <c r="L167" s="100">
        <v>43630</v>
      </c>
      <c r="M167" s="181" t="s">
        <v>531</v>
      </c>
      <c r="N167" s="108" t="s">
        <v>532</v>
      </c>
      <c r="O167" s="104"/>
      <c r="P167" s="102">
        <v>26968.88</v>
      </c>
      <c r="Q167" s="102">
        <v>5221.44</v>
      </c>
      <c r="R167" s="131">
        <v>0</v>
      </c>
      <c r="S167" s="132"/>
      <c r="T167" s="102">
        <v>20695</v>
      </c>
      <c r="U167" s="100">
        <v>43635</v>
      </c>
      <c r="V167" s="130"/>
      <c r="W167" s="170"/>
    </row>
    <row r="168" s="39" customFormat="1" ht="22" hidden="1" customHeight="1" spans="1:23">
      <c r="A168" s="144" t="s">
        <v>533</v>
      </c>
      <c r="B168" s="78" t="s">
        <v>30</v>
      </c>
      <c r="C168" s="79"/>
      <c r="D168" s="80" t="s">
        <v>31</v>
      </c>
      <c r="E168" s="80" t="s">
        <v>528</v>
      </c>
      <c r="F168" s="81" t="str">
        <f>IFERROR(VLOOKUP(E168,客户!B:C,2,FALSE),"/")</f>
        <v>/</v>
      </c>
      <c r="G168" s="80" t="s">
        <v>534</v>
      </c>
      <c r="H168" s="45" t="s">
        <v>123</v>
      </c>
      <c r="I168" s="45" t="s">
        <v>530</v>
      </c>
      <c r="J168" s="108">
        <v>43536</v>
      </c>
      <c r="K168" s="100">
        <v>43575</v>
      </c>
      <c r="L168" s="100">
        <v>43623</v>
      </c>
      <c r="M168" s="181" t="s">
        <v>535</v>
      </c>
      <c r="N168" s="108" t="s">
        <v>536</v>
      </c>
      <c r="O168" s="104"/>
      <c r="P168" s="102">
        <v>21553.52</v>
      </c>
      <c r="Q168" s="102">
        <v>4037.82</v>
      </c>
      <c r="R168" s="131">
        <v>0</v>
      </c>
      <c r="S168" s="132"/>
      <c r="T168" s="102">
        <v>17463</v>
      </c>
      <c r="U168" s="100">
        <v>43627</v>
      </c>
      <c r="V168" s="130"/>
      <c r="W168" s="170"/>
    </row>
    <row r="169" s="39" customFormat="1" ht="22" hidden="1" customHeight="1" spans="1:23">
      <c r="A169" s="144" t="s">
        <v>537</v>
      </c>
      <c r="B169" s="78" t="s">
        <v>30</v>
      </c>
      <c r="C169" s="79"/>
      <c r="D169" s="80" t="s">
        <v>31</v>
      </c>
      <c r="E169" s="80" t="s">
        <v>450</v>
      </c>
      <c r="F169" s="81">
        <f>IFERROR(VLOOKUP(E169,客户!B:C,2,FALSE),"/")</f>
        <v>0</v>
      </c>
      <c r="G169" s="80" t="s">
        <v>485</v>
      </c>
      <c r="H169" s="45" t="s">
        <v>123</v>
      </c>
      <c r="I169" s="45" t="s">
        <v>223</v>
      </c>
      <c r="J169" s="108">
        <v>43538</v>
      </c>
      <c r="K169" s="100">
        <v>43569</v>
      </c>
      <c r="L169" s="100">
        <v>43598</v>
      </c>
      <c r="M169" s="159" t="s">
        <v>538</v>
      </c>
      <c r="N169" s="108" t="s">
        <v>539</v>
      </c>
      <c r="O169" s="104"/>
      <c r="P169" s="102">
        <v>21400.25</v>
      </c>
      <c r="Q169" s="139"/>
      <c r="R169" s="131">
        <v>0</v>
      </c>
      <c r="S169" s="132"/>
      <c r="T169" s="102">
        <f>14237+9938</f>
        <v>24175</v>
      </c>
      <c r="U169" s="100">
        <v>43598</v>
      </c>
      <c r="V169" s="130" t="s">
        <v>540</v>
      </c>
      <c r="W169" s="170"/>
    </row>
    <row r="170" s="39" customFormat="1" ht="22" hidden="1" customHeight="1" spans="1:23">
      <c r="A170" s="144" t="s">
        <v>541</v>
      </c>
      <c r="B170" s="78" t="s">
        <v>30</v>
      </c>
      <c r="C170" s="79"/>
      <c r="D170" s="80" t="s">
        <v>31</v>
      </c>
      <c r="E170" s="80" t="s">
        <v>60</v>
      </c>
      <c r="F170" s="81" t="str">
        <f>IFERROR(VLOOKUP(E170,客户!B:C,2,FALSE),"/")</f>
        <v>外送费用945人民币+装箱费用 加在发票里</v>
      </c>
      <c r="G170" s="80" t="s">
        <v>509</v>
      </c>
      <c r="H170" s="144" t="s">
        <v>147</v>
      </c>
      <c r="I170" s="45" t="s">
        <v>542</v>
      </c>
      <c r="J170" s="108">
        <v>43540</v>
      </c>
      <c r="K170" s="100">
        <v>43591</v>
      </c>
      <c r="L170" s="100">
        <v>43618</v>
      </c>
      <c r="M170" s="181" t="s">
        <v>543</v>
      </c>
      <c r="N170" s="108" t="s">
        <v>544</v>
      </c>
      <c r="O170" s="104"/>
      <c r="P170" s="102">
        <v>61867.6</v>
      </c>
      <c r="Q170" s="102"/>
      <c r="R170" s="131">
        <v>0</v>
      </c>
      <c r="S170" s="132"/>
      <c r="T170" s="102">
        <v>61852</v>
      </c>
      <c r="U170" s="100">
        <v>43616</v>
      </c>
      <c r="V170" s="130"/>
      <c r="W170" s="170"/>
    </row>
    <row r="171" s="39" customFormat="1" ht="22" hidden="1" customHeight="1" spans="1:23">
      <c r="A171" s="144" t="s">
        <v>545</v>
      </c>
      <c r="B171" s="78" t="s">
        <v>30</v>
      </c>
      <c r="C171" s="79"/>
      <c r="D171" s="80" t="s">
        <v>31</v>
      </c>
      <c r="E171" s="80" t="s">
        <v>60</v>
      </c>
      <c r="F171" s="81" t="str">
        <f>IFERROR(VLOOKUP(E171,客户!B:C,2,FALSE),"/")</f>
        <v>外送费用945人民币+装箱费用 加在发票里</v>
      </c>
      <c r="G171" s="80" t="s">
        <v>509</v>
      </c>
      <c r="H171" s="144" t="s">
        <v>147</v>
      </c>
      <c r="I171" s="45" t="s">
        <v>542</v>
      </c>
      <c r="J171" s="108">
        <v>43542</v>
      </c>
      <c r="K171" s="100">
        <v>43599</v>
      </c>
      <c r="L171" s="100">
        <v>43641</v>
      </c>
      <c r="M171" s="159" t="s">
        <v>546</v>
      </c>
      <c r="N171" s="108" t="s">
        <v>515</v>
      </c>
      <c r="O171" s="104"/>
      <c r="P171" s="102">
        <v>61269</v>
      </c>
      <c r="Q171" s="102"/>
      <c r="R171" s="131">
        <v>0</v>
      </c>
      <c r="S171" s="132"/>
      <c r="T171" s="102">
        <v>61244</v>
      </c>
      <c r="U171" s="100">
        <v>43648</v>
      </c>
      <c r="V171" s="130"/>
      <c r="W171" s="170"/>
    </row>
    <row r="172" s="39" customFormat="1" ht="22" hidden="1" customHeight="1" spans="1:23">
      <c r="A172" s="144" t="s">
        <v>547</v>
      </c>
      <c r="B172" s="78" t="s">
        <v>30</v>
      </c>
      <c r="C172" s="79"/>
      <c r="D172" s="80" t="s">
        <v>31</v>
      </c>
      <c r="E172" s="82" t="s">
        <v>548</v>
      </c>
      <c r="F172" s="81">
        <f>IFERROR(VLOOKUP(E172,客户!B:C,2,FALSE),"/")</f>
        <v>0</v>
      </c>
      <c r="G172" s="80" t="s">
        <v>549</v>
      </c>
      <c r="H172" s="45" t="s">
        <v>123</v>
      </c>
      <c r="I172" s="45" t="s">
        <v>550</v>
      </c>
      <c r="J172" s="108">
        <v>43552</v>
      </c>
      <c r="K172" s="100">
        <v>43588</v>
      </c>
      <c r="L172" s="100"/>
      <c r="M172" s="178" t="s">
        <v>551</v>
      </c>
      <c r="N172" s="108" t="s">
        <v>552</v>
      </c>
      <c r="O172" s="104"/>
      <c r="P172" s="102">
        <v>28404.7</v>
      </c>
      <c r="Q172" s="102">
        <v>28404</v>
      </c>
      <c r="R172" s="131">
        <v>0</v>
      </c>
      <c r="S172" s="132"/>
      <c r="T172" s="102"/>
      <c r="U172" s="100"/>
      <c r="V172" s="130"/>
      <c r="W172" s="170"/>
    </row>
    <row r="173" s="39" customFormat="1" ht="22" hidden="1" customHeight="1" spans="1:23">
      <c r="A173" s="144" t="s">
        <v>553</v>
      </c>
      <c r="B173" s="78" t="s">
        <v>30</v>
      </c>
      <c r="C173" s="79"/>
      <c r="D173" s="80" t="s">
        <v>31</v>
      </c>
      <c r="E173" s="80" t="s">
        <v>554</v>
      </c>
      <c r="F173" s="81">
        <f>IFERROR(VLOOKUP(E173,客户!B:C,2,FALSE),"/")</f>
        <v>0</v>
      </c>
      <c r="G173" s="80" t="s">
        <v>43</v>
      </c>
      <c r="H173" s="144" t="s">
        <v>396</v>
      </c>
      <c r="I173" s="45" t="s">
        <v>555</v>
      </c>
      <c r="J173" s="108">
        <v>43552</v>
      </c>
      <c r="K173" s="100">
        <v>43594</v>
      </c>
      <c r="L173" s="100"/>
      <c r="M173" s="159" t="s">
        <v>556</v>
      </c>
      <c r="N173" s="108" t="s">
        <v>557</v>
      </c>
      <c r="O173" s="104"/>
      <c r="P173" s="102">
        <v>24751.75</v>
      </c>
      <c r="Q173" s="102">
        <v>7387</v>
      </c>
      <c r="R173" s="131">
        <v>0</v>
      </c>
      <c r="S173" s="132"/>
      <c r="T173" s="102">
        <v>17281</v>
      </c>
      <c r="U173" s="100">
        <v>43600</v>
      </c>
      <c r="V173" s="130"/>
      <c r="W173" s="170"/>
    </row>
    <row r="174" s="39" customFormat="1" ht="22" hidden="1" customHeight="1" spans="1:23">
      <c r="A174" s="144" t="s">
        <v>558</v>
      </c>
      <c r="B174" s="78" t="s">
        <v>30</v>
      </c>
      <c r="C174" s="79"/>
      <c r="D174" s="80" t="s">
        <v>31</v>
      </c>
      <c r="E174" s="80" t="s">
        <v>559</v>
      </c>
      <c r="F174" s="81">
        <f>IFERROR(VLOOKUP(E174,客户!B:C,2,FALSE),"/")</f>
        <v>0</v>
      </c>
      <c r="G174" s="80" t="s">
        <v>86</v>
      </c>
      <c r="H174" s="45" t="s">
        <v>123</v>
      </c>
      <c r="I174" s="45" t="s">
        <v>560</v>
      </c>
      <c r="J174" s="108">
        <v>43553</v>
      </c>
      <c r="K174" s="100">
        <v>43588</v>
      </c>
      <c r="L174" s="100">
        <v>43631</v>
      </c>
      <c r="M174" s="159" t="s">
        <v>561</v>
      </c>
      <c r="N174" s="108" t="s">
        <v>562</v>
      </c>
      <c r="O174" s="104"/>
      <c r="P174" s="102">
        <v>51045.72</v>
      </c>
      <c r="Q174" s="102">
        <v>0</v>
      </c>
      <c r="R174" s="131">
        <v>0</v>
      </c>
      <c r="S174" s="132"/>
      <c r="T174" s="102" t="s">
        <v>563</v>
      </c>
      <c r="U174" s="100">
        <v>43689</v>
      </c>
      <c r="V174" s="130"/>
      <c r="W174" s="170"/>
    </row>
    <row r="175" s="39" customFormat="1" ht="22" hidden="1" customHeight="1" spans="1:23">
      <c r="A175" s="144" t="s">
        <v>564</v>
      </c>
      <c r="B175" s="78" t="s">
        <v>30</v>
      </c>
      <c r="C175" s="79"/>
      <c r="D175" s="80" t="s">
        <v>31</v>
      </c>
      <c r="E175" s="80" t="s">
        <v>559</v>
      </c>
      <c r="F175" s="81">
        <f>IFERROR(VLOOKUP(E175,客户!B:C,2,FALSE),"/")</f>
        <v>0</v>
      </c>
      <c r="G175" s="80" t="s">
        <v>86</v>
      </c>
      <c r="H175" s="45" t="s">
        <v>123</v>
      </c>
      <c r="I175" s="45" t="s">
        <v>560</v>
      </c>
      <c r="J175" s="108">
        <v>43553</v>
      </c>
      <c r="K175" s="100">
        <v>43595</v>
      </c>
      <c r="L175" s="100">
        <v>43635</v>
      </c>
      <c r="M175" s="181" t="s">
        <v>561</v>
      </c>
      <c r="N175" s="108" t="s">
        <v>562</v>
      </c>
      <c r="O175" s="104"/>
      <c r="P175" s="102">
        <v>51073.48</v>
      </c>
      <c r="Q175" s="102"/>
      <c r="R175" s="131">
        <v>0</v>
      </c>
      <c r="S175" s="132"/>
      <c r="T175" s="102">
        <v>50938</v>
      </c>
      <c r="U175" s="100">
        <v>43642</v>
      </c>
      <c r="V175" s="130"/>
      <c r="W175" s="170"/>
    </row>
    <row r="176" s="39" customFormat="1" ht="22" hidden="1" customHeight="1" spans="1:23">
      <c r="A176" s="144" t="s">
        <v>565</v>
      </c>
      <c r="B176" s="78" t="s">
        <v>30</v>
      </c>
      <c r="C176" s="79"/>
      <c r="D176" s="80" t="s">
        <v>31</v>
      </c>
      <c r="E176" s="80" t="s">
        <v>559</v>
      </c>
      <c r="F176" s="81">
        <f>IFERROR(VLOOKUP(E176,客户!B:C,2,FALSE),"/")</f>
        <v>0</v>
      </c>
      <c r="G176" s="80" t="s">
        <v>566</v>
      </c>
      <c r="H176" s="45" t="s">
        <v>123</v>
      </c>
      <c r="I176" s="45" t="s">
        <v>205</v>
      </c>
      <c r="J176" s="108">
        <v>43553</v>
      </c>
      <c r="K176" s="100">
        <v>43575</v>
      </c>
      <c r="L176" s="100">
        <v>43608</v>
      </c>
      <c r="M176" s="181" t="s">
        <v>567</v>
      </c>
      <c r="N176" s="108" t="s">
        <v>562</v>
      </c>
      <c r="O176" s="104"/>
      <c r="P176" s="102">
        <v>26980</v>
      </c>
      <c r="Q176" s="102"/>
      <c r="R176" s="131">
        <v>0</v>
      </c>
      <c r="S176" s="132"/>
      <c r="T176" s="102">
        <v>26835</v>
      </c>
      <c r="U176" s="100">
        <v>43610</v>
      </c>
      <c r="V176" s="130"/>
      <c r="W176" s="170"/>
    </row>
    <row r="177" s="39" customFormat="1" ht="22" hidden="1" customHeight="1" spans="1:23">
      <c r="A177" s="144" t="s">
        <v>568</v>
      </c>
      <c r="B177" s="78" t="s">
        <v>30</v>
      </c>
      <c r="C177" s="79"/>
      <c r="D177" s="80" t="s">
        <v>31</v>
      </c>
      <c r="E177" s="80" t="s">
        <v>450</v>
      </c>
      <c r="F177" s="81">
        <f>IFERROR(VLOOKUP(E177,客户!B:C,2,FALSE),"/")</f>
        <v>0</v>
      </c>
      <c r="G177" s="80" t="s">
        <v>485</v>
      </c>
      <c r="H177" s="45" t="s">
        <v>123</v>
      </c>
      <c r="I177" s="45" t="s">
        <v>223</v>
      </c>
      <c r="J177" s="108">
        <v>43566</v>
      </c>
      <c r="K177" s="108">
        <v>43590</v>
      </c>
      <c r="L177" s="100">
        <v>43618</v>
      </c>
      <c r="M177" s="181" t="s">
        <v>569</v>
      </c>
      <c r="N177" s="108" t="s">
        <v>500</v>
      </c>
      <c r="O177" s="104"/>
      <c r="P177" s="102">
        <v>22779.88</v>
      </c>
      <c r="Q177" s="102"/>
      <c r="R177" s="131"/>
      <c r="S177" s="132"/>
      <c r="T177" s="102">
        <v>15012</v>
      </c>
      <c r="U177" s="100">
        <v>43620</v>
      </c>
      <c r="V177" s="130" t="s">
        <v>570</v>
      </c>
      <c r="W177" s="170"/>
    </row>
    <row r="178" s="39" customFormat="1" ht="22" hidden="1" customHeight="1" spans="1:23">
      <c r="A178" s="144" t="s">
        <v>571</v>
      </c>
      <c r="B178" s="78" t="s">
        <v>30</v>
      </c>
      <c r="C178" s="79"/>
      <c r="D178" s="80" t="s">
        <v>31</v>
      </c>
      <c r="E178" s="80" t="s">
        <v>528</v>
      </c>
      <c r="F178" s="81" t="str">
        <f>IFERROR(VLOOKUP(E178,客户!B:C,2,FALSE),"/")</f>
        <v>/</v>
      </c>
      <c r="G178" s="80" t="s">
        <v>534</v>
      </c>
      <c r="H178" s="45" t="s">
        <v>123</v>
      </c>
      <c r="I178" s="45" t="s">
        <v>530</v>
      </c>
      <c r="J178" s="108">
        <v>43566</v>
      </c>
      <c r="K178" s="108">
        <v>43611</v>
      </c>
      <c r="L178" s="100">
        <v>43652</v>
      </c>
      <c r="M178" s="159" t="s">
        <v>572</v>
      </c>
      <c r="N178" s="108" t="s">
        <v>532</v>
      </c>
      <c r="O178" s="104"/>
      <c r="P178" s="102">
        <v>21282.8</v>
      </c>
      <c r="Q178" s="102">
        <v>4094.9</v>
      </c>
      <c r="R178" s="131">
        <v>0</v>
      </c>
      <c r="S178" s="132"/>
      <c r="T178" s="102">
        <v>17136</v>
      </c>
      <c r="U178" s="100">
        <v>43656</v>
      </c>
      <c r="V178" s="130"/>
      <c r="W178" s="170"/>
    </row>
    <row r="179" s="39" customFormat="1" ht="22" hidden="1" customHeight="1" spans="1:23">
      <c r="A179" s="144" t="s">
        <v>573</v>
      </c>
      <c r="B179" s="78" t="s">
        <v>30</v>
      </c>
      <c r="C179" s="79"/>
      <c r="D179" s="80" t="s">
        <v>31</v>
      </c>
      <c r="E179" s="80" t="s">
        <v>574</v>
      </c>
      <c r="F179" s="81" t="str">
        <f>IFERROR(VLOOKUP(E179,客户!B:C,2,FALSE),"/")</f>
        <v>/</v>
      </c>
      <c r="G179" s="80" t="s">
        <v>43</v>
      </c>
      <c r="H179" s="45" t="s">
        <v>123</v>
      </c>
      <c r="I179" s="45" t="s">
        <v>219</v>
      </c>
      <c r="J179" s="108">
        <v>43571</v>
      </c>
      <c r="K179" s="108">
        <v>43605</v>
      </c>
      <c r="L179" s="100">
        <v>43638</v>
      </c>
      <c r="M179" s="159" t="s">
        <v>575</v>
      </c>
      <c r="N179" s="108" t="s">
        <v>576</v>
      </c>
      <c r="O179" s="104"/>
      <c r="P179" s="102">
        <v>23321.95</v>
      </c>
      <c r="Q179" s="139"/>
      <c r="R179" s="131">
        <v>0</v>
      </c>
      <c r="S179" s="132"/>
      <c r="T179" s="102" t="s">
        <v>577</v>
      </c>
      <c r="U179" s="100">
        <v>43654</v>
      </c>
      <c r="V179" s="130"/>
      <c r="W179" s="170"/>
    </row>
    <row r="180" s="39" customFormat="1" ht="22" hidden="1" customHeight="1" spans="1:23">
      <c r="A180" s="144" t="s">
        <v>578</v>
      </c>
      <c r="B180" s="78" t="s">
        <v>30</v>
      </c>
      <c r="C180" s="79"/>
      <c r="D180" s="80" t="s">
        <v>31</v>
      </c>
      <c r="E180" s="80" t="s">
        <v>428</v>
      </c>
      <c r="F180" s="81">
        <f>IFERROR(VLOOKUP(E180,客户!B:C,2,FALSE),"/")</f>
        <v>0</v>
      </c>
      <c r="G180" s="80" t="s">
        <v>579</v>
      </c>
      <c r="H180" s="45" t="s">
        <v>127</v>
      </c>
      <c r="I180" s="45" t="s">
        <v>580</v>
      </c>
      <c r="J180" s="108">
        <v>43579</v>
      </c>
      <c r="K180" s="108">
        <v>43618</v>
      </c>
      <c r="L180" s="100">
        <v>43634</v>
      </c>
      <c r="M180" s="159" t="s">
        <v>581</v>
      </c>
      <c r="N180" s="108" t="s">
        <v>500</v>
      </c>
      <c r="O180" s="104"/>
      <c r="P180" s="102">
        <v>105227.3</v>
      </c>
      <c r="Q180" s="102" t="s">
        <v>582</v>
      </c>
      <c r="R180" s="131">
        <v>0</v>
      </c>
      <c r="S180" s="132"/>
      <c r="T180" s="102">
        <v>85187</v>
      </c>
      <c r="U180" s="100">
        <v>43628</v>
      </c>
      <c r="V180" s="130"/>
      <c r="W180" s="170"/>
    </row>
    <row r="181" s="39" customFormat="1" ht="22" hidden="1" customHeight="1" spans="1:23">
      <c r="A181" s="144" t="s">
        <v>583</v>
      </c>
      <c r="B181" s="78" t="s">
        <v>30</v>
      </c>
      <c r="C181" s="79"/>
      <c r="D181" s="80" t="s">
        <v>31</v>
      </c>
      <c r="E181" s="80" t="s">
        <v>559</v>
      </c>
      <c r="F181" s="81">
        <f>IFERROR(VLOOKUP(E181,客户!B:C,2,FALSE),"/")</f>
        <v>0</v>
      </c>
      <c r="G181" s="80" t="s">
        <v>86</v>
      </c>
      <c r="H181" s="45" t="s">
        <v>123</v>
      </c>
      <c r="I181" s="45" t="s">
        <v>205</v>
      </c>
      <c r="J181" s="108">
        <v>43579</v>
      </c>
      <c r="K181" s="108">
        <v>43613</v>
      </c>
      <c r="L181" s="100">
        <v>43645</v>
      </c>
      <c r="M181" s="159" t="s">
        <v>584</v>
      </c>
      <c r="N181" s="108" t="s">
        <v>585</v>
      </c>
      <c r="O181" s="104"/>
      <c r="P181" s="102">
        <v>60998.04</v>
      </c>
      <c r="Q181" s="139"/>
      <c r="R181" s="131">
        <v>0</v>
      </c>
      <c r="S181" s="132"/>
      <c r="T181" s="102">
        <v>60858</v>
      </c>
      <c r="U181" s="100">
        <v>43647</v>
      </c>
      <c r="V181" s="130"/>
      <c r="W181" s="170"/>
    </row>
    <row r="182" s="42" customFormat="1" ht="22" hidden="1" customHeight="1" spans="1:23">
      <c r="A182" s="144" t="s">
        <v>586</v>
      </c>
      <c r="B182" s="174" t="s">
        <v>30</v>
      </c>
      <c r="C182" s="175"/>
      <c r="D182" s="80" t="s">
        <v>31</v>
      </c>
      <c r="E182" s="80" t="s">
        <v>559</v>
      </c>
      <c r="F182" s="81">
        <f>IFERROR(VLOOKUP(E182,客户!B:C,2,FALSE),"/")</f>
        <v>0</v>
      </c>
      <c r="G182" s="80" t="s">
        <v>566</v>
      </c>
      <c r="H182" s="45" t="s">
        <v>123</v>
      </c>
      <c r="I182" s="45" t="s">
        <v>205</v>
      </c>
      <c r="J182" s="159">
        <v>43579</v>
      </c>
      <c r="K182" s="159">
        <v>43644</v>
      </c>
      <c r="L182" s="100">
        <v>43677</v>
      </c>
      <c r="M182" s="159" t="s">
        <v>587</v>
      </c>
      <c r="N182" s="159" t="s">
        <v>588</v>
      </c>
      <c r="O182" s="104"/>
      <c r="P182" s="102">
        <v>40665.36</v>
      </c>
      <c r="Q182" s="102">
        <v>0</v>
      </c>
      <c r="R182" s="131">
        <v>0</v>
      </c>
      <c r="S182" s="132"/>
      <c r="T182" s="102">
        <v>40222</v>
      </c>
      <c r="U182" s="100">
        <v>43676</v>
      </c>
      <c r="V182" s="128"/>
      <c r="W182" s="170"/>
    </row>
    <row r="183" s="39" customFormat="1" ht="22" hidden="1" customHeight="1" spans="1:23">
      <c r="A183" s="144" t="s">
        <v>589</v>
      </c>
      <c r="B183" s="78" t="s">
        <v>30</v>
      </c>
      <c r="C183" s="79"/>
      <c r="D183" s="80" t="s">
        <v>31</v>
      </c>
      <c r="E183" s="80" t="s">
        <v>559</v>
      </c>
      <c r="F183" s="81">
        <f>IFERROR(VLOOKUP(E183,客户!B:C,2,FALSE),"/")</f>
        <v>0</v>
      </c>
      <c r="G183" s="80" t="s">
        <v>566</v>
      </c>
      <c r="H183" s="45" t="s">
        <v>123</v>
      </c>
      <c r="I183" s="45" t="s">
        <v>542</v>
      </c>
      <c r="J183" s="108">
        <v>43579</v>
      </c>
      <c r="K183" s="108">
        <v>43623</v>
      </c>
      <c r="L183" s="100">
        <v>43661</v>
      </c>
      <c r="M183" s="159" t="s">
        <v>590</v>
      </c>
      <c r="N183" s="108" t="s">
        <v>591</v>
      </c>
      <c r="O183" s="104"/>
      <c r="P183" s="102">
        <v>40627.36</v>
      </c>
      <c r="Q183" s="139"/>
      <c r="R183" s="131">
        <v>0</v>
      </c>
      <c r="S183" s="132"/>
      <c r="T183" s="102">
        <v>40512</v>
      </c>
      <c r="U183" s="100">
        <v>43655</v>
      </c>
      <c r="V183" s="130"/>
      <c r="W183" s="170"/>
    </row>
    <row r="184" s="39" customFormat="1" ht="22" hidden="1" customHeight="1" spans="1:23">
      <c r="A184" s="144" t="s">
        <v>592</v>
      </c>
      <c r="B184" s="78" t="s">
        <v>30</v>
      </c>
      <c r="C184" s="79"/>
      <c r="D184" s="80" t="s">
        <v>31</v>
      </c>
      <c r="E184" s="80" t="s">
        <v>559</v>
      </c>
      <c r="F184" s="81">
        <f>IFERROR(VLOOKUP(E184,客户!B:C,2,FALSE),"/")</f>
        <v>0</v>
      </c>
      <c r="G184" s="80" t="s">
        <v>86</v>
      </c>
      <c r="H184" s="45" t="s">
        <v>123</v>
      </c>
      <c r="I184" s="45" t="s">
        <v>542</v>
      </c>
      <c r="J184" s="108">
        <v>43579</v>
      </c>
      <c r="K184" s="159">
        <v>43660</v>
      </c>
      <c r="L184" s="100">
        <v>43698</v>
      </c>
      <c r="M184" s="182"/>
      <c r="N184" s="108" t="s">
        <v>593</v>
      </c>
      <c r="O184" s="104"/>
      <c r="P184" s="102">
        <v>60941.04</v>
      </c>
      <c r="Q184" s="102">
        <v>0</v>
      </c>
      <c r="R184" s="131">
        <v>0</v>
      </c>
      <c r="S184" s="132"/>
      <c r="T184" s="102" t="s">
        <v>563</v>
      </c>
      <c r="U184" s="100">
        <v>43691</v>
      </c>
      <c r="V184" s="130"/>
      <c r="W184" s="170"/>
    </row>
    <row r="185" s="39" customFormat="1" ht="22" hidden="1" customHeight="1" spans="1:23">
      <c r="A185" s="144" t="s">
        <v>594</v>
      </c>
      <c r="B185" s="78" t="s">
        <v>30</v>
      </c>
      <c r="C185" s="79"/>
      <c r="D185" s="80" t="s">
        <v>31</v>
      </c>
      <c r="E185" s="80" t="s">
        <v>554</v>
      </c>
      <c r="F185" s="81">
        <f>IFERROR(VLOOKUP(E185,客户!B:C,2,FALSE),"/")</f>
        <v>0</v>
      </c>
      <c r="G185" s="80" t="s">
        <v>485</v>
      </c>
      <c r="H185" s="144" t="s">
        <v>396</v>
      </c>
      <c r="I185" s="45" t="s">
        <v>555</v>
      </c>
      <c r="J185" s="108">
        <v>43581</v>
      </c>
      <c r="K185" s="108">
        <v>43613</v>
      </c>
      <c r="L185" s="100">
        <v>43630</v>
      </c>
      <c r="M185" s="181" t="s">
        <v>595</v>
      </c>
      <c r="N185" s="108" t="s">
        <v>557</v>
      </c>
      <c r="O185" s="104"/>
      <c r="P185" s="102">
        <v>22692.8</v>
      </c>
      <c r="Q185" s="102">
        <v>6807</v>
      </c>
      <c r="R185" s="131">
        <v>0</v>
      </c>
      <c r="S185" s="132"/>
      <c r="T185" s="102">
        <v>15838</v>
      </c>
      <c r="U185" s="100">
        <v>43627</v>
      </c>
      <c r="V185" s="130"/>
      <c r="W185" s="170"/>
    </row>
    <row r="186" s="39" customFormat="1" ht="22" hidden="1" customHeight="1" spans="1:23">
      <c r="A186" s="144" t="s">
        <v>596</v>
      </c>
      <c r="B186" s="78" t="s">
        <v>30</v>
      </c>
      <c r="C186" s="79"/>
      <c r="D186" s="80" t="s">
        <v>31</v>
      </c>
      <c r="E186" s="80" t="s">
        <v>597</v>
      </c>
      <c r="F186" s="81" t="str">
        <f>IFERROR(VLOOKUP(E186,客户!B:C,2,FALSE),"/")</f>
        <v>/</v>
      </c>
      <c r="G186" s="80" t="s">
        <v>598</v>
      </c>
      <c r="H186" s="45" t="s">
        <v>123</v>
      </c>
      <c r="I186" s="45" t="s">
        <v>599</v>
      </c>
      <c r="J186" s="108">
        <v>43581</v>
      </c>
      <c r="K186" s="108">
        <v>43617</v>
      </c>
      <c r="L186" s="100"/>
      <c r="M186" s="159"/>
      <c r="N186" s="108" t="s">
        <v>600</v>
      </c>
      <c r="O186" s="104"/>
      <c r="P186" s="102">
        <v>19744</v>
      </c>
      <c r="Q186" s="102">
        <v>1500</v>
      </c>
      <c r="R186" s="131">
        <v>0</v>
      </c>
      <c r="S186" s="132"/>
      <c r="T186" s="102">
        <v>18244</v>
      </c>
      <c r="U186" s="100">
        <v>43613</v>
      </c>
      <c r="V186" s="130"/>
      <c r="W186" s="170"/>
    </row>
    <row r="187" s="39" customFormat="1" ht="22" hidden="1" customHeight="1" spans="1:23">
      <c r="A187" s="144" t="s">
        <v>601</v>
      </c>
      <c r="B187" s="78" t="s">
        <v>30</v>
      </c>
      <c r="C187" s="79"/>
      <c r="D187" s="80" t="s">
        <v>31</v>
      </c>
      <c r="E187" s="80" t="s">
        <v>528</v>
      </c>
      <c r="F187" s="81" t="str">
        <f>IFERROR(VLOOKUP(E187,客户!B:C,2,FALSE),"/")</f>
        <v>/</v>
      </c>
      <c r="G187" s="80" t="s">
        <v>534</v>
      </c>
      <c r="H187" s="45" t="s">
        <v>123</v>
      </c>
      <c r="I187" s="45" t="s">
        <v>530</v>
      </c>
      <c r="J187" s="108">
        <v>43584</v>
      </c>
      <c r="K187" s="108">
        <v>43623</v>
      </c>
      <c r="L187" s="100">
        <v>43668</v>
      </c>
      <c r="M187" s="181" t="s">
        <v>602</v>
      </c>
      <c r="N187" s="108" t="s">
        <v>603</v>
      </c>
      <c r="O187" s="104"/>
      <c r="P187" s="102">
        <v>21417.04</v>
      </c>
      <c r="Q187" s="102">
        <v>3967</v>
      </c>
      <c r="R187" s="131">
        <v>0</v>
      </c>
      <c r="S187" s="132"/>
      <c r="T187" s="102">
        <v>17417</v>
      </c>
      <c r="U187" s="100">
        <v>43676</v>
      </c>
      <c r="V187" s="130"/>
      <c r="W187" s="170"/>
    </row>
    <row r="188" s="39" customFormat="1" ht="22" hidden="1" customHeight="1" spans="1:23">
      <c r="A188" s="144" t="s">
        <v>604</v>
      </c>
      <c r="B188" s="78" t="s">
        <v>30</v>
      </c>
      <c r="C188" s="79"/>
      <c r="D188" s="80" t="s">
        <v>31</v>
      </c>
      <c r="E188" s="80" t="s">
        <v>450</v>
      </c>
      <c r="F188" s="81">
        <f>IFERROR(VLOOKUP(E188,客户!B:C,2,FALSE),"/")</f>
        <v>0</v>
      </c>
      <c r="G188" s="80" t="s">
        <v>485</v>
      </c>
      <c r="H188" s="45" t="s">
        <v>123</v>
      </c>
      <c r="I188" s="45" t="s">
        <v>223</v>
      </c>
      <c r="J188" s="108">
        <v>43586</v>
      </c>
      <c r="K188" s="108">
        <v>43611</v>
      </c>
      <c r="L188" s="100">
        <v>43636</v>
      </c>
      <c r="M188" s="183" t="s">
        <v>605</v>
      </c>
      <c r="N188" s="108" t="s">
        <v>606</v>
      </c>
      <c r="O188" s="104"/>
      <c r="P188" s="102">
        <v>22510</v>
      </c>
      <c r="Q188" s="102"/>
      <c r="R188" s="131">
        <v>0</v>
      </c>
      <c r="S188" s="132"/>
      <c r="T188" s="102">
        <f>11107+14302</f>
        <v>25409</v>
      </c>
      <c r="U188" s="100"/>
      <c r="V188" s="130" t="s">
        <v>607</v>
      </c>
      <c r="W188" s="170"/>
    </row>
    <row r="189" s="39" customFormat="1" ht="22" hidden="1" customHeight="1" spans="1:23">
      <c r="A189" s="144" t="s">
        <v>608</v>
      </c>
      <c r="B189" s="78" t="s">
        <v>30</v>
      </c>
      <c r="C189" s="79"/>
      <c r="D189" s="80" t="s">
        <v>31</v>
      </c>
      <c r="E189" s="80" t="s">
        <v>609</v>
      </c>
      <c r="F189" s="81" t="str">
        <f>IFERROR(VLOOKUP(E189,客户!B:C,2,FALSE),"/")</f>
        <v>/</v>
      </c>
      <c r="G189" s="80" t="s">
        <v>91</v>
      </c>
      <c r="H189" s="45" t="s">
        <v>123</v>
      </c>
      <c r="I189" s="45" t="s">
        <v>542</v>
      </c>
      <c r="J189" s="108">
        <v>43589</v>
      </c>
      <c r="K189" s="108">
        <v>43638</v>
      </c>
      <c r="L189" s="103"/>
      <c r="M189" s="159" t="s">
        <v>610</v>
      </c>
      <c r="N189" s="108" t="s">
        <v>611</v>
      </c>
      <c r="O189" s="104"/>
      <c r="P189" s="102">
        <v>20977.74</v>
      </c>
      <c r="Q189" s="102">
        <v>6319</v>
      </c>
      <c r="R189" s="131">
        <v>0</v>
      </c>
      <c r="S189" s="132"/>
      <c r="T189" s="102">
        <v>14559</v>
      </c>
      <c r="U189" s="100">
        <v>43651</v>
      </c>
      <c r="V189" s="130"/>
      <c r="W189" s="170"/>
    </row>
    <row r="190" s="39" customFormat="1" ht="22" hidden="1" customHeight="1" spans="1:23">
      <c r="A190" s="144" t="s">
        <v>612</v>
      </c>
      <c r="B190" s="78" t="s">
        <v>30</v>
      </c>
      <c r="C190" s="79"/>
      <c r="D190" s="80" t="s">
        <v>31</v>
      </c>
      <c r="E190" s="80" t="s">
        <v>428</v>
      </c>
      <c r="F190" s="81">
        <f>IFERROR(VLOOKUP(E190,客户!B:C,2,FALSE),"/")</f>
        <v>0</v>
      </c>
      <c r="G190" s="80" t="s">
        <v>613</v>
      </c>
      <c r="H190" s="45" t="s">
        <v>127</v>
      </c>
      <c r="I190" s="45" t="s">
        <v>580</v>
      </c>
      <c r="J190" s="108">
        <v>43607</v>
      </c>
      <c r="K190" s="108">
        <v>43643</v>
      </c>
      <c r="L190" s="100">
        <v>43656</v>
      </c>
      <c r="M190" s="181" t="s">
        <v>614</v>
      </c>
      <c r="N190" s="108" t="s">
        <v>615</v>
      </c>
      <c r="O190" s="104"/>
      <c r="P190" s="102">
        <v>149546.9</v>
      </c>
      <c r="Q190" s="102">
        <v>10000</v>
      </c>
      <c r="R190" s="131">
        <v>0</v>
      </c>
      <c r="S190" s="132"/>
      <c r="T190" s="102">
        <v>139500</v>
      </c>
      <c r="U190" s="100">
        <v>43655</v>
      </c>
      <c r="V190" s="130"/>
      <c r="W190" s="170"/>
    </row>
    <row r="191" s="39" customFormat="1" ht="22" hidden="1" customHeight="1" spans="1:23">
      <c r="A191" s="144" t="s">
        <v>616</v>
      </c>
      <c r="B191" s="78" t="s">
        <v>30</v>
      </c>
      <c r="C191" s="79"/>
      <c r="D191" s="80" t="s">
        <v>31</v>
      </c>
      <c r="E191" s="80" t="s">
        <v>617</v>
      </c>
      <c r="F191" s="81">
        <f>IFERROR(VLOOKUP(E191,客户!B:C,2,FALSE),"/")</f>
        <v>0</v>
      </c>
      <c r="G191" s="80" t="s">
        <v>109</v>
      </c>
      <c r="H191" s="45" t="s">
        <v>123</v>
      </c>
      <c r="I191" s="45" t="s">
        <v>618</v>
      </c>
      <c r="J191" s="108">
        <v>43608</v>
      </c>
      <c r="K191" s="159">
        <v>43662</v>
      </c>
      <c r="L191" s="100">
        <v>43709</v>
      </c>
      <c r="M191" s="181" t="s">
        <v>619</v>
      </c>
      <c r="N191" s="108" t="s">
        <v>620</v>
      </c>
      <c r="O191" s="104"/>
      <c r="P191" s="102">
        <v>25524.7</v>
      </c>
      <c r="Q191" s="102">
        <v>7000</v>
      </c>
      <c r="R191" s="131">
        <v>0</v>
      </c>
      <c r="S191" s="132"/>
      <c r="T191" s="102">
        <v>18499</v>
      </c>
      <c r="U191" s="100">
        <v>43677</v>
      </c>
      <c r="V191" s="130"/>
      <c r="W191" s="170"/>
    </row>
    <row r="192" s="39" customFormat="1" ht="22" hidden="1" customHeight="1" spans="1:23">
      <c r="A192" s="144" t="s">
        <v>621</v>
      </c>
      <c r="B192" s="78" t="s">
        <v>30</v>
      </c>
      <c r="C192" s="79"/>
      <c r="D192" s="80" t="s">
        <v>31</v>
      </c>
      <c r="E192" s="80" t="s">
        <v>450</v>
      </c>
      <c r="F192" s="81">
        <f>IFERROR(VLOOKUP(E192,客户!B:C,2,FALSE),"/")</f>
        <v>0</v>
      </c>
      <c r="G192" s="80" t="s">
        <v>43</v>
      </c>
      <c r="H192" s="45" t="s">
        <v>123</v>
      </c>
      <c r="I192" s="45" t="s">
        <v>223</v>
      </c>
      <c r="J192" s="108">
        <v>43609</v>
      </c>
      <c r="K192" s="108">
        <v>43631</v>
      </c>
      <c r="L192" s="100">
        <v>42926</v>
      </c>
      <c r="M192" s="181"/>
      <c r="N192" s="108" t="s">
        <v>606</v>
      </c>
      <c r="O192" s="104"/>
      <c r="P192" s="102">
        <v>22753.13</v>
      </c>
      <c r="Q192" s="102"/>
      <c r="R192" s="131"/>
      <c r="S192" s="132"/>
      <c r="T192" s="102">
        <f>14976+7745</f>
        <v>22721</v>
      </c>
      <c r="U192" s="100"/>
      <c r="V192" s="130" t="s">
        <v>622</v>
      </c>
      <c r="W192" s="170"/>
    </row>
    <row r="193" s="39" customFormat="1" ht="22" hidden="1" customHeight="1" spans="1:23">
      <c r="A193" s="144" t="s">
        <v>623</v>
      </c>
      <c r="B193" s="174" t="s">
        <v>30</v>
      </c>
      <c r="C193" s="175"/>
      <c r="D193" s="80" t="s">
        <v>31</v>
      </c>
      <c r="E193" s="80" t="s">
        <v>624</v>
      </c>
      <c r="F193" s="81">
        <f>IFERROR(VLOOKUP(E193,客户!B:C,2,FALSE),"/")</f>
        <v>0</v>
      </c>
      <c r="G193" s="80" t="s">
        <v>68</v>
      </c>
      <c r="H193" s="45" t="s">
        <v>123</v>
      </c>
      <c r="I193" s="45" t="s">
        <v>219</v>
      </c>
      <c r="J193" s="108">
        <v>43610</v>
      </c>
      <c r="K193" s="159">
        <v>43679</v>
      </c>
      <c r="L193" s="100">
        <v>43708</v>
      </c>
      <c r="M193" s="181" t="s">
        <v>625</v>
      </c>
      <c r="N193" s="108" t="s">
        <v>626</v>
      </c>
      <c r="O193" s="104"/>
      <c r="P193" s="102">
        <v>42909.23</v>
      </c>
      <c r="Q193" s="102">
        <v>8600</v>
      </c>
      <c r="R193" s="131"/>
      <c r="S193" s="132"/>
      <c r="T193" s="102">
        <v>34729</v>
      </c>
      <c r="U193" s="100"/>
      <c r="V193" s="188" t="s">
        <v>627</v>
      </c>
      <c r="W193" s="170"/>
    </row>
    <row r="194" s="43" customFormat="1" ht="22" hidden="1" customHeight="1" spans="1:23">
      <c r="A194" s="144" t="s">
        <v>628</v>
      </c>
      <c r="B194" s="174" t="s">
        <v>30</v>
      </c>
      <c r="C194" s="175"/>
      <c r="D194" s="45" t="s">
        <v>31</v>
      </c>
      <c r="E194" s="45" t="s">
        <v>629</v>
      </c>
      <c r="F194" s="81" t="str">
        <f>IFERROR(VLOOKUP(E194,客户!B:C,2,FALSE),"/")</f>
        <v>/</v>
      </c>
      <c r="G194" s="45" t="s">
        <v>68</v>
      </c>
      <c r="H194" s="45" t="s">
        <v>123</v>
      </c>
      <c r="I194" s="45" t="s">
        <v>630</v>
      </c>
      <c r="J194" s="108">
        <v>43614</v>
      </c>
      <c r="K194" s="100">
        <v>43657</v>
      </c>
      <c r="L194" s="100">
        <v>43688</v>
      </c>
      <c r="M194" s="196" t="s">
        <v>631</v>
      </c>
      <c r="N194" s="108" t="s">
        <v>632</v>
      </c>
      <c r="O194" s="104"/>
      <c r="P194" s="102">
        <v>42613.6</v>
      </c>
      <c r="Q194" s="102" t="s">
        <v>633</v>
      </c>
      <c r="R194" s="131">
        <v>0</v>
      </c>
      <c r="S194" s="132"/>
      <c r="T194" s="102">
        <v>17785</v>
      </c>
      <c r="U194" s="100">
        <v>43699</v>
      </c>
      <c r="V194" s="130"/>
      <c r="W194" s="210"/>
    </row>
    <row r="195" s="42" customFormat="1" ht="22" hidden="1" customHeight="1" spans="1:23">
      <c r="A195" s="144" t="s">
        <v>634</v>
      </c>
      <c r="B195" s="78" t="s">
        <v>30</v>
      </c>
      <c r="C195" s="79"/>
      <c r="D195" s="80" t="s">
        <v>31</v>
      </c>
      <c r="E195" s="80" t="s">
        <v>446</v>
      </c>
      <c r="F195" s="81">
        <f>IFERROR(VLOOKUP(E195,客户!B:C,2,FALSE),"/")</f>
        <v>0</v>
      </c>
      <c r="G195" s="80" t="s">
        <v>43</v>
      </c>
      <c r="H195" s="45" t="s">
        <v>123</v>
      </c>
      <c r="I195" s="45" t="s">
        <v>238</v>
      </c>
      <c r="J195" s="159">
        <v>43617</v>
      </c>
      <c r="K195" s="159">
        <v>43646</v>
      </c>
      <c r="L195" s="100">
        <v>43675</v>
      </c>
      <c r="M195" s="181" t="s">
        <v>635</v>
      </c>
      <c r="N195" s="159" t="s">
        <v>636</v>
      </c>
      <c r="O195" s="104"/>
      <c r="P195" s="102">
        <v>23408.85</v>
      </c>
      <c r="Q195" s="102">
        <v>4681</v>
      </c>
      <c r="R195" s="131">
        <v>0</v>
      </c>
      <c r="S195" s="132"/>
      <c r="T195" s="102">
        <v>18689</v>
      </c>
      <c r="U195" s="100">
        <v>43671</v>
      </c>
      <c r="V195" s="128"/>
      <c r="W195" s="170"/>
    </row>
    <row r="196" s="39" customFormat="1" ht="22" hidden="1" customHeight="1" spans="1:23">
      <c r="A196" s="144" t="s">
        <v>637</v>
      </c>
      <c r="B196" s="78" t="s">
        <v>30</v>
      </c>
      <c r="C196" s="79"/>
      <c r="D196" s="80" t="s">
        <v>31</v>
      </c>
      <c r="E196" s="80" t="s">
        <v>436</v>
      </c>
      <c r="F196" s="81" t="str">
        <f>IFERROR(VLOOKUP(E196,客户!B:C,2,FALSE),"/")</f>
        <v>$53.50 TUV Austria administration cost 革力减掉150代理费</v>
      </c>
      <c r="G196" s="80" t="s">
        <v>91</v>
      </c>
      <c r="H196" s="45" t="s">
        <v>123</v>
      </c>
      <c r="I196" s="45" t="s">
        <v>226</v>
      </c>
      <c r="J196" s="108">
        <v>43620</v>
      </c>
      <c r="K196" s="108">
        <v>43654</v>
      </c>
      <c r="L196" s="100">
        <v>43692</v>
      </c>
      <c r="M196" s="159" t="s">
        <v>638</v>
      </c>
      <c r="N196" s="108" t="s">
        <v>639</v>
      </c>
      <c r="O196" s="104"/>
      <c r="P196" s="102">
        <v>20171</v>
      </c>
      <c r="Q196" s="102">
        <v>6374</v>
      </c>
      <c r="R196" s="131">
        <v>0</v>
      </c>
      <c r="S196" s="132"/>
      <c r="T196" s="102">
        <v>13745</v>
      </c>
      <c r="U196" s="100">
        <v>43664</v>
      </c>
      <c r="V196" s="130"/>
      <c r="W196" s="170"/>
    </row>
    <row r="197" s="39" customFormat="1" ht="22" hidden="1" customHeight="1" spans="1:23">
      <c r="A197" s="144" t="s">
        <v>640</v>
      </c>
      <c r="B197" s="78" t="s">
        <v>30</v>
      </c>
      <c r="C197" s="79"/>
      <c r="D197" s="80" t="s">
        <v>31</v>
      </c>
      <c r="E197" s="82" t="s">
        <v>641</v>
      </c>
      <c r="F197" s="81">
        <f>IFERROR(VLOOKUP(E197,客户!B:C,2,FALSE),"/")</f>
        <v>0</v>
      </c>
      <c r="G197" s="80" t="s">
        <v>43</v>
      </c>
      <c r="H197" s="45" t="s">
        <v>123</v>
      </c>
      <c r="I197" s="45" t="s">
        <v>642</v>
      </c>
      <c r="J197" s="108">
        <v>43629</v>
      </c>
      <c r="K197" s="108">
        <v>43678</v>
      </c>
      <c r="L197" s="100">
        <v>43718</v>
      </c>
      <c r="M197" s="159" t="s">
        <v>643</v>
      </c>
      <c r="N197" s="108" t="s">
        <v>644</v>
      </c>
      <c r="O197" s="104"/>
      <c r="P197" s="102">
        <v>19824.63</v>
      </c>
      <c r="Q197" s="102">
        <v>5000</v>
      </c>
      <c r="R197" s="131">
        <v>0</v>
      </c>
      <c r="S197" s="132"/>
      <c r="T197" s="102">
        <v>14799</v>
      </c>
      <c r="U197" s="100">
        <v>43698</v>
      </c>
      <c r="V197" s="130"/>
      <c r="W197" s="170"/>
    </row>
    <row r="198" s="39" customFormat="1" ht="22" hidden="1" customHeight="1" spans="1:23">
      <c r="A198" s="144" t="s">
        <v>645</v>
      </c>
      <c r="B198" s="78" t="s">
        <v>30</v>
      </c>
      <c r="C198" s="79"/>
      <c r="D198" s="80" t="s">
        <v>31</v>
      </c>
      <c r="E198" s="80" t="s">
        <v>450</v>
      </c>
      <c r="F198" s="81">
        <f>IFERROR(VLOOKUP(E198,客户!B:C,2,FALSE),"/")</f>
        <v>0</v>
      </c>
      <c r="G198" s="80" t="s">
        <v>43</v>
      </c>
      <c r="H198" s="45" t="s">
        <v>123</v>
      </c>
      <c r="I198" s="45" t="s">
        <v>646</v>
      </c>
      <c r="J198" s="108">
        <v>43636</v>
      </c>
      <c r="K198" s="159">
        <v>43674</v>
      </c>
      <c r="L198" s="100">
        <v>43704</v>
      </c>
      <c r="M198" s="197" t="s">
        <v>647</v>
      </c>
      <c r="N198" s="108" t="s">
        <v>500</v>
      </c>
      <c r="O198" s="104"/>
      <c r="P198" s="102">
        <v>22388.87</v>
      </c>
      <c r="Q198" s="102" t="s">
        <v>453</v>
      </c>
      <c r="R198" s="131"/>
      <c r="S198" s="132"/>
      <c r="T198" s="102">
        <v>15520</v>
      </c>
      <c r="U198" s="100"/>
      <c r="V198" s="188" t="s">
        <v>648</v>
      </c>
      <c r="W198" s="170"/>
    </row>
    <row r="199" s="39" customFormat="1" ht="22" hidden="1" customHeight="1" spans="1:23">
      <c r="A199" s="144" t="s">
        <v>649</v>
      </c>
      <c r="B199" s="78" t="s">
        <v>30</v>
      </c>
      <c r="C199" s="79"/>
      <c r="D199" s="80" t="s">
        <v>31</v>
      </c>
      <c r="E199" s="80" t="s">
        <v>473</v>
      </c>
      <c r="F199" s="81">
        <f>IFERROR(VLOOKUP(E199,客户!B:C,2,FALSE),"/")</f>
        <v>0</v>
      </c>
      <c r="G199" s="80" t="s">
        <v>650</v>
      </c>
      <c r="H199" s="45" t="s">
        <v>127</v>
      </c>
      <c r="I199" s="45" t="s">
        <v>651</v>
      </c>
      <c r="J199" s="108">
        <v>43637</v>
      </c>
      <c r="K199" s="159">
        <v>43659</v>
      </c>
      <c r="L199" s="100">
        <v>43672</v>
      </c>
      <c r="M199" s="181" t="s">
        <v>652</v>
      </c>
      <c r="N199" s="108" t="s">
        <v>653</v>
      </c>
      <c r="O199" s="104"/>
      <c r="P199" s="102">
        <v>18523.26</v>
      </c>
      <c r="Q199" s="211">
        <v>11423</v>
      </c>
      <c r="R199" s="131">
        <v>0</v>
      </c>
      <c r="S199" s="132"/>
      <c r="T199" s="102">
        <v>18523</v>
      </c>
      <c r="U199" s="100">
        <v>43664</v>
      </c>
      <c r="V199" s="130"/>
      <c r="W199" s="170"/>
    </row>
    <row r="200" s="39" customFormat="1" ht="22" hidden="1" customHeight="1" spans="1:23">
      <c r="A200" s="144" t="s">
        <v>654</v>
      </c>
      <c r="B200" s="78" t="s">
        <v>30</v>
      </c>
      <c r="C200" s="79"/>
      <c r="D200" s="80" t="s">
        <v>31</v>
      </c>
      <c r="E200" s="82" t="s">
        <v>655</v>
      </c>
      <c r="F200" s="81">
        <f>IFERROR(VLOOKUP(E200,客户!B:C,2,FALSE),"/")</f>
        <v>0</v>
      </c>
      <c r="G200" s="80" t="s">
        <v>650</v>
      </c>
      <c r="H200" s="45" t="s">
        <v>127</v>
      </c>
      <c r="I200" s="45" t="s">
        <v>651</v>
      </c>
      <c r="J200" s="108">
        <v>43637</v>
      </c>
      <c r="K200" s="159">
        <v>43659</v>
      </c>
      <c r="L200" s="100">
        <v>43672</v>
      </c>
      <c r="M200" s="181" t="s">
        <v>652</v>
      </c>
      <c r="N200" s="108" t="s">
        <v>653</v>
      </c>
      <c r="O200" s="104"/>
      <c r="P200" s="102">
        <v>20403.33</v>
      </c>
      <c r="Q200" s="211"/>
      <c r="R200" s="131"/>
      <c r="S200" s="132"/>
      <c r="T200" s="102">
        <v>8930</v>
      </c>
      <c r="U200" s="100">
        <v>43664</v>
      </c>
      <c r="V200" s="130"/>
      <c r="W200" s="170"/>
    </row>
    <row r="201" s="39" customFormat="1" ht="22" hidden="1" customHeight="1" spans="1:23">
      <c r="A201" s="144" t="s">
        <v>656</v>
      </c>
      <c r="B201" s="78" t="s">
        <v>30</v>
      </c>
      <c r="C201" s="79"/>
      <c r="D201" s="80" t="s">
        <v>31</v>
      </c>
      <c r="E201" s="80" t="s">
        <v>60</v>
      </c>
      <c r="F201" s="81" t="str">
        <f>IFERROR(VLOOKUP(E201,客户!B:C,2,FALSE),"/")</f>
        <v>外送费用945人民币+装箱费用 加在发票里</v>
      </c>
      <c r="G201" s="80" t="s">
        <v>566</v>
      </c>
      <c r="H201" s="144" t="s">
        <v>396</v>
      </c>
      <c r="I201" s="45" t="s">
        <v>205</v>
      </c>
      <c r="J201" s="108">
        <v>43640</v>
      </c>
      <c r="K201" s="159">
        <v>43701</v>
      </c>
      <c r="L201" s="100">
        <v>43733</v>
      </c>
      <c r="M201" s="181" t="s">
        <v>657</v>
      </c>
      <c r="N201" s="198" t="s">
        <v>658</v>
      </c>
      <c r="O201" s="104"/>
      <c r="P201" s="102">
        <v>40648.98</v>
      </c>
      <c r="Q201" s="102">
        <v>0</v>
      </c>
      <c r="R201" s="131">
        <v>0</v>
      </c>
      <c r="S201" s="132"/>
      <c r="T201" s="102">
        <v>40389</v>
      </c>
      <c r="U201" s="212">
        <v>43746</v>
      </c>
      <c r="V201" s="130"/>
      <c r="W201" s="170"/>
    </row>
    <row r="202" s="39" customFormat="1" ht="22" hidden="1" customHeight="1" spans="1:23">
      <c r="A202" s="144" t="s">
        <v>659</v>
      </c>
      <c r="B202" s="78" t="s">
        <v>30</v>
      </c>
      <c r="C202" s="79"/>
      <c r="D202" s="80" t="s">
        <v>31</v>
      </c>
      <c r="E202" s="80" t="s">
        <v>60</v>
      </c>
      <c r="F202" s="81" t="str">
        <f>IFERROR(VLOOKUP(E202,客户!B:C,2,FALSE),"/")</f>
        <v>外送费用945人民币+装箱费用 加在发票里</v>
      </c>
      <c r="G202" s="80" t="s">
        <v>660</v>
      </c>
      <c r="H202" s="45" t="s">
        <v>147</v>
      </c>
      <c r="I202" s="45" t="s">
        <v>205</v>
      </c>
      <c r="J202" s="108">
        <v>43640</v>
      </c>
      <c r="K202" s="159">
        <v>43709</v>
      </c>
      <c r="L202" s="159">
        <v>43748</v>
      </c>
      <c r="M202" s="181" t="s">
        <v>661</v>
      </c>
      <c r="N202" s="198" t="s">
        <v>662</v>
      </c>
      <c r="O202" s="104"/>
      <c r="P202" s="102">
        <v>40377</v>
      </c>
      <c r="Q202" s="102">
        <v>0</v>
      </c>
      <c r="R202" s="131">
        <v>0</v>
      </c>
      <c r="S202" s="132"/>
      <c r="T202" s="102">
        <v>40362.6</v>
      </c>
      <c r="U202" s="100"/>
      <c r="V202" s="130"/>
      <c r="W202" s="170"/>
    </row>
    <row r="203" s="39" customFormat="1" ht="22" hidden="1" customHeight="1" spans="1:23">
      <c r="A203" s="144" t="s">
        <v>663</v>
      </c>
      <c r="B203" s="78" t="s">
        <v>30</v>
      </c>
      <c r="C203" s="79"/>
      <c r="D203" s="80" t="s">
        <v>31</v>
      </c>
      <c r="E203" s="82" t="s">
        <v>664</v>
      </c>
      <c r="F203" s="81" t="str">
        <f>IFERROR(VLOOKUP(E203,客户!B:C,2,FALSE),"/")</f>
        <v>/</v>
      </c>
      <c r="G203" s="80" t="s">
        <v>43</v>
      </c>
      <c r="H203" s="45" t="s">
        <v>123</v>
      </c>
      <c r="I203" s="45" t="s">
        <v>219</v>
      </c>
      <c r="J203" s="108">
        <v>43641</v>
      </c>
      <c r="K203" s="108">
        <v>43675</v>
      </c>
      <c r="L203" s="100">
        <v>43725</v>
      </c>
      <c r="M203" s="181" t="s">
        <v>665</v>
      </c>
      <c r="N203" s="108" t="s">
        <v>666</v>
      </c>
      <c r="O203" s="104" t="s">
        <v>523</v>
      </c>
      <c r="P203" s="102">
        <v>21540.63</v>
      </c>
      <c r="Q203" s="102">
        <v>0</v>
      </c>
      <c r="R203" s="131"/>
      <c r="S203" s="132"/>
      <c r="T203" s="102" t="s">
        <v>667</v>
      </c>
      <c r="U203" s="100">
        <v>43755</v>
      </c>
      <c r="V203" s="130"/>
      <c r="W203" s="170"/>
    </row>
    <row r="204" s="39" customFormat="1" ht="22" hidden="1" customHeight="1" spans="1:23">
      <c r="A204" s="144" t="s">
        <v>668</v>
      </c>
      <c r="B204" s="78" t="s">
        <v>30</v>
      </c>
      <c r="C204" s="79"/>
      <c r="D204" s="80" t="s">
        <v>31</v>
      </c>
      <c r="E204" s="80" t="s">
        <v>669</v>
      </c>
      <c r="F204" s="81">
        <f>IFERROR(VLOOKUP(E204,客户!B:C,2,FALSE),"/")</f>
        <v>0</v>
      </c>
      <c r="G204" s="80" t="s">
        <v>73</v>
      </c>
      <c r="H204" s="45" t="s">
        <v>123</v>
      </c>
      <c r="I204" s="45" t="s">
        <v>205</v>
      </c>
      <c r="J204" s="108">
        <v>43642</v>
      </c>
      <c r="K204" s="108">
        <v>43700</v>
      </c>
      <c r="L204" s="100">
        <v>43730</v>
      </c>
      <c r="M204" s="181" t="s">
        <v>670</v>
      </c>
      <c r="N204" s="108" t="s">
        <v>593</v>
      </c>
      <c r="O204" s="104"/>
      <c r="P204" s="102">
        <v>39060</v>
      </c>
      <c r="Q204" s="102">
        <v>0</v>
      </c>
      <c r="R204" s="131">
        <v>0</v>
      </c>
      <c r="S204" s="132"/>
      <c r="T204" s="213">
        <v>39060</v>
      </c>
      <c r="U204" s="212">
        <v>43738</v>
      </c>
      <c r="V204" s="130"/>
      <c r="W204" s="170"/>
    </row>
    <row r="205" s="39" customFormat="1" ht="22" hidden="1" customHeight="1" spans="1:23">
      <c r="A205" s="144" t="s">
        <v>671</v>
      </c>
      <c r="B205" s="174" t="s">
        <v>30</v>
      </c>
      <c r="C205" s="175"/>
      <c r="D205" s="80" t="s">
        <v>31</v>
      </c>
      <c r="E205" s="80" t="s">
        <v>669</v>
      </c>
      <c r="F205" s="81">
        <f>IFERROR(VLOOKUP(E205,客户!B:C,2,FALSE),"/")</f>
        <v>0</v>
      </c>
      <c r="G205" s="80" t="s">
        <v>234</v>
      </c>
      <c r="H205" s="45" t="s">
        <v>123</v>
      </c>
      <c r="I205" s="45" t="s">
        <v>205</v>
      </c>
      <c r="J205" s="108">
        <v>43642</v>
      </c>
      <c r="K205" s="108">
        <v>43708</v>
      </c>
      <c r="L205" s="159">
        <v>43744</v>
      </c>
      <c r="M205" s="181" t="s">
        <v>672</v>
      </c>
      <c r="N205" s="108" t="s">
        <v>673</v>
      </c>
      <c r="O205" s="104"/>
      <c r="P205" s="102">
        <v>58590</v>
      </c>
      <c r="Q205" s="102">
        <v>0</v>
      </c>
      <c r="R205" s="131">
        <v>0</v>
      </c>
      <c r="S205" s="132"/>
      <c r="T205" s="102">
        <v>58590</v>
      </c>
      <c r="U205" s="100">
        <v>43756</v>
      </c>
      <c r="V205" s="130"/>
      <c r="W205" s="170"/>
    </row>
    <row r="206" s="39" customFormat="1" ht="22" hidden="1" customHeight="1" spans="1:23">
      <c r="A206" s="144" t="s">
        <v>674</v>
      </c>
      <c r="B206" s="174" t="s">
        <v>30</v>
      </c>
      <c r="C206" s="175"/>
      <c r="D206" s="80" t="s">
        <v>31</v>
      </c>
      <c r="E206" s="80" t="s">
        <v>669</v>
      </c>
      <c r="F206" s="81">
        <f>IFERROR(VLOOKUP(E206,客户!B:C,2,FALSE),"/")</f>
        <v>0</v>
      </c>
      <c r="G206" s="80" t="s">
        <v>86</v>
      </c>
      <c r="H206" s="45" t="s">
        <v>123</v>
      </c>
      <c r="I206" s="45" t="s">
        <v>542</v>
      </c>
      <c r="J206" s="108">
        <v>43642</v>
      </c>
      <c r="K206" s="108">
        <v>43722</v>
      </c>
      <c r="L206" s="100">
        <v>43771</v>
      </c>
      <c r="M206" s="181" t="s">
        <v>675</v>
      </c>
      <c r="N206" s="108" t="s">
        <v>676</v>
      </c>
      <c r="O206" s="104"/>
      <c r="P206" s="102">
        <v>59073.44</v>
      </c>
      <c r="Q206" s="102">
        <v>0</v>
      </c>
      <c r="R206" s="131"/>
      <c r="S206" s="132"/>
      <c r="T206" s="102">
        <v>59073.44</v>
      </c>
      <c r="U206" s="100"/>
      <c r="V206" s="130"/>
      <c r="W206" s="170"/>
    </row>
    <row r="207" s="39" customFormat="1" ht="22" hidden="1" customHeight="1" spans="1:23">
      <c r="A207" s="144" t="s">
        <v>677</v>
      </c>
      <c r="B207" s="174" t="s">
        <v>30</v>
      </c>
      <c r="C207" s="175"/>
      <c r="D207" s="80" t="s">
        <v>31</v>
      </c>
      <c r="E207" s="80" t="s">
        <v>60</v>
      </c>
      <c r="F207" s="81" t="str">
        <f>IFERROR(VLOOKUP(E207,客户!B:C,2,FALSE),"/")</f>
        <v>外送费用945人民币+装箱费用 加在发票里</v>
      </c>
      <c r="G207" s="80" t="s">
        <v>566</v>
      </c>
      <c r="H207" s="45" t="s">
        <v>147</v>
      </c>
      <c r="I207" s="45" t="s">
        <v>205</v>
      </c>
      <c r="J207" s="108">
        <v>43649</v>
      </c>
      <c r="K207" s="108">
        <v>43743</v>
      </c>
      <c r="L207" s="100">
        <v>43782</v>
      </c>
      <c r="M207" s="178" t="s">
        <v>678</v>
      </c>
      <c r="N207" s="108" t="s">
        <v>679</v>
      </c>
      <c r="O207" s="104" t="s">
        <v>680</v>
      </c>
      <c r="P207" s="102">
        <v>37497.8</v>
      </c>
      <c r="Q207" s="102">
        <v>0</v>
      </c>
      <c r="R207" s="131"/>
      <c r="S207" s="132"/>
      <c r="T207" s="102">
        <v>37242.37</v>
      </c>
      <c r="U207" s="100">
        <v>43789</v>
      </c>
      <c r="V207" s="130"/>
      <c r="W207" s="170"/>
    </row>
    <row r="208" s="39" customFormat="1" ht="22" hidden="1" customHeight="1" spans="1:23">
      <c r="A208" s="144" t="s">
        <v>681</v>
      </c>
      <c r="B208" s="174" t="s">
        <v>30</v>
      </c>
      <c r="C208" s="175"/>
      <c r="D208" s="80" t="s">
        <v>31</v>
      </c>
      <c r="E208" s="80" t="s">
        <v>60</v>
      </c>
      <c r="F208" s="81" t="str">
        <f>IFERROR(VLOOKUP(E208,客户!B:C,2,FALSE),"/")</f>
        <v>外送费用945人民币+装箱费用 加在发票里</v>
      </c>
      <c r="G208" s="80" t="s">
        <v>566</v>
      </c>
      <c r="H208" s="45" t="s">
        <v>147</v>
      </c>
      <c r="I208" s="45" t="s">
        <v>205</v>
      </c>
      <c r="J208" s="108">
        <v>43651</v>
      </c>
      <c r="K208" s="108">
        <v>43821</v>
      </c>
      <c r="L208" s="100">
        <v>43851</v>
      </c>
      <c r="M208" s="178" t="s">
        <v>682</v>
      </c>
      <c r="N208" s="108" t="s">
        <v>683</v>
      </c>
      <c r="O208" s="104" t="s">
        <v>680</v>
      </c>
      <c r="P208" s="102">
        <v>37182</v>
      </c>
      <c r="Q208" s="102">
        <v>0</v>
      </c>
      <c r="R208" s="131"/>
      <c r="S208" s="132"/>
      <c r="T208" s="102">
        <v>36908.57</v>
      </c>
      <c r="U208" s="100">
        <v>43871</v>
      </c>
      <c r="V208" s="130"/>
      <c r="W208" s="170"/>
    </row>
    <row r="209" s="39" customFormat="1" ht="22" hidden="1" customHeight="1" spans="1:23">
      <c r="A209" s="144" t="s">
        <v>684</v>
      </c>
      <c r="B209" s="174" t="s">
        <v>30</v>
      </c>
      <c r="C209" s="175"/>
      <c r="D209" s="80" t="s">
        <v>31</v>
      </c>
      <c r="E209" s="80" t="s">
        <v>428</v>
      </c>
      <c r="F209" s="81">
        <f>IFERROR(VLOOKUP(E209,客户!B:C,2,FALSE),"/")</f>
        <v>0</v>
      </c>
      <c r="G209" s="80" t="s">
        <v>126</v>
      </c>
      <c r="H209" s="45" t="s">
        <v>127</v>
      </c>
      <c r="I209" s="45" t="s">
        <v>215</v>
      </c>
      <c r="J209" s="108">
        <v>43670</v>
      </c>
      <c r="K209" s="108">
        <v>43706</v>
      </c>
      <c r="L209" s="100">
        <v>43722</v>
      </c>
      <c r="M209" s="181" t="s">
        <v>685</v>
      </c>
      <c r="N209" s="108" t="s">
        <v>686</v>
      </c>
      <c r="O209" s="104"/>
      <c r="P209" s="102">
        <v>84766</v>
      </c>
      <c r="Q209" s="102">
        <v>10000</v>
      </c>
      <c r="R209" s="131">
        <v>0</v>
      </c>
      <c r="S209" s="132"/>
      <c r="T209" s="102">
        <v>74766</v>
      </c>
      <c r="U209" s="100">
        <v>43718</v>
      </c>
      <c r="V209" s="130"/>
      <c r="W209" s="170"/>
    </row>
    <row r="210" s="39" customFormat="1" ht="22" hidden="1" customHeight="1" spans="1:23">
      <c r="A210" s="144" t="s">
        <v>687</v>
      </c>
      <c r="B210" s="174" t="s">
        <v>30</v>
      </c>
      <c r="C210" s="175"/>
      <c r="D210" s="80" t="s">
        <v>31</v>
      </c>
      <c r="E210" s="80" t="s">
        <v>554</v>
      </c>
      <c r="F210" s="81">
        <f>IFERROR(VLOOKUP(E210,客户!B:C,2,FALSE),"/")</f>
        <v>0</v>
      </c>
      <c r="G210" s="80" t="s">
        <v>43</v>
      </c>
      <c r="H210" s="45" t="s">
        <v>147</v>
      </c>
      <c r="I210" s="45" t="s">
        <v>688</v>
      </c>
      <c r="J210" s="108">
        <v>43677</v>
      </c>
      <c r="K210" s="108">
        <v>43708</v>
      </c>
      <c r="L210" s="100">
        <v>43722</v>
      </c>
      <c r="M210" s="181" t="s">
        <v>689</v>
      </c>
      <c r="N210" s="108" t="s">
        <v>690</v>
      </c>
      <c r="O210" s="104"/>
      <c r="P210" s="102">
        <v>20666.9</v>
      </c>
      <c r="Q210" s="102">
        <v>6279</v>
      </c>
      <c r="R210" s="131">
        <v>0</v>
      </c>
      <c r="S210" s="132"/>
      <c r="T210" s="102">
        <v>14351</v>
      </c>
      <c r="U210" s="100">
        <v>43725</v>
      </c>
      <c r="V210" s="130"/>
      <c r="W210" s="170"/>
    </row>
    <row r="211" s="42" customFormat="1" ht="22" hidden="1" customHeight="1" spans="1:23">
      <c r="A211" s="144" t="s">
        <v>691</v>
      </c>
      <c r="B211" s="174" t="s">
        <v>30</v>
      </c>
      <c r="C211" s="175"/>
      <c r="D211" s="45" t="s">
        <v>31</v>
      </c>
      <c r="E211" s="82" t="s">
        <v>692</v>
      </c>
      <c r="F211" s="81">
        <f>IFERROR(VLOOKUP(E211,客户!B:C,2,FALSE),"/")</f>
        <v>0</v>
      </c>
      <c r="G211" s="80" t="s">
        <v>43</v>
      </c>
      <c r="H211" s="45" t="s">
        <v>123</v>
      </c>
      <c r="I211" s="45" t="s">
        <v>693</v>
      </c>
      <c r="J211" s="159">
        <v>43684</v>
      </c>
      <c r="K211" s="159">
        <v>43717</v>
      </c>
      <c r="L211" s="100">
        <v>43752</v>
      </c>
      <c r="M211" s="159" t="s">
        <v>694</v>
      </c>
      <c r="N211" s="165" t="s">
        <v>695</v>
      </c>
      <c r="O211" s="104"/>
      <c r="P211" s="102">
        <v>18383.87</v>
      </c>
      <c r="Q211" s="102">
        <v>3672</v>
      </c>
      <c r="R211" s="131">
        <v>0</v>
      </c>
      <c r="S211" s="132"/>
      <c r="T211" s="102" t="s">
        <v>696</v>
      </c>
      <c r="U211" s="100">
        <v>43747</v>
      </c>
      <c r="V211" s="128"/>
      <c r="W211" s="170"/>
    </row>
    <row r="212" s="39" customFormat="1" ht="22" hidden="1" customHeight="1" spans="1:23">
      <c r="A212" s="144" t="s">
        <v>697</v>
      </c>
      <c r="B212" s="174" t="s">
        <v>30</v>
      </c>
      <c r="C212" s="175"/>
      <c r="D212" s="45" t="s">
        <v>31</v>
      </c>
      <c r="E212" s="82" t="s">
        <v>698</v>
      </c>
      <c r="F212" s="81">
        <f>IFERROR(VLOOKUP(E212,客户!B:C,2,FALSE),"/")</f>
        <v>0</v>
      </c>
      <c r="G212" s="80" t="s">
        <v>36</v>
      </c>
      <c r="H212" s="45" t="s">
        <v>123</v>
      </c>
      <c r="I212" s="45" t="s">
        <v>693</v>
      </c>
      <c r="J212" s="108">
        <v>43684</v>
      </c>
      <c r="K212" s="108">
        <v>43738</v>
      </c>
      <c r="L212" s="100">
        <v>43776</v>
      </c>
      <c r="M212" s="178" t="s">
        <v>699</v>
      </c>
      <c r="N212" s="108" t="s">
        <v>700</v>
      </c>
      <c r="O212" s="104"/>
      <c r="P212" s="102">
        <v>20866.4</v>
      </c>
      <c r="Q212" s="102">
        <v>5000</v>
      </c>
      <c r="R212" s="131"/>
      <c r="S212" s="132"/>
      <c r="T212" s="102">
        <v>15866</v>
      </c>
      <c r="U212" s="100">
        <v>43773</v>
      </c>
      <c r="V212" s="130"/>
      <c r="W212" s="170"/>
    </row>
    <row r="213" s="39" customFormat="1" ht="22" hidden="1" customHeight="1" spans="1:23">
      <c r="A213" s="144" t="s">
        <v>701</v>
      </c>
      <c r="B213" s="174" t="s">
        <v>30</v>
      </c>
      <c r="C213" s="175"/>
      <c r="D213" s="45" t="s">
        <v>31</v>
      </c>
      <c r="E213" s="80" t="s">
        <v>450</v>
      </c>
      <c r="F213" s="81">
        <f>IFERROR(VLOOKUP(E213,客户!B:C,2,FALSE),"/")</f>
        <v>0</v>
      </c>
      <c r="G213" s="80" t="s">
        <v>43</v>
      </c>
      <c r="H213" s="45" t="s">
        <v>123</v>
      </c>
      <c r="I213" s="45" t="s">
        <v>702</v>
      </c>
      <c r="J213" s="108">
        <v>43681</v>
      </c>
      <c r="K213" s="108">
        <v>43701</v>
      </c>
      <c r="L213" s="100">
        <v>43732</v>
      </c>
      <c r="M213" s="181" t="s">
        <v>703</v>
      </c>
      <c r="N213" s="108" t="s">
        <v>606</v>
      </c>
      <c r="O213" s="104"/>
      <c r="P213" s="102">
        <v>21912</v>
      </c>
      <c r="Q213" s="102"/>
      <c r="R213" s="131"/>
      <c r="S213" s="132"/>
      <c r="T213" s="102">
        <v>15351</v>
      </c>
      <c r="U213" s="102">
        <v>6542</v>
      </c>
      <c r="V213" s="188" t="s">
        <v>704</v>
      </c>
      <c r="W213" s="170"/>
    </row>
    <row r="214" s="39" customFormat="1" ht="22" hidden="1" customHeight="1" spans="1:23">
      <c r="A214" s="144" t="s">
        <v>705</v>
      </c>
      <c r="B214" s="174" t="s">
        <v>30</v>
      </c>
      <c r="C214" s="175"/>
      <c r="D214" s="45" t="s">
        <v>31</v>
      </c>
      <c r="E214" s="80" t="s">
        <v>706</v>
      </c>
      <c r="F214" s="81">
        <f>IFERROR(VLOOKUP(E214,客户!B:C,2,FALSE),"/")</f>
        <v>0</v>
      </c>
      <c r="G214" s="80" t="s">
        <v>707</v>
      </c>
      <c r="H214" s="45" t="s">
        <v>186</v>
      </c>
      <c r="I214" s="45"/>
      <c r="J214" s="108">
        <v>43689</v>
      </c>
      <c r="K214" s="108">
        <v>43720</v>
      </c>
      <c r="L214" s="105"/>
      <c r="M214" s="199"/>
      <c r="N214" s="108"/>
      <c r="O214" s="104"/>
      <c r="P214" s="102"/>
      <c r="Q214" s="102" t="s">
        <v>708</v>
      </c>
      <c r="R214" s="131"/>
      <c r="S214" s="132"/>
      <c r="T214" s="102"/>
      <c r="U214" s="100"/>
      <c r="V214" s="130"/>
      <c r="W214" s="170"/>
    </row>
    <row r="215" s="39" customFormat="1" ht="22" hidden="1" customHeight="1" spans="1:23">
      <c r="A215" s="190" t="s">
        <v>709</v>
      </c>
      <c r="B215" s="174" t="s">
        <v>30</v>
      </c>
      <c r="C215" s="175"/>
      <c r="D215" s="45" t="s">
        <v>31</v>
      </c>
      <c r="E215" s="82" t="s">
        <v>710</v>
      </c>
      <c r="F215" s="81">
        <f>IFERROR(VLOOKUP(E215,客户!B:C,2,FALSE),"/")</f>
        <v>0</v>
      </c>
      <c r="G215" s="80" t="s">
        <v>485</v>
      </c>
      <c r="H215" s="45" t="s">
        <v>123</v>
      </c>
      <c r="I215" s="45" t="s">
        <v>711</v>
      </c>
      <c r="J215" s="108">
        <v>43698</v>
      </c>
      <c r="K215" s="108">
        <v>43726</v>
      </c>
      <c r="L215" s="200">
        <v>43752</v>
      </c>
      <c r="M215" s="108" t="s">
        <v>712</v>
      </c>
      <c r="N215" s="108" t="s">
        <v>713</v>
      </c>
      <c r="O215" s="104"/>
      <c r="P215" s="102">
        <v>21104</v>
      </c>
      <c r="Q215" s="102">
        <v>6330</v>
      </c>
      <c r="R215" s="131">
        <v>0</v>
      </c>
      <c r="S215" s="132"/>
      <c r="T215" s="102" t="s">
        <v>714</v>
      </c>
      <c r="U215" s="100">
        <v>43733</v>
      </c>
      <c r="V215" s="130"/>
      <c r="W215" s="170"/>
    </row>
    <row r="216" s="39" customFormat="1" ht="22" hidden="1" customHeight="1" spans="1:23">
      <c r="A216" s="190" t="s">
        <v>715</v>
      </c>
      <c r="B216" s="174" t="s">
        <v>30</v>
      </c>
      <c r="C216" s="175"/>
      <c r="D216" s="45" t="s">
        <v>31</v>
      </c>
      <c r="E216" s="80" t="s">
        <v>706</v>
      </c>
      <c r="F216" s="81">
        <f>IFERROR(VLOOKUP(E216,客户!B:C,2,FALSE),"/")</f>
        <v>0</v>
      </c>
      <c r="G216" s="80" t="s">
        <v>707</v>
      </c>
      <c r="H216" s="45" t="s">
        <v>186</v>
      </c>
      <c r="I216" s="45"/>
      <c r="J216" s="108">
        <v>43700</v>
      </c>
      <c r="K216" s="108">
        <v>43758</v>
      </c>
      <c r="L216" s="100"/>
      <c r="M216" s="201" t="s">
        <v>716</v>
      </c>
      <c r="N216" s="198" t="s">
        <v>717</v>
      </c>
      <c r="O216" s="104"/>
      <c r="P216" s="102"/>
      <c r="Q216" s="102" t="s">
        <v>708</v>
      </c>
      <c r="R216" s="131"/>
      <c r="S216" s="132"/>
      <c r="T216" s="102" t="s">
        <v>718</v>
      </c>
      <c r="U216" s="100">
        <v>43758</v>
      </c>
      <c r="V216" s="130"/>
      <c r="W216" s="170"/>
    </row>
    <row r="217" s="39" customFormat="1" ht="22" hidden="1" customHeight="1" spans="1:23">
      <c r="A217" s="190" t="s">
        <v>719</v>
      </c>
      <c r="B217" s="174" t="s">
        <v>30</v>
      </c>
      <c r="C217" s="175"/>
      <c r="D217" s="45" t="s">
        <v>31</v>
      </c>
      <c r="E217" s="80" t="s">
        <v>559</v>
      </c>
      <c r="F217" s="81">
        <f>IFERROR(VLOOKUP(E217,客户!B:C,2,FALSE),"/")</f>
        <v>0</v>
      </c>
      <c r="G217" s="80" t="s">
        <v>73</v>
      </c>
      <c r="H217" s="45" t="s">
        <v>123</v>
      </c>
      <c r="I217" s="45" t="s">
        <v>205</v>
      </c>
      <c r="J217" s="108">
        <v>43703</v>
      </c>
      <c r="K217" s="202">
        <v>43756</v>
      </c>
      <c r="L217" s="100">
        <v>43791</v>
      </c>
      <c r="M217" s="178" t="s">
        <v>720</v>
      </c>
      <c r="N217" s="108" t="s">
        <v>721</v>
      </c>
      <c r="O217" s="104" t="s">
        <v>680</v>
      </c>
      <c r="P217" s="102">
        <v>30344</v>
      </c>
      <c r="Q217" s="102">
        <v>0</v>
      </c>
      <c r="R217" s="131"/>
      <c r="S217" s="132"/>
      <c r="T217" s="102">
        <v>29969.25</v>
      </c>
      <c r="U217" s="100">
        <v>43794</v>
      </c>
      <c r="V217" s="130"/>
      <c r="W217" s="170"/>
    </row>
    <row r="218" s="39" customFormat="1" ht="22" hidden="1" customHeight="1" spans="1:23">
      <c r="A218" s="144" t="s">
        <v>722</v>
      </c>
      <c r="B218" s="174" t="s">
        <v>30</v>
      </c>
      <c r="C218" s="175"/>
      <c r="D218" s="45" t="s">
        <v>31</v>
      </c>
      <c r="E218" s="80" t="s">
        <v>559</v>
      </c>
      <c r="F218" s="81">
        <f>IFERROR(VLOOKUP(E218,客户!B:C,2,FALSE),"/")</f>
        <v>0</v>
      </c>
      <c r="G218" s="80" t="s">
        <v>73</v>
      </c>
      <c r="H218" s="45" t="s">
        <v>123</v>
      </c>
      <c r="I218" s="45" t="s">
        <v>723</v>
      </c>
      <c r="J218" s="108">
        <v>43714</v>
      </c>
      <c r="K218" s="108">
        <v>43764</v>
      </c>
      <c r="L218" s="100">
        <v>43809</v>
      </c>
      <c r="M218" s="159" t="s">
        <v>724</v>
      </c>
      <c r="N218" s="108" t="s">
        <v>725</v>
      </c>
      <c r="O218" s="104" t="s">
        <v>680</v>
      </c>
      <c r="P218" s="102">
        <v>37153.2</v>
      </c>
      <c r="Q218" s="102"/>
      <c r="R218" s="131"/>
      <c r="S218" s="132"/>
      <c r="T218" s="102">
        <v>37138.2</v>
      </c>
      <c r="U218" s="100">
        <v>43808</v>
      </c>
      <c r="V218" s="130"/>
      <c r="W218" s="170"/>
    </row>
    <row r="219" s="39" customFormat="1" ht="22" hidden="1" customHeight="1" spans="1:23">
      <c r="A219" s="144" t="s">
        <v>726</v>
      </c>
      <c r="B219" s="174" t="s">
        <v>30</v>
      </c>
      <c r="C219" s="175"/>
      <c r="D219" s="45" t="s">
        <v>31</v>
      </c>
      <c r="E219" s="80" t="s">
        <v>669</v>
      </c>
      <c r="F219" s="81">
        <f>IFERROR(VLOOKUP(E219,客户!B:C,2,FALSE),"/")</f>
        <v>0</v>
      </c>
      <c r="G219" s="80" t="s">
        <v>73</v>
      </c>
      <c r="H219" s="45" t="s">
        <v>123</v>
      </c>
      <c r="I219" s="45" t="s">
        <v>723</v>
      </c>
      <c r="J219" s="108">
        <v>43714</v>
      </c>
      <c r="K219" s="108">
        <v>43773</v>
      </c>
      <c r="L219" s="100">
        <v>43815</v>
      </c>
      <c r="M219" s="159" t="s">
        <v>727</v>
      </c>
      <c r="N219" s="108" t="s">
        <v>725</v>
      </c>
      <c r="O219" s="104" t="s">
        <v>680</v>
      </c>
      <c r="P219" s="102">
        <v>37166.8</v>
      </c>
      <c r="Q219" s="102"/>
      <c r="R219" s="131"/>
      <c r="S219" s="132"/>
      <c r="T219" s="102">
        <v>37151.8</v>
      </c>
      <c r="U219" s="100">
        <v>43808</v>
      </c>
      <c r="V219" s="130"/>
      <c r="W219" s="170"/>
    </row>
    <row r="220" s="39" customFormat="1" ht="22" hidden="1" customHeight="1" spans="1:23">
      <c r="A220" s="144" t="s">
        <v>728</v>
      </c>
      <c r="B220" s="174" t="s">
        <v>30</v>
      </c>
      <c r="C220" s="175"/>
      <c r="D220" s="45" t="s">
        <v>31</v>
      </c>
      <c r="E220" s="80" t="s">
        <v>554</v>
      </c>
      <c r="F220" s="81">
        <f>IFERROR(VLOOKUP(E220,客户!B:C,2,FALSE),"/")</f>
        <v>0</v>
      </c>
      <c r="G220" s="80" t="s">
        <v>43</v>
      </c>
      <c r="H220" s="45" t="s">
        <v>147</v>
      </c>
      <c r="I220" s="45" t="s">
        <v>555</v>
      </c>
      <c r="J220" s="108">
        <v>43705</v>
      </c>
      <c r="K220" s="108">
        <v>43740</v>
      </c>
      <c r="L220" s="100">
        <v>43757</v>
      </c>
      <c r="M220" s="159" t="s">
        <v>729</v>
      </c>
      <c r="N220" s="108" t="s">
        <v>730</v>
      </c>
      <c r="O220" s="104"/>
      <c r="P220" s="203">
        <v>21873.2</v>
      </c>
      <c r="Q220" s="102">
        <v>6561</v>
      </c>
      <c r="R220" s="131"/>
      <c r="S220" s="132"/>
      <c r="T220" s="102">
        <v>15276.24</v>
      </c>
      <c r="U220" s="100">
        <v>43753</v>
      </c>
      <c r="V220" s="130"/>
      <c r="W220" s="170"/>
    </row>
    <row r="221" s="42" customFormat="1" ht="22" hidden="1" customHeight="1" spans="1:23">
      <c r="A221" s="144" t="s">
        <v>731</v>
      </c>
      <c r="B221" s="78" t="s">
        <v>30</v>
      </c>
      <c r="C221" s="79"/>
      <c r="D221" s="45" t="s">
        <v>31</v>
      </c>
      <c r="E221" s="80" t="s">
        <v>732</v>
      </c>
      <c r="F221" s="81" t="str">
        <f>IFERROR(VLOOKUP(E221,客户!B:C,2,FALSE),"/")</f>
        <v>/</v>
      </c>
      <c r="G221" s="80" t="s">
        <v>733</v>
      </c>
      <c r="H221" s="45" t="s">
        <v>186</v>
      </c>
      <c r="I221" s="45"/>
      <c r="J221" s="159">
        <v>43715</v>
      </c>
      <c r="K221" s="159"/>
      <c r="L221" s="100"/>
      <c r="M221" s="159"/>
      <c r="N221" s="159"/>
      <c r="O221" s="104"/>
      <c r="P221" s="102"/>
      <c r="Q221" s="102"/>
      <c r="R221" s="131"/>
      <c r="S221" s="132"/>
      <c r="T221" s="102"/>
      <c r="U221" s="100"/>
      <c r="V221" s="128"/>
      <c r="W221" s="170"/>
    </row>
    <row r="222" s="39" customFormat="1" ht="22" hidden="1" customHeight="1" spans="1:23">
      <c r="A222" s="144" t="s">
        <v>734</v>
      </c>
      <c r="B222" s="78" t="s">
        <v>30</v>
      </c>
      <c r="C222" s="79"/>
      <c r="D222" s="45" t="s">
        <v>31</v>
      </c>
      <c r="E222" s="80" t="s">
        <v>735</v>
      </c>
      <c r="F222" s="81">
        <f>IFERROR(VLOOKUP(E222,客户!B:C,2,FALSE),"/")</f>
        <v>0</v>
      </c>
      <c r="G222" s="80" t="s">
        <v>43</v>
      </c>
      <c r="H222" s="45" t="s">
        <v>123</v>
      </c>
      <c r="I222" s="45"/>
      <c r="J222" s="108">
        <v>43717</v>
      </c>
      <c r="K222" s="108">
        <v>43773</v>
      </c>
      <c r="L222" s="100"/>
      <c r="M222" s="165" t="s">
        <v>736</v>
      </c>
      <c r="N222" s="198" t="s">
        <v>737</v>
      </c>
      <c r="O222" s="104"/>
      <c r="P222" s="102">
        <v>16172.5</v>
      </c>
      <c r="Q222" s="102">
        <v>0</v>
      </c>
      <c r="R222" s="131"/>
      <c r="S222" s="132"/>
      <c r="T222" s="102">
        <v>16159.56</v>
      </c>
      <c r="U222" s="100">
        <v>43760</v>
      </c>
      <c r="V222" s="130"/>
      <c r="W222" s="170"/>
    </row>
    <row r="223" s="39" customFormat="1" ht="22" hidden="1" customHeight="1" spans="1:23">
      <c r="A223" s="190" t="s">
        <v>738</v>
      </c>
      <c r="B223" s="78" t="s">
        <v>30</v>
      </c>
      <c r="C223" s="79"/>
      <c r="D223" s="45" t="s">
        <v>31</v>
      </c>
      <c r="E223" s="80" t="s">
        <v>428</v>
      </c>
      <c r="F223" s="81">
        <f>IFERROR(VLOOKUP(E223,客户!B:C,2,FALSE),"/")</f>
        <v>0</v>
      </c>
      <c r="G223" s="80" t="s">
        <v>739</v>
      </c>
      <c r="H223" s="45" t="s">
        <v>127</v>
      </c>
      <c r="I223" s="204" t="s">
        <v>215</v>
      </c>
      <c r="J223" s="108">
        <v>43719</v>
      </c>
      <c r="K223" s="108">
        <v>43770</v>
      </c>
      <c r="L223" s="100">
        <v>43792</v>
      </c>
      <c r="M223" s="159" t="s">
        <v>740</v>
      </c>
      <c r="N223" s="202" t="s">
        <v>741</v>
      </c>
      <c r="O223" s="104" t="s">
        <v>523</v>
      </c>
      <c r="P223" s="102">
        <v>140299.6</v>
      </c>
      <c r="Q223" s="214" t="s">
        <v>742</v>
      </c>
      <c r="R223" s="131"/>
      <c r="S223" s="132"/>
      <c r="T223" s="102">
        <v>90268</v>
      </c>
      <c r="U223" s="100">
        <v>43794</v>
      </c>
      <c r="V223" s="130"/>
      <c r="W223" s="170"/>
    </row>
    <row r="224" s="39" customFormat="1" ht="22" hidden="1" customHeight="1" spans="1:23">
      <c r="A224" s="191" t="s">
        <v>743</v>
      </c>
      <c r="B224" s="78" t="s">
        <v>30</v>
      </c>
      <c r="C224" s="79"/>
      <c r="D224" s="192" t="s">
        <v>31</v>
      </c>
      <c r="E224" s="193" t="s">
        <v>744</v>
      </c>
      <c r="F224" s="81">
        <f>IFERROR(VLOOKUP(E224,客户!B:C,2,FALSE),"/")</f>
        <v>0</v>
      </c>
      <c r="G224" s="194" t="s">
        <v>745</v>
      </c>
      <c r="H224" s="192" t="s">
        <v>123</v>
      </c>
      <c r="I224" s="192" t="s">
        <v>746</v>
      </c>
      <c r="J224" s="104">
        <v>43712</v>
      </c>
      <c r="K224" s="104">
        <v>43752</v>
      </c>
      <c r="L224" s="205">
        <v>43798</v>
      </c>
      <c r="M224" s="206" t="s">
        <v>747</v>
      </c>
      <c r="N224" s="104" t="s">
        <v>748</v>
      </c>
      <c r="O224" s="104"/>
      <c r="P224" s="207">
        <v>18907.95</v>
      </c>
      <c r="Q224" s="207">
        <v>5819</v>
      </c>
      <c r="R224" s="131"/>
      <c r="S224" s="132"/>
      <c r="T224" s="207">
        <v>13028.95</v>
      </c>
      <c r="U224" s="205">
        <v>43775</v>
      </c>
      <c r="V224" s="215"/>
      <c r="W224" s="216"/>
    </row>
    <row r="225" s="39" customFormat="1" ht="22" hidden="1" customHeight="1" spans="1:23">
      <c r="A225" s="191" t="s">
        <v>749</v>
      </c>
      <c r="B225" s="78" t="s">
        <v>30</v>
      </c>
      <c r="C225" s="79"/>
      <c r="D225" s="192" t="s">
        <v>31</v>
      </c>
      <c r="E225" s="80" t="s">
        <v>446</v>
      </c>
      <c r="F225" s="81">
        <f>IFERROR(VLOOKUP(E225,客户!B:C,2,FALSE),"/")</f>
        <v>0</v>
      </c>
      <c r="G225" s="194" t="s">
        <v>750</v>
      </c>
      <c r="H225" s="192" t="s">
        <v>123</v>
      </c>
      <c r="I225" s="192" t="s">
        <v>751</v>
      </c>
      <c r="J225" s="104">
        <v>43724</v>
      </c>
      <c r="K225" s="104"/>
      <c r="L225" s="205"/>
      <c r="M225" s="208" t="s">
        <v>752</v>
      </c>
      <c r="N225" s="104"/>
      <c r="O225" s="104" t="s">
        <v>523</v>
      </c>
      <c r="P225" s="207"/>
      <c r="Q225" s="207"/>
      <c r="R225" s="131"/>
      <c r="S225" s="132"/>
      <c r="T225" s="207"/>
      <c r="U225" s="205"/>
      <c r="V225" s="215"/>
      <c r="W225" s="216"/>
    </row>
    <row r="226" s="39" customFormat="1" ht="22" hidden="1" customHeight="1" spans="1:23">
      <c r="A226" s="190" t="s">
        <v>753</v>
      </c>
      <c r="B226" s="174" t="s">
        <v>30</v>
      </c>
      <c r="C226" s="175"/>
      <c r="D226" s="45" t="s">
        <v>31</v>
      </c>
      <c r="E226" s="80" t="s">
        <v>296</v>
      </c>
      <c r="F226" s="81">
        <f>IFERROR(VLOOKUP(E226,客户!B:C,2,FALSE),"/")</f>
        <v>0</v>
      </c>
      <c r="G226" s="80" t="s">
        <v>754</v>
      </c>
      <c r="H226" s="45" t="s">
        <v>123</v>
      </c>
      <c r="I226" s="45" t="s">
        <v>755</v>
      </c>
      <c r="J226" s="108">
        <v>43733</v>
      </c>
      <c r="K226" s="108">
        <v>43785</v>
      </c>
      <c r="L226" s="100">
        <v>43816</v>
      </c>
      <c r="M226" s="165" t="s">
        <v>756</v>
      </c>
      <c r="N226" s="198" t="s">
        <v>757</v>
      </c>
      <c r="O226" s="104" t="s">
        <v>523</v>
      </c>
      <c r="P226" s="102">
        <v>18438.6</v>
      </c>
      <c r="Q226" s="102">
        <v>5681.94</v>
      </c>
      <c r="R226" s="131"/>
      <c r="S226" s="132"/>
      <c r="T226" s="102">
        <v>12746.66</v>
      </c>
      <c r="U226" s="100">
        <v>43805</v>
      </c>
      <c r="V226" s="130"/>
      <c r="W226" s="170"/>
    </row>
    <row r="227" s="39" customFormat="1" ht="22" hidden="1" customHeight="1" spans="1:23">
      <c r="A227" s="144" t="s">
        <v>758</v>
      </c>
      <c r="B227" s="174" t="s">
        <v>30</v>
      </c>
      <c r="C227" s="175"/>
      <c r="D227" s="45" t="s">
        <v>31</v>
      </c>
      <c r="E227" s="80" t="s">
        <v>450</v>
      </c>
      <c r="F227" s="81">
        <f>IFERROR(VLOOKUP(E227,客户!B:C,2,FALSE),"/")</f>
        <v>0</v>
      </c>
      <c r="G227" s="84" t="s">
        <v>759</v>
      </c>
      <c r="H227" s="45" t="s">
        <v>123</v>
      </c>
      <c r="I227" s="45" t="s">
        <v>760</v>
      </c>
      <c r="J227" s="108">
        <v>43734</v>
      </c>
      <c r="K227" s="108">
        <v>43767</v>
      </c>
      <c r="L227" s="100">
        <v>43803</v>
      </c>
      <c r="M227" s="165" t="s">
        <v>761</v>
      </c>
      <c r="N227" s="108" t="s">
        <v>762</v>
      </c>
      <c r="O227" s="104" t="s">
        <v>523</v>
      </c>
      <c r="P227" s="102">
        <v>20908</v>
      </c>
      <c r="Q227" s="102"/>
      <c r="R227" s="131"/>
      <c r="S227" s="132"/>
      <c r="T227" s="102">
        <f>15035.75+41350/7.0416</f>
        <v>20907.9949443308</v>
      </c>
      <c r="U227" s="102"/>
      <c r="V227" s="188" t="s">
        <v>763</v>
      </c>
      <c r="W227" s="170"/>
    </row>
    <row r="228" s="39" customFormat="1" ht="22" hidden="1" customHeight="1" spans="1:23">
      <c r="A228" s="144" t="s">
        <v>764</v>
      </c>
      <c r="B228" s="174" t="s">
        <v>30</v>
      </c>
      <c r="C228" s="175"/>
      <c r="D228" s="45" t="s">
        <v>31</v>
      </c>
      <c r="E228" s="80" t="s">
        <v>446</v>
      </c>
      <c r="F228" s="81">
        <f>IFERROR(VLOOKUP(E228,客户!B:C,2,FALSE),"/")</f>
        <v>0</v>
      </c>
      <c r="G228" s="84" t="s">
        <v>222</v>
      </c>
      <c r="H228" s="45" t="s">
        <v>123</v>
      </c>
      <c r="I228" s="45" t="s">
        <v>238</v>
      </c>
      <c r="J228" s="108">
        <v>43735</v>
      </c>
      <c r="K228" s="108">
        <v>43808</v>
      </c>
      <c r="L228" s="100">
        <v>43843</v>
      </c>
      <c r="M228" s="178" t="s">
        <v>765</v>
      </c>
      <c r="N228" s="108" t="s">
        <v>766</v>
      </c>
      <c r="O228" s="104" t="s">
        <v>523</v>
      </c>
      <c r="P228" s="102">
        <v>21802.88</v>
      </c>
      <c r="Q228" s="102">
        <v>4306</v>
      </c>
      <c r="R228" s="131"/>
      <c r="S228" s="132"/>
      <c r="T228" s="102">
        <v>17458.82</v>
      </c>
      <c r="U228" s="100">
        <v>43836</v>
      </c>
      <c r="V228" s="130"/>
      <c r="W228" s="170"/>
    </row>
    <row r="229" s="39" customFormat="1" ht="22" hidden="1" customHeight="1" spans="1:23">
      <c r="A229" s="144" t="s">
        <v>767</v>
      </c>
      <c r="B229" s="174" t="s">
        <v>30</v>
      </c>
      <c r="C229" s="175"/>
      <c r="D229" s="45" t="s">
        <v>31</v>
      </c>
      <c r="E229" s="82" t="s">
        <v>768</v>
      </c>
      <c r="F229" s="81">
        <f>IFERROR(VLOOKUP(E229,客户!B:C,2,FALSE),"/")</f>
        <v>0</v>
      </c>
      <c r="G229" s="84" t="s">
        <v>769</v>
      </c>
      <c r="H229" s="45" t="s">
        <v>123</v>
      </c>
      <c r="I229" s="45" t="s">
        <v>770</v>
      </c>
      <c r="J229" s="108">
        <v>43754</v>
      </c>
      <c r="K229" s="108">
        <v>43808</v>
      </c>
      <c r="L229" s="100">
        <v>43834</v>
      </c>
      <c r="M229" s="159" t="s">
        <v>771</v>
      </c>
      <c r="N229" s="108" t="s">
        <v>772</v>
      </c>
      <c r="O229" s="104" t="s">
        <v>523</v>
      </c>
      <c r="P229" s="102">
        <v>20247</v>
      </c>
      <c r="Q229" s="102">
        <v>5593</v>
      </c>
      <c r="R229" s="131"/>
      <c r="S229" s="132"/>
      <c r="T229" s="102">
        <v>14639</v>
      </c>
      <c r="U229" s="100">
        <v>43826</v>
      </c>
      <c r="V229" s="130"/>
      <c r="W229" s="170"/>
    </row>
    <row r="230" s="39" customFormat="1" ht="22" hidden="1" customHeight="1" spans="1:23">
      <c r="A230" s="144" t="s">
        <v>773</v>
      </c>
      <c r="B230" s="174" t="s">
        <v>30</v>
      </c>
      <c r="C230" s="175"/>
      <c r="D230" s="45" t="s">
        <v>31</v>
      </c>
      <c r="E230" s="80" t="s">
        <v>559</v>
      </c>
      <c r="F230" s="81">
        <f>IFERROR(VLOOKUP(E230,客户!B:C,2,FALSE),"/")</f>
        <v>0</v>
      </c>
      <c r="G230" s="84" t="s">
        <v>234</v>
      </c>
      <c r="H230" s="45" t="s">
        <v>123</v>
      </c>
      <c r="I230" s="45" t="s">
        <v>774</v>
      </c>
      <c r="J230" s="108">
        <v>43756</v>
      </c>
      <c r="K230" s="108">
        <v>43832</v>
      </c>
      <c r="L230" s="100">
        <v>43863</v>
      </c>
      <c r="M230" s="159" t="s">
        <v>775</v>
      </c>
      <c r="N230" s="108" t="s">
        <v>776</v>
      </c>
      <c r="O230" s="104" t="s">
        <v>680</v>
      </c>
      <c r="P230" s="102">
        <v>56383.15</v>
      </c>
      <c r="Q230" s="102"/>
      <c r="R230" s="131"/>
      <c r="S230" s="132"/>
      <c r="T230" s="102">
        <v>56131.97</v>
      </c>
      <c r="U230" s="100">
        <v>43872</v>
      </c>
      <c r="V230" s="130"/>
      <c r="W230" s="170"/>
    </row>
    <row r="231" s="39" customFormat="1" ht="22" hidden="1" customHeight="1" spans="1:23">
      <c r="A231" s="144" t="s">
        <v>777</v>
      </c>
      <c r="B231" s="174" t="s">
        <v>30</v>
      </c>
      <c r="C231" s="175"/>
      <c r="D231" s="45" t="s">
        <v>31</v>
      </c>
      <c r="E231" s="80" t="s">
        <v>559</v>
      </c>
      <c r="F231" s="81">
        <f>IFERROR(VLOOKUP(E231,客户!B:C,2,FALSE),"/")</f>
        <v>0</v>
      </c>
      <c r="G231" s="84" t="s">
        <v>73</v>
      </c>
      <c r="H231" s="45" t="s">
        <v>123</v>
      </c>
      <c r="I231" s="45" t="s">
        <v>723</v>
      </c>
      <c r="J231" s="108">
        <v>43756</v>
      </c>
      <c r="K231" s="108">
        <v>43780</v>
      </c>
      <c r="L231" s="100">
        <v>43819</v>
      </c>
      <c r="M231" s="159" t="s">
        <v>778</v>
      </c>
      <c r="N231" s="108" t="s">
        <v>779</v>
      </c>
      <c r="O231" s="104" t="s">
        <v>680</v>
      </c>
      <c r="P231" s="102">
        <v>36878</v>
      </c>
      <c r="Q231" s="102"/>
      <c r="R231" s="131"/>
      <c r="S231" s="132"/>
      <c r="T231" s="102">
        <v>36592</v>
      </c>
      <c r="U231" s="100">
        <v>43824</v>
      </c>
      <c r="V231" s="130"/>
      <c r="W231" s="170"/>
    </row>
    <row r="232" s="39" customFormat="1" ht="22" hidden="1" customHeight="1" spans="1:23">
      <c r="A232" s="144" t="s">
        <v>780</v>
      </c>
      <c r="B232" s="174" t="s">
        <v>30</v>
      </c>
      <c r="C232" s="175"/>
      <c r="D232" s="45" t="s">
        <v>31</v>
      </c>
      <c r="E232" s="80" t="s">
        <v>559</v>
      </c>
      <c r="F232" s="81">
        <f>IFERROR(VLOOKUP(E232,客户!B:C,2,FALSE),"/")</f>
        <v>0</v>
      </c>
      <c r="G232" s="84" t="s">
        <v>93</v>
      </c>
      <c r="H232" s="45" t="s">
        <v>123</v>
      </c>
      <c r="I232" s="45" t="s">
        <v>774</v>
      </c>
      <c r="J232" s="108">
        <v>43756</v>
      </c>
      <c r="K232" s="108">
        <v>43789</v>
      </c>
      <c r="L232" s="100">
        <v>43825</v>
      </c>
      <c r="M232" s="159" t="s">
        <v>781</v>
      </c>
      <c r="N232" s="108" t="s">
        <v>782</v>
      </c>
      <c r="O232" s="104" t="s">
        <v>680</v>
      </c>
      <c r="P232" s="102">
        <v>18659.81</v>
      </c>
      <c r="Q232" s="102"/>
      <c r="R232" s="131"/>
      <c r="S232" s="132"/>
      <c r="T232" s="102">
        <v>18231.16</v>
      </c>
      <c r="U232" s="100">
        <v>43822</v>
      </c>
      <c r="V232" s="130"/>
      <c r="W232" s="170"/>
    </row>
    <row r="233" s="39" customFormat="1" ht="22" hidden="1" customHeight="1" spans="1:23">
      <c r="A233" s="144" t="s">
        <v>783</v>
      </c>
      <c r="B233" s="174" t="s">
        <v>30</v>
      </c>
      <c r="C233" s="175"/>
      <c r="D233" s="45" t="s">
        <v>31</v>
      </c>
      <c r="E233" s="80" t="s">
        <v>559</v>
      </c>
      <c r="F233" s="81">
        <f>IFERROR(VLOOKUP(E233,客户!B:C,2,FALSE),"/")</f>
        <v>0</v>
      </c>
      <c r="G233" s="84" t="s">
        <v>73</v>
      </c>
      <c r="H233" s="45" t="s">
        <v>123</v>
      </c>
      <c r="I233" s="45" t="s">
        <v>774</v>
      </c>
      <c r="J233" s="108">
        <v>43756</v>
      </c>
      <c r="K233" s="108">
        <v>43793</v>
      </c>
      <c r="L233" s="100">
        <v>43827</v>
      </c>
      <c r="M233" s="159" t="s">
        <v>784</v>
      </c>
      <c r="N233" s="108" t="s">
        <v>785</v>
      </c>
      <c r="O233" s="104" t="s">
        <v>680</v>
      </c>
      <c r="P233" s="102">
        <v>36470.48</v>
      </c>
      <c r="Q233" s="102"/>
      <c r="R233" s="131"/>
      <c r="S233" s="132"/>
      <c r="T233" s="102">
        <v>36362</v>
      </c>
      <c r="U233" s="100">
        <v>43825</v>
      </c>
      <c r="V233" s="130"/>
      <c r="W233" s="170"/>
    </row>
    <row r="234" s="39" customFormat="1" ht="22" hidden="1" customHeight="1" spans="1:23">
      <c r="A234" s="144" t="s">
        <v>786</v>
      </c>
      <c r="B234" s="174" t="s">
        <v>30</v>
      </c>
      <c r="C234" s="175"/>
      <c r="D234" s="45" t="s">
        <v>31</v>
      </c>
      <c r="E234" s="80" t="s">
        <v>559</v>
      </c>
      <c r="F234" s="81">
        <f>IFERROR(VLOOKUP(E234,客户!B:C,2,FALSE),"/")</f>
        <v>0</v>
      </c>
      <c r="G234" s="84" t="s">
        <v>93</v>
      </c>
      <c r="H234" s="45" t="s">
        <v>123</v>
      </c>
      <c r="I234" s="45" t="s">
        <v>774</v>
      </c>
      <c r="J234" s="108">
        <v>43756</v>
      </c>
      <c r="K234" s="108">
        <v>43801</v>
      </c>
      <c r="L234" s="100">
        <v>43836</v>
      </c>
      <c r="M234" s="159" t="s">
        <v>787</v>
      </c>
      <c r="N234" s="108" t="s">
        <v>585</v>
      </c>
      <c r="O234" s="104" t="s">
        <v>680</v>
      </c>
      <c r="P234" s="102">
        <v>18507.7</v>
      </c>
      <c r="Q234" s="102"/>
      <c r="R234" s="131"/>
      <c r="S234" s="132"/>
      <c r="T234" s="102">
        <v>18079.07</v>
      </c>
      <c r="U234" s="100">
        <v>43838</v>
      </c>
      <c r="V234" s="130"/>
      <c r="W234" s="170"/>
    </row>
    <row r="235" s="39" customFormat="1" ht="22" hidden="1" customHeight="1" spans="1:23">
      <c r="A235" s="144" t="s">
        <v>788</v>
      </c>
      <c r="B235" s="174" t="s">
        <v>30</v>
      </c>
      <c r="C235" s="175"/>
      <c r="D235" s="45" t="s">
        <v>31</v>
      </c>
      <c r="E235" s="80" t="s">
        <v>559</v>
      </c>
      <c r="F235" s="81">
        <f>IFERROR(VLOOKUP(E235,客户!B:C,2,FALSE),"/")</f>
        <v>0</v>
      </c>
      <c r="G235" s="84" t="s">
        <v>234</v>
      </c>
      <c r="H235" s="45" t="s">
        <v>123</v>
      </c>
      <c r="I235" s="45" t="s">
        <v>774</v>
      </c>
      <c r="J235" s="108">
        <v>43756</v>
      </c>
      <c r="K235" s="108">
        <v>43815</v>
      </c>
      <c r="L235" s="100">
        <v>43847</v>
      </c>
      <c r="M235" s="159" t="s">
        <v>789</v>
      </c>
      <c r="N235" s="108" t="s">
        <v>790</v>
      </c>
      <c r="O235" s="104" t="s">
        <v>680</v>
      </c>
      <c r="P235" s="102">
        <v>55831.05</v>
      </c>
      <c r="Q235" s="102"/>
      <c r="R235" s="131"/>
      <c r="S235" s="132"/>
      <c r="T235" s="102">
        <v>55585.35</v>
      </c>
      <c r="U235" s="100">
        <v>43871</v>
      </c>
      <c r="V235" s="130"/>
      <c r="W235" s="170"/>
    </row>
    <row r="236" s="39" customFormat="1" ht="22" hidden="1" customHeight="1" spans="1:23">
      <c r="A236" s="144" t="s">
        <v>791</v>
      </c>
      <c r="B236" s="174" t="s">
        <v>30</v>
      </c>
      <c r="C236" s="175"/>
      <c r="D236" s="45" t="s">
        <v>31</v>
      </c>
      <c r="E236" s="80" t="s">
        <v>559</v>
      </c>
      <c r="F236" s="81">
        <f>IFERROR(VLOOKUP(E236,客户!B:C,2,FALSE),"/")</f>
        <v>0</v>
      </c>
      <c r="G236" s="84" t="s">
        <v>93</v>
      </c>
      <c r="H236" s="45" t="s">
        <v>123</v>
      </c>
      <c r="I236" s="45" t="s">
        <v>774</v>
      </c>
      <c r="J236" s="108">
        <v>43756</v>
      </c>
      <c r="K236" s="108">
        <v>43820</v>
      </c>
      <c r="L236" s="100">
        <v>43859</v>
      </c>
      <c r="M236" s="159" t="s">
        <v>792</v>
      </c>
      <c r="N236" s="108" t="s">
        <v>790</v>
      </c>
      <c r="O236" s="104" t="s">
        <v>680</v>
      </c>
      <c r="P236" s="102">
        <v>17826.48</v>
      </c>
      <c r="Q236" s="102"/>
      <c r="R236" s="131"/>
      <c r="S236" s="132"/>
      <c r="T236" s="102">
        <v>17648.32</v>
      </c>
      <c r="U236" s="100">
        <v>43871</v>
      </c>
      <c r="V236" s="130"/>
      <c r="W236" s="170"/>
    </row>
    <row r="237" s="39" customFormat="1" ht="22" hidden="1" customHeight="1" spans="1:23">
      <c r="A237" s="144" t="s">
        <v>793</v>
      </c>
      <c r="B237" s="174" t="s">
        <v>30</v>
      </c>
      <c r="C237" s="175"/>
      <c r="D237" s="45" t="s">
        <v>31</v>
      </c>
      <c r="E237" s="80" t="s">
        <v>559</v>
      </c>
      <c r="F237" s="81">
        <f>IFERROR(VLOOKUP(E237,客户!B:C,2,FALSE),"/")</f>
        <v>0</v>
      </c>
      <c r="G237" s="84" t="s">
        <v>234</v>
      </c>
      <c r="H237" s="45" t="s">
        <v>123</v>
      </c>
      <c r="I237" s="45" t="s">
        <v>723</v>
      </c>
      <c r="J237" s="108">
        <v>43756</v>
      </c>
      <c r="K237" s="108">
        <v>43836</v>
      </c>
      <c r="L237" s="100">
        <v>43868</v>
      </c>
      <c r="M237" s="165" t="s">
        <v>794</v>
      </c>
      <c r="N237" s="108" t="s">
        <v>795</v>
      </c>
      <c r="O237" s="104" t="s">
        <v>680</v>
      </c>
      <c r="P237" s="102">
        <v>56237.98</v>
      </c>
      <c r="Q237" s="102"/>
      <c r="R237" s="131"/>
      <c r="S237" s="132"/>
      <c r="T237" s="102">
        <v>55987.05</v>
      </c>
      <c r="U237" s="100">
        <v>43871</v>
      </c>
      <c r="V237" s="130"/>
      <c r="W237" s="170"/>
    </row>
    <row r="238" s="39" customFormat="1" ht="22" hidden="1" customHeight="1" spans="1:23">
      <c r="A238" s="144" t="s">
        <v>796</v>
      </c>
      <c r="B238" s="174" t="s">
        <v>30</v>
      </c>
      <c r="C238" s="175"/>
      <c r="D238" s="45" t="s">
        <v>31</v>
      </c>
      <c r="E238" s="80" t="s">
        <v>559</v>
      </c>
      <c r="F238" s="81">
        <f>IFERROR(VLOOKUP(E238,客户!B:C,2,FALSE),"/")</f>
        <v>0</v>
      </c>
      <c r="G238" s="84" t="s">
        <v>73</v>
      </c>
      <c r="H238" s="45" t="s">
        <v>123</v>
      </c>
      <c r="I238" s="45" t="s">
        <v>723</v>
      </c>
      <c r="J238" s="108">
        <v>43756</v>
      </c>
      <c r="K238" s="108">
        <v>43785</v>
      </c>
      <c r="L238" s="100">
        <v>43828</v>
      </c>
      <c r="M238" s="159" t="s">
        <v>797</v>
      </c>
      <c r="N238" s="108" t="s">
        <v>782</v>
      </c>
      <c r="O238" s="104" t="s">
        <v>680</v>
      </c>
      <c r="P238" s="102">
        <v>37319.62</v>
      </c>
      <c r="Q238" s="102"/>
      <c r="R238" s="131"/>
      <c r="S238" s="132"/>
      <c r="T238" s="102">
        <v>37139</v>
      </c>
      <c r="U238" s="100">
        <v>43826</v>
      </c>
      <c r="V238" s="130"/>
      <c r="W238" s="170"/>
    </row>
    <row r="239" s="39" customFormat="1" ht="22" hidden="1" customHeight="1" spans="1:23">
      <c r="A239" s="144" t="s">
        <v>798</v>
      </c>
      <c r="B239" s="174" t="s">
        <v>30</v>
      </c>
      <c r="C239" s="175"/>
      <c r="D239" s="45" t="s">
        <v>31</v>
      </c>
      <c r="E239" s="83" t="s">
        <v>799</v>
      </c>
      <c r="F239" s="81">
        <f>IFERROR(VLOOKUP(E239,客户!B:C,2,FALSE),"/")</f>
        <v>0</v>
      </c>
      <c r="G239" s="84" t="s">
        <v>93</v>
      </c>
      <c r="H239" s="45" t="s">
        <v>123</v>
      </c>
      <c r="I239" s="45" t="s">
        <v>723</v>
      </c>
      <c r="J239" s="108">
        <v>43756</v>
      </c>
      <c r="K239" s="108">
        <v>43801</v>
      </c>
      <c r="L239" s="100">
        <v>43839</v>
      </c>
      <c r="M239" s="159" t="s">
        <v>800</v>
      </c>
      <c r="N239" s="108" t="s">
        <v>585</v>
      </c>
      <c r="O239" s="104" t="s">
        <v>680</v>
      </c>
      <c r="P239" s="102">
        <v>18507.7</v>
      </c>
      <c r="Q239" s="102"/>
      <c r="R239" s="131"/>
      <c r="S239" s="132"/>
      <c r="T239" s="102">
        <v>18079</v>
      </c>
      <c r="U239" s="100">
        <v>43837</v>
      </c>
      <c r="V239" s="130"/>
      <c r="W239" s="170"/>
    </row>
    <row r="240" s="39" customFormat="1" ht="22" hidden="1" customHeight="1" spans="1:23">
      <c r="A240" s="144" t="s">
        <v>801</v>
      </c>
      <c r="B240" s="174" t="s">
        <v>30</v>
      </c>
      <c r="C240" s="175"/>
      <c r="D240" s="45" t="s">
        <v>31</v>
      </c>
      <c r="E240" s="80" t="s">
        <v>559</v>
      </c>
      <c r="F240" s="81">
        <f>IFERROR(VLOOKUP(E240,客户!B:C,2,FALSE),"/")</f>
        <v>0</v>
      </c>
      <c r="G240" s="84" t="s">
        <v>234</v>
      </c>
      <c r="H240" s="45" t="s">
        <v>123</v>
      </c>
      <c r="I240" s="45" t="s">
        <v>723</v>
      </c>
      <c r="J240" s="108">
        <v>43756</v>
      </c>
      <c r="K240" s="108">
        <v>43816</v>
      </c>
      <c r="L240" s="100">
        <v>43851</v>
      </c>
      <c r="M240" s="159" t="s">
        <v>802</v>
      </c>
      <c r="N240" s="108" t="s">
        <v>790</v>
      </c>
      <c r="O240" s="104" t="s">
        <v>680</v>
      </c>
      <c r="P240" s="102">
        <v>55831.05</v>
      </c>
      <c r="Q240" s="102"/>
      <c r="R240" s="131"/>
      <c r="S240" s="132"/>
      <c r="T240" s="102">
        <v>55580</v>
      </c>
      <c r="U240" s="100">
        <v>43866</v>
      </c>
      <c r="V240" s="130"/>
      <c r="W240" s="170"/>
    </row>
    <row r="241" s="39" customFormat="1" ht="22" hidden="1" customHeight="1" spans="1:23">
      <c r="A241" s="144" t="s">
        <v>803</v>
      </c>
      <c r="B241" s="174" t="s">
        <v>30</v>
      </c>
      <c r="C241" s="175"/>
      <c r="D241" s="45" t="s">
        <v>31</v>
      </c>
      <c r="E241" s="80" t="s">
        <v>559</v>
      </c>
      <c r="F241" s="81">
        <f>IFERROR(VLOOKUP(E241,客户!B:C,2,FALSE),"/")</f>
        <v>0</v>
      </c>
      <c r="G241" s="84" t="s">
        <v>73</v>
      </c>
      <c r="H241" s="45" t="s">
        <v>123</v>
      </c>
      <c r="I241" s="45" t="s">
        <v>723</v>
      </c>
      <c r="J241" s="108">
        <v>43756</v>
      </c>
      <c r="K241" s="108">
        <v>43822</v>
      </c>
      <c r="L241" s="100">
        <v>43858</v>
      </c>
      <c r="M241" s="159" t="s">
        <v>804</v>
      </c>
      <c r="N241" s="108" t="s">
        <v>790</v>
      </c>
      <c r="O241" s="104" t="s">
        <v>680</v>
      </c>
      <c r="P241" s="102">
        <v>35652.96</v>
      </c>
      <c r="Q241" s="102"/>
      <c r="R241" s="131"/>
      <c r="S241" s="132"/>
      <c r="T241" s="102">
        <v>35432.52</v>
      </c>
      <c r="U241" s="100">
        <v>43873</v>
      </c>
      <c r="V241" s="130"/>
      <c r="W241" s="170"/>
    </row>
    <row r="242" s="39" customFormat="1" ht="22" hidden="1" customHeight="1" spans="1:23">
      <c r="A242" s="144" t="s">
        <v>805</v>
      </c>
      <c r="B242" s="174" t="s">
        <v>30</v>
      </c>
      <c r="C242" s="175"/>
      <c r="D242" s="45" t="s">
        <v>31</v>
      </c>
      <c r="E242" s="80" t="s">
        <v>624</v>
      </c>
      <c r="F242" s="81">
        <f>IFERROR(VLOOKUP(E242,客户!B:C,2,FALSE),"/")</f>
        <v>0</v>
      </c>
      <c r="G242" s="84" t="s">
        <v>769</v>
      </c>
      <c r="H242" s="45" t="s">
        <v>123</v>
      </c>
      <c r="I242" s="45" t="s">
        <v>806</v>
      </c>
      <c r="J242" s="108">
        <v>43769</v>
      </c>
      <c r="K242" s="108">
        <v>43813</v>
      </c>
      <c r="L242" s="100">
        <v>43852</v>
      </c>
      <c r="M242" s="178" t="s">
        <v>807</v>
      </c>
      <c r="N242" s="108" t="s">
        <v>808</v>
      </c>
      <c r="O242" s="104" t="s">
        <v>523</v>
      </c>
      <c r="P242" s="102">
        <v>20541.78</v>
      </c>
      <c r="Q242" s="102">
        <v>5000</v>
      </c>
      <c r="R242" s="131"/>
      <c r="S242" s="132"/>
      <c r="T242" s="102">
        <v>15500</v>
      </c>
      <c r="U242" s="100">
        <v>43845</v>
      </c>
      <c r="V242" s="130"/>
      <c r="W242" s="170"/>
    </row>
    <row r="243" s="39" customFormat="1" ht="22" hidden="1" customHeight="1" spans="1:23">
      <c r="A243" s="144" t="s">
        <v>809</v>
      </c>
      <c r="B243" s="174" t="s">
        <v>30</v>
      </c>
      <c r="C243" s="175"/>
      <c r="D243" s="45" t="s">
        <v>31</v>
      </c>
      <c r="E243" s="80" t="s">
        <v>624</v>
      </c>
      <c r="F243" s="81">
        <f>IFERROR(VLOOKUP(E243,客户!B:C,2,FALSE),"/")</f>
        <v>0</v>
      </c>
      <c r="G243" s="84" t="s">
        <v>810</v>
      </c>
      <c r="H243" s="45" t="s">
        <v>123</v>
      </c>
      <c r="I243" s="45" t="s">
        <v>811</v>
      </c>
      <c r="J243" s="108">
        <v>43769</v>
      </c>
      <c r="K243" s="108">
        <v>43841</v>
      </c>
      <c r="L243" s="100">
        <v>43869</v>
      </c>
      <c r="M243" s="159" t="s">
        <v>812</v>
      </c>
      <c r="N243" s="108" t="s">
        <v>813</v>
      </c>
      <c r="O243" s="104" t="s">
        <v>680</v>
      </c>
      <c r="P243" s="102">
        <v>31652.54</v>
      </c>
      <c r="Q243" s="102">
        <v>5058</v>
      </c>
      <c r="R243" s="131"/>
      <c r="S243" s="132"/>
      <c r="T243" s="102">
        <f>3739+4392.4+18409.5</f>
        <v>26540.9</v>
      </c>
      <c r="U243" s="100">
        <v>43881</v>
      </c>
      <c r="V243" s="173" t="s">
        <v>814</v>
      </c>
      <c r="W243" s="217" t="s">
        <v>815</v>
      </c>
    </row>
    <row r="244" s="39" customFormat="1" ht="22" hidden="1" customHeight="1" spans="1:23">
      <c r="A244" s="144" t="s">
        <v>816</v>
      </c>
      <c r="B244" s="174" t="s">
        <v>30</v>
      </c>
      <c r="C244" s="175"/>
      <c r="D244" s="45" t="s">
        <v>31</v>
      </c>
      <c r="E244" s="82" t="s">
        <v>817</v>
      </c>
      <c r="F244" s="81">
        <f>IFERROR(VLOOKUP(E244,客户!B:C,2,FALSE),"/")</f>
        <v>0</v>
      </c>
      <c r="G244" s="84" t="s">
        <v>68</v>
      </c>
      <c r="H244" s="45" t="s">
        <v>123</v>
      </c>
      <c r="I244" s="45" t="s">
        <v>818</v>
      </c>
      <c r="J244" s="108">
        <v>43770</v>
      </c>
      <c r="K244" s="108">
        <v>43816</v>
      </c>
      <c r="L244" s="100">
        <v>43852</v>
      </c>
      <c r="M244" s="159" t="s">
        <v>819</v>
      </c>
      <c r="N244" s="198" t="s">
        <v>820</v>
      </c>
      <c r="O244" s="104" t="s">
        <v>523</v>
      </c>
      <c r="P244" s="102">
        <v>34478.5</v>
      </c>
      <c r="Q244" s="102">
        <v>10580</v>
      </c>
      <c r="R244" s="131"/>
      <c r="S244" s="132"/>
      <c r="T244" s="102" t="s">
        <v>821</v>
      </c>
      <c r="U244" s="100">
        <v>43833</v>
      </c>
      <c r="V244" s="130"/>
      <c r="W244" s="170"/>
    </row>
    <row r="245" s="39" customFormat="1" ht="22" hidden="1" customHeight="1" spans="1:23">
      <c r="A245" s="144" t="s">
        <v>822</v>
      </c>
      <c r="B245" s="174" t="s">
        <v>30</v>
      </c>
      <c r="C245" s="175"/>
      <c r="D245" s="45" t="s">
        <v>31</v>
      </c>
      <c r="E245" s="80" t="s">
        <v>823</v>
      </c>
      <c r="F245" s="81">
        <f>IFERROR(VLOOKUP(E245,客户!B:C,2,FALSE),"/")</f>
        <v>0</v>
      </c>
      <c r="G245" s="84" t="s">
        <v>93</v>
      </c>
      <c r="H245" s="45" t="s">
        <v>123</v>
      </c>
      <c r="I245" s="45" t="s">
        <v>824</v>
      </c>
      <c r="J245" s="108">
        <v>43773</v>
      </c>
      <c r="K245" s="108">
        <v>43819</v>
      </c>
      <c r="L245" s="100">
        <v>43857</v>
      </c>
      <c r="M245" s="159" t="s">
        <v>825</v>
      </c>
      <c r="N245" s="108" t="s">
        <v>826</v>
      </c>
      <c r="O245" s="104" t="s">
        <v>523</v>
      </c>
      <c r="P245" s="102">
        <v>20328.15</v>
      </c>
      <c r="Q245" s="102">
        <v>4153</v>
      </c>
      <c r="R245" s="131"/>
      <c r="S245" s="132"/>
      <c r="T245" s="102">
        <v>16144.5</v>
      </c>
      <c r="U245" s="100">
        <v>43846</v>
      </c>
      <c r="V245" s="130"/>
      <c r="W245" s="170"/>
    </row>
    <row r="246" s="39" customFormat="1" ht="22" hidden="1" customHeight="1" spans="1:23">
      <c r="A246" s="144" t="s">
        <v>827</v>
      </c>
      <c r="B246" s="174" t="s">
        <v>30</v>
      </c>
      <c r="C246" s="175"/>
      <c r="D246" s="45" t="s">
        <v>31</v>
      </c>
      <c r="E246" s="80" t="s">
        <v>60</v>
      </c>
      <c r="F246" s="81" t="str">
        <f>IFERROR(VLOOKUP(E246,客户!B:C,2,FALSE),"/")</f>
        <v>外送费用945人民币+装箱费用 加在发票里</v>
      </c>
      <c r="G246" s="84" t="s">
        <v>234</v>
      </c>
      <c r="H246" s="45" t="s">
        <v>147</v>
      </c>
      <c r="I246" s="45" t="s">
        <v>205</v>
      </c>
      <c r="J246" s="108">
        <v>43777</v>
      </c>
      <c r="K246" s="108">
        <v>43823</v>
      </c>
      <c r="L246" s="100">
        <v>43886</v>
      </c>
      <c r="M246" s="159" t="s">
        <v>828</v>
      </c>
      <c r="N246" s="108" t="s">
        <v>829</v>
      </c>
      <c r="O246" s="104" t="s">
        <v>680</v>
      </c>
      <c r="P246" s="102">
        <v>57543</v>
      </c>
      <c r="Q246" s="102"/>
      <c r="R246" s="131"/>
      <c r="S246" s="132"/>
      <c r="T246" s="102">
        <v>57215.22</v>
      </c>
      <c r="U246" s="100">
        <v>43896</v>
      </c>
      <c r="V246" s="130"/>
      <c r="W246" s="170"/>
    </row>
    <row r="247" s="39" customFormat="1" ht="22" hidden="1" customHeight="1" spans="1:23">
      <c r="A247" s="144" t="s">
        <v>830</v>
      </c>
      <c r="B247" s="174" t="s">
        <v>30</v>
      </c>
      <c r="C247" s="175"/>
      <c r="D247" s="195" t="s">
        <v>31</v>
      </c>
      <c r="E247" s="80" t="s">
        <v>60</v>
      </c>
      <c r="F247" s="81" t="str">
        <f>IFERROR(VLOOKUP(E247,客户!B:C,2,FALSE),"/")</f>
        <v>外送费用945人民币+装箱费用 加在发票里</v>
      </c>
      <c r="G247" s="84" t="s">
        <v>234</v>
      </c>
      <c r="H247" s="45" t="s">
        <v>147</v>
      </c>
      <c r="I247" s="45" t="s">
        <v>205</v>
      </c>
      <c r="J247" s="108">
        <v>43777</v>
      </c>
      <c r="K247" s="108">
        <v>43889</v>
      </c>
      <c r="L247" s="100">
        <v>43923</v>
      </c>
      <c r="M247" s="165" t="s">
        <v>831</v>
      </c>
      <c r="N247" s="108" t="s">
        <v>832</v>
      </c>
      <c r="O247" s="104" t="s">
        <v>680</v>
      </c>
      <c r="P247" s="102">
        <v>57543</v>
      </c>
      <c r="Q247" s="102"/>
      <c r="R247" s="218"/>
      <c r="S247" s="132"/>
      <c r="T247" s="102">
        <v>57296</v>
      </c>
      <c r="U247" s="100"/>
      <c r="V247" s="219" t="s">
        <v>833</v>
      </c>
      <c r="W247" s="170"/>
    </row>
    <row r="248" s="39" customFormat="1" ht="22" hidden="1" customHeight="1" spans="1:23">
      <c r="A248" s="144" t="s">
        <v>834</v>
      </c>
      <c r="B248" s="78" t="s">
        <v>30</v>
      </c>
      <c r="C248" s="79"/>
      <c r="D248" s="45" t="s">
        <v>31</v>
      </c>
      <c r="E248" s="80" t="s">
        <v>835</v>
      </c>
      <c r="F248" s="81" t="str">
        <f>IFERROR(VLOOKUP(E248,客户!B:C,2,FALSE),"/")</f>
        <v>/</v>
      </c>
      <c r="G248" s="80" t="s">
        <v>836</v>
      </c>
      <c r="H248" s="45" t="s">
        <v>123</v>
      </c>
      <c r="I248" s="45" t="s">
        <v>837</v>
      </c>
      <c r="J248" s="108">
        <v>43396</v>
      </c>
      <c r="K248" s="108">
        <v>43419</v>
      </c>
      <c r="L248" s="100">
        <v>43452</v>
      </c>
      <c r="M248" s="159" t="s">
        <v>838</v>
      </c>
      <c r="N248" s="162" t="s">
        <v>839</v>
      </c>
      <c r="O248" s="104"/>
      <c r="P248" s="102">
        <v>52792.69</v>
      </c>
      <c r="Q248" s="102">
        <v>0</v>
      </c>
      <c r="R248" s="131">
        <v>0</v>
      </c>
      <c r="S248" s="132"/>
      <c r="T248" s="102">
        <v>52792.69</v>
      </c>
      <c r="U248" s="100"/>
      <c r="V248" s="102"/>
      <c r="W248" s="170"/>
    </row>
    <row r="249" s="39" customFormat="1" ht="22" hidden="1" customHeight="1" spans="1:23">
      <c r="A249" s="144" t="s">
        <v>840</v>
      </c>
      <c r="B249" s="78" t="s">
        <v>30</v>
      </c>
      <c r="C249" s="79"/>
      <c r="D249" s="45" t="s">
        <v>31</v>
      </c>
      <c r="E249" s="80" t="s">
        <v>835</v>
      </c>
      <c r="F249" s="81" t="str">
        <f>IFERROR(VLOOKUP(E249,客户!B:C,2,FALSE),"/")</f>
        <v>/</v>
      </c>
      <c r="G249" s="80" t="s">
        <v>841</v>
      </c>
      <c r="H249" s="45" t="s">
        <v>123</v>
      </c>
      <c r="I249" s="45" t="s">
        <v>837</v>
      </c>
      <c r="J249" s="108">
        <v>43399</v>
      </c>
      <c r="K249" s="108">
        <v>43441</v>
      </c>
      <c r="L249" s="100">
        <v>43477</v>
      </c>
      <c r="M249" s="159" t="s">
        <v>842</v>
      </c>
      <c r="N249" s="162" t="s">
        <v>843</v>
      </c>
      <c r="O249" s="104"/>
      <c r="P249" s="102">
        <v>50669</v>
      </c>
      <c r="Q249" s="102">
        <v>0</v>
      </c>
      <c r="R249" s="131">
        <v>0</v>
      </c>
      <c r="S249" s="132"/>
      <c r="T249" s="102">
        <v>50537</v>
      </c>
      <c r="U249" s="100">
        <v>43467</v>
      </c>
      <c r="V249" s="130"/>
      <c r="W249" s="170"/>
    </row>
    <row r="250" s="39" customFormat="1" ht="22" hidden="1" customHeight="1" spans="1:23">
      <c r="A250" s="144" t="s">
        <v>844</v>
      </c>
      <c r="B250" s="78" t="s">
        <v>30</v>
      </c>
      <c r="C250" s="79"/>
      <c r="D250" s="45" t="s">
        <v>31</v>
      </c>
      <c r="E250" s="80" t="s">
        <v>835</v>
      </c>
      <c r="F250" s="81" t="str">
        <f>IFERROR(VLOOKUP(E250,客户!B:C,2,FALSE),"/")</f>
        <v>/</v>
      </c>
      <c r="G250" s="80" t="s">
        <v>845</v>
      </c>
      <c r="H250" s="45" t="s">
        <v>123</v>
      </c>
      <c r="I250" s="45" t="s">
        <v>837</v>
      </c>
      <c r="J250" s="108">
        <v>43399</v>
      </c>
      <c r="K250" s="108">
        <v>43463</v>
      </c>
      <c r="L250" s="100">
        <v>43499</v>
      </c>
      <c r="M250" s="159" t="s">
        <v>846</v>
      </c>
      <c r="N250" s="162" t="s">
        <v>847</v>
      </c>
      <c r="O250" s="104"/>
      <c r="P250" s="102">
        <v>59530.34</v>
      </c>
      <c r="Q250" s="102">
        <v>0</v>
      </c>
      <c r="R250" s="131">
        <v>0</v>
      </c>
      <c r="S250" s="132"/>
      <c r="T250" s="102">
        <v>59386</v>
      </c>
      <c r="U250" s="100">
        <v>43489</v>
      </c>
      <c r="V250" s="130"/>
      <c r="W250" s="170"/>
    </row>
    <row r="251" s="39" customFormat="1" ht="22" hidden="1" customHeight="1" spans="1:23">
      <c r="A251" s="144" t="s">
        <v>848</v>
      </c>
      <c r="B251" s="78" t="s">
        <v>30</v>
      </c>
      <c r="C251" s="79"/>
      <c r="D251" s="45" t="s">
        <v>31</v>
      </c>
      <c r="E251" s="80" t="s">
        <v>196</v>
      </c>
      <c r="F251" s="81" t="str">
        <f>IFERROR(VLOOKUP(E251,客户!B:C,2,FALSE),"/")</f>
        <v>/</v>
      </c>
      <c r="G251" s="80" t="s">
        <v>849</v>
      </c>
      <c r="H251" s="45" t="s">
        <v>123</v>
      </c>
      <c r="I251" s="45" t="s">
        <v>837</v>
      </c>
      <c r="J251" s="108">
        <v>43399</v>
      </c>
      <c r="K251" s="108">
        <v>43525</v>
      </c>
      <c r="L251" s="100">
        <v>43564</v>
      </c>
      <c r="M251" s="159" t="s">
        <v>850</v>
      </c>
      <c r="N251" s="108" t="s">
        <v>851</v>
      </c>
      <c r="O251" s="104"/>
      <c r="P251" s="102">
        <v>36004.26</v>
      </c>
      <c r="Q251" s="102">
        <v>0</v>
      </c>
      <c r="R251" s="131">
        <v>0</v>
      </c>
      <c r="S251" s="132"/>
      <c r="T251" s="102">
        <v>35884</v>
      </c>
      <c r="U251" s="100">
        <v>43563</v>
      </c>
      <c r="V251" s="130"/>
      <c r="W251" s="184"/>
    </row>
    <row r="252" s="39" customFormat="1" ht="22" hidden="1" customHeight="1" spans="1:23">
      <c r="A252" s="144" t="s">
        <v>852</v>
      </c>
      <c r="B252" s="78" t="s">
        <v>30</v>
      </c>
      <c r="C252" s="79"/>
      <c r="D252" s="45" t="s">
        <v>31</v>
      </c>
      <c r="E252" s="80" t="s">
        <v>196</v>
      </c>
      <c r="F252" s="81" t="str">
        <f>IFERROR(VLOOKUP(E252,客户!B:C,2,FALSE),"/")</f>
        <v>/</v>
      </c>
      <c r="G252" s="80" t="s">
        <v>853</v>
      </c>
      <c r="H252" s="45" t="s">
        <v>123</v>
      </c>
      <c r="I252" s="45" t="s">
        <v>837</v>
      </c>
      <c r="J252" s="108">
        <v>43399</v>
      </c>
      <c r="K252" s="108">
        <v>43552</v>
      </c>
      <c r="L252" s="100">
        <v>43598</v>
      </c>
      <c r="M252" s="165" t="s">
        <v>854</v>
      </c>
      <c r="N252" s="108" t="s">
        <v>855</v>
      </c>
      <c r="O252" s="104"/>
      <c r="P252" s="102">
        <v>25490.3</v>
      </c>
      <c r="Q252" s="102">
        <v>0</v>
      </c>
      <c r="R252" s="131">
        <v>0</v>
      </c>
      <c r="S252" s="132"/>
      <c r="T252" s="102">
        <v>25383</v>
      </c>
      <c r="U252" s="100">
        <v>43590</v>
      </c>
      <c r="V252" s="130"/>
      <c r="W252" s="184"/>
    </row>
    <row r="253" s="39" customFormat="1" ht="22" hidden="1" customHeight="1" spans="1:23">
      <c r="A253" s="144" t="s">
        <v>856</v>
      </c>
      <c r="B253" s="78" t="s">
        <v>30</v>
      </c>
      <c r="C253" s="79"/>
      <c r="D253" s="45" t="s">
        <v>31</v>
      </c>
      <c r="E253" s="80" t="s">
        <v>60</v>
      </c>
      <c r="F253" s="81" t="str">
        <f>IFERROR(VLOOKUP(E253,客户!B:C,2,FALSE),"/")</f>
        <v>外送费用945人民币+装箱费用 加在发票里</v>
      </c>
      <c r="G253" s="80" t="s">
        <v>857</v>
      </c>
      <c r="H253" s="45" t="s">
        <v>123</v>
      </c>
      <c r="I253" s="45" t="s">
        <v>205</v>
      </c>
      <c r="J253" s="108">
        <v>43514</v>
      </c>
      <c r="K253" s="108">
        <v>43610</v>
      </c>
      <c r="L253" s="100">
        <v>43659</v>
      </c>
      <c r="M253" s="163" t="s">
        <v>858</v>
      </c>
      <c r="N253" s="108" t="s">
        <v>620</v>
      </c>
      <c r="O253" s="104"/>
      <c r="P253" s="102">
        <v>22539.5</v>
      </c>
      <c r="Q253" s="102">
        <v>0</v>
      </c>
      <c r="R253" s="131">
        <v>0</v>
      </c>
      <c r="S253" s="132"/>
      <c r="T253" s="102">
        <v>22119</v>
      </c>
      <c r="U253" s="100">
        <v>43664</v>
      </c>
      <c r="V253" s="130"/>
      <c r="W253" s="170"/>
    </row>
    <row r="254" s="39" customFormat="1" ht="22" hidden="1" customHeight="1" spans="1:23">
      <c r="A254" s="144" t="s">
        <v>859</v>
      </c>
      <c r="B254" s="78" t="s">
        <v>30</v>
      </c>
      <c r="C254" s="79"/>
      <c r="D254" s="45" t="s">
        <v>31</v>
      </c>
      <c r="E254" s="80" t="s">
        <v>860</v>
      </c>
      <c r="F254" s="81" t="str">
        <f>IFERROR(VLOOKUP(E254,客户!B:C,2,FALSE),"/")</f>
        <v>/</v>
      </c>
      <c r="G254" s="80" t="s">
        <v>861</v>
      </c>
      <c r="H254" s="45" t="s">
        <v>123</v>
      </c>
      <c r="I254" s="45" t="s">
        <v>862</v>
      </c>
      <c r="J254" s="108">
        <v>43522</v>
      </c>
      <c r="K254" s="108">
        <v>43533</v>
      </c>
      <c r="L254" s="100">
        <v>43559</v>
      </c>
      <c r="M254" s="159" t="s">
        <v>863</v>
      </c>
      <c r="N254" s="108" t="s">
        <v>864</v>
      </c>
      <c r="O254" s="104"/>
      <c r="P254" s="209"/>
      <c r="Q254" s="102"/>
      <c r="R254" s="131"/>
      <c r="S254" s="132"/>
      <c r="T254" s="102"/>
      <c r="U254" s="100"/>
      <c r="V254" s="130"/>
      <c r="W254" s="170"/>
    </row>
    <row r="255" s="39" customFormat="1" ht="22" hidden="1" customHeight="1" spans="1:23">
      <c r="A255" s="144" t="s">
        <v>865</v>
      </c>
      <c r="B255" s="78" t="s">
        <v>30</v>
      </c>
      <c r="C255" s="79"/>
      <c r="D255" s="45" t="s">
        <v>31</v>
      </c>
      <c r="E255" s="80" t="s">
        <v>60</v>
      </c>
      <c r="F255" s="81" t="str">
        <f>IFERROR(VLOOKUP(E255,客户!B:C,2,FALSE),"/")</f>
        <v>外送费用945人民币+装箱费用 加在发票里</v>
      </c>
      <c r="G255" s="80" t="s">
        <v>866</v>
      </c>
      <c r="H255" s="45" t="s">
        <v>123</v>
      </c>
      <c r="I255" s="45" t="s">
        <v>837</v>
      </c>
      <c r="J255" s="108">
        <v>43529</v>
      </c>
      <c r="K255" s="108">
        <v>43591</v>
      </c>
      <c r="L255" s="100">
        <v>43633</v>
      </c>
      <c r="M255" s="159" t="s">
        <v>867</v>
      </c>
      <c r="N255" s="108" t="s">
        <v>868</v>
      </c>
      <c r="O255" s="104"/>
      <c r="P255" s="102">
        <v>53152.26</v>
      </c>
      <c r="Q255" s="102"/>
      <c r="R255" s="131">
        <v>0</v>
      </c>
      <c r="S255" s="132"/>
      <c r="T255" s="102">
        <v>53012</v>
      </c>
      <c r="U255" s="100">
        <v>43626</v>
      </c>
      <c r="V255" s="130"/>
      <c r="W255" s="170"/>
    </row>
    <row r="256" s="39" customFormat="1" ht="22" hidden="1" customHeight="1" spans="1:23">
      <c r="A256" s="144" t="s">
        <v>869</v>
      </c>
      <c r="B256" s="78" t="s">
        <v>30</v>
      </c>
      <c r="C256" s="79"/>
      <c r="D256" s="45" t="s">
        <v>31</v>
      </c>
      <c r="E256" s="80" t="s">
        <v>60</v>
      </c>
      <c r="F256" s="81" t="str">
        <f>IFERROR(VLOOKUP(E256,客户!B:C,2,FALSE),"/")</f>
        <v>外送费用945人民币+装箱费用 加在发票里</v>
      </c>
      <c r="G256" s="80" t="s">
        <v>870</v>
      </c>
      <c r="H256" s="45" t="s">
        <v>123</v>
      </c>
      <c r="I256" s="45" t="s">
        <v>837</v>
      </c>
      <c r="J256" s="108">
        <v>43529</v>
      </c>
      <c r="K256" s="108">
        <v>43605</v>
      </c>
      <c r="L256" s="100">
        <v>43647</v>
      </c>
      <c r="M256" s="163" t="s">
        <v>871</v>
      </c>
      <c r="N256" s="108" t="s">
        <v>872</v>
      </c>
      <c r="O256" s="104"/>
      <c r="P256" s="102">
        <v>34752.94</v>
      </c>
      <c r="Q256" s="102"/>
      <c r="R256" s="131">
        <v>0</v>
      </c>
      <c r="S256" s="132"/>
      <c r="T256" s="102">
        <v>34635</v>
      </c>
      <c r="U256" s="100">
        <v>43649</v>
      </c>
      <c r="V256" s="130"/>
      <c r="W256" s="170"/>
    </row>
    <row r="257" s="39" customFormat="1" ht="22" hidden="1" customHeight="1" spans="1:23">
      <c r="A257" s="144" t="s">
        <v>873</v>
      </c>
      <c r="B257" s="78" t="s">
        <v>30</v>
      </c>
      <c r="C257" s="79"/>
      <c r="D257" s="45" t="s">
        <v>31</v>
      </c>
      <c r="E257" s="80" t="s">
        <v>60</v>
      </c>
      <c r="F257" s="81" t="str">
        <f>IFERROR(VLOOKUP(E257,客户!B:C,2,FALSE),"/")</f>
        <v>外送费用945人民币+装箱费用 加在发票里</v>
      </c>
      <c r="G257" s="80" t="s">
        <v>373</v>
      </c>
      <c r="H257" s="45" t="s">
        <v>123</v>
      </c>
      <c r="I257" s="45" t="s">
        <v>837</v>
      </c>
      <c r="J257" s="108">
        <v>43529</v>
      </c>
      <c r="K257" s="108">
        <v>43625</v>
      </c>
      <c r="L257" s="100">
        <v>43654</v>
      </c>
      <c r="M257" s="163" t="s">
        <v>874</v>
      </c>
      <c r="N257" s="108" t="s">
        <v>875</v>
      </c>
      <c r="O257" s="104"/>
      <c r="P257" s="230">
        <v>61597.5</v>
      </c>
      <c r="Q257" s="102"/>
      <c r="R257" s="131">
        <v>0</v>
      </c>
      <c r="S257" s="132"/>
      <c r="T257" s="102">
        <v>61446</v>
      </c>
      <c r="U257" s="100">
        <v>43655</v>
      </c>
      <c r="V257" s="130"/>
      <c r="W257" s="170"/>
    </row>
    <row r="258" s="39" customFormat="1" ht="22" hidden="1" customHeight="1" spans="1:23">
      <c r="A258" s="144" t="s">
        <v>876</v>
      </c>
      <c r="B258" s="78" t="s">
        <v>30</v>
      </c>
      <c r="C258" s="79"/>
      <c r="D258" s="45" t="s">
        <v>31</v>
      </c>
      <c r="E258" s="80" t="s">
        <v>473</v>
      </c>
      <c r="F258" s="81">
        <f>IFERROR(VLOOKUP(E258,客户!B:C,2,FALSE),"/")</f>
        <v>0</v>
      </c>
      <c r="G258" s="80" t="s">
        <v>877</v>
      </c>
      <c r="H258" s="144" t="s">
        <v>127</v>
      </c>
      <c r="I258" s="45" t="s">
        <v>475</v>
      </c>
      <c r="J258" s="108">
        <v>43531</v>
      </c>
      <c r="K258" s="108">
        <v>43560</v>
      </c>
      <c r="L258" s="100">
        <v>43574</v>
      </c>
      <c r="M258" s="181" t="s">
        <v>878</v>
      </c>
      <c r="N258" s="108" t="s">
        <v>879</v>
      </c>
      <c r="O258" s="104"/>
      <c r="P258" s="102">
        <v>19334</v>
      </c>
      <c r="Q258" s="102">
        <v>3866.92</v>
      </c>
      <c r="R258" s="131">
        <v>0</v>
      </c>
      <c r="S258" s="132"/>
      <c r="T258" s="102" t="s">
        <v>880</v>
      </c>
      <c r="U258" s="100">
        <v>43572</v>
      </c>
      <c r="V258" s="130"/>
      <c r="W258" s="170"/>
    </row>
    <row r="259" s="39" customFormat="1" ht="22" hidden="1" customHeight="1" spans="1:23">
      <c r="A259" s="144" t="s">
        <v>881</v>
      </c>
      <c r="B259" s="78" t="s">
        <v>30</v>
      </c>
      <c r="C259" s="79"/>
      <c r="D259" s="45" t="s">
        <v>31</v>
      </c>
      <c r="E259" s="80" t="s">
        <v>464</v>
      </c>
      <c r="F259" s="81">
        <f>IFERROR(VLOOKUP(E259,客户!B:C,2,FALSE),"/")</f>
        <v>0</v>
      </c>
      <c r="G259" s="80" t="s">
        <v>882</v>
      </c>
      <c r="H259" s="45" t="s">
        <v>123</v>
      </c>
      <c r="I259" s="45" t="s">
        <v>883</v>
      </c>
      <c r="J259" s="108">
        <v>43534</v>
      </c>
      <c r="K259" s="108">
        <v>43549</v>
      </c>
      <c r="L259" s="100">
        <v>43580</v>
      </c>
      <c r="M259" s="159" t="s">
        <v>466</v>
      </c>
      <c r="N259" s="108"/>
      <c r="O259" s="104"/>
      <c r="P259" s="102">
        <v>12082.4</v>
      </c>
      <c r="Q259" s="102" t="s">
        <v>884</v>
      </c>
      <c r="R259" s="131">
        <v>0</v>
      </c>
      <c r="S259" s="132"/>
      <c r="T259" s="102" t="s">
        <v>885</v>
      </c>
      <c r="U259" s="100">
        <v>43573</v>
      </c>
      <c r="V259" s="130"/>
      <c r="W259" s="170"/>
    </row>
    <row r="260" s="39" customFormat="1" ht="22" hidden="1" customHeight="1" spans="1:23">
      <c r="A260" s="144" t="s">
        <v>886</v>
      </c>
      <c r="B260" s="78" t="s">
        <v>30</v>
      </c>
      <c r="C260" s="79"/>
      <c r="D260" s="45" t="s">
        <v>31</v>
      </c>
      <c r="E260" s="80" t="s">
        <v>860</v>
      </c>
      <c r="F260" s="81" t="str">
        <f>IFERROR(VLOOKUP(E260,客户!B:C,2,FALSE),"/")</f>
        <v>/</v>
      </c>
      <c r="G260" s="80" t="s">
        <v>887</v>
      </c>
      <c r="H260" s="45" t="s">
        <v>123</v>
      </c>
      <c r="I260" s="45" t="s">
        <v>862</v>
      </c>
      <c r="J260" s="108">
        <v>43522</v>
      </c>
      <c r="K260" s="108">
        <v>43607</v>
      </c>
      <c r="L260" s="100">
        <v>43631</v>
      </c>
      <c r="M260" s="159" t="s">
        <v>888</v>
      </c>
      <c r="N260" s="108" t="s">
        <v>889</v>
      </c>
      <c r="O260" s="104"/>
      <c r="P260" s="102"/>
      <c r="Q260" s="102"/>
      <c r="R260" s="131"/>
      <c r="S260" s="132"/>
      <c r="T260" s="102"/>
      <c r="U260" s="100"/>
      <c r="V260" s="130"/>
      <c r="W260" s="170"/>
    </row>
    <row r="261" s="39" customFormat="1" ht="22" hidden="1" customHeight="1" spans="1:23">
      <c r="A261" s="144" t="s">
        <v>890</v>
      </c>
      <c r="B261" s="78" t="s">
        <v>30</v>
      </c>
      <c r="C261" s="79"/>
      <c r="D261" s="45" t="s">
        <v>31</v>
      </c>
      <c r="E261" s="80" t="s">
        <v>60</v>
      </c>
      <c r="F261" s="81" t="str">
        <f>IFERROR(VLOOKUP(E261,客户!B:C,2,FALSE),"/")</f>
        <v>外送费用945人民币+装箱费用 加在发票里</v>
      </c>
      <c r="G261" s="80" t="s">
        <v>234</v>
      </c>
      <c r="H261" s="45" t="s">
        <v>147</v>
      </c>
      <c r="I261" s="45" t="s">
        <v>723</v>
      </c>
      <c r="J261" s="108">
        <v>43780</v>
      </c>
      <c r="K261" s="108">
        <v>43834</v>
      </c>
      <c r="L261" s="100">
        <v>43865</v>
      </c>
      <c r="M261" s="159" t="s">
        <v>891</v>
      </c>
      <c r="N261" s="108" t="s">
        <v>892</v>
      </c>
      <c r="O261" s="104" t="s">
        <v>680</v>
      </c>
      <c r="P261" s="102">
        <v>60474</v>
      </c>
      <c r="Q261" s="102"/>
      <c r="R261" s="131"/>
      <c r="S261" s="132"/>
      <c r="T261" s="102">
        <v>60276.41</v>
      </c>
      <c r="U261" s="100">
        <v>43866</v>
      </c>
      <c r="V261" s="130"/>
      <c r="W261" s="170"/>
    </row>
    <row r="262" s="39" customFormat="1" ht="22" hidden="1" customHeight="1" spans="1:23">
      <c r="A262" s="144" t="s">
        <v>893</v>
      </c>
      <c r="B262" s="78" t="s">
        <v>30</v>
      </c>
      <c r="C262" s="79"/>
      <c r="D262" s="45" t="s">
        <v>31</v>
      </c>
      <c r="E262" s="80" t="s">
        <v>456</v>
      </c>
      <c r="F262" s="81" t="str">
        <f>IFERROR(VLOOKUP(E262,客户!B:C,2,FALSE),"/")</f>
        <v>埃及红线客户配件 样品都要单独显示在箱单发票上</v>
      </c>
      <c r="G262" s="80" t="s">
        <v>894</v>
      </c>
      <c r="H262" s="45" t="s">
        <v>123</v>
      </c>
      <c r="I262" s="45" t="s">
        <v>895</v>
      </c>
      <c r="J262" s="108">
        <v>43781</v>
      </c>
      <c r="K262" s="108">
        <v>43841</v>
      </c>
      <c r="L262" s="100">
        <v>43877</v>
      </c>
      <c r="M262" s="108" t="s">
        <v>896</v>
      </c>
      <c r="N262" s="108" t="s">
        <v>897</v>
      </c>
      <c r="O262" s="104" t="s">
        <v>680</v>
      </c>
      <c r="P262" s="102">
        <v>16960</v>
      </c>
      <c r="Q262" s="102"/>
      <c r="R262" s="131"/>
      <c r="S262" s="132"/>
      <c r="T262" s="102">
        <v>16566.95</v>
      </c>
      <c r="U262" s="102">
        <v>346</v>
      </c>
      <c r="V262" s="219" t="s">
        <v>898</v>
      </c>
      <c r="W262" s="170"/>
    </row>
    <row r="263" s="39" customFormat="1" ht="22" hidden="1" customHeight="1" spans="1:23">
      <c r="A263" s="144" t="s">
        <v>899</v>
      </c>
      <c r="B263" s="174" t="s">
        <v>30</v>
      </c>
      <c r="C263" s="175"/>
      <c r="D263" s="45" t="s">
        <v>31</v>
      </c>
      <c r="E263" s="80" t="s">
        <v>554</v>
      </c>
      <c r="F263" s="81">
        <f>IFERROR(VLOOKUP(E263,客户!B:C,2,FALSE),"/")</f>
        <v>0</v>
      </c>
      <c r="G263" s="80" t="s">
        <v>43</v>
      </c>
      <c r="H263" s="45" t="s">
        <v>147</v>
      </c>
      <c r="I263" s="45" t="s">
        <v>900</v>
      </c>
      <c r="J263" s="108">
        <v>43782</v>
      </c>
      <c r="K263" s="108">
        <v>43816</v>
      </c>
      <c r="L263" s="100">
        <v>43831</v>
      </c>
      <c r="M263" s="159" t="s">
        <v>901</v>
      </c>
      <c r="N263" s="108" t="s">
        <v>902</v>
      </c>
      <c r="O263" s="104" t="s">
        <v>523</v>
      </c>
      <c r="P263" s="102">
        <v>19648.7</v>
      </c>
      <c r="Q263" s="102">
        <v>5894.61</v>
      </c>
      <c r="R263" s="131"/>
      <c r="S263" s="132"/>
      <c r="T263" s="102">
        <v>13714.09</v>
      </c>
      <c r="U263" s="102"/>
      <c r="V263" s="130"/>
      <c r="W263" s="170"/>
    </row>
    <row r="264" s="39" customFormat="1" ht="22" hidden="1" customHeight="1" spans="1:23">
      <c r="A264" s="144" t="s">
        <v>903</v>
      </c>
      <c r="B264" s="174" t="s">
        <v>30</v>
      </c>
      <c r="C264" s="175"/>
      <c r="D264" s="45" t="s">
        <v>31</v>
      </c>
      <c r="E264" s="80" t="s">
        <v>450</v>
      </c>
      <c r="F264" s="81">
        <f>IFERROR(VLOOKUP(E264,客户!B:C,2,FALSE),"/")</f>
        <v>0</v>
      </c>
      <c r="G264" s="80" t="s">
        <v>43</v>
      </c>
      <c r="H264" s="45" t="s">
        <v>123</v>
      </c>
      <c r="I264" s="45" t="s">
        <v>904</v>
      </c>
      <c r="J264" s="108">
        <v>43785</v>
      </c>
      <c r="K264" s="108">
        <v>43829</v>
      </c>
      <c r="L264" s="100">
        <v>43857</v>
      </c>
      <c r="M264" s="164" t="s">
        <v>905</v>
      </c>
      <c r="N264" s="108" t="s">
        <v>906</v>
      </c>
      <c r="O264" s="104" t="s">
        <v>523</v>
      </c>
      <c r="P264" s="102">
        <v>21449.65</v>
      </c>
      <c r="Q264" s="102"/>
      <c r="R264" s="131"/>
      <c r="S264" s="132"/>
      <c r="T264" s="102">
        <f>44550/6.88+14976.75</f>
        <v>21452.0406976744</v>
      </c>
      <c r="U264" s="102"/>
      <c r="V264" s="188" t="s">
        <v>907</v>
      </c>
      <c r="W264" s="170"/>
    </row>
    <row r="265" s="39" customFormat="1" ht="22" hidden="1" customHeight="1" spans="1:23">
      <c r="A265" s="144" t="s">
        <v>908</v>
      </c>
      <c r="B265" s="174" t="s">
        <v>30</v>
      </c>
      <c r="C265" s="175"/>
      <c r="D265" s="45" t="s">
        <v>31</v>
      </c>
      <c r="E265" s="80" t="s">
        <v>296</v>
      </c>
      <c r="F265" s="81">
        <f>IFERROR(VLOOKUP(E265,客户!B:C,2,FALSE),"/")</f>
        <v>0</v>
      </c>
      <c r="G265" s="80" t="s">
        <v>43</v>
      </c>
      <c r="H265" s="45" t="s">
        <v>123</v>
      </c>
      <c r="I265" s="45" t="s">
        <v>909</v>
      </c>
      <c r="J265" s="108">
        <v>43785</v>
      </c>
      <c r="K265" s="108">
        <v>43826</v>
      </c>
      <c r="L265" s="100">
        <v>43859</v>
      </c>
      <c r="M265" s="159" t="s">
        <v>910</v>
      </c>
      <c r="N265" s="198" t="s">
        <v>911</v>
      </c>
      <c r="O265" s="104" t="s">
        <v>523</v>
      </c>
      <c r="P265" s="102">
        <v>20704.33</v>
      </c>
      <c r="Q265" s="102">
        <v>6138.06</v>
      </c>
      <c r="R265" s="131"/>
      <c r="S265" s="132"/>
      <c r="T265" s="102">
        <v>14531.27</v>
      </c>
      <c r="U265" s="102"/>
      <c r="V265" s="130"/>
      <c r="W265" s="170"/>
    </row>
    <row r="266" s="39" customFormat="1" ht="22" hidden="1" customHeight="1" spans="1:23">
      <c r="A266" s="144" t="s">
        <v>912</v>
      </c>
      <c r="B266" s="174" t="s">
        <v>30</v>
      </c>
      <c r="C266" s="175"/>
      <c r="D266" s="45" t="s">
        <v>31</v>
      </c>
      <c r="E266" s="80" t="s">
        <v>624</v>
      </c>
      <c r="F266" s="81">
        <f>IFERROR(VLOOKUP(E266,客户!B:C,2,FALSE),"/")</f>
        <v>0</v>
      </c>
      <c r="G266" s="80" t="s">
        <v>913</v>
      </c>
      <c r="H266" s="45" t="s">
        <v>123</v>
      </c>
      <c r="I266" s="45" t="s">
        <v>806</v>
      </c>
      <c r="J266" s="108">
        <v>43786</v>
      </c>
      <c r="K266" s="108">
        <v>43847</v>
      </c>
      <c r="L266" s="100">
        <v>43887</v>
      </c>
      <c r="M266" s="159" t="s">
        <v>914</v>
      </c>
      <c r="N266" s="108" t="s">
        <v>915</v>
      </c>
      <c r="O266" s="104" t="s">
        <v>680</v>
      </c>
      <c r="P266" s="102">
        <v>20541.78</v>
      </c>
      <c r="Q266" s="102">
        <v>3960</v>
      </c>
      <c r="R266" s="131"/>
      <c r="S266" s="132"/>
      <c r="T266" s="102">
        <v>16644</v>
      </c>
      <c r="U266" s="102"/>
      <c r="V266" s="188" t="s">
        <v>916</v>
      </c>
      <c r="W266" s="170"/>
    </row>
    <row r="267" s="39" customFormat="1" ht="22" hidden="1" customHeight="1" spans="1:23">
      <c r="A267" s="144" t="s">
        <v>917</v>
      </c>
      <c r="B267" s="174" t="s">
        <v>30</v>
      </c>
      <c r="C267" s="175"/>
      <c r="D267" s="45" t="s">
        <v>31</v>
      </c>
      <c r="E267" s="80" t="s">
        <v>554</v>
      </c>
      <c r="F267" s="81">
        <f>IFERROR(VLOOKUP(E267,客户!B:C,2,FALSE),"/")</f>
        <v>0</v>
      </c>
      <c r="G267" s="80" t="s">
        <v>43</v>
      </c>
      <c r="H267" s="45" t="s">
        <v>147</v>
      </c>
      <c r="I267" s="45" t="s">
        <v>900</v>
      </c>
      <c r="J267" s="108">
        <v>43809</v>
      </c>
      <c r="K267" s="108">
        <v>43853</v>
      </c>
      <c r="L267" s="100">
        <v>43868</v>
      </c>
      <c r="M267" s="159" t="s">
        <v>918</v>
      </c>
      <c r="N267" s="108" t="s">
        <v>919</v>
      </c>
      <c r="O267" s="104" t="s">
        <v>523</v>
      </c>
      <c r="P267" s="102">
        <v>21758.6</v>
      </c>
      <c r="Q267" s="102">
        <v>6527</v>
      </c>
      <c r="R267" s="131"/>
      <c r="S267" s="132"/>
      <c r="T267" s="102">
        <v>15197.02</v>
      </c>
      <c r="U267" s="102"/>
      <c r="V267" s="130"/>
      <c r="W267" s="170"/>
    </row>
    <row r="268" s="39" customFormat="1" ht="22" hidden="1" customHeight="1" spans="1:23">
      <c r="A268" s="144" t="s">
        <v>920</v>
      </c>
      <c r="B268" s="174" t="s">
        <v>30</v>
      </c>
      <c r="C268" s="175"/>
      <c r="D268" s="45" t="s">
        <v>31</v>
      </c>
      <c r="E268" s="80" t="s">
        <v>450</v>
      </c>
      <c r="F268" s="81">
        <f>IFERROR(VLOOKUP(E268,客户!B:C,2,FALSE),"/")</f>
        <v>0</v>
      </c>
      <c r="G268" s="80" t="s">
        <v>43</v>
      </c>
      <c r="H268" s="45" t="s">
        <v>123</v>
      </c>
      <c r="I268" s="45" t="s">
        <v>904</v>
      </c>
      <c r="J268" s="108">
        <v>43811</v>
      </c>
      <c r="K268" s="108">
        <v>43842</v>
      </c>
      <c r="L268" s="100">
        <v>43871</v>
      </c>
      <c r="M268" s="165" t="s">
        <v>921</v>
      </c>
      <c r="N268" s="108" t="s">
        <v>922</v>
      </c>
      <c r="O268" s="104" t="s">
        <v>523</v>
      </c>
      <c r="P268" s="102">
        <v>21684.05</v>
      </c>
      <c r="Q268" s="102"/>
      <c r="R268" s="131">
        <v>0</v>
      </c>
      <c r="S268" s="132"/>
      <c r="T268" s="102">
        <f>14968.75+46514/7</f>
        <v>21613.6071428571</v>
      </c>
      <c r="U268" s="102"/>
      <c r="V268" s="188" t="s">
        <v>923</v>
      </c>
      <c r="W268" s="170"/>
    </row>
    <row r="269" s="39" customFormat="1" ht="22" hidden="1" customHeight="1" spans="1:23">
      <c r="A269" s="144" t="s">
        <v>924</v>
      </c>
      <c r="B269" s="174" t="s">
        <v>30</v>
      </c>
      <c r="C269" s="175"/>
      <c r="D269" s="45" t="s">
        <v>31</v>
      </c>
      <c r="E269" s="82" t="s">
        <v>692</v>
      </c>
      <c r="F269" s="81">
        <f>IFERROR(VLOOKUP(E269,客户!B:C,2,FALSE),"/")</f>
        <v>0</v>
      </c>
      <c r="G269" s="80" t="s">
        <v>43</v>
      </c>
      <c r="H269" s="45" t="s">
        <v>123</v>
      </c>
      <c r="I269" s="45" t="s">
        <v>925</v>
      </c>
      <c r="J269" s="108">
        <v>43811</v>
      </c>
      <c r="K269" s="108">
        <v>43841</v>
      </c>
      <c r="L269" s="100">
        <v>43877</v>
      </c>
      <c r="M269" s="159" t="s">
        <v>926</v>
      </c>
      <c r="N269" s="198" t="s">
        <v>927</v>
      </c>
      <c r="O269" s="104" t="s">
        <v>523</v>
      </c>
      <c r="P269" s="102">
        <v>17360.95</v>
      </c>
      <c r="Q269" s="102">
        <v>3595</v>
      </c>
      <c r="R269" s="241"/>
      <c r="S269" s="242"/>
      <c r="T269" s="102">
        <v>13726.88</v>
      </c>
      <c r="U269" s="102"/>
      <c r="V269" s="130" t="s">
        <v>928</v>
      </c>
      <c r="W269" s="170"/>
    </row>
    <row r="270" s="39" customFormat="1" ht="22" hidden="1" customHeight="1" spans="1:23">
      <c r="A270" s="144" t="s">
        <v>929</v>
      </c>
      <c r="B270" s="174" t="s">
        <v>30</v>
      </c>
      <c r="C270" s="175"/>
      <c r="D270" s="45" t="s">
        <v>31</v>
      </c>
      <c r="E270" s="82" t="s">
        <v>422</v>
      </c>
      <c r="F270" s="81" t="str">
        <f>IFERROR(VLOOKUP(E270,客户!B:C,2,FALSE),"/")</f>
        <v>埃及红线客户配件 样品都要单独显示在箱单发票上</v>
      </c>
      <c r="G270" s="80" t="s">
        <v>43</v>
      </c>
      <c r="H270" s="45" t="s">
        <v>123</v>
      </c>
      <c r="I270" s="45" t="s">
        <v>806</v>
      </c>
      <c r="J270" s="108">
        <v>43819</v>
      </c>
      <c r="K270" s="108">
        <v>43854</v>
      </c>
      <c r="L270" s="100">
        <v>43894</v>
      </c>
      <c r="M270" s="165" t="s">
        <v>930</v>
      </c>
      <c r="N270" s="198" t="s">
        <v>931</v>
      </c>
      <c r="O270" s="104" t="s">
        <v>523</v>
      </c>
      <c r="P270" s="102">
        <v>21564.5</v>
      </c>
      <c r="Q270" s="102"/>
      <c r="R270" s="131"/>
      <c r="S270" s="132"/>
      <c r="T270" s="102">
        <v>19578</v>
      </c>
      <c r="U270" s="102">
        <v>1986.5</v>
      </c>
      <c r="V270" s="219"/>
      <c r="W270" s="170"/>
    </row>
    <row r="271" s="39" customFormat="1" ht="22" hidden="1" customHeight="1" spans="1:23">
      <c r="A271" s="144" t="s">
        <v>932</v>
      </c>
      <c r="B271" s="174" t="s">
        <v>30</v>
      </c>
      <c r="C271" s="175"/>
      <c r="D271" s="45" t="s">
        <v>31</v>
      </c>
      <c r="E271" s="82" t="s">
        <v>933</v>
      </c>
      <c r="F271" s="81">
        <f>IFERROR(VLOOKUP(E271,客户!B:C,2,FALSE),"/")</f>
        <v>0</v>
      </c>
      <c r="G271" s="84" t="s">
        <v>934</v>
      </c>
      <c r="H271" s="45" t="s">
        <v>123</v>
      </c>
      <c r="I271" s="45" t="s">
        <v>935</v>
      </c>
      <c r="J271" s="108">
        <v>43819</v>
      </c>
      <c r="K271" s="159">
        <v>43974</v>
      </c>
      <c r="L271" s="100">
        <v>44008</v>
      </c>
      <c r="M271" s="165" t="s">
        <v>936</v>
      </c>
      <c r="N271" s="198" t="s">
        <v>937</v>
      </c>
      <c r="O271" s="104" t="s">
        <v>523</v>
      </c>
      <c r="P271" s="102">
        <v>23061.36</v>
      </c>
      <c r="Q271" s="102">
        <v>7240</v>
      </c>
      <c r="R271" s="131"/>
      <c r="S271" s="132"/>
      <c r="T271" s="102">
        <v>15821.36</v>
      </c>
      <c r="U271" s="102"/>
      <c r="V271" s="243" t="s">
        <v>938</v>
      </c>
      <c r="W271" s="170"/>
    </row>
    <row r="272" s="39" customFormat="1" ht="22" hidden="1" customHeight="1" spans="1:23">
      <c r="A272" s="144" t="s">
        <v>939</v>
      </c>
      <c r="B272" s="174" t="s">
        <v>30</v>
      </c>
      <c r="C272" s="175"/>
      <c r="D272" s="45" t="s">
        <v>31</v>
      </c>
      <c r="E272" s="82" t="s">
        <v>940</v>
      </c>
      <c r="F272" s="81">
        <f>IFERROR(VLOOKUP(E272,客户!B:C,2,FALSE),"/")</f>
        <v>0</v>
      </c>
      <c r="G272" s="84" t="s">
        <v>941</v>
      </c>
      <c r="H272" s="45" t="s">
        <v>123</v>
      </c>
      <c r="I272" s="45" t="s">
        <v>238</v>
      </c>
      <c r="J272" s="108">
        <v>43827</v>
      </c>
      <c r="K272" s="159">
        <v>43919</v>
      </c>
      <c r="L272" s="100">
        <v>43955</v>
      </c>
      <c r="M272" s="165" t="s">
        <v>942</v>
      </c>
      <c r="N272" s="198" t="s">
        <v>943</v>
      </c>
      <c r="O272" s="104" t="s">
        <v>523</v>
      </c>
      <c r="P272" s="102">
        <v>22894.28</v>
      </c>
      <c r="Q272" s="102">
        <v>4614.82</v>
      </c>
      <c r="R272" s="131"/>
      <c r="S272" s="132"/>
      <c r="T272" s="102">
        <v>18241.46</v>
      </c>
      <c r="U272" s="102"/>
      <c r="V272" s="219" t="s">
        <v>944</v>
      </c>
      <c r="W272" s="170"/>
    </row>
    <row r="273" s="39" customFormat="1" ht="22" hidden="1" customHeight="1" spans="1:23">
      <c r="A273" s="144" t="s">
        <v>945</v>
      </c>
      <c r="B273" s="174" t="s">
        <v>30</v>
      </c>
      <c r="C273" s="175"/>
      <c r="D273" s="45" t="s">
        <v>31</v>
      </c>
      <c r="E273" s="80" t="s">
        <v>428</v>
      </c>
      <c r="F273" s="81">
        <f>IFERROR(VLOOKUP(E273,客户!B:C,2,FALSE),"/")</f>
        <v>0</v>
      </c>
      <c r="G273" s="84" t="s">
        <v>946</v>
      </c>
      <c r="H273" s="45" t="s">
        <v>127</v>
      </c>
      <c r="I273" s="45" t="s">
        <v>947</v>
      </c>
      <c r="J273" s="108">
        <v>43832</v>
      </c>
      <c r="K273" s="108">
        <v>43967</v>
      </c>
      <c r="L273" s="100">
        <v>43983</v>
      </c>
      <c r="M273" s="165" t="s">
        <v>948</v>
      </c>
      <c r="N273" s="198" t="s">
        <v>949</v>
      </c>
      <c r="O273" s="104" t="s">
        <v>523</v>
      </c>
      <c r="P273" s="102">
        <v>60692</v>
      </c>
      <c r="Q273" s="102">
        <v>6000</v>
      </c>
      <c r="R273" s="131"/>
      <c r="S273" s="132"/>
      <c r="T273" s="102">
        <v>54660</v>
      </c>
      <c r="U273" s="102"/>
      <c r="V273" s="244" t="s">
        <v>950</v>
      </c>
      <c r="W273" s="170"/>
    </row>
    <row r="274" s="39" customFormat="1" ht="22" hidden="1" customHeight="1" spans="1:23">
      <c r="A274" s="144" t="s">
        <v>951</v>
      </c>
      <c r="B274" s="174" t="s">
        <v>30</v>
      </c>
      <c r="C274" s="175"/>
      <c r="D274" s="45" t="s">
        <v>31</v>
      </c>
      <c r="E274" s="82" t="s">
        <v>952</v>
      </c>
      <c r="F274" s="81">
        <f>IFERROR(VLOOKUP(E274,客户!B:C,2,FALSE),"/")</f>
        <v>0</v>
      </c>
      <c r="G274" s="84" t="s">
        <v>953</v>
      </c>
      <c r="H274" s="45" t="s">
        <v>127</v>
      </c>
      <c r="I274" s="45" t="s">
        <v>947</v>
      </c>
      <c r="J274" s="108">
        <v>43832</v>
      </c>
      <c r="K274" s="159">
        <v>43918</v>
      </c>
      <c r="L274" s="100">
        <v>43934</v>
      </c>
      <c r="M274" s="165" t="s">
        <v>954</v>
      </c>
      <c r="N274" s="198" t="s">
        <v>955</v>
      </c>
      <c r="O274" s="104" t="s">
        <v>523</v>
      </c>
      <c r="P274" s="102">
        <v>38720</v>
      </c>
      <c r="Q274" s="102">
        <v>15000</v>
      </c>
      <c r="R274" s="241"/>
      <c r="S274" s="242"/>
      <c r="T274" s="102">
        <v>23688</v>
      </c>
      <c r="U274" s="102"/>
      <c r="V274" s="245" t="s">
        <v>956</v>
      </c>
      <c r="W274" s="170"/>
    </row>
    <row r="275" s="39" customFormat="1" ht="22" hidden="1" customHeight="1" spans="1:23">
      <c r="A275" s="144" t="s">
        <v>957</v>
      </c>
      <c r="B275" s="174" t="s">
        <v>30</v>
      </c>
      <c r="C275" s="175"/>
      <c r="D275" s="45" t="s">
        <v>31</v>
      </c>
      <c r="E275" s="82" t="s">
        <v>952</v>
      </c>
      <c r="F275" s="81"/>
      <c r="G275" s="84" t="s">
        <v>953</v>
      </c>
      <c r="H275" s="45" t="s">
        <v>127</v>
      </c>
      <c r="I275" s="45" t="s">
        <v>947</v>
      </c>
      <c r="J275" s="108">
        <v>43832</v>
      </c>
      <c r="K275" s="159">
        <v>43939</v>
      </c>
      <c r="L275" s="100">
        <v>43955</v>
      </c>
      <c r="M275" s="165" t="s">
        <v>958</v>
      </c>
      <c r="N275" s="198" t="s">
        <v>959</v>
      </c>
      <c r="O275" s="104" t="s">
        <v>523</v>
      </c>
      <c r="P275" s="102">
        <v>39571.2</v>
      </c>
      <c r="Q275" s="102">
        <v>4500</v>
      </c>
      <c r="R275" s="241"/>
      <c r="S275" s="242"/>
      <c r="T275" s="102">
        <v>35040</v>
      </c>
      <c r="U275" s="102"/>
      <c r="V275" s="245" t="s">
        <v>960</v>
      </c>
      <c r="W275" s="170"/>
    </row>
    <row r="276" s="39" customFormat="1" ht="22" hidden="1" customHeight="1" spans="1:23">
      <c r="A276" s="144" t="s">
        <v>961</v>
      </c>
      <c r="B276" s="174" t="s">
        <v>30</v>
      </c>
      <c r="C276" s="175"/>
      <c r="D276" s="45" t="s">
        <v>31</v>
      </c>
      <c r="E276" s="82" t="s">
        <v>744</v>
      </c>
      <c r="F276" s="81">
        <f>IFERROR(VLOOKUP(E276,客户!B:C,2,FALSE),"/")</f>
        <v>0</v>
      </c>
      <c r="G276" s="84" t="s">
        <v>941</v>
      </c>
      <c r="H276" s="45" t="s">
        <v>123</v>
      </c>
      <c r="I276" s="45" t="s">
        <v>962</v>
      </c>
      <c r="J276" s="108">
        <v>43838</v>
      </c>
      <c r="K276" s="108">
        <v>43937</v>
      </c>
      <c r="L276" s="100">
        <v>43966</v>
      </c>
      <c r="M276" s="165" t="s">
        <v>963</v>
      </c>
      <c r="N276" s="198" t="s">
        <v>964</v>
      </c>
      <c r="O276" s="104" t="s">
        <v>523</v>
      </c>
      <c r="P276" s="102">
        <v>16630.7</v>
      </c>
      <c r="Q276" s="102">
        <v>4918.95</v>
      </c>
      <c r="R276" s="241"/>
      <c r="S276" s="242"/>
      <c r="T276" s="102">
        <v>11666.75</v>
      </c>
      <c r="U276" s="102"/>
      <c r="V276" s="243" t="s">
        <v>965</v>
      </c>
      <c r="W276" s="170"/>
    </row>
    <row r="277" s="39" customFormat="1" ht="22" hidden="1" customHeight="1" spans="1:23">
      <c r="A277" s="220" t="s">
        <v>966</v>
      </c>
      <c r="B277" s="174" t="s">
        <v>30</v>
      </c>
      <c r="C277" s="175"/>
      <c r="D277" s="45" t="s">
        <v>31</v>
      </c>
      <c r="E277" s="82" t="s">
        <v>967</v>
      </c>
      <c r="F277" s="81">
        <f>IFERROR(VLOOKUP(E277,客户!B:C,2,FALSE),"/")</f>
        <v>0</v>
      </c>
      <c r="G277" s="84" t="s">
        <v>941</v>
      </c>
      <c r="H277" s="45" t="s">
        <v>123</v>
      </c>
      <c r="I277" s="231" t="s">
        <v>968</v>
      </c>
      <c r="J277" s="108">
        <v>43846</v>
      </c>
      <c r="K277" s="108">
        <v>44117</v>
      </c>
      <c r="L277" s="100"/>
      <c r="M277" s="165" t="s">
        <v>969</v>
      </c>
      <c r="N277" s="108"/>
      <c r="O277" s="104" t="s">
        <v>970</v>
      </c>
      <c r="P277" s="102">
        <v>7635</v>
      </c>
      <c r="Q277" s="102"/>
      <c r="R277" s="241"/>
      <c r="S277" s="242"/>
      <c r="T277" s="102">
        <v>7635</v>
      </c>
      <c r="U277" s="102"/>
      <c r="V277" s="130"/>
      <c r="W277" s="170"/>
    </row>
    <row r="278" s="39" customFormat="1" ht="22" hidden="1" customHeight="1" spans="1:23">
      <c r="A278" s="144" t="s">
        <v>971</v>
      </c>
      <c r="B278" s="174" t="s">
        <v>30</v>
      </c>
      <c r="C278" s="175"/>
      <c r="D278" s="45" t="s">
        <v>31</v>
      </c>
      <c r="E278" s="82" t="s">
        <v>972</v>
      </c>
      <c r="F278" s="81" t="str">
        <f>IFERROR(VLOOKUP(E278,客户!B:C,2,FALSE),"/")</f>
        <v>$53.50 TUV Austria administration cost 革力减掉150代理费</v>
      </c>
      <c r="G278" s="84" t="s">
        <v>973</v>
      </c>
      <c r="H278" s="45" t="s">
        <v>123</v>
      </c>
      <c r="I278" s="45" t="s">
        <v>340</v>
      </c>
      <c r="J278" s="108">
        <v>43847</v>
      </c>
      <c r="K278" s="159">
        <v>43983</v>
      </c>
      <c r="L278" s="100">
        <v>44018</v>
      </c>
      <c r="M278" s="165" t="s">
        <v>974</v>
      </c>
      <c r="N278" s="198" t="s">
        <v>975</v>
      </c>
      <c r="O278" s="104" t="s">
        <v>523</v>
      </c>
      <c r="P278" s="102">
        <v>18247.93</v>
      </c>
      <c r="Q278" s="102">
        <v>5632</v>
      </c>
      <c r="R278" s="241"/>
      <c r="S278" s="242"/>
      <c r="T278" s="102">
        <v>12566.97</v>
      </c>
      <c r="U278" s="102"/>
      <c r="V278" s="246" t="s">
        <v>976</v>
      </c>
      <c r="W278" s="170"/>
    </row>
    <row r="279" s="39" customFormat="1" ht="22" hidden="1" customHeight="1" spans="1:23">
      <c r="A279" s="144" t="s">
        <v>977</v>
      </c>
      <c r="B279" s="174" t="s">
        <v>30</v>
      </c>
      <c r="C279" s="175"/>
      <c r="D279" s="45" t="s">
        <v>31</v>
      </c>
      <c r="E279" s="82" t="s">
        <v>978</v>
      </c>
      <c r="F279" s="81" t="str">
        <f>IFERROR(VLOOKUP(E279,客户!B:C,2,FALSE),"/")</f>
        <v>收货人可能变 每次和客户确认下收货人 必须受到客户明确回复</v>
      </c>
      <c r="G279" s="84" t="s">
        <v>979</v>
      </c>
      <c r="H279" s="45" t="s">
        <v>123</v>
      </c>
      <c r="I279" s="45" t="s">
        <v>980</v>
      </c>
      <c r="J279" s="108">
        <v>43865</v>
      </c>
      <c r="K279" s="108">
        <v>43935</v>
      </c>
      <c r="L279" s="100">
        <v>43960</v>
      </c>
      <c r="M279" s="165" t="s">
        <v>981</v>
      </c>
      <c r="N279" s="198" t="s">
        <v>982</v>
      </c>
      <c r="O279" s="104" t="s">
        <v>523</v>
      </c>
      <c r="P279" s="102">
        <v>41435.95</v>
      </c>
      <c r="Q279" s="102">
        <v>12000</v>
      </c>
      <c r="R279" s="241"/>
      <c r="S279" s="242"/>
      <c r="T279" s="102">
        <v>7000</v>
      </c>
      <c r="U279" s="102">
        <v>26000</v>
      </c>
      <c r="V279" s="219" t="s">
        <v>983</v>
      </c>
      <c r="W279" s="170"/>
    </row>
    <row r="280" s="39" customFormat="1" ht="22" hidden="1" customHeight="1" spans="1:23">
      <c r="A280" s="144" t="s">
        <v>984</v>
      </c>
      <c r="B280" s="174" t="s">
        <v>30</v>
      </c>
      <c r="C280" s="175"/>
      <c r="D280" s="45" t="s">
        <v>31</v>
      </c>
      <c r="E280" s="82" t="s">
        <v>768</v>
      </c>
      <c r="F280" s="81">
        <f>IFERROR(VLOOKUP(E280,客户!B:C,2,FALSE),"/")</f>
        <v>0</v>
      </c>
      <c r="G280" s="84" t="s">
        <v>985</v>
      </c>
      <c r="H280" s="45" t="s">
        <v>123</v>
      </c>
      <c r="I280" s="45" t="s">
        <v>986</v>
      </c>
      <c r="J280" s="108">
        <v>43867</v>
      </c>
      <c r="K280" s="108">
        <v>43997</v>
      </c>
      <c r="L280" s="100">
        <v>44023</v>
      </c>
      <c r="M280" s="165" t="s">
        <v>987</v>
      </c>
      <c r="N280" s="198" t="s">
        <v>988</v>
      </c>
      <c r="O280" s="104" t="s">
        <v>523</v>
      </c>
      <c r="P280" s="102">
        <v>20523.5</v>
      </c>
      <c r="Q280" s="102">
        <v>6157</v>
      </c>
      <c r="R280" s="241"/>
      <c r="S280" s="242"/>
      <c r="T280" s="102">
        <v>14346.5</v>
      </c>
      <c r="U280" s="102"/>
      <c r="V280" s="246" t="s">
        <v>989</v>
      </c>
      <c r="W280" s="170"/>
    </row>
    <row r="281" s="39" customFormat="1" ht="22" hidden="1" customHeight="1" spans="1:23">
      <c r="A281" s="144" t="s">
        <v>990</v>
      </c>
      <c r="B281" s="174" t="s">
        <v>30</v>
      </c>
      <c r="C281" s="175"/>
      <c r="D281" s="45" t="s">
        <v>31</v>
      </c>
      <c r="E281" s="82" t="s">
        <v>991</v>
      </c>
      <c r="F281" s="81" t="str">
        <f>IFERROR(VLOOKUP(E281,客户!B:C,2,FALSE),"/")</f>
        <v>外送费用945人民币+装箱费用 加在发票里</v>
      </c>
      <c r="G281" s="84" t="s">
        <v>234</v>
      </c>
      <c r="H281" s="45" t="s">
        <v>147</v>
      </c>
      <c r="I281" s="45" t="s">
        <v>992</v>
      </c>
      <c r="J281" s="108">
        <v>43867</v>
      </c>
      <c r="K281" s="108">
        <v>43947</v>
      </c>
      <c r="L281" s="232">
        <v>43987</v>
      </c>
      <c r="M281" s="165" t="s">
        <v>993</v>
      </c>
      <c r="N281" s="198" t="s">
        <v>994</v>
      </c>
      <c r="O281" s="104" t="s">
        <v>680</v>
      </c>
      <c r="P281" s="102">
        <v>56038</v>
      </c>
      <c r="Q281" s="102"/>
      <c r="R281" s="241"/>
      <c r="S281" s="242"/>
      <c r="T281" s="102">
        <v>55715.39</v>
      </c>
      <c r="U281" s="102"/>
      <c r="V281" s="130"/>
      <c r="W281" s="170"/>
    </row>
    <row r="282" s="39" customFormat="1" ht="22" hidden="1" customHeight="1" spans="1:23">
      <c r="A282" s="144" t="s">
        <v>995</v>
      </c>
      <c r="B282" s="174" t="s">
        <v>30</v>
      </c>
      <c r="C282" s="175"/>
      <c r="D282" s="45" t="s">
        <v>31</v>
      </c>
      <c r="E282" s="82" t="s">
        <v>991</v>
      </c>
      <c r="F282" s="81" t="str">
        <f>IFERROR(VLOOKUP(E282,客户!B:C,2,FALSE),"/")</f>
        <v>外送费用945人民币+装箱费用 加在发票里</v>
      </c>
      <c r="G282" s="84" t="s">
        <v>996</v>
      </c>
      <c r="H282" s="45" t="s">
        <v>147</v>
      </c>
      <c r="I282" s="45" t="s">
        <v>997</v>
      </c>
      <c r="J282" s="108">
        <v>43867</v>
      </c>
      <c r="K282" s="108">
        <v>44010</v>
      </c>
      <c r="L282" s="232">
        <v>44045</v>
      </c>
      <c r="M282" s="165" t="s">
        <v>998</v>
      </c>
      <c r="N282" s="198" t="s">
        <v>999</v>
      </c>
      <c r="O282" s="104" t="s">
        <v>680</v>
      </c>
      <c r="P282" s="102">
        <v>59970</v>
      </c>
      <c r="Q282" s="102"/>
      <c r="R282" s="241"/>
      <c r="S282" s="242"/>
      <c r="T282" s="102">
        <v>59970</v>
      </c>
      <c r="U282" s="102"/>
      <c r="V282" s="130"/>
      <c r="W282" s="170"/>
    </row>
    <row r="283" s="39" customFormat="1" ht="22" hidden="1" customHeight="1" spans="1:23">
      <c r="A283" s="144" t="s">
        <v>1000</v>
      </c>
      <c r="B283" s="174" t="s">
        <v>30</v>
      </c>
      <c r="C283" s="175"/>
      <c r="D283" s="45" t="s">
        <v>31</v>
      </c>
      <c r="E283" s="82" t="s">
        <v>991</v>
      </c>
      <c r="F283" s="81" t="str">
        <f>IFERROR(VLOOKUP(E283,客户!B:C,2,FALSE),"/")</f>
        <v>外送费用945人民币+装箱费用 加在发票里</v>
      </c>
      <c r="G283" s="84" t="s">
        <v>234</v>
      </c>
      <c r="H283" s="45" t="s">
        <v>147</v>
      </c>
      <c r="I283" s="45" t="s">
        <v>1001</v>
      </c>
      <c r="J283" s="108">
        <v>43873</v>
      </c>
      <c r="K283" s="159">
        <v>43988</v>
      </c>
      <c r="L283" s="100">
        <v>44027</v>
      </c>
      <c r="M283" s="198" t="s">
        <v>1002</v>
      </c>
      <c r="N283" s="198" t="s">
        <v>1003</v>
      </c>
      <c r="O283" s="104" t="s">
        <v>680</v>
      </c>
      <c r="P283" s="102">
        <v>59242</v>
      </c>
      <c r="Q283" s="102"/>
      <c r="R283" s="241"/>
      <c r="S283" s="242"/>
      <c r="T283" s="102">
        <v>59074.84</v>
      </c>
      <c r="U283" s="102"/>
      <c r="V283" s="130"/>
      <c r="W283" s="170"/>
    </row>
    <row r="284" s="39" customFormat="1" ht="22" hidden="1" customHeight="1" spans="1:23">
      <c r="A284" s="144" t="s">
        <v>1004</v>
      </c>
      <c r="B284" s="174" t="s">
        <v>30</v>
      </c>
      <c r="C284" s="175"/>
      <c r="D284" s="45" t="s">
        <v>31</v>
      </c>
      <c r="E284" s="80" t="s">
        <v>60</v>
      </c>
      <c r="F284" s="81" t="str">
        <f>IFERROR(VLOOKUP(E284,客户!B:C,2,FALSE),"/")</f>
        <v>外送费用945人民币+装箱费用 加在发票里</v>
      </c>
      <c r="G284" s="84" t="s">
        <v>1005</v>
      </c>
      <c r="H284" s="45" t="s">
        <v>147</v>
      </c>
      <c r="I284" s="45" t="s">
        <v>1001</v>
      </c>
      <c r="J284" s="108">
        <v>43873</v>
      </c>
      <c r="K284" s="108">
        <v>44018</v>
      </c>
      <c r="L284" s="100">
        <v>44063</v>
      </c>
      <c r="M284" s="165" t="s">
        <v>1006</v>
      </c>
      <c r="N284" s="198" t="s">
        <v>1007</v>
      </c>
      <c r="O284" s="104" t="s">
        <v>680</v>
      </c>
      <c r="P284" s="102">
        <v>40649</v>
      </c>
      <c r="Q284" s="102"/>
      <c r="R284" s="241"/>
      <c r="S284" s="242"/>
      <c r="T284" s="102">
        <v>40649</v>
      </c>
      <c r="U284" s="102"/>
      <c r="V284" s="130"/>
      <c r="W284" s="170"/>
    </row>
    <row r="285" s="39" customFormat="1" ht="22" hidden="1" customHeight="1" spans="1:23">
      <c r="A285" s="144" t="s">
        <v>1008</v>
      </c>
      <c r="B285" s="174" t="s">
        <v>30</v>
      </c>
      <c r="C285" s="175"/>
      <c r="D285" s="45" t="s">
        <v>31</v>
      </c>
      <c r="E285" s="82" t="s">
        <v>817</v>
      </c>
      <c r="F285" s="81">
        <f>IFERROR(VLOOKUP(E285,客户!B:C,2,FALSE),"/")</f>
        <v>0</v>
      </c>
      <c r="G285" s="84" t="s">
        <v>43</v>
      </c>
      <c r="H285" s="45" t="s">
        <v>123</v>
      </c>
      <c r="I285" s="45" t="s">
        <v>1009</v>
      </c>
      <c r="J285" s="108">
        <v>43878</v>
      </c>
      <c r="K285" s="159">
        <v>44184</v>
      </c>
      <c r="L285" s="100">
        <v>44244</v>
      </c>
      <c r="M285" s="165" t="s">
        <v>1010</v>
      </c>
      <c r="N285" s="198" t="s">
        <v>1011</v>
      </c>
      <c r="O285" s="104" t="s">
        <v>523</v>
      </c>
      <c r="P285" s="102">
        <v>20517.11</v>
      </c>
      <c r="Q285" s="102">
        <v>5000</v>
      </c>
      <c r="R285" s="241"/>
      <c r="S285" s="242"/>
      <c r="T285" s="102">
        <v>10893.73</v>
      </c>
      <c r="U285" s="102">
        <f>29800/6.447</f>
        <v>4622.30494803785</v>
      </c>
      <c r="V285" s="130"/>
      <c r="W285" s="170"/>
    </row>
    <row r="286" s="39" customFormat="1" ht="22" hidden="1" customHeight="1" spans="1:23">
      <c r="A286" s="144" t="s">
        <v>1012</v>
      </c>
      <c r="B286" s="174" t="s">
        <v>30</v>
      </c>
      <c r="C286" s="175"/>
      <c r="D286" s="45" t="s">
        <v>31</v>
      </c>
      <c r="E286" s="82" t="s">
        <v>817</v>
      </c>
      <c r="F286" s="81">
        <f>IFERROR(VLOOKUP(E286,客户!B:C,2,FALSE),"/")</f>
        <v>0</v>
      </c>
      <c r="G286" s="84" t="s">
        <v>43</v>
      </c>
      <c r="H286" s="45" t="s">
        <v>123</v>
      </c>
      <c r="I286" s="45" t="s">
        <v>1013</v>
      </c>
      <c r="J286" s="108">
        <v>43878</v>
      </c>
      <c r="K286" s="108">
        <v>44017</v>
      </c>
      <c r="L286" s="100">
        <v>44052</v>
      </c>
      <c r="M286" s="165" t="s">
        <v>1014</v>
      </c>
      <c r="N286" s="198" t="s">
        <v>1015</v>
      </c>
      <c r="O286" s="104" t="s">
        <v>523</v>
      </c>
      <c r="P286" s="102">
        <v>17260</v>
      </c>
      <c r="Q286" s="102">
        <v>5000</v>
      </c>
      <c r="R286" s="241"/>
      <c r="S286" s="242"/>
      <c r="T286" s="102">
        <v>10764.75</v>
      </c>
      <c r="U286" s="102">
        <f>9779/6.54</f>
        <v>1495.25993883792</v>
      </c>
      <c r="V286" s="219" t="s">
        <v>1016</v>
      </c>
      <c r="W286" s="170"/>
    </row>
    <row r="287" s="39" customFormat="1" ht="22" hidden="1" customHeight="1" spans="1:23">
      <c r="A287" s="144" t="s">
        <v>1017</v>
      </c>
      <c r="B287" s="174" t="s">
        <v>30</v>
      </c>
      <c r="C287" s="175"/>
      <c r="D287" s="45" t="s">
        <v>31</v>
      </c>
      <c r="E287" s="82" t="s">
        <v>991</v>
      </c>
      <c r="F287" s="81" t="str">
        <f>IFERROR(VLOOKUP(E287,客户!B:C,2,FALSE),"/")</f>
        <v>外送费用945人民币+装箱费用 加在发票里</v>
      </c>
      <c r="G287" s="84" t="s">
        <v>1018</v>
      </c>
      <c r="H287" s="45" t="s">
        <v>147</v>
      </c>
      <c r="I287" s="45" t="s">
        <v>997</v>
      </c>
      <c r="J287" s="108">
        <v>43886</v>
      </c>
      <c r="K287" s="108">
        <v>44058</v>
      </c>
      <c r="L287" s="100">
        <v>44099</v>
      </c>
      <c r="M287" s="165" t="s">
        <v>1019</v>
      </c>
      <c r="N287" s="198" t="s">
        <v>1020</v>
      </c>
      <c r="O287" s="104" t="s">
        <v>680</v>
      </c>
      <c r="P287" s="102">
        <v>62229.2</v>
      </c>
      <c r="Q287" s="102"/>
      <c r="R287" s="241"/>
      <c r="S287" s="242"/>
      <c r="T287" s="102">
        <v>62229.2</v>
      </c>
      <c r="U287" s="102"/>
      <c r="V287" s="130"/>
      <c r="W287" s="170"/>
    </row>
    <row r="288" s="44" customFormat="1" ht="22" hidden="1" customHeight="1" spans="1:23">
      <c r="A288" s="221" t="s">
        <v>1021</v>
      </c>
      <c r="B288" s="222" t="s">
        <v>30</v>
      </c>
      <c r="C288" s="223" t="s">
        <v>30</v>
      </c>
      <c r="D288" s="224" t="s">
        <v>31</v>
      </c>
      <c r="E288" s="225" t="s">
        <v>60</v>
      </c>
      <c r="F288" s="226" t="str">
        <f>IFERROR(VLOOKUP(E288,客户!B:C,2,FALSE),"/")</f>
        <v>外送费用945人民币+装箱费用 加在发票里</v>
      </c>
      <c r="G288" s="227" t="s">
        <v>1022</v>
      </c>
      <c r="H288" s="224" t="s">
        <v>147</v>
      </c>
      <c r="I288" s="224" t="s">
        <v>997</v>
      </c>
      <c r="J288" s="233">
        <v>43886</v>
      </c>
      <c r="K288" s="233">
        <v>44110</v>
      </c>
      <c r="L288" s="234">
        <v>44147</v>
      </c>
      <c r="M288" s="235" t="s">
        <v>1023</v>
      </c>
      <c r="N288" s="236" t="s">
        <v>1024</v>
      </c>
      <c r="O288" s="237" t="s">
        <v>680</v>
      </c>
      <c r="P288" s="238">
        <v>81829.2</v>
      </c>
      <c r="Q288" s="238"/>
      <c r="R288" s="241"/>
      <c r="S288" s="247"/>
      <c r="T288" s="238">
        <v>81829.2</v>
      </c>
      <c r="U288" s="238"/>
      <c r="V288" s="248"/>
      <c r="W288" s="249"/>
    </row>
    <row r="289" s="44" customFormat="1" ht="22" hidden="1" customHeight="1" spans="1:23">
      <c r="A289" s="221" t="s">
        <v>1025</v>
      </c>
      <c r="B289" s="222" t="s">
        <v>30</v>
      </c>
      <c r="C289" s="223"/>
      <c r="D289" s="224" t="s">
        <v>31</v>
      </c>
      <c r="E289" s="228" t="s">
        <v>991</v>
      </c>
      <c r="F289" s="226" t="str">
        <f>IFERROR(VLOOKUP(E289,客户!B:C,2,FALSE),"/")</f>
        <v>外送费用945人民币+装箱费用 加在发票里</v>
      </c>
      <c r="G289" s="227" t="s">
        <v>1026</v>
      </c>
      <c r="H289" s="224" t="s">
        <v>147</v>
      </c>
      <c r="I289" s="224" t="s">
        <v>1001</v>
      </c>
      <c r="J289" s="233">
        <v>43888</v>
      </c>
      <c r="K289" s="239">
        <v>44133</v>
      </c>
      <c r="L289" s="234">
        <v>44170</v>
      </c>
      <c r="M289" s="235" t="s">
        <v>1027</v>
      </c>
      <c r="N289" s="236" t="s">
        <v>1028</v>
      </c>
      <c r="O289" s="237" t="s">
        <v>680</v>
      </c>
      <c r="P289" s="238">
        <v>42314</v>
      </c>
      <c r="Q289" s="238"/>
      <c r="R289" s="241"/>
      <c r="S289" s="247"/>
      <c r="T289" s="238">
        <v>42314</v>
      </c>
      <c r="U289" s="238"/>
      <c r="V289" s="248"/>
      <c r="W289" s="249"/>
    </row>
    <row r="290" s="39" customFormat="1" ht="22" hidden="1" customHeight="1" spans="1:23">
      <c r="A290" s="144" t="s">
        <v>1029</v>
      </c>
      <c r="B290" s="174" t="s">
        <v>30</v>
      </c>
      <c r="C290" s="175"/>
      <c r="D290" s="45" t="s">
        <v>31</v>
      </c>
      <c r="E290" s="80" t="s">
        <v>60</v>
      </c>
      <c r="F290" s="81" t="str">
        <f>IFERROR(VLOOKUP(E290,客户!B:C,2,FALSE),"/")</f>
        <v>外送费用945人民币+装箱费用 加在发票里</v>
      </c>
      <c r="G290" s="84" t="s">
        <v>1026</v>
      </c>
      <c r="H290" s="45" t="s">
        <v>396</v>
      </c>
      <c r="I290" s="45" t="s">
        <v>1030</v>
      </c>
      <c r="J290" s="108">
        <v>43888</v>
      </c>
      <c r="K290" s="108">
        <v>44029</v>
      </c>
      <c r="L290" s="100">
        <v>44070</v>
      </c>
      <c r="M290" s="165" t="s">
        <v>1031</v>
      </c>
      <c r="N290" s="198" t="s">
        <v>1032</v>
      </c>
      <c r="O290" s="104" t="s">
        <v>680</v>
      </c>
      <c r="P290" s="102">
        <v>42400</v>
      </c>
      <c r="Q290" s="102"/>
      <c r="R290" s="241"/>
      <c r="S290" s="242"/>
      <c r="T290" s="102">
        <v>42400</v>
      </c>
      <c r="U290" s="102"/>
      <c r="V290" s="130"/>
      <c r="W290" s="170"/>
    </row>
    <row r="291" s="39" customFormat="1" ht="22" hidden="1" customHeight="1" spans="1:23">
      <c r="A291" s="144" t="s">
        <v>1033</v>
      </c>
      <c r="B291" s="174" t="s">
        <v>30</v>
      </c>
      <c r="C291" s="175"/>
      <c r="D291" s="45" t="s">
        <v>31</v>
      </c>
      <c r="E291" s="80" t="s">
        <v>1034</v>
      </c>
      <c r="F291" s="81" t="str">
        <f>IFERROR(VLOOKUP(E291,客户!B:C,2,FALSE),"/")</f>
        <v>邮寄地址地区用2222</v>
      </c>
      <c r="G291" s="84" t="s">
        <v>93</v>
      </c>
      <c r="H291" s="45" t="s">
        <v>123</v>
      </c>
      <c r="I291" s="45" t="s">
        <v>1035</v>
      </c>
      <c r="J291" s="108">
        <v>43893</v>
      </c>
      <c r="K291" s="108">
        <v>43915</v>
      </c>
      <c r="L291" s="100">
        <v>43927</v>
      </c>
      <c r="M291" s="159" t="s">
        <v>1036</v>
      </c>
      <c r="N291" s="198" t="s">
        <v>1037</v>
      </c>
      <c r="O291" s="104" t="s">
        <v>523</v>
      </c>
      <c r="P291" s="102">
        <v>19364.18</v>
      </c>
      <c r="Q291" s="102">
        <v>5795</v>
      </c>
      <c r="R291" s="241">
        <v>0</v>
      </c>
      <c r="S291" s="242"/>
      <c r="T291" s="102">
        <v>13176.97</v>
      </c>
      <c r="U291" s="102">
        <f>2761.2/7.08</f>
        <v>390</v>
      </c>
      <c r="V291" s="173" t="s">
        <v>1038</v>
      </c>
      <c r="W291" s="170"/>
    </row>
    <row r="292" s="39" customFormat="1" ht="22" hidden="1" customHeight="1" spans="1:23">
      <c r="A292" s="144" t="s">
        <v>1039</v>
      </c>
      <c r="B292" s="174" t="s">
        <v>30</v>
      </c>
      <c r="C292" s="175"/>
      <c r="D292" s="45" t="s">
        <v>31</v>
      </c>
      <c r="E292" s="82" t="s">
        <v>1040</v>
      </c>
      <c r="F292" s="81">
        <f>IFERROR(VLOOKUP(E292,客户!B:C,2,FALSE),"/")</f>
        <v>0</v>
      </c>
      <c r="G292" s="84" t="s">
        <v>941</v>
      </c>
      <c r="H292" s="45" t="s">
        <v>123</v>
      </c>
      <c r="I292" s="45" t="s">
        <v>904</v>
      </c>
      <c r="J292" s="108">
        <v>43895</v>
      </c>
      <c r="K292" s="159">
        <v>43997</v>
      </c>
      <c r="L292" s="100">
        <v>44030</v>
      </c>
      <c r="M292" s="165" t="s">
        <v>1041</v>
      </c>
      <c r="N292" s="198" t="s">
        <v>1042</v>
      </c>
      <c r="O292" s="104" t="s">
        <v>523</v>
      </c>
      <c r="P292" s="102">
        <v>19593.46</v>
      </c>
      <c r="Q292" s="102"/>
      <c r="R292" s="241"/>
      <c r="S292" s="242"/>
      <c r="T292" s="102">
        <v>15322.5</v>
      </c>
      <c r="U292" s="102">
        <f>29490/6.97</f>
        <v>4230.98995695839</v>
      </c>
      <c r="V292" s="173"/>
      <c r="W292" s="170"/>
    </row>
    <row r="293" s="39" customFormat="1" ht="22" hidden="1" customHeight="1" spans="1:23">
      <c r="A293" s="144" t="s">
        <v>1043</v>
      </c>
      <c r="B293" s="174" t="s">
        <v>30</v>
      </c>
      <c r="C293" s="175"/>
      <c r="D293" s="45" t="s">
        <v>31</v>
      </c>
      <c r="E293" s="82" t="s">
        <v>1040</v>
      </c>
      <c r="F293" s="81">
        <f>IFERROR(VLOOKUP(E293,客户!B:C,2,FALSE),"/")</f>
        <v>0</v>
      </c>
      <c r="G293" s="84" t="s">
        <v>941</v>
      </c>
      <c r="H293" s="45" t="s">
        <v>123</v>
      </c>
      <c r="I293" s="45" t="s">
        <v>904</v>
      </c>
      <c r="J293" s="108">
        <v>43895</v>
      </c>
      <c r="K293" s="159">
        <v>44045</v>
      </c>
      <c r="L293" s="100">
        <v>44076</v>
      </c>
      <c r="M293" s="165" t="s">
        <v>1044</v>
      </c>
      <c r="N293" s="198" t="s">
        <v>1045</v>
      </c>
      <c r="O293" s="104" t="s">
        <v>523</v>
      </c>
      <c r="P293" s="102">
        <v>20989.63</v>
      </c>
      <c r="Q293" s="102"/>
      <c r="R293" s="241"/>
      <c r="S293" s="242"/>
      <c r="T293" s="102">
        <v>15849.38</v>
      </c>
      <c r="U293" s="102">
        <f>34950/6.81</f>
        <v>5132.15859030837</v>
      </c>
      <c r="V293" s="173" t="s">
        <v>1046</v>
      </c>
      <c r="W293" s="170"/>
    </row>
    <row r="294" s="39" customFormat="1" ht="22" hidden="1" customHeight="1" spans="1:23">
      <c r="A294" s="144" t="s">
        <v>1047</v>
      </c>
      <c r="B294" s="174" t="s">
        <v>30</v>
      </c>
      <c r="C294" s="175"/>
      <c r="D294" s="45" t="s">
        <v>31</v>
      </c>
      <c r="E294" s="82" t="s">
        <v>692</v>
      </c>
      <c r="F294" s="81">
        <f>IFERROR(VLOOKUP(E294,客户!B:C,2,FALSE),"/")</f>
        <v>0</v>
      </c>
      <c r="G294" s="84" t="s">
        <v>1048</v>
      </c>
      <c r="H294" s="45" t="s">
        <v>123</v>
      </c>
      <c r="I294" s="45" t="s">
        <v>925</v>
      </c>
      <c r="J294" s="108">
        <v>43895</v>
      </c>
      <c r="K294" s="108">
        <v>44031</v>
      </c>
      <c r="L294" s="100">
        <v>44066</v>
      </c>
      <c r="M294" s="165" t="s">
        <v>1049</v>
      </c>
      <c r="N294" s="198" t="s">
        <v>1050</v>
      </c>
      <c r="O294" s="104" t="s">
        <v>523</v>
      </c>
      <c r="P294" s="102">
        <v>16692.71</v>
      </c>
      <c r="Q294" s="102">
        <v>2505</v>
      </c>
      <c r="R294" s="241"/>
      <c r="S294" s="242"/>
      <c r="T294" s="102">
        <v>8347</v>
      </c>
      <c r="U294" s="102">
        <v>5840.63</v>
      </c>
      <c r="V294" s="219" t="s">
        <v>1051</v>
      </c>
      <c r="W294" s="170"/>
    </row>
    <row r="295" s="39" customFormat="1" ht="22" hidden="1" customHeight="1" spans="1:23">
      <c r="A295" s="144" t="s">
        <v>1052</v>
      </c>
      <c r="B295" s="174" t="s">
        <v>30</v>
      </c>
      <c r="C295" s="175"/>
      <c r="D295" s="45" t="s">
        <v>31</v>
      </c>
      <c r="E295" s="80" t="s">
        <v>706</v>
      </c>
      <c r="F295" s="81">
        <f>IFERROR(VLOOKUP(E295,客户!B:C,2,FALSE),"/")</f>
        <v>0</v>
      </c>
      <c r="G295" s="84" t="s">
        <v>1053</v>
      </c>
      <c r="H295" s="45" t="s">
        <v>186</v>
      </c>
      <c r="I295" s="45"/>
      <c r="J295" s="108">
        <v>43895</v>
      </c>
      <c r="K295" s="108">
        <v>44084</v>
      </c>
      <c r="L295" s="100"/>
      <c r="M295" s="165" t="s">
        <v>1054</v>
      </c>
      <c r="N295" s="108"/>
      <c r="O295" s="104" t="s">
        <v>970</v>
      </c>
      <c r="P295" s="240">
        <v>115080</v>
      </c>
      <c r="Q295" s="240">
        <v>25000</v>
      </c>
      <c r="R295" s="241"/>
      <c r="S295" s="242"/>
      <c r="T295" s="240">
        <v>92330</v>
      </c>
      <c r="U295" s="240">
        <v>11664</v>
      </c>
      <c r="V295" s="219" t="s">
        <v>1055</v>
      </c>
      <c r="W295" s="170"/>
    </row>
    <row r="296" s="39" customFormat="1" ht="22" hidden="1" customHeight="1" spans="1:23">
      <c r="A296" s="144" t="s">
        <v>1056</v>
      </c>
      <c r="B296" s="174" t="s">
        <v>30</v>
      </c>
      <c r="C296" s="175"/>
      <c r="D296" s="45" t="s">
        <v>31</v>
      </c>
      <c r="E296" s="80" t="s">
        <v>706</v>
      </c>
      <c r="F296" s="81">
        <f>IFERROR(VLOOKUP(E296,客户!B:C,2,FALSE),"/")</f>
        <v>0</v>
      </c>
      <c r="G296" s="84" t="s">
        <v>1053</v>
      </c>
      <c r="H296" s="45" t="s">
        <v>186</v>
      </c>
      <c r="I296" s="45"/>
      <c r="J296" s="108">
        <v>43895</v>
      </c>
      <c r="K296" s="108">
        <v>43974</v>
      </c>
      <c r="L296" s="100"/>
      <c r="M296" s="165" t="s">
        <v>1057</v>
      </c>
      <c r="N296" s="198" t="s">
        <v>717</v>
      </c>
      <c r="O296" s="104" t="s">
        <v>970</v>
      </c>
      <c r="P296" s="102" t="s">
        <v>1058</v>
      </c>
      <c r="Q296" s="102" t="s">
        <v>1059</v>
      </c>
      <c r="R296" s="241"/>
      <c r="S296" s="242"/>
      <c r="T296" s="102" t="s">
        <v>1060</v>
      </c>
      <c r="U296" s="100"/>
      <c r="V296" s="219" t="s">
        <v>1061</v>
      </c>
      <c r="W296" s="170"/>
    </row>
    <row r="297" s="39" customFormat="1" ht="22" hidden="1" customHeight="1" spans="1:23">
      <c r="A297" s="144" t="s">
        <v>1062</v>
      </c>
      <c r="B297" s="174" t="s">
        <v>30</v>
      </c>
      <c r="C297" s="175"/>
      <c r="D297" s="45" t="s">
        <v>31</v>
      </c>
      <c r="E297" s="80" t="s">
        <v>706</v>
      </c>
      <c r="F297" s="81">
        <f>IFERROR(VLOOKUP(E297,客户!B:C,2,FALSE),"/")</f>
        <v>0</v>
      </c>
      <c r="G297" s="80" t="s">
        <v>1053</v>
      </c>
      <c r="H297" s="45" t="s">
        <v>186</v>
      </c>
      <c r="I297" s="45"/>
      <c r="J297" s="108">
        <v>43895</v>
      </c>
      <c r="K297" s="108">
        <v>43998</v>
      </c>
      <c r="L297" s="100"/>
      <c r="M297" s="165" t="s">
        <v>1063</v>
      </c>
      <c r="N297" s="108"/>
      <c r="O297" s="104" t="s">
        <v>970</v>
      </c>
      <c r="P297" s="102" t="s">
        <v>1064</v>
      </c>
      <c r="Q297" s="102" t="s">
        <v>1059</v>
      </c>
      <c r="R297" s="241"/>
      <c r="S297" s="242"/>
      <c r="T297" s="102" t="s">
        <v>1065</v>
      </c>
      <c r="U297" s="100"/>
      <c r="V297" s="130"/>
      <c r="W297" s="170"/>
    </row>
    <row r="298" s="39" customFormat="1" ht="22" hidden="1" customHeight="1" spans="1:23">
      <c r="A298" s="144" t="s">
        <v>1066</v>
      </c>
      <c r="B298" s="174" t="s">
        <v>30</v>
      </c>
      <c r="C298" s="175"/>
      <c r="D298" s="45" t="s">
        <v>31</v>
      </c>
      <c r="E298" s="82" t="s">
        <v>1067</v>
      </c>
      <c r="F298" s="81">
        <f>IFERROR(VLOOKUP(E298,客户!B:C,2,FALSE),"/")</f>
        <v>0</v>
      </c>
      <c r="G298" s="80" t="s">
        <v>1053</v>
      </c>
      <c r="H298" s="45" t="s">
        <v>186</v>
      </c>
      <c r="I298" s="45"/>
      <c r="J298" s="108">
        <v>43899</v>
      </c>
      <c r="K298" s="108">
        <v>43998</v>
      </c>
      <c r="L298" s="100"/>
      <c r="M298" s="165" t="s">
        <v>1068</v>
      </c>
      <c r="N298" s="108"/>
      <c r="O298" s="104" t="s">
        <v>970</v>
      </c>
      <c r="P298" s="102" t="s">
        <v>1064</v>
      </c>
      <c r="Q298" s="102" t="s">
        <v>1059</v>
      </c>
      <c r="R298" s="241"/>
      <c r="S298" s="242"/>
      <c r="T298" s="102" t="s">
        <v>1065</v>
      </c>
      <c r="U298" s="100"/>
      <c r="V298" s="130"/>
      <c r="W298" s="170"/>
    </row>
    <row r="299" s="39" customFormat="1" ht="22" hidden="1" customHeight="1" spans="1:23">
      <c r="A299" s="220" t="s">
        <v>1069</v>
      </c>
      <c r="B299" s="174" t="s">
        <v>30</v>
      </c>
      <c r="C299" s="175"/>
      <c r="D299" s="45" t="s">
        <v>31</v>
      </c>
      <c r="E299" s="82" t="s">
        <v>1070</v>
      </c>
      <c r="F299" s="81">
        <f>IFERROR(VLOOKUP(E299,客户!B:C,2,FALSE),"/")</f>
        <v>0</v>
      </c>
      <c r="G299" s="80" t="s">
        <v>200</v>
      </c>
      <c r="H299" s="45" t="s">
        <v>123</v>
      </c>
      <c r="I299" s="45" t="s">
        <v>210</v>
      </c>
      <c r="J299" s="108">
        <v>43901</v>
      </c>
      <c r="K299" s="108">
        <v>44025</v>
      </c>
      <c r="L299" s="100">
        <v>44062</v>
      </c>
      <c r="M299" s="165" t="s">
        <v>1071</v>
      </c>
      <c r="N299" s="198" t="s">
        <v>1072</v>
      </c>
      <c r="O299" s="104" t="s">
        <v>680</v>
      </c>
      <c r="P299" s="102">
        <v>57011.01</v>
      </c>
      <c r="Q299" s="102"/>
      <c r="R299" s="241"/>
      <c r="S299" s="242"/>
      <c r="T299" s="102">
        <v>57011.01</v>
      </c>
      <c r="U299" s="100"/>
      <c r="V299" s="130"/>
      <c r="W299" s="170"/>
    </row>
    <row r="300" s="39" customFormat="1" ht="22" hidden="1" customHeight="1" spans="1:23">
      <c r="A300" s="220" t="s">
        <v>1073</v>
      </c>
      <c r="B300" s="174" t="s">
        <v>30</v>
      </c>
      <c r="C300" s="175"/>
      <c r="D300" s="45" t="s">
        <v>31</v>
      </c>
      <c r="E300" s="82" t="s">
        <v>1070</v>
      </c>
      <c r="F300" s="81">
        <f>IFERROR(VLOOKUP(E300,客户!B:C,2,FALSE),"/")</f>
        <v>0</v>
      </c>
      <c r="G300" s="80" t="s">
        <v>200</v>
      </c>
      <c r="H300" s="45" t="s">
        <v>123</v>
      </c>
      <c r="I300" s="45" t="s">
        <v>210</v>
      </c>
      <c r="J300" s="108">
        <v>43901</v>
      </c>
      <c r="K300" s="108">
        <v>44036</v>
      </c>
      <c r="L300" s="100">
        <v>44068</v>
      </c>
      <c r="M300" s="165" t="s">
        <v>1074</v>
      </c>
      <c r="N300" s="198" t="s">
        <v>721</v>
      </c>
      <c r="O300" s="104" t="s">
        <v>680</v>
      </c>
      <c r="P300" s="102">
        <v>57059.59</v>
      </c>
      <c r="Q300" s="102"/>
      <c r="R300" s="241"/>
      <c r="S300" s="242"/>
      <c r="T300" s="102">
        <v>57059.59</v>
      </c>
      <c r="U300" s="100"/>
      <c r="V300" s="130"/>
      <c r="W300" s="170"/>
    </row>
    <row r="301" s="39" customFormat="1" ht="22" hidden="1" customHeight="1" spans="1:23">
      <c r="A301" s="144" t="s">
        <v>1075</v>
      </c>
      <c r="B301" s="174" t="s">
        <v>30</v>
      </c>
      <c r="C301" s="175"/>
      <c r="D301" s="45" t="s">
        <v>31</v>
      </c>
      <c r="E301" s="82" t="s">
        <v>1076</v>
      </c>
      <c r="F301" s="81">
        <f>IFERROR(VLOOKUP(E301,客户!B:C,2,FALSE),"/")</f>
        <v>0</v>
      </c>
      <c r="G301" s="80" t="s">
        <v>1077</v>
      </c>
      <c r="H301" s="45" t="s">
        <v>127</v>
      </c>
      <c r="I301" s="45" t="s">
        <v>1078</v>
      </c>
      <c r="J301" s="108">
        <v>43906</v>
      </c>
      <c r="K301" s="108">
        <v>44006</v>
      </c>
      <c r="L301" s="100">
        <v>44019</v>
      </c>
      <c r="M301" s="165" t="s">
        <v>1079</v>
      </c>
      <c r="N301" s="198" t="s">
        <v>1080</v>
      </c>
      <c r="O301" s="104" t="s">
        <v>523</v>
      </c>
      <c r="P301" s="102">
        <v>50634.6</v>
      </c>
      <c r="Q301" s="102">
        <v>15189</v>
      </c>
      <c r="R301" s="241"/>
      <c r="S301" s="242"/>
      <c r="T301" s="102">
        <v>4220.66</v>
      </c>
      <c r="U301" s="102">
        <v>31139.14</v>
      </c>
      <c r="V301" s="243" t="s">
        <v>1081</v>
      </c>
      <c r="W301" s="170"/>
    </row>
    <row r="302" s="39" customFormat="1" ht="22" hidden="1" customHeight="1" spans="1:23">
      <c r="A302" s="144" t="s">
        <v>1082</v>
      </c>
      <c r="B302" s="174" t="s">
        <v>30</v>
      </c>
      <c r="C302" s="175"/>
      <c r="D302" s="45" t="s">
        <v>31</v>
      </c>
      <c r="E302" s="82" t="s">
        <v>1083</v>
      </c>
      <c r="F302" s="81">
        <f>IFERROR(VLOOKUP(E302,客户!B:C,2,FALSE),"/")</f>
        <v>0</v>
      </c>
      <c r="G302" s="80" t="s">
        <v>1048</v>
      </c>
      <c r="H302" s="45" t="s">
        <v>147</v>
      </c>
      <c r="I302" s="45" t="s">
        <v>1084</v>
      </c>
      <c r="J302" s="108">
        <v>43908</v>
      </c>
      <c r="K302" s="100">
        <v>43945</v>
      </c>
      <c r="L302" s="100">
        <v>43958</v>
      </c>
      <c r="M302" s="165" t="s">
        <v>1085</v>
      </c>
      <c r="N302" s="198" t="s">
        <v>1086</v>
      </c>
      <c r="O302" s="104" t="s">
        <v>523</v>
      </c>
      <c r="P302" s="102">
        <v>21341.63</v>
      </c>
      <c r="Q302" s="102">
        <v>6405</v>
      </c>
      <c r="R302" s="241"/>
      <c r="S302" s="242"/>
      <c r="T302" s="102">
        <v>14899.05</v>
      </c>
      <c r="U302" s="100"/>
      <c r="V302" s="219" t="s">
        <v>1087</v>
      </c>
      <c r="W302" s="170"/>
    </row>
    <row r="303" s="39" customFormat="1" ht="22" hidden="1" customHeight="1" spans="1:23">
      <c r="A303" s="144" t="s">
        <v>1088</v>
      </c>
      <c r="B303" s="174" t="s">
        <v>30</v>
      </c>
      <c r="C303" s="175"/>
      <c r="D303" s="45" t="s">
        <v>31</v>
      </c>
      <c r="E303" s="82" t="s">
        <v>1083</v>
      </c>
      <c r="F303" s="81">
        <f>IFERROR(VLOOKUP(E303,客户!B:C,2,FALSE),"/")</f>
        <v>0</v>
      </c>
      <c r="G303" s="80" t="s">
        <v>1048</v>
      </c>
      <c r="H303" s="45" t="s">
        <v>147</v>
      </c>
      <c r="I303" s="45" t="s">
        <v>1084</v>
      </c>
      <c r="J303" s="108">
        <v>43921</v>
      </c>
      <c r="K303" s="108">
        <v>43984</v>
      </c>
      <c r="L303" s="100">
        <v>43996</v>
      </c>
      <c r="M303" s="165" t="s">
        <v>1089</v>
      </c>
      <c r="N303" s="198" t="s">
        <v>1090</v>
      </c>
      <c r="O303" s="104" t="s">
        <v>523</v>
      </c>
      <c r="P303" s="102">
        <v>22124.38</v>
      </c>
      <c r="Q303" s="102">
        <v>6637.31</v>
      </c>
      <c r="R303" s="241"/>
      <c r="S303" s="242"/>
      <c r="T303" s="102">
        <v>15453.07</v>
      </c>
      <c r="U303" s="100"/>
      <c r="V303" s="246" t="s">
        <v>1091</v>
      </c>
      <c r="W303" s="170"/>
    </row>
    <row r="304" s="39" customFormat="1" ht="22" hidden="1" customHeight="1" spans="1:23">
      <c r="A304" s="144" t="s">
        <v>1092</v>
      </c>
      <c r="B304" s="174" t="s">
        <v>30</v>
      </c>
      <c r="C304" s="175"/>
      <c r="D304" s="45" t="s">
        <v>31</v>
      </c>
      <c r="E304" s="82" t="s">
        <v>1093</v>
      </c>
      <c r="F304" s="81">
        <f>IFERROR(VLOOKUP(E304,客户!B:C,2,FALSE),"/")</f>
        <v>0</v>
      </c>
      <c r="G304" s="80" t="s">
        <v>1094</v>
      </c>
      <c r="H304" s="45" t="s">
        <v>123</v>
      </c>
      <c r="I304" s="45" t="s">
        <v>1095</v>
      </c>
      <c r="J304" s="108">
        <v>43926</v>
      </c>
      <c r="K304" s="108">
        <v>43983</v>
      </c>
      <c r="L304" s="100">
        <v>44024</v>
      </c>
      <c r="M304" s="165" t="s">
        <v>1096</v>
      </c>
      <c r="N304" s="198" t="s">
        <v>1097</v>
      </c>
      <c r="O304" s="104" t="s">
        <v>523</v>
      </c>
      <c r="P304" s="102">
        <v>19353</v>
      </c>
      <c r="Q304" s="102">
        <v>5000</v>
      </c>
      <c r="R304" s="241"/>
      <c r="S304" s="242"/>
      <c r="T304" s="102">
        <v>14315</v>
      </c>
      <c r="U304" s="100"/>
      <c r="V304" s="243" t="s">
        <v>1098</v>
      </c>
      <c r="W304" s="170"/>
    </row>
    <row r="305" s="39" customFormat="1" ht="22" hidden="1" customHeight="1" spans="1:23">
      <c r="A305" s="144" t="s">
        <v>1099</v>
      </c>
      <c r="B305" s="174" t="s">
        <v>30</v>
      </c>
      <c r="C305" s="175"/>
      <c r="D305" s="45" t="s">
        <v>31</v>
      </c>
      <c r="E305" s="82" t="s">
        <v>1100</v>
      </c>
      <c r="F305" s="81">
        <f>IFERROR(VLOOKUP(E305,客户!B:C,2,FALSE),"/")</f>
        <v>0</v>
      </c>
      <c r="G305" s="80" t="s">
        <v>1101</v>
      </c>
      <c r="H305" s="45" t="s">
        <v>123</v>
      </c>
      <c r="I305" s="45" t="s">
        <v>1102</v>
      </c>
      <c r="J305" s="108">
        <v>43931</v>
      </c>
      <c r="K305" s="108">
        <v>43981</v>
      </c>
      <c r="L305" s="100">
        <v>44029</v>
      </c>
      <c r="M305" s="165" t="s">
        <v>1103</v>
      </c>
      <c r="N305" s="108" t="s">
        <v>1104</v>
      </c>
      <c r="O305" s="104" t="s">
        <v>523</v>
      </c>
      <c r="P305" s="102">
        <f>69683.66+1126.59</f>
        <v>70810.25</v>
      </c>
      <c r="Q305" s="102">
        <v>8783</v>
      </c>
      <c r="R305" s="241"/>
      <c r="S305" s="242"/>
      <c r="T305" s="102">
        <f>46405+13000</f>
        <v>59405</v>
      </c>
      <c r="U305" s="102">
        <v>1518</v>
      </c>
      <c r="V305" s="130" t="s">
        <v>1105</v>
      </c>
      <c r="W305" s="170"/>
    </row>
    <row r="306" s="39" customFormat="1" ht="22" hidden="1" customHeight="1" spans="1:23">
      <c r="A306" s="144" t="s">
        <v>1106</v>
      </c>
      <c r="B306" s="174" t="s">
        <v>30</v>
      </c>
      <c r="C306" s="175"/>
      <c r="D306" s="45" t="s">
        <v>31</v>
      </c>
      <c r="E306" s="82" t="s">
        <v>1100</v>
      </c>
      <c r="F306" s="81">
        <f>IFERROR(VLOOKUP(E306,客户!B:C,2,FALSE),"/")</f>
        <v>0</v>
      </c>
      <c r="G306" s="80" t="s">
        <v>1107</v>
      </c>
      <c r="H306" s="45" t="s">
        <v>123</v>
      </c>
      <c r="I306" s="45" t="s">
        <v>1108</v>
      </c>
      <c r="J306" s="108">
        <v>43931</v>
      </c>
      <c r="K306" s="108">
        <v>43994</v>
      </c>
      <c r="L306" s="100">
        <v>44034</v>
      </c>
      <c r="M306" s="165" t="s">
        <v>1109</v>
      </c>
      <c r="N306" s="198" t="s">
        <v>1110</v>
      </c>
      <c r="O306" s="104" t="s">
        <v>523</v>
      </c>
      <c r="P306" s="102">
        <v>24576.24</v>
      </c>
      <c r="Q306" s="102">
        <v>3001</v>
      </c>
      <c r="R306" s="241"/>
      <c r="S306" s="242"/>
      <c r="T306" s="102">
        <v>22756</v>
      </c>
      <c r="U306" s="102"/>
      <c r="V306" s="219" t="s">
        <v>1111</v>
      </c>
      <c r="W306" s="170"/>
    </row>
    <row r="307" s="39" customFormat="1" ht="22" hidden="1" customHeight="1" spans="1:23">
      <c r="A307" s="144" t="s">
        <v>1112</v>
      </c>
      <c r="B307" s="174" t="s">
        <v>30</v>
      </c>
      <c r="C307" s="175"/>
      <c r="D307" s="45" t="s">
        <v>31</v>
      </c>
      <c r="E307" s="82" t="s">
        <v>1113</v>
      </c>
      <c r="F307" s="81" t="str">
        <f>IFERROR(VLOOKUP(E307,客户!B:C,2,FALSE),"/")</f>
        <v>收货人可能变 每次和客户确认下收货人 必须受到客户明确回复</v>
      </c>
      <c r="G307" s="80" t="s">
        <v>979</v>
      </c>
      <c r="H307" s="45" t="s">
        <v>123</v>
      </c>
      <c r="I307" s="45" t="s">
        <v>980</v>
      </c>
      <c r="J307" s="108">
        <v>43938</v>
      </c>
      <c r="K307" s="108">
        <v>44064</v>
      </c>
      <c r="L307" s="100">
        <v>44099</v>
      </c>
      <c r="M307" s="165" t="s">
        <v>1114</v>
      </c>
      <c r="N307" s="108" t="s">
        <v>1115</v>
      </c>
      <c r="O307" s="104" t="s">
        <v>523</v>
      </c>
      <c r="P307" s="102">
        <v>38762.1</v>
      </c>
      <c r="Q307" s="102">
        <f>8000+3568</f>
        <v>11568</v>
      </c>
      <c r="R307" s="241"/>
      <c r="S307" s="242"/>
      <c r="T307" s="102">
        <v>27194</v>
      </c>
      <c r="U307" s="100"/>
      <c r="V307" s="130"/>
      <c r="W307" s="170"/>
    </row>
    <row r="308" s="39" customFormat="1" ht="22" hidden="1" customHeight="1" spans="1:23">
      <c r="A308" s="144" t="s">
        <v>1116</v>
      </c>
      <c r="B308" s="174" t="s">
        <v>30</v>
      </c>
      <c r="C308" s="175"/>
      <c r="D308" s="45" t="s">
        <v>31</v>
      </c>
      <c r="E308" s="82" t="s">
        <v>1117</v>
      </c>
      <c r="F308" s="81">
        <f>IFERROR(VLOOKUP(E308,客户!B:C,2,FALSE),"/")</f>
        <v>0</v>
      </c>
      <c r="G308" s="80" t="s">
        <v>1118</v>
      </c>
      <c r="H308" s="229" t="s">
        <v>186</v>
      </c>
      <c r="I308" s="45"/>
      <c r="J308" s="108">
        <v>43960</v>
      </c>
      <c r="K308" s="108">
        <v>43983</v>
      </c>
      <c r="L308" s="100"/>
      <c r="M308" s="165" t="s">
        <v>1119</v>
      </c>
      <c r="N308" s="108"/>
      <c r="O308" s="104" t="s">
        <v>970</v>
      </c>
      <c r="P308" s="240">
        <v>900</v>
      </c>
      <c r="Q308" s="102"/>
      <c r="R308" s="241"/>
      <c r="S308" s="242"/>
      <c r="T308" s="240">
        <v>900</v>
      </c>
      <c r="U308" s="100"/>
      <c r="V308" s="130"/>
      <c r="W308" s="170"/>
    </row>
    <row r="309" s="39" customFormat="1" ht="22" hidden="1" customHeight="1" spans="1:23">
      <c r="A309" s="144" t="s">
        <v>1120</v>
      </c>
      <c r="B309" s="174" t="s">
        <v>30</v>
      </c>
      <c r="C309" s="175"/>
      <c r="D309" s="45" t="s">
        <v>31</v>
      </c>
      <c r="E309" s="82" t="s">
        <v>1121</v>
      </c>
      <c r="F309" s="81">
        <f>IFERROR(VLOOKUP(E309,客户!B:C,2,FALSE),"/")</f>
        <v>0</v>
      </c>
      <c r="G309" s="80" t="s">
        <v>1122</v>
      </c>
      <c r="H309" s="229" t="s">
        <v>127</v>
      </c>
      <c r="I309" s="45" t="s">
        <v>1123</v>
      </c>
      <c r="J309" s="108">
        <v>43970</v>
      </c>
      <c r="K309" s="108">
        <v>44009</v>
      </c>
      <c r="L309" s="100">
        <v>44025</v>
      </c>
      <c r="M309" s="165" t="s">
        <v>1124</v>
      </c>
      <c r="N309" s="198" t="s">
        <v>1125</v>
      </c>
      <c r="O309" s="104" t="s">
        <v>523</v>
      </c>
      <c r="P309" s="102">
        <v>59709.8</v>
      </c>
      <c r="Q309" s="102">
        <f>6000+10000</f>
        <v>16000</v>
      </c>
      <c r="R309" s="241"/>
      <c r="S309" s="242"/>
      <c r="T309" s="102">
        <v>43666.6</v>
      </c>
      <c r="U309" s="100"/>
      <c r="V309" s="243" t="s">
        <v>1126</v>
      </c>
      <c r="W309" s="170"/>
    </row>
    <row r="310" s="39" customFormat="1" ht="22" hidden="1" customHeight="1" spans="1:23">
      <c r="A310" s="144" t="s">
        <v>1127</v>
      </c>
      <c r="B310" s="174" t="s">
        <v>30</v>
      </c>
      <c r="C310" s="175"/>
      <c r="D310" s="45" t="s">
        <v>31</v>
      </c>
      <c r="E310" s="82" t="s">
        <v>1128</v>
      </c>
      <c r="F310" s="81">
        <f>IFERROR(VLOOKUP(E310,客户!B:C,2,FALSE),"/")</f>
        <v>0</v>
      </c>
      <c r="G310" s="80" t="s">
        <v>68</v>
      </c>
      <c r="H310" s="45" t="s">
        <v>123</v>
      </c>
      <c r="I310" s="45" t="s">
        <v>1129</v>
      </c>
      <c r="J310" s="108">
        <v>43984</v>
      </c>
      <c r="K310" s="159">
        <v>44044</v>
      </c>
      <c r="L310" s="100">
        <v>44072</v>
      </c>
      <c r="M310" s="165" t="s">
        <v>1130</v>
      </c>
      <c r="N310" s="198" t="s">
        <v>1131</v>
      </c>
      <c r="O310" s="104" t="s">
        <v>523</v>
      </c>
      <c r="P310" s="102">
        <v>35471.25</v>
      </c>
      <c r="Q310" s="102">
        <v>7100</v>
      </c>
      <c r="R310" s="241"/>
      <c r="S310" s="242"/>
      <c r="T310" s="102">
        <v>28371.07</v>
      </c>
      <c r="U310" s="100"/>
      <c r="V310" s="130"/>
      <c r="W310" s="170"/>
    </row>
    <row r="311" s="39" customFormat="1" ht="22" hidden="1" customHeight="1" spans="1:23">
      <c r="A311" s="144" t="s">
        <v>1132</v>
      </c>
      <c r="B311" s="174" t="s">
        <v>30</v>
      </c>
      <c r="C311" s="175"/>
      <c r="D311" s="45" t="s">
        <v>31</v>
      </c>
      <c r="E311" s="82" t="s">
        <v>1133</v>
      </c>
      <c r="F311" s="81">
        <f>IFERROR(VLOOKUP(E311,客户!B:C,2,FALSE),"/")</f>
        <v>0</v>
      </c>
      <c r="G311" s="80" t="s">
        <v>985</v>
      </c>
      <c r="H311" s="45" t="s">
        <v>147</v>
      </c>
      <c r="I311" s="45" t="s">
        <v>1134</v>
      </c>
      <c r="J311" s="108">
        <v>43985</v>
      </c>
      <c r="K311" s="108">
        <v>44013</v>
      </c>
      <c r="L311" s="100">
        <v>44022</v>
      </c>
      <c r="M311" s="165" t="s">
        <v>1135</v>
      </c>
      <c r="N311" s="198" t="s">
        <v>1136</v>
      </c>
      <c r="O311" s="104" t="s">
        <v>523</v>
      </c>
      <c r="P311" s="102">
        <v>20302.95</v>
      </c>
      <c r="Q311" s="102">
        <v>6090</v>
      </c>
      <c r="R311" s="241"/>
      <c r="S311" s="242"/>
      <c r="T311" s="102">
        <v>14178.06</v>
      </c>
      <c r="U311" s="100"/>
      <c r="V311" s="243" t="s">
        <v>1137</v>
      </c>
      <c r="W311" s="170"/>
    </row>
    <row r="312" s="39" customFormat="1" ht="22" hidden="1" customHeight="1" spans="1:23">
      <c r="A312" s="144" t="s">
        <v>1138</v>
      </c>
      <c r="B312" s="174" t="s">
        <v>30</v>
      </c>
      <c r="C312" s="175"/>
      <c r="D312" s="45" t="s">
        <v>31</v>
      </c>
      <c r="E312" s="82" t="s">
        <v>933</v>
      </c>
      <c r="F312" s="81">
        <f>IFERROR(VLOOKUP(E312,客户!B:C,2,FALSE),"/")</f>
        <v>0</v>
      </c>
      <c r="G312" s="80" t="s">
        <v>1139</v>
      </c>
      <c r="H312" s="45" t="s">
        <v>123</v>
      </c>
      <c r="I312" s="45" t="s">
        <v>1140</v>
      </c>
      <c r="J312" s="108">
        <v>43993</v>
      </c>
      <c r="K312" s="108">
        <v>44037</v>
      </c>
      <c r="L312" s="100">
        <v>44062</v>
      </c>
      <c r="M312" s="165" t="s">
        <v>1141</v>
      </c>
      <c r="N312" s="198" t="s">
        <v>1142</v>
      </c>
      <c r="O312" s="104" t="s">
        <v>523</v>
      </c>
      <c r="P312" s="102">
        <v>22439.91</v>
      </c>
      <c r="Q312" s="102">
        <v>6770.4</v>
      </c>
      <c r="R312" s="241"/>
      <c r="S312" s="242"/>
      <c r="T312" s="102">
        <f>935.84+14733.67</f>
        <v>15669.51</v>
      </c>
      <c r="U312" s="100"/>
      <c r="V312" s="130"/>
      <c r="W312" s="170"/>
    </row>
    <row r="313" s="39" customFormat="1" ht="22" hidden="1" customHeight="1" spans="1:23">
      <c r="A313" s="144" t="s">
        <v>1143</v>
      </c>
      <c r="B313" s="174" t="s">
        <v>30</v>
      </c>
      <c r="C313" s="175"/>
      <c r="D313" s="45" t="s">
        <v>31</v>
      </c>
      <c r="E313" s="82" t="s">
        <v>952</v>
      </c>
      <c r="F313" s="81">
        <f>IFERROR(VLOOKUP(E313,客户!B:C,2,FALSE),"/")</f>
        <v>0</v>
      </c>
      <c r="G313" s="80" t="s">
        <v>1144</v>
      </c>
      <c r="H313" s="45" t="s">
        <v>127</v>
      </c>
      <c r="I313" s="45" t="s">
        <v>1123</v>
      </c>
      <c r="J313" s="108">
        <v>43993</v>
      </c>
      <c r="K313" s="108">
        <v>44037</v>
      </c>
      <c r="L313" s="100">
        <v>44053</v>
      </c>
      <c r="M313" s="165" t="s">
        <v>1145</v>
      </c>
      <c r="N313" s="198" t="s">
        <v>1146</v>
      </c>
      <c r="O313" s="104" t="s">
        <v>523</v>
      </c>
      <c r="P313" s="102">
        <v>80532.7</v>
      </c>
      <c r="Q313" s="102">
        <f>10000+10000</f>
        <v>20000</v>
      </c>
      <c r="R313" s="241"/>
      <c r="S313" s="242"/>
      <c r="T313" s="102">
        <v>60533</v>
      </c>
      <c r="U313" s="100"/>
      <c r="V313" s="130"/>
      <c r="W313" s="170"/>
    </row>
    <row r="314" s="39" customFormat="1" ht="22" hidden="1" customHeight="1" spans="1:23">
      <c r="A314" s="144" t="s">
        <v>1147</v>
      </c>
      <c r="B314" s="174" t="s">
        <v>30</v>
      </c>
      <c r="C314" s="175"/>
      <c r="D314" s="45" t="s">
        <v>31</v>
      </c>
      <c r="E314" s="82" t="s">
        <v>940</v>
      </c>
      <c r="F314" s="81">
        <f>IFERROR(VLOOKUP(E314,客户!B:C,2,FALSE),"/")</f>
        <v>0</v>
      </c>
      <c r="G314" s="80" t="s">
        <v>1148</v>
      </c>
      <c r="H314" s="45" t="s">
        <v>123</v>
      </c>
      <c r="I314" s="45" t="s">
        <v>1149</v>
      </c>
      <c r="J314" s="108">
        <v>44000</v>
      </c>
      <c r="K314" s="108">
        <v>44038</v>
      </c>
      <c r="L314" s="100">
        <v>44077</v>
      </c>
      <c r="M314" s="198" t="s">
        <v>1150</v>
      </c>
      <c r="N314" s="198" t="s">
        <v>1151</v>
      </c>
      <c r="O314" s="104" t="s">
        <v>523</v>
      </c>
      <c r="P314" s="102">
        <v>20390.75</v>
      </c>
      <c r="Q314" s="102">
        <v>4015</v>
      </c>
      <c r="R314" s="241"/>
      <c r="S314" s="242"/>
      <c r="T314" s="102">
        <v>16375.75</v>
      </c>
      <c r="U314" s="100"/>
      <c r="V314" s="130"/>
      <c r="W314" s="170"/>
    </row>
    <row r="315" s="39" customFormat="1" ht="22" hidden="1" customHeight="1" spans="1:23">
      <c r="A315" s="144" t="s">
        <v>1152</v>
      </c>
      <c r="B315" s="174" t="s">
        <v>30</v>
      </c>
      <c r="C315" s="175"/>
      <c r="D315" s="45" t="s">
        <v>31</v>
      </c>
      <c r="E315" s="82" t="s">
        <v>1153</v>
      </c>
      <c r="F315" s="81">
        <f>IFERROR(VLOOKUP(E315,客户!B:C,2,FALSE),"/")</f>
        <v>0</v>
      </c>
      <c r="G315" s="80" t="s">
        <v>1154</v>
      </c>
      <c r="H315" s="45" t="s">
        <v>123</v>
      </c>
      <c r="I315" s="45" t="s">
        <v>909</v>
      </c>
      <c r="J315" s="108">
        <v>44003</v>
      </c>
      <c r="K315" s="159">
        <v>44041</v>
      </c>
      <c r="L315" s="100">
        <v>44087</v>
      </c>
      <c r="M315" s="165" t="s">
        <v>1155</v>
      </c>
      <c r="N315" s="198" t="s">
        <v>1156</v>
      </c>
      <c r="O315" s="104" t="s">
        <v>523</v>
      </c>
      <c r="P315" s="102">
        <v>21296.35</v>
      </c>
      <c r="Q315" s="102">
        <v>6265.27</v>
      </c>
      <c r="R315" s="241"/>
      <c r="S315" s="242"/>
      <c r="T315" s="102">
        <v>15031.08</v>
      </c>
      <c r="U315" s="100"/>
      <c r="V315" s="130"/>
      <c r="W315" s="170"/>
    </row>
    <row r="316" s="39" customFormat="1" ht="22" hidden="1" customHeight="1" spans="1:23">
      <c r="A316" s="144" t="s">
        <v>1157</v>
      </c>
      <c r="B316" s="174" t="s">
        <v>30</v>
      </c>
      <c r="C316" s="175"/>
      <c r="D316" s="45" t="s">
        <v>31</v>
      </c>
      <c r="E316" s="82" t="s">
        <v>1070</v>
      </c>
      <c r="F316" s="81">
        <f>IFERROR(VLOOKUP(E316,客户!B:C,2,FALSE),"/")</f>
        <v>0</v>
      </c>
      <c r="G316" s="80" t="s">
        <v>566</v>
      </c>
      <c r="H316" s="45" t="s">
        <v>123</v>
      </c>
      <c r="I316" s="45" t="s">
        <v>1158</v>
      </c>
      <c r="J316" s="108">
        <v>44005</v>
      </c>
      <c r="K316" s="159">
        <v>44060</v>
      </c>
      <c r="L316" s="100">
        <v>44097</v>
      </c>
      <c r="M316" s="165" t="s">
        <v>1159</v>
      </c>
      <c r="N316" s="198" t="s">
        <v>1160</v>
      </c>
      <c r="O316" s="104" t="s">
        <v>680</v>
      </c>
      <c r="P316" s="102">
        <v>38379.36</v>
      </c>
      <c r="Q316" s="102"/>
      <c r="R316" s="241"/>
      <c r="S316" s="242"/>
      <c r="T316" s="102">
        <v>38379.36</v>
      </c>
      <c r="U316" s="100"/>
      <c r="V316" s="130"/>
      <c r="W316" s="170"/>
    </row>
    <row r="317" s="39" customFormat="1" ht="22" hidden="1" customHeight="1" spans="1:23">
      <c r="A317" s="144" t="s">
        <v>1161</v>
      </c>
      <c r="B317" s="174" t="s">
        <v>30</v>
      </c>
      <c r="C317" s="175"/>
      <c r="D317" s="45" t="s">
        <v>31</v>
      </c>
      <c r="E317" s="82" t="s">
        <v>1070</v>
      </c>
      <c r="F317" s="81">
        <f>IFERROR(VLOOKUP(E317,客户!B:C,2,FALSE),"/")</f>
        <v>0</v>
      </c>
      <c r="G317" s="80" t="s">
        <v>86</v>
      </c>
      <c r="H317" s="45" t="s">
        <v>123</v>
      </c>
      <c r="I317" s="45" t="s">
        <v>1158</v>
      </c>
      <c r="J317" s="108">
        <v>44005</v>
      </c>
      <c r="K317" s="108">
        <v>44087</v>
      </c>
      <c r="L317" s="100">
        <v>44125</v>
      </c>
      <c r="M317" s="165" t="s">
        <v>1162</v>
      </c>
      <c r="N317" s="198" t="s">
        <v>1160</v>
      </c>
      <c r="O317" s="104" t="s">
        <v>523</v>
      </c>
      <c r="P317" s="102">
        <v>57569.04</v>
      </c>
      <c r="Q317" s="102"/>
      <c r="R317" s="241"/>
      <c r="S317" s="242"/>
      <c r="T317" s="102">
        <v>57569.04</v>
      </c>
      <c r="U317" s="100"/>
      <c r="V317" s="130"/>
      <c r="W317" s="170"/>
    </row>
    <row r="318" s="39" customFormat="1" ht="22" hidden="1" customHeight="1" spans="1:23">
      <c r="A318" s="144" t="s">
        <v>1163</v>
      </c>
      <c r="B318" s="174" t="s">
        <v>30</v>
      </c>
      <c r="C318" s="175"/>
      <c r="D318" s="45" t="s">
        <v>31</v>
      </c>
      <c r="E318" s="82" t="s">
        <v>1070</v>
      </c>
      <c r="F318" s="81">
        <f>IFERROR(VLOOKUP(E318,客户!B:C,2,FALSE),"/")</f>
        <v>0</v>
      </c>
      <c r="G318" s="80" t="s">
        <v>566</v>
      </c>
      <c r="H318" s="45" t="s">
        <v>123</v>
      </c>
      <c r="I318" s="45" t="s">
        <v>1164</v>
      </c>
      <c r="J318" s="108">
        <v>44005</v>
      </c>
      <c r="K318" s="159">
        <v>44045</v>
      </c>
      <c r="L318" s="100">
        <v>44083</v>
      </c>
      <c r="M318" s="165" t="s">
        <v>1165</v>
      </c>
      <c r="N318" s="198" t="s">
        <v>1160</v>
      </c>
      <c r="O318" s="104" t="s">
        <v>680</v>
      </c>
      <c r="P318" s="102">
        <v>38737</v>
      </c>
      <c r="Q318" s="102"/>
      <c r="R318" s="241"/>
      <c r="S318" s="242"/>
      <c r="T318" s="102">
        <v>38737</v>
      </c>
      <c r="U318" s="100"/>
      <c r="V318" s="130"/>
      <c r="W318" s="170"/>
    </row>
    <row r="319" s="39" customFormat="1" ht="25" hidden="1" customHeight="1" spans="1:23">
      <c r="A319" s="144" t="s">
        <v>1166</v>
      </c>
      <c r="B319" s="174" t="s">
        <v>30</v>
      </c>
      <c r="C319" s="175"/>
      <c r="D319" s="45" t="s">
        <v>31</v>
      </c>
      <c r="E319" s="82" t="s">
        <v>1167</v>
      </c>
      <c r="F319" s="81">
        <f>IFERROR(VLOOKUP(E319,客户!B:C,2,FALSE),"/")</f>
        <v>0</v>
      </c>
      <c r="G319" s="80" t="s">
        <v>1139</v>
      </c>
      <c r="H319" s="45" t="s">
        <v>123</v>
      </c>
      <c r="I319" s="45" t="s">
        <v>1168</v>
      </c>
      <c r="J319" s="108">
        <v>44019</v>
      </c>
      <c r="K319" s="159">
        <v>44056</v>
      </c>
      <c r="L319" s="100">
        <v>44080</v>
      </c>
      <c r="M319" s="165" t="s">
        <v>1169</v>
      </c>
      <c r="N319" s="198" t="s">
        <v>1142</v>
      </c>
      <c r="O319" s="104" t="s">
        <v>523</v>
      </c>
      <c r="P319" s="102">
        <v>22841.99</v>
      </c>
      <c r="Q319" s="102">
        <v>7122</v>
      </c>
      <c r="R319" s="241"/>
      <c r="S319" s="242"/>
      <c r="T319" s="102">
        <v>15719.99</v>
      </c>
      <c r="U319" s="100"/>
      <c r="V319" s="130"/>
      <c r="W319" s="170"/>
    </row>
    <row r="320" s="39" customFormat="1" ht="25" hidden="1" customHeight="1" spans="1:23">
      <c r="A320" s="144" t="s">
        <v>1170</v>
      </c>
      <c r="B320" s="174" t="s">
        <v>30</v>
      </c>
      <c r="C320" s="175"/>
      <c r="D320" s="45" t="s">
        <v>31</v>
      </c>
      <c r="E320" s="82" t="s">
        <v>1167</v>
      </c>
      <c r="F320" s="81">
        <f>IFERROR(VLOOKUP(E320,客户!B:C,2,FALSE),"/")</f>
        <v>0</v>
      </c>
      <c r="G320" s="80" t="s">
        <v>1171</v>
      </c>
      <c r="H320" s="45" t="s">
        <v>123</v>
      </c>
      <c r="I320" s="45" t="s">
        <v>1168</v>
      </c>
      <c r="J320" s="108">
        <v>44028</v>
      </c>
      <c r="K320" s="108">
        <v>44073</v>
      </c>
      <c r="L320" s="100">
        <v>44097</v>
      </c>
      <c r="M320" s="165" t="s">
        <v>1172</v>
      </c>
      <c r="N320" s="198" t="s">
        <v>1142</v>
      </c>
      <c r="O320" s="104" t="s">
        <v>523</v>
      </c>
      <c r="P320" s="102">
        <v>21528.44</v>
      </c>
      <c r="Q320" s="102">
        <v>7300</v>
      </c>
      <c r="R320" s="241"/>
      <c r="S320" s="242"/>
      <c r="T320" s="102">
        <f>10000+4228.44</f>
        <v>14228.44</v>
      </c>
      <c r="U320" s="100"/>
      <c r="V320" s="130"/>
      <c r="W320" s="170"/>
    </row>
    <row r="321" s="39" customFormat="1" ht="25" hidden="1" customHeight="1" spans="1:23">
      <c r="A321" s="144" t="s">
        <v>1173</v>
      </c>
      <c r="B321" s="174" t="s">
        <v>30</v>
      </c>
      <c r="C321" s="175"/>
      <c r="D321" s="45" t="s">
        <v>31</v>
      </c>
      <c r="E321" s="82" t="s">
        <v>1174</v>
      </c>
      <c r="F321" s="81" t="str">
        <f>IFERROR(VLOOKUP(E321,客户!B:C,2,FALSE),"/")</f>
        <v>$53.50 TUV Austria administration cost 革力减掉150代理费</v>
      </c>
      <c r="G321" s="80" t="s">
        <v>1175</v>
      </c>
      <c r="H321" s="45" t="s">
        <v>123</v>
      </c>
      <c r="I321" s="45" t="s">
        <v>1176</v>
      </c>
      <c r="J321" s="108">
        <v>44036</v>
      </c>
      <c r="K321" s="108">
        <v>44060</v>
      </c>
      <c r="L321" s="100">
        <v>44100</v>
      </c>
      <c r="M321" s="164" t="s">
        <v>1177</v>
      </c>
      <c r="N321" s="198" t="s">
        <v>1178</v>
      </c>
      <c r="O321" s="104" t="s">
        <v>523</v>
      </c>
      <c r="P321" s="102">
        <v>19640</v>
      </c>
      <c r="Q321" s="102">
        <v>5892</v>
      </c>
      <c r="R321" s="241"/>
      <c r="S321" s="242"/>
      <c r="T321" s="102">
        <v>13748</v>
      </c>
      <c r="U321" s="100"/>
      <c r="V321" s="130" t="s">
        <v>1179</v>
      </c>
      <c r="W321" s="170"/>
    </row>
    <row r="322" s="39" customFormat="1" ht="25" hidden="1" customHeight="1" spans="1:23">
      <c r="A322" s="145" t="s">
        <v>1180</v>
      </c>
      <c r="B322" s="174" t="s">
        <v>30</v>
      </c>
      <c r="C322" s="175"/>
      <c r="D322" s="45" t="s">
        <v>31</v>
      </c>
      <c r="E322" s="82" t="s">
        <v>1083</v>
      </c>
      <c r="F322" s="81">
        <f>IFERROR(VLOOKUP(E322,客户!B:C,2,FALSE),"/")</f>
        <v>0</v>
      </c>
      <c r="G322" s="80" t="s">
        <v>1181</v>
      </c>
      <c r="H322" s="45" t="s">
        <v>147</v>
      </c>
      <c r="I322" s="45" t="s">
        <v>1182</v>
      </c>
      <c r="J322" s="108">
        <v>44041</v>
      </c>
      <c r="K322" s="159">
        <v>44082</v>
      </c>
      <c r="L322" s="100">
        <v>44092</v>
      </c>
      <c r="M322" s="165" t="s">
        <v>1183</v>
      </c>
      <c r="N322" s="198" t="s">
        <v>1184</v>
      </c>
      <c r="O322" s="104" t="s">
        <v>523</v>
      </c>
      <c r="P322" s="102">
        <v>21822.75</v>
      </c>
      <c r="Q322" s="102">
        <v>6546.83</v>
      </c>
      <c r="R322" s="241"/>
      <c r="S322" s="242"/>
      <c r="T322" s="102">
        <v>15275.92</v>
      </c>
      <c r="U322" s="100"/>
      <c r="V322" s="130"/>
      <c r="W322" s="170"/>
    </row>
    <row r="323" s="39" customFormat="1" ht="25" hidden="1" customHeight="1" spans="1:23">
      <c r="A323" s="144" t="s">
        <v>1185</v>
      </c>
      <c r="B323" s="174" t="s">
        <v>30</v>
      </c>
      <c r="C323" s="175"/>
      <c r="D323" s="45" t="s">
        <v>31</v>
      </c>
      <c r="E323" s="82" t="s">
        <v>1121</v>
      </c>
      <c r="F323" s="81">
        <f>IFERROR(VLOOKUP(E323,客户!B:C,2,FALSE),"/")</f>
        <v>0</v>
      </c>
      <c r="G323" s="80" t="s">
        <v>1186</v>
      </c>
      <c r="H323" s="45" t="s">
        <v>127</v>
      </c>
      <c r="I323" s="45" t="s">
        <v>580</v>
      </c>
      <c r="J323" s="108">
        <v>44047</v>
      </c>
      <c r="K323" s="159">
        <v>44079</v>
      </c>
      <c r="L323" s="100">
        <v>44095</v>
      </c>
      <c r="M323" s="165" t="s">
        <v>1187</v>
      </c>
      <c r="N323" s="198" t="s">
        <v>1188</v>
      </c>
      <c r="O323" s="104" t="s">
        <v>523</v>
      </c>
      <c r="P323" s="102">
        <v>60903.61</v>
      </c>
      <c r="Q323" s="102">
        <v>18000</v>
      </c>
      <c r="R323" s="241"/>
      <c r="S323" s="242"/>
      <c r="T323" s="102">
        <v>42904</v>
      </c>
      <c r="U323" s="100"/>
      <c r="V323" s="130"/>
      <c r="W323" s="170"/>
    </row>
    <row r="324" s="39" customFormat="1" ht="25" hidden="1" customHeight="1" spans="1:23">
      <c r="A324" s="144" t="s">
        <v>1189</v>
      </c>
      <c r="B324" s="174" t="s">
        <v>30</v>
      </c>
      <c r="C324" s="175"/>
      <c r="D324" s="45" t="s">
        <v>31</v>
      </c>
      <c r="E324" s="82" t="s">
        <v>1190</v>
      </c>
      <c r="F324" s="81">
        <f>IFERROR(VLOOKUP(E324,客户!B:C,2,FALSE),"/")</f>
        <v>0</v>
      </c>
      <c r="G324" s="80" t="s">
        <v>1191</v>
      </c>
      <c r="H324" s="45" t="s">
        <v>123</v>
      </c>
      <c r="I324" s="45" t="s">
        <v>997</v>
      </c>
      <c r="J324" s="108">
        <v>44049</v>
      </c>
      <c r="K324" s="159">
        <v>44080</v>
      </c>
      <c r="L324" s="100">
        <v>44111</v>
      </c>
      <c r="M324" s="165" t="s">
        <v>1192</v>
      </c>
      <c r="N324" s="198" t="s">
        <v>1160</v>
      </c>
      <c r="O324" s="104" t="s">
        <v>680</v>
      </c>
      <c r="P324" s="102">
        <v>39516</v>
      </c>
      <c r="Q324" s="102"/>
      <c r="R324" s="241"/>
      <c r="S324" s="242"/>
      <c r="T324" s="102">
        <v>39516</v>
      </c>
      <c r="U324" s="100"/>
      <c r="V324" s="130"/>
      <c r="W324" s="170"/>
    </row>
    <row r="325" s="39" customFormat="1" ht="22" hidden="1" customHeight="1" spans="1:23">
      <c r="A325" s="144" t="s">
        <v>1193</v>
      </c>
      <c r="B325" s="174" t="s">
        <v>30</v>
      </c>
      <c r="C325" s="175"/>
      <c r="D325" s="45" t="s">
        <v>31</v>
      </c>
      <c r="E325" s="82" t="s">
        <v>1040</v>
      </c>
      <c r="F325" s="81">
        <f>IFERROR(VLOOKUP(E325,客户!B:C,2,FALSE),"/")</f>
        <v>0</v>
      </c>
      <c r="G325" s="80" t="s">
        <v>985</v>
      </c>
      <c r="H325" s="45" t="s">
        <v>123</v>
      </c>
      <c r="I325" s="45" t="s">
        <v>1194</v>
      </c>
      <c r="J325" s="108">
        <v>44049</v>
      </c>
      <c r="K325" s="159">
        <v>44081</v>
      </c>
      <c r="L325" s="100">
        <v>44113</v>
      </c>
      <c r="M325" s="165" t="s">
        <v>1195</v>
      </c>
      <c r="N325" s="198" t="s">
        <v>1196</v>
      </c>
      <c r="O325" s="104" t="s">
        <v>523</v>
      </c>
      <c r="P325" s="102">
        <v>21568.39</v>
      </c>
      <c r="Q325" s="102"/>
      <c r="R325" s="241"/>
      <c r="S325" s="242"/>
      <c r="T325" s="102">
        <v>15878.38</v>
      </c>
      <c r="U325" s="102">
        <v>5690.01</v>
      </c>
      <c r="V325" s="130"/>
      <c r="W325" s="170"/>
    </row>
    <row r="326" s="39" customFormat="1" ht="22" hidden="1" customHeight="1" spans="1:23">
      <c r="A326" s="144" t="s">
        <v>1197</v>
      </c>
      <c r="B326" s="174" t="s">
        <v>30</v>
      </c>
      <c r="C326" s="175"/>
      <c r="D326" s="45" t="s">
        <v>31</v>
      </c>
      <c r="E326" s="82" t="s">
        <v>698</v>
      </c>
      <c r="F326" s="81">
        <f>IFERROR(VLOOKUP(E326,客户!B:C,2,FALSE),"/")</f>
        <v>0</v>
      </c>
      <c r="G326" s="80" t="s">
        <v>1198</v>
      </c>
      <c r="H326" s="45" t="s">
        <v>123</v>
      </c>
      <c r="I326" s="45" t="s">
        <v>1095</v>
      </c>
      <c r="J326" s="108">
        <v>44054</v>
      </c>
      <c r="K326" s="108">
        <v>44089</v>
      </c>
      <c r="L326" s="100">
        <v>44135</v>
      </c>
      <c r="M326" s="165" t="s">
        <v>1199</v>
      </c>
      <c r="N326" s="198" t="s">
        <v>1200</v>
      </c>
      <c r="O326" s="104" t="s">
        <v>523</v>
      </c>
      <c r="P326" s="102">
        <v>21029.5</v>
      </c>
      <c r="Q326" s="102">
        <v>6000</v>
      </c>
      <c r="R326" s="241"/>
      <c r="S326" s="242"/>
      <c r="T326" s="102">
        <v>15029.5</v>
      </c>
      <c r="U326" s="100"/>
      <c r="V326" s="130"/>
      <c r="W326" s="170"/>
    </row>
    <row r="327" s="39" customFormat="1" ht="22" hidden="1" customHeight="1" spans="1:23">
      <c r="A327" s="144" t="s">
        <v>1201</v>
      </c>
      <c r="B327" s="174" t="s">
        <v>30</v>
      </c>
      <c r="C327" s="175"/>
      <c r="D327" s="45" t="s">
        <v>31</v>
      </c>
      <c r="E327" s="82" t="s">
        <v>641</v>
      </c>
      <c r="F327" s="81">
        <f>IFERROR(VLOOKUP(E327,客户!B:C,2,FALSE),"/")</f>
        <v>0</v>
      </c>
      <c r="G327" s="80" t="s">
        <v>1202</v>
      </c>
      <c r="H327" s="45" t="s">
        <v>123</v>
      </c>
      <c r="I327" s="45" t="s">
        <v>1203</v>
      </c>
      <c r="J327" s="108">
        <v>44054</v>
      </c>
      <c r="K327" s="159">
        <v>44083</v>
      </c>
      <c r="L327" s="100">
        <v>44113</v>
      </c>
      <c r="M327" s="250" t="s">
        <v>1204</v>
      </c>
      <c r="N327" s="198" t="s">
        <v>1205</v>
      </c>
      <c r="O327" s="104" t="s">
        <v>523</v>
      </c>
      <c r="P327" s="102">
        <v>22499.25</v>
      </c>
      <c r="Q327" s="102">
        <v>7000</v>
      </c>
      <c r="R327" s="241"/>
      <c r="S327" s="242"/>
      <c r="T327" s="102">
        <v>15499.25</v>
      </c>
      <c r="U327" s="100"/>
      <c r="V327" s="130"/>
      <c r="W327" s="170"/>
    </row>
    <row r="328" s="39" customFormat="1" ht="22" hidden="1" customHeight="1" spans="1:23">
      <c r="A328" s="144" t="s">
        <v>1206</v>
      </c>
      <c r="B328" s="174" t="s">
        <v>30</v>
      </c>
      <c r="C328" s="175"/>
      <c r="D328" s="45" t="s">
        <v>31</v>
      </c>
      <c r="E328" s="82" t="s">
        <v>933</v>
      </c>
      <c r="F328" s="81">
        <f>IFERROR(VLOOKUP(E328,客户!B:C,2,FALSE),"/")</f>
        <v>0</v>
      </c>
      <c r="G328" s="80" t="s">
        <v>1207</v>
      </c>
      <c r="H328" s="45" t="s">
        <v>123</v>
      </c>
      <c r="I328" s="45" t="s">
        <v>550</v>
      </c>
      <c r="J328" s="108">
        <v>44060</v>
      </c>
      <c r="K328" s="108">
        <v>44090</v>
      </c>
      <c r="L328" s="100">
        <v>44123</v>
      </c>
      <c r="M328" s="165" t="s">
        <v>1208</v>
      </c>
      <c r="N328" s="198" t="s">
        <v>1142</v>
      </c>
      <c r="O328" s="104" t="s">
        <v>523</v>
      </c>
      <c r="P328" s="102">
        <v>26809.82</v>
      </c>
      <c r="Q328" s="102">
        <v>7700</v>
      </c>
      <c r="R328" s="241"/>
      <c r="S328" s="242"/>
      <c r="T328" s="102">
        <v>19109.82</v>
      </c>
      <c r="U328" s="100"/>
      <c r="V328" s="130"/>
      <c r="W328" s="170"/>
    </row>
    <row r="329" s="39" customFormat="1" ht="22" hidden="1" customHeight="1" spans="1:23">
      <c r="A329" s="144" t="s">
        <v>1209</v>
      </c>
      <c r="B329" s="174" t="s">
        <v>30</v>
      </c>
      <c r="C329" s="175"/>
      <c r="D329" s="45" t="s">
        <v>31</v>
      </c>
      <c r="E329" s="82" t="s">
        <v>1210</v>
      </c>
      <c r="F329" s="81">
        <f>IFERROR(VLOOKUP(E329,客户!B:C,2,FALSE),"/")</f>
        <v>0</v>
      </c>
      <c r="G329" s="80" t="s">
        <v>43</v>
      </c>
      <c r="H329" s="45" t="s">
        <v>123</v>
      </c>
      <c r="I329" s="45" t="s">
        <v>1211</v>
      </c>
      <c r="J329" s="108">
        <v>44069</v>
      </c>
      <c r="K329" s="159">
        <v>44092</v>
      </c>
      <c r="L329" s="100">
        <v>44123</v>
      </c>
      <c r="M329" s="165" t="s">
        <v>1212</v>
      </c>
      <c r="N329" s="198" t="s">
        <v>1213</v>
      </c>
      <c r="O329" s="104" t="s">
        <v>523</v>
      </c>
      <c r="P329" s="102">
        <v>22469.8</v>
      </c>
      <c r="Q329" s="102">
        <f>2500+2500</f>
        <v>5000</v>
      </c>
      <c r="R329" s="241"/>
      <c r="S329" s="242"/>
      <c r="T329" s="102">
        <v>5000</v>
      </c>
      <c r="U329" s="102">
        <f>5000+2469+5000</f>
        <v>12469</v>
      </c>
      <c r="V329" s="130"/>
      <c r="W329" s="170"/>
    </row>
    <row r="330" s="39" customFormat="1" ht="22" hidden="1" customHeight="1" spans="1:23">
      <c r="A330" s="144" t="s">
        <v>1214</v>
      </c>
      <c r="B330" s="174" t="s">
        <v>30</v>
      </c>
      <c r="C330" s="175"/>
      <c r="D330" s="45" t="s">
        <v>31</v>
      </c>
      <c r="E330" s="82" t="s">
        <v>1215</v>
      </c>
      <c r="F330" s="81" t="str">
        <f>IFERROR(VLOOKUP(E330,客户!B:C,2,FALSE),"/")</f>
        <v>埃及红线客户配件 样品都要单独显示在箱单发票上</v>
      </c>
      <c r="G330" s="80" t="s">
        <v>1216</v>
      </c>
      <c r="H330" s="45" t="s">
        <v>123</v>
      </c>
      <c r="I330" s="45" t="s">
        <v>1217</v>
      </c>
      <c r="J330" s="108">
        <v>44072</v>
      </c>
      <c r="K330" s="108">
        <v>44106</v>
      </c>
      <c r="L330" s="200">
        <v>44177</v>
      </c>
      <c r="M330" s="165" t="s">
        <v>1218</v>
      </c>
      <c r="N330" s="198" t="s">
        <v>1219</v>
      </c>
      <c r="O330" s="104" t="s">
        <v>523</v>
      </c>
      <c r="P330" s="102">
        <v>20293.6</v>
      </c>
      <c r="Q330" s="102"/>
      <c r="R330" s="241"/>
      <c r="S330" s="242"/>
      <c r="T330" s="102">
        <v>18578</v>
      </c>
      <c r="U330" s="102">
        <v>1715.6</v>
      </c>
      <c r="V330" s="219" t="s">
        <v>1220</v>
      </c>
      <c r="W330" s="170"/>
    </row>
    <row r="331" s="39" customFormat="1" ht="22" hidden="1" customHeight="1" spans="1:23">
      <c r="A331" s="144" t="s">
        <v>1221</v>
      </c>
      <c r="B331" s="174" t="s">
        <v>30</v>
      </c>
      <c r="C331" s="175"/>
      <c r="D331" s="45" t="s">
        <v>31</v>
      </c>
      <c r="E331" s="82" t="s">
        <v>1121</v>
      </c>
      <c r="F331" s="81">
        <f>IFERROR(VLOOKUP(E331,客户!B:C,2,FALSE),"/")</f>
        <v>0</v>
      </c>
      <c r="G331" s="80" t="s">
        <v>1222</v>
      </c>
      <c r="H331" s="45" t="s">
        <v>127</v>
      </c>
      <c r="I331" s="45" t="s">
        <v>1223</v>
      </c>
      <c r="J331" s="108">
        <v>44079</v>
      </c>
      <c r="K331" s="108">
        <v>44121</v>
      </c>
      <c r="L331" s="100">
        <v>44137</v>
      </c>
      <c r="M331" s="165" t="s">
        <v>1224</v>
      </c>
      <c r="N331" s="198" t="s">
        <v>1225</v>
      </c>
      <c r="O331" s="104" t="s">
        <v>523</v>
      </c>
      <c r="P331" s="102">
        <v>87801.39</v>
      </c>
      <c r="Q331" s="102">
        <f>10000+10000+10000</f>
        <v>30000</v>
      </c>
      <c r="R331" s="241"/>
      <c r="S331" s="242"/>
      <c r="T331" s="102">
        <v>57801.39</v>
      </c>
      <c r="U331" s="100"/>
      <c r="V331" s="130"/>
      <c r="W331" s="170"/>
    </row>
    <row r="332" s="39" customFormat="1" ht="22" hidden="1" customHeight="1" spans="1:23">
      <c r="A332" s="144" t="s">
        <v>1226</v>
      </c>
      <c r="B332" s="174" t="s">
        <v>30</v>
      </c>
      <c r="C332" s="175"/>
      <c r="D332" s="45" t="s">
        <v>31</v>
      </c>
      <c r="E332" s="82" t="s">
        <v>1190</v>
      </c>
      <c r="F332" s="81">
        <f>IFERROR(VLOOKUP(E332,客户!B:C,2,FALSE),"/")</f>
        <v>0</v>
      </c>
      <c r="G332" s="80" t="s">
        <v>234</v>
      </c>
      <c r="H332" s="45" t="s">
        <v>123</v>
      </c>
      <c r="I332" s="45" t="s">
        <v>1227</v>
      </c>
      <c r="J332" s="108">
        <v>44089</v>
      </c>
      <c r="K332" s="159">
        <v>44138</v>
      </c>
      <c r="L332" s="100">
        <v>44167</v>
      </c>
      <c r="M332" s="165" t="s">
        <v>1228</v>
      </c>
      <c r="N332" s="198" t="s">
        <v>1160</v>
      </c>
      <c r="O332" s="104" t="s">
        <v>680</v>
      </c>
      <c r="P332" s="102">
        <v>60404.7</v>
      </c>
      <c r="Q332" s="102"/>
      <c r="R332" s="241"/>
      <c r="S332" s="242"/>
      <c r="T332" s="102">
        <v>60404.7</v>
      </c>
      <c r="U332" s="100"/>
      <c r="V332" s="130"/>
      <c r="W332" s="170"/>
    </row>
    <row r="333" s="39" customFormat="1" ht="22" hidden="1" customHeight="1" spans="1:23">
      <c r="A333" s="144" t="s">
        <v>1229</v>
      </c>
      <c r="B333" s="174" t="s">
        <v>30</v>
      </c>
      <c r="C333" s="175"/>
      <c r="D333" s="45" t="s">
        <v>31</v>
      </c>
      <c r="E333" s="82" t="s">
        <v>1190</v>
      </c>
      <c r="F333" s="81">
        <f>IFERROR(VLOOKUP(E333,客户!B:C,2,FALSE),"/")</f>
        <v>0</v>
      </c>
      <c r="G333" s="80" t="s">
        <v>566</v>
      </c>
      <c r="H333" s="45" t="s">
        <v>123</v>
      </c>
      <c r="I333" s="45" t="s">
        <v>1230</v>
      </c>
      <c r="J333" s="108">
        <v>44089</v>
      </c>
      <c r="K333" s="159">
        <v>44130</v>
      </c>
      <c r="L333" s="100">
        <v>44174</v>
      </c>
      <c r="M333" s="165" t="s">
        <v>1231</v>
      </c>
      <c r="N333" s="198" t="s">
        <v>1232</v>
      </c>
      <c r="O333" s="104" t="s">
        <v>680</v>
      </c>
      <c r="P333" s="102">
        <v>40200.5</v>
      </c>
      <c r="Q333" s="102"/>
      <c r="R333" s="241"/>
      <c r="S333" s="242"/>
      <c r="T333" s="102">
        <v>40200.5</v>
      </c>
      <c r="U333" s="100"/>
      <c r="V333" s="130"/>
      <c r="W333" s="170"/>
    </row>
    <row r="334" s="39" customFormat="1" ht="22" hidden="1" customHeight="1" spans="1:23">
      <c r="A334" s="144" t="s">
        <v>1233</v>
      </c>
      <c r="B334" s="174" t="s">
        <v>30</v>
      </c>
      <c r="C334" s="175"/>
      <c r="D334" s="45" t="s">
        <v>31</v>
      </c>
      <c r="E334" s="82" t="s">
        <v>1167</v>
      </c>
      <c r="F334" s="81">
        <f>IFERROR(VLOOKUP(E334,客户!B:C,2,FALSE),"/")</f>
        <v>0</v>
      </c>
      <c r="G334" s="80" t="s">
        <v>1234</v>
      </c>
      <c r="H334" s="45" t="s">
        <v>123</v>
      </c>
      <c r="I334" s="45" t="s">
        <v>550</v>
      </c>
      <c r="J334" s="108">
        <v>44090</v>
      </c>
      <c r="K334" s="159">
        <v>44136</v>
      </c>
      <c r="L334" s="100">
        <v>44166</v>
      </c>
      <c r="M334" s="165" t="s">
        <v>1235</v>
      </c>
      <c r="N334" s="198" t="s">
        <v>1236</v>
      </c>
      <c r="O334" s="104" t="s">
        <v>523</v>
      </c>
      <c r="P334" s="102">
        <v>28641.87</v>
      </c>
      <c r="Q334" s="102">
        <v>8400</v>
      </c>
      <c r="R334" s="241"/>
      <c r="S334" s="242"/>
      <c r="T334" s="102">
        <v>20241.87</v>
      </c>
      <c r="U334" s="100"/>
      <c r="V334" s="130"/>
      <c r="W334" s="170"/>
    </row>
    <row r="335" s="39" customFormat="1" ht="22" hidden="1" customHeight="1" spans="1:23">
      <c r="A335" s="144" t="s">
        <v>1237</v>
      </c>
      <c r="B335" s="174" t="s">
        <v>30</v>
      </c>
      <c r="C335" s="175"/>
      <c r="D335" s="45" t="s">
        <v>31</v>
      </c>
      <c r="E335" s="82" t="s">
        <v>1238</v>
      </c>
      <c r="F335" s="81"/>
      <c r="G335" s="80" t="s">
        <v>985</v>
      </c>
      <c r="H335" s="45" t="s">
        <v>123</v>
      </c>
      <c r="I335" s="45" t="s">
        <v>1194</v>
      </c>
      <c r="J335" s="108">
        <v>44091</v>
      </c>
      <c r="K335" s="159">
        <v>44130</v>
      </c>
      <c r="L335" s="100">
        <v>44165</v>
      </c>
      <c r="M335" s="165" t="s">
        <v>1239</v>
      </c>
      <c r="N335" s="198" t="s">
        <v>1240</v>
      </c>
      <c r="O335" s="104" t="s">
        <v>523</v>
      </c>
      <c r="P335" s="102">
        <v>21709.71</v>
      </c>
      <c r="Q335" s="102"/>
      <c r="R335" s="241"/>
      <c r="S335" s="242"/>
      <c r="T335" s="102">
        <f>4129.44+2433.27</f>
        <v>6562.71</v>
      </c>
      <c r="U335" s="102">
        <v>15147</v>
      </c>
      <c r="V335" s="130"/>
      <c r="W335" s="170"/>
    </row>
    <row r="336" s="39" customFormat="1" ht="22" hidden="1" customHeight="1" spans="1:23">
      <c r="A336" s="144" t="s">
        <v>1241</v>
      </c>
      <c r="B336" s="174" t="s">
        <v>30</v>
      </c>
      <c r="C336" s="175"/>
      <c r="D336" s="45" t="s">
        <v>31</v>
      </c>
      <c r="E336" s="82" t="s">
        <v>1100</v>
      </c>
      <c r="F336" s="81">
        <f>IFERROR(VLOOKUP(E336,客户!B:C,2,FALSE),"/")</f>
        <v>0</v>
      </c>
      <c r="G336" s="80" t="s">
        <v>985</v>
      </c>
      <c r="H336" s="45" t="s">
        <v>123</v>
      </c>
      <c r="I336" s="45" t="s">
        <v>806</v>
      </c>
      <c r="J336" s="108">
        <v>44092</v>
      </c>
      <c r="K336" s="159">
        <v>44143</v>
      </c>
      <c r="L336" s="100">
        <v>44193</v>
      </c>
      <c r="M336" s="165" t="s">
        <v>1242</v>
      </c>
      <c r="N336" s="198" t="s">
        <v>1243</v>
      </c>
      <c r="O336" s="104" t="s">
        <v>523</v>
      </c>
      <c r="P336" s="102">
        <v>20908.08</v>
      </c>
      <c r="Q336" s="102">
        <v>3500</v>
      </c>
      <c r="R336" s="241"/>
      <c r="S336" s="242"/>
      <c r="T336" s="102">
        <v>17402.49</v>
      </c>
      <c r="U336" s="100"/>
      <c r="V336" s="130"/>
      <c r="W336" s="170"/>
    </row>
    <row r="337" s="39" customFormat="1" ht="22" hidden="1" customHeight="1" spans="1:23">
      <c r="A337" s="144" t="s">
        <v>1244</v>
      </c>
      <c r="B337" s="174" t="s">
        <v>30</v>
      </c>
      <c r="C337" s="175"/>
      <c r="D337" s="45" t="s">
        <v>31</v>
      </c>
      <c r="E337" s="82" t="s">
        <v>1245</v>
      </c>
      <c r="F337" s="81">
        <f>IFERROR(VLOOKUP(E337,客户!B:C,2,FALSE),"/")</f>
        <v>0</v>
      </c>
      <c r="G337" s="80" t="s">
        <v>1246</v>
      </c>
      <c r="H337" s="45" t="s">
        <v>186</v>
      </c>
      <c r="I337" s="45"/>
      <c r="J337" s="108">
        <v>44096</v>
      </c>
      <c r="K337" s="108">
        <v>44113</v>
      </c>
      <c r="L337" s="100"/>
      <c r="M337" s="165" t="s">
        <v>1247</v>
      </c>
      <c r="N337" s="198"/>
      <c r="O337" s="104" t="s">
        <v>970</v>
      </c>
      <c r="P337" s="240">
        <v>23000</v>
      </c>
      <c r="Q337" s="240">
        <v>6000</v>
      </c>
      <c r="R337" s="241"/>
      <c r="S337" s="242"/>
      <c r="T337" s="240">
        <v>17000</v>
      </c>
      <c r="U337" s="100"/>
      <c r="V337" s="130"/>
      <c r="W337" s="170"/>
    </row>
    <row r="338" s="39" customFormat="1" ht="22" hidden="1" customHeight="1" spans="1:23">
      <c r="A338" s="144" t="s">
        <v>1248</v>
      </c>
      <c r="B338" s="174" t="s">
        <v>30</v>
      </c>
      <c r="C338" s="175"/>
      <c r="D338" s="45" t="s">
        <v>31</v>
      </c>
      <c r="E338" s="82" t="s">
        <v>1249</v>
      </c>
      <c r="F338" s="81">
        <f>IFERROR(VLOOKUP(E338,客户!B:C,2,FALSE),"/")</f>
        <v>0</v>
      </c>
      <c r="G338" s="80" t="s">
        <v>43</v>
      </c>
      <c r="H338" s="45" t="s">
        <v>123</v>
      </c>
      <c r="I338" s="45" t="s">
        <v>1250</v>
      </c>
      <c r="J338" s="108">
        <v>44101</v>
      </c>
      <c r="K338" s="159">
        <v>44167</v>
      </c>
      <c r="L338" s="100">
        <v>44201</v>
      </c>
      <c r="M338" s="165" t="s">
        <v>1251</v>
      </c>
      <c r="N338" s="198" t="s">
        <v>1252</v>
      </c>
      <c r="O338" s="104" t="s">
        <v>523</v>
      </c>
      <c r="P338" s="102">
        <v>20744.3</v>
      </c>
      <c r="Q338" s="102">
        <v>6147.9</v>
      </c>
      <c r="R338" s="241"/>
      <c r="S338" s="242"/>
      <c r="T338" s="102">
        <v>14596.4</v>
      </c>
      <c r="U338" s="100"/>
      <c r="V338" s="130"/>
      <c r="W338" s="170"/>
    </row>
    <row r="339" s="39" customFormat="1" ht="22" hidden="1" customHeight="1" spans="1:23">
      <c r="A339" s="144" t="s">
        <v>1253</v>
      </c>
      <c r="B339" s="174" t="s">
        <v>30</v>
      </c>
      <c r="C339" s="175"/>
      <c r="D339" s="45" t="s">
        <v>31</v>
      </c>
      <c r="E339" s="82" t="s">
        <v>1083</v>
      </c>
      <c r="F339" s="81">
        <f>IFERROR(VLOOKUP(E339,客户!B:C,2,FALSE),"/")</f>
        <v>0</v>
      </c>
      <c r="G339" s="80" t="s">
        <v>43</v>
      </c>
      <c r="H339" s="45" t="s">
        <v>147</v>
      </c>
      <c r="I339" s="45" t="s">
        <v>232</v>
      </c>
      <c r="J339" s="108">
        <v>44103</v>
      </c>
      <c r="K339" s="159">
        <v>44142</v>
      </c>
      <c r="L339" s="100">
        <v>44159</v>
      </c>
      <c r="M339" s="165" t="s">
        <v>1254</v>
      </c>
      <c r="N339" s="198" t="s">
        <v>1255</v>
      </c>
      <c r="O339" s="104" t="s">
        <v>523</v>
      </c>
      <c r="P339" s="102">
        <v>21831.93</v>
      </c>
      <c r="Q339" s="102">
        <v>6640.82</v>
      </c>
      <c r="R339" s="241"/>
      <c r="S339" s="242"/>
      <c r="T339" s="102">
        <v>15191</v>
      </c>
      <c r="U339" s="100"/>
      <c r="V339" s="130"/>
      <c r="W339" s="170"/>
    </row>
    <row r="340" s="39" customFormat="1" ht="22" hidden="1" customHeight="1" spans="1:23">
      <c r="A340" s="144" t="s">
        <v>1256</v>
      </c>
      <c r="B340" s="174" t="s">
        <v>30</v>
      </c>
      <c r="C340" s="175"/>
      <c r="D340" s="45" t="s">
        <v>31</v>
      </c>
      <c r="E340" s="82" t="s">
        <v>1257</v>
      </c>
      <c r="F340" s="81">
        <f>IFERROR(VLOOKUP(E340,客户!B:C,2,FALSE),"/")</f>
        <v>0</v>
      </c>
      <c r="G340" s="80" t="s">
        <v>43</v>
      </c>
      <c r="H340" s="45" t="s">
        <v>123</v>
      </c>
      <c r="I340" s="45" t="s">
        <v>1149</v>
      </c>
      <c r="J340" s="108">
        <v>44109</v>
      </c>
      <c r="K340" s="159">
        <v>44184</v>
      </c>
      <c r="L340" s="100">
        <v>44210</v>
      </c>
      <c r="M340" s="165" t="s">
        <v>1258</v>
      </c>
      <c r="N340" s="198" t="s">
        <v>1259</v>
      </c>
      <c r="O340" s="104" t="s">
        <v>523</v>
      </c>
      <c r="P340" s="102">
        <v>23627.9</v>
      </c>
      <c r="Q340" s="102">
        <v>4815.05</v>
      </c>
      <c r="R340" s="241"/>
      <c r="S340" s="242"/>
      <c r="T340" s="102">
        <v>18812.85</v>
      </c>
      <c r="U340" s="100"/>
      <c r="V340" s="130"/>
      <c r="W340" s="170"/>
    </row>
    <row r="341" s="39" customFormat="1" ht="22" hidden="1" customHeight="1" spans="1:23">
      <c r="A341" s="144" t="s">
        <v>1260</v>
      </c>
      <c r="B341" s="174" t="s">
        <v>30</v>
      </c>
      <c r="C341" s="175"/>
      <c r="D341" s="45" t="s">
        <v>31</v>
      </c>
      <c r="E341" s="82" t="s">
        <v>1167</v>
      </c>
      <c r="F341" s="81">
        <f>IFERROR(VLOOKUP(E341,客户!B:C,2,FALSE),"/")</f>
        <v>0</v>
      </c>
      <c r="G341" s="80" t="s">
        <v>1261</v>
      </c>
      <c r="H341" s="45" t="s">
        <v>123</v>
      </c>
      <c r="I341" s="45" t="s">
        <v>550</v>
      </c>
      <c r="J341" s="108">
        <v>44109</v>
      </c>
      <c r="K341" s="159">
        <v>44163</v>
      </c>
      <c r="L341" s="100">
        <v>44191</v>
      </c>
      <c r="M341" s="165" t="s">
        <v>1262</v>
      </c>
      <c r="N341" s="198" t="s">
        <v>1263</v>
      </c>
      <c r="O341" s="104" t="s">
        <v>523</v>
      </c>
      <c r="P341" s="102">
        <v>26775.05</v>
      </c>
      <c r="Q341" s="102">
        <v>8100</v>
      </c>
      <c r="R341" s="241"/>
      <c r="S341" s="242"/>
      <c r="T341" s="102">
        <v>18675.05</v>
      </c>
      <c r="U341" s="100"/>
      <c r="V341" s="130"/>
      <c r="W341" s="170"/>
    </row>
    <row r="342" s="39" customFormat="1" ht="22" hidden="1" customHeight="1" spans="1:23">
      <c r="A342" s="144" t="s">
        <v>1264</v>
      </c>
      <c r="B342" s="174" t="s">
        <v>30</v>
      </c>
      <c r="C342" s="175"/>
      <c r="D342" s="45" t="s">
        <v>31</v>
      </c>
      <c r="E342" s="82" t="s">
        <v>1265</v>
      </c>
      <c r="F342" s="81" t="str">
        <f>IFERROR(VLOOKUP(E342,客户!B:C,2,FALSE),"/")</f>
        <v>外送费用945人民币+装箱费用 加在发票里</v>
      </c>
      <c r="G342" s="80" t="s">
        <v>1266</v>
      </c>
      <c r="H342" s="45" t="s">
        <v>147</v>
      </c>
      <c r="I342" s="45" t="s">
        <v>997</v>
      </c>
      <c r="J342" s="108">
        <v>44117</v>
      </c>
      <c r="K342" s="159">
        <v>44158</v>
      </c>
      <c r="L342" s="100">
        <v>44200</v>
      </c>
      <c r="M342" s="165" t="s">
        <v>1267</v>
      </c>
      <c r="N342" s="198" t="s">
        <v>1268</v>
      </c>
      <c r="O342" s="104" t="s">
        <v>680</v>
      </c>
      <c r="P342" s="102">
        <v>65744.7</v>
      </c>
      <c r="Q342" s="102"/>
      <c r="R342" s="241"/>
      <c r="S342" s="242"/>
      <c r="T342" s="102">
        <v>65744.7</v>
      </c>
      <c r="U342" s="100"/>
      <c r="V342" s="130"/>
      <c r="W342" s="170"/>
    </row>
    <row r="343" s="39" customFormat="1" ht="22" hidden="1" customHeight="1" spans="1:23">
      <c r="A343" s="144" t="s">
        <v>1269</v>
      </c>
      <c r="B343" s="174" t="s">
        <v>30</v>
      </c>
      <c r="C343" s="175"/>
      <c r="D343" s="45" t="s">
        <v>31</v>
      </c>
      <c r="E343" s="82" t="s">
        <v>1265</v>
      </c>
      <c r="F343" s="81" t="str">
        <f>IFERROR(VLOOKUP(E343,客户!B:C,2,FALSE),"/")</f>
        <v>外送费用945人民币+装箱费用 加在发票里</v>
      </c>
      <c r="G343" s="80" t="s">
        <v>1270</v>
      </c>
      <c r="H343" s="45" t="s">
        <v>147</v>
      </c>
      <c r="I343" s="45" t="s">
        <v>997</v>
      </c>
      <c r="J343" s="108">
        <v>44117</v>
      </c>
      <c r="K343" s="159">
        <v>44235</v>
      </c>
      <c r="L343" s="100">
        <v>44277</v>
      </c>
      <c r="M343" s="165" t="s">
        <v>1271</v>
      </c>
      <c r="N343" s="198" t="s">
        <v>1272</v>
      </c>
      <c r="O343" s="104" t="s">
        <v>680</v>
      </c>
      <c r="P343" s="102">
        <v>90311.4</v>
      </c>
      <c r="Q343" s="240"/>
      <c r="R343" s="241"/>
      <c r="S343" s="242"/>
      <c r="T343" s="102">
        <v>90311.4</v>
      </c>
      <c r="U343" s="100"/>
      <c r="V343" s="130"/>
      <c r="W343" s="170"/>
    </row>
    <row r="344" s="39" customFormat="1" ht="22" hidden="1" customHeight="1" spans="1:23">
      <c r="A344" s="144" t="s">
        <v>1273</v>
      </c>
      <c r="B344" s="174" t="s">
        <v>30</v>
      </c>
      <c r="C344" s="175"/>
      <c r="D344" s="45" t="s">
        <v>31</v>
      </c>
      <c r="E344" s="82" t="s">
        <v>1274</v>
      </c>
      <c r="F344" s="81">
        <f>IFERROR(VLOOKUP(E344,客户!B:C,2,FALSE),"/")</f>
        <v>0</v>
      </c>
      <c r="G344" s="80" t="s">
        <v>1275</v>
      </c>
      <c r="H344" s="45" t="s">
        <v>123</v>
      </c>
      <c r="I344" s="45" t="s">
        <v>925</v>
      </c>
      <c r="J344" s="108">
        <v>44120</v>
      </c>
      <c r="K344" s="159">
        <v>44191</v>
      </c>
      <c r="L344" s="100">
        <v>44245</v>
      </c>
      <c r="M344" s="165" t="s">
        <v>1276</v>
      </c>
      <c r="N344" s="198" t="s">
        <v>1277</v>
      </c>
      <c r="O344" s="104" t="s">
        <v>523</v>
      </c>
      <c r="P344" s="102">
        <v>38129.69</v>
      </c>
      <c r="Q344" s="102">
        <v>9524.1</v>
      </c>
      <c r="R344" s="241"/>
      <c r="S344" s="242"/>
      <c r="T344" s="102">
        <v>28605.59</v>
      </c>
      <c r="U344" s="100"/>
      <c r="V344" s="130"/>
      <c r="W344" s="170"/>
    </row>
    <row r="345" s="39" customFormat="1" ht="22" hidden="1" customHeight="1" spans="1:23">
      <c r="A345" s="144" t="s">
        <v>1278</v>
      </c>
      <c r="B345" s="174" t="s">
        <v>30</v>
      </c>
      <c r="C345" s="175"/>
      <c r="D345" s="45" t="s">
        <v>31</v>
      </c>
      <c r="E345" s="82" t="s">
        <v>1190</v>
      </c>
      <c r="F345" s="81">
        <f>IFERROR(VLOOKUP(E345,客户!B:C,2,FALSE),"/")</f>
        <v>0</v>
      </c>
      <c r="G345" s="80" t="s">
        <v>1279</v>
      </c>
      <c r="H345" s="45" t="s">
        <v>123</v>
      </c>
      <c r="I345" s="45" t="s">
        <v>1280</v>
      </c>
      <c r="J345" s="108">
        <v>44125</v>
      </c>
      <c r="K345" s="108">
        <v>44172</v>
      </c>
      <c r="L345" s="100">
        <v>44196</v>
      </c>
      <c r="M345" s="165" t="s">
        <v>1281</v>
      </c>
      <c r="N345" s="198" t="s">
        <v>1282</v>
      </c>
      <c r="O345" s="104" t="s">
        <v>1283</v>
      </c>
      <c r="P345" s="102">
        <v>61200</v>
      </c>
      <c r="Q345" s="102"/>
      <c r="R345" s="241"/>
      <c r="S345" s="242"/>
      <c r="T345" s="102">
        <v>61200</v>
      </c>
      <c r="U345" s="100"/>
      <c r="V345" s="219" t="s">
        <v>1284</v>
      </c>
      <c r="W345" s="170"/>
    </row>
    <row r="346" s="39" customFormat="1" ht="22" hidden="1" customHeight="1" spans="1:23">
      <c r="A346" s="144" t="s">
        <v>1285</v>
      </c>
      <c r="B346" s="174" t="s">
        <v>30</v>
      </c>
      <c r="C346" s="175"/>
      <c r="D346" s="45" t="s">
        <v>31</v>
      </c>
      <c r="E346" s="82" t="s">
        <v>1190</v>
      </c>
      <c r="F346" s="81">
        <f>IFERROR(VLOOKUP(E346,客户!B:C,2,FALSE),"/")</f>
        <v>0</v>
      </c>
      <c r="G346" s="80" t="s">
        <v>1286</v>
      </c>
      <c r="H346" s="45" t="s">
        <v>123</v>
      </c>
      <c r="I346" s="45" t="s">
        <v>1280</v>
      </c>
      <c r="J346" s="108">
        <v>44125</v>
      </c>
      <c r="K346" s="159">
        <v>44188</v>
      </c>
      <c r="L346" s="100">
        <v>44225</v>
      </c>
      <c r="M346" s="177" t="s">
        <v>1287</v>
      </c>
      <c r="N346" s="198" t="s">
        <v>1288</v>
      </c>
      <c r="O346" s="104" t="s">
        <v>1283</v>
      </c>
      <c r="P346" s="102">
        <v>62544</v>
      </c>
      <c r="Q346" s="102"/>
      <c r="R346" s="241"/>
      <c r="S346" s="242"/>
      <c r="T346" s="102">
        <v>62544</v>
      </c>
      <c r="U346" s="100"/>
      <c r="V346" s="130"/>
      <c r="W346" s="170"/>
    </row>
    <row r="347" s="39" customFormat="1" ht="22" hidden="1" customHeight="1" spans="1:23">
      <c r="A347" s="144" t="s">
        <v>1289</v>
      </c>
      <c r="B347" s="174" t="s">
        <v>30</v>
      </c>
      <c r="C347" s="175"/>
      <c r="D347" s="45" t="s">
        <v>31</v>
      </c>
      <c r="E347" s="82" t="s">
        <v>1190</v>
      </c>
      <c r="F347" s="81">
        <f>IFERROR(VLOOKUP(E347,客户!B:C,2,FALSE),"/")</f>
        <v>0</v>
      </c>
      <c r="G347" s="80" t="s">
        <v>1290</v>
      </c>
      <c r="H347" s="45" t="s">
        <v>123</v>
      </c>
      <c r="I347" s="45" t="s">
        <v>1280</v>
      </c>
      <c r="J347" s="108">
        <v>44125</v>
      </c>
      <c r="K347" s="159">
        <v>44191</v>
      </c>
      <c r="L347" s="200">
        <v>44227</v>
      </c>
      <c r="M347" s="165" t="s">
        <v>1291</v>
      </c>
      <c r="N347" s="198" t="s">
        <v>1292</v>
      </c>
      <c r="O347" s="104" t="s">
        <v>1283</v>
      </c>
      <c r="P347" s="102">
        <v>41882</v>
      </c>
      <c r="Q347" s="102"/>
      <c r="R347" s="241"/>
      <c r="S347" s="242"/>
      <c r="T347" s="102">
        <v>41882</v>
      </c>
      <c r="U347" s="100"/>
      <c r="V347" s="130"/>
      <c r="W347" s="170"/>
    </row>
    <row r="348" s="39" customFormat="1" ht="22" hidden="1" customHeight="1" spans="1:23">
      <c r="A348" s="144" t="s">
        <v>1293</v>
      </c>
      <c r="B348" s="174" t="s">
        <v>30</v>
      </c>
      <c r="C348" s="175"/>
      <c r="D348" s="45" t="s">
        <v>31</v>
      </c>
      <c r="E348" s="82" t="s">
        <v>1190</v>
      </c>
      <c r="F348" s="81">
        <f>IFERROR(VLOOKUP(E348,客户!B:C,2,FALSE),"/")</f>
        <v>0</v>
      </c>
      <c r="G348" s="80" t="s">
        <v>1286</v>
      </c>
      <c r="H348" s="45" t="s">
        <v>123</v>
      </c>
      <c r="I348" s="45" t="s">
        <v>723</v>
      </c>
      <c r="J348" s="108">
        <v>44125</v>
      </c>
      <c r="K348" s="159">
        <v>44173</v>
      </c>
      <c r="L348" s="100">
        <v>44214</v>
      </c>
      <c r="M348" s="251" t="s">
        <v>1294</v>
      </c>
      <c r="N348" s="198" t="s">
        <v>1295</v>
      </c>
      <c r="O348" s="104" t="s">
        <v>1283</v>
      </c>
      <c r="P348" s="102">
        <v>62162.15</v>
      </c>
      <c r="Q348" s="102"/>
      <c r="R348" s="241"/>
      <c r="S348" s="242"/>
      <c r="T348" s="102">
        <v>62162.15</v>
      </c>
      <c r="U348" s="100"/>
      <c r="V348" s="219" t="s">
        <v>1296</v>
      </c>
      <c r="W348" s="170"/>
    </row>
    <row r="349" s="39" customFormat="1" ht="22" hidden="1" customHeight="1" spans="1:23">
      <c r="A349" s="144" t="s">
        <v>1297</v>
      </c>
      <c r="B349" s="174" t="s">
        <v>30</v>
      </c>
      <c r="C349" s="175"/>
      <c r="D349" s="45" t="s">
        <v>31</v>
      </c>
      <c r="E349" s="82" t="s">
        <v>1190</v>
      </c>
      <c r="F349" s="81">
        <f>IFERROR(VLOOKUP(E349,客户!B:C,2,FALSE),"/")</f>
        <v>0</v>
      </c>
      <c r="G349" s="80" t="s">
        <v>1298</v>
      </c>
      <c r="H349" s="45" t="s">
        <v>123</v>
      </c>
      <c r="I349" s="45" t="s">
        <v>723</v>
      </c>
      <c r="J349" s="108">
        <v>44125</v>
      </c>
      <c r="K349" s="159">
        <v>44156</v>
      </c>
      <c r="L349" s="100">
        <v>44194</v>
      </c>
      <c r="M349" s="165" t="s">
        <v>1299</v>
      </c>
      <c r="N349" s="198" t="s">
        <v>1292</v>
      </c>
      <c r="O349" s="104" t="s">
        <v>1283</v>
      </c>
      <c r="P349" s="102">
        <v>122706.9</v>
      </c>
      <c r="Q349" s="102"/>
      <c r="R349" s="241"/>
      <c r="S349" s="242"/>
      <c r="T349" s="102">
        <v>122706.9</v>
      </c>
      <c r="U349" s="100"/>
      <c r="V349" s="219" t="s">
        <v>1300</v>
      </c>
      <c r="W349" s="170"/>
    </row>
    <row r="350" s="39" customFormat="1" ht="22" hidden="1" customHeight="1" spans="1:23">
      <c r="A350" s="144" t="s">
        <v>1301</v>
      </c>
      <c r="B350" s="174" t="s">
        <v>30</v>
      </c>
      <c r="C350" s="175"/>
      <c r="D350" s="45" t="s">
        <v>31</v>
      </c>
      <c r="E350" s="82" t="s">
        <v>1190</v>
      </c>
      <c r="F350" s="81">
        <f>IFERROR(VLOOKUP(E350,客户!B:C,2,FALSE),"/")</f>
        <v>0</v>
      </c>
      <c r="G350" s="80" t="s">
        <v>1290</v>
      </c>
      <c r="H350" s="45" t="s">
        <v>123</v>
      </c>
      <c r="I350" s="45" t="s">
        <v>1230</v>
      </c>
      <c r="J350" s="108">
        <v>44125</v>
      </c>
      <c r="K350" s="159">
        <v>44191</v>
      </c>
      <c r="L350" s="200">
        <v>44231</v>
      </c>
      <c r="M350" s="198" t="s">
        <v>1302</v>
      </c>
      <c r="N350" s="198" t="s">
        <v>1292</v>
      </c>
      <c r="O350" s="104" t="s">
        <v>1283</v>
      </c>
      <c r="P350" s="102">
        <v>41539.75</v>
      </c>
      <c r="Q350" s="102"/>
      <c r="R350" s="241"/>
      <c r="S350" s="242"/>
      <c r="T350" s="102">
        <v>41539.75</v>
      </c>
      <c r="U350" s="100"/>
      <c r="V350" s="130"/>
      <c r="W350" s="170"/>
    </row>
    <row r="351" s="39" customFormat="1" ht="22" hidden="1" customHeight="1" spans="1:23">
      <c r="A351" s="144" t="s">
        <v>1303</v>
      </c>
      <c r="B351" s="174" t="s">
        <v>30</v>
      </c>
      <c r="C351" s="175"/>
      <c r="D351" s="45" t="s">
        <v>31</v>
      </c>
      <c r="E351" s="82" t="s">
        <v>1190</v>
      </c>
      <c r="F351" s="81">
        <f>IFERROR(VLOOKUP(E351,客户!B:C,2,FALSE),"/")</f>
        <v>0</v>
      </c>
      <c r="G351" s="80" t="s">
        <v>1290</v>
      </c>
      <c r="H351" s="45" t="s">
        <v>123</v>
      </c>
      <c r="I351" s="45" t="s">
        <v>1230</v>
      </c>
      <c r="J351" s="108">
        <v>44125</v>
      </c>
      <c r="K351" s="108">
        <v>44196</v>
      </c>
      <c r="L351" s="100">
        <v>44239</v>
      </c>
      <c r="M351" s="198" t="s">
        <v>1304</v>
      </c>
      <c r="N351" s="198" t="s">
        <v>1305</v>
      </c>
      <c r="O351" s="104" t="s">
        <v>1283</v>
      </c>
      <c r="P351" s="102">
        <v>41745</v>
      </c>
      <c r="Q351" s="102"/>
      <c r="R351" s="241"/>
      <c r="S351" s="242"/>
      <c r="T351" s="102">
        <v>41745</v>
      </c>
      <c r="U351" s="100"/>
      <c r="V351" s="130"/>
      <c r="W351" s="170"/>
    </row>
    <row r="352" s="39" customFormat="1" ht="22" hidden="1" customHeight="1" spans="1:23">
      <c r="A352" s="144" t="s">
        <v>1306</v>
      </c>
      <c r="B352" s="174" t="s">
        <v>30</v>
      </c>
      <c r="C352" s="175"/>
      <c r="D352" s="45" t="s">
        <v>31</v>
      </c>
      <c r="E352" s="82" t="s">
        <v>1190</v>
      </c>
      <c r="F352" s="81">
        <f>IFERROR(VLOOKUP(E352,客户!B:C,2,FALSE),"/")</f>
        <v>0</v>
      </c>
      <c r="G352" s="80" t="s">
        <v>1307</v>
      </c>
      <c r="H352" s="45" t="s">
        <v>123</v>
      </c>
      <c r="I352" s="45" t="s">
        <v>1230</v>
      </c>
      <c r="J352" s="108">
        <v>44125</v>
      </c>
      <c r="K352" s="159">
        <v>44218</v>
      </c>
      <c r="L352" s="100">
        <v>44257</v>
      </c>
      <c r="M352" s="165" t="s">
        <v>1308</v>
      </c>
      <c r="N352" s="198" t="s">
        <v>1288</v>
      </c>
      <c r="O352" s="104" t="s">
        <v>1283</v>
      </c>
      <c r="P352" s="102">
        <v>62878.2</v>
      </c>
      <c r="Q352" s="102"/>
      <c r="R352" s="241"/>
      <c r="S352" s="242"/>
      <c r="T352" s="102">
        <v>62878.2</v>
      </c>
      <c r="U352" s="100"/>
      <c r="V352" s="130"/>
      <c r="W352" s="170"/>
    </row>
    <row r="353" s="39" customFormat="1" ht="22" hidden="1" customHeight="1" spans="1:23">
      <c r="A353" s="144" t="s">
        <v>1309</v>
      </c>
      <c r="B353" s="174" t="s">
        <v>30</v>
      </c>
      <c r="C353" s="175"/>
      <c r="D353" s="45" t="s">
        <v>31</v>
      </c>
      <c r="E353" s="82" t="s">
        <v>1121</v>
      </c>
      <c r="F353" s="81">
        <f>IFERROR(VLOOKUP(E353,客户!B:C,2,FALSE),"/")</f>
        <v>0</v>
      </c>
      <c r="G353" s="80" t="s">
        <v>1310</v>
      </c>
      <c r="H353" s="45" t="s">
        <v>127</v>
      </c>
      <c r="I353" s="45" t="s">
        <v>215</v>
      </c>
      <c r="J353" s="108">
        <v>44126</v>
      </c>
      <c r="K353" s="159">
        <v>44159</v>
      </c>
      <c r="L353" s="100">
        <v>44172</v>
      </c>
      <c r="M353" s="165" t="s">
        <v>1311</v>
      </c>
      <c r="N353" s="198" t="s">
        <v>1312</v>
      </c>
      <c r="O353" s="104" t="s">
        <v>523</v>
      </c>
      <c r="P353" s="240">
        <v>467294.2</v>
      </c>
      <c r="Q353" s="240">
        <v>99940</v>
      </c>
      <c r="R353" s="241"/>
      <c r="S353" s="242"/>
      <c r="T353" s="240">
        <v>367354.2</v>
      </c>
      <c r="U353" s="100"/>
      <c r="V353" s="130"/>
      <c r="W353" s="170"/>
    </row>
    <row r="354" s="39" customFormat="1" ht="22" hidden="1" customHeight="1" spans="1:23">
      <c r="A354" s="144" t="s">
        <v>1313</v>
      </c>
      <c r="B354" s="174" t="s">
        <v>30</v>
      </c>
      <c r="C354" s="175"/>
      <c r="D354" s="45" t="s">
        <v>31</v>
      </c>
      <c r="E354" s="82" t="s">
        <v>1167</v>
      </c>
      <c r="F354" s="81"/>
      <c r="G354" s="80" t="s">
        <v>1314</v>
      </c>
      <c r="H354" s="45" t="s">
        <v>123</v>
      </c>
      <c r="I354" s="45" t="s">
        <v>550</v>
      </c>
      <c r="J354" s="108">
        <v>44147</v>
      </c>
      <c r="K354" s="159">
        <v>44203</v>
      </c>
      <c r="L354" s="100">
        <v>44224</v>
      </c>
      <c r="M354" s="165" t="s">
        <v>1315</v>
      </c>
      <c r="N354" s="198" t="s">
        <v>1316</v>
      </c>
      <c r="O354" s="104" t="s">
        <v>523</v>
      </c>
      <c r="P354" s="102">
        <v>57061.02</v>
      </c>
      <c r="Q354" s="102">
        <v>16200</v>
      </c>
      <c r="R354" s="241"/>
      <c r="S354" s="242"/>
      <c r="T354" s="102">
        <v>40861.02</v>
      </c>
      <c r="U354" s="100"/>
      <c r="V354" s="130"/>
      <c r="W354" s="170"/>
    </row>
    <row r="355" s="39" customFormat="1" ht="22" hidden="1" customHeight="1" spans="1:23">
      <c r="A355" s="144" t="s">
        <v>1317</v>
      </c>
      <c r="B355" s="174" t="s">
        <v>30</v>
      </c>
      <c r="C355" s="175"/>
      <c r="D355" s="45" t="s">
        <v>31</v>
      </c>
      <c r="E355" s="82" t="s">
        <v>1121</v>
      </c>
      <c r="F355" s="81">
        <f>IFERROR(VLOOKUP(E355,客户!B:C,2,FALSE),"/")</f>
        <v>0</v>
      </c>
      <c r="G355" s="80" t="s">
        <v>1318</v>
      </c>
      <c r="H355" s="45" t="s">
        <v>123</v>
      </c>
      <c r="I355" s="45" t="s">
        <v>215</v>
      </c>
      <c r="J355" s="108">
        <v>44148</v>
      </c>
      <c r="K355" s="159">
        <v>44200</v>
      </c>
      <c r="L355" s="100">
        <v>44215</v>
      </c>
      <c r="M355" s="165" t="s">
        <v>1319</v>
      </c>
      <c r="N355" s="198" t="s">
        <v>1320</v>
      </c>
      <c r="O355" s="104" t="s">
        <v>523</v>
      </c>
      <c r="P355" s="240">
        <v>476819</v>
      </c>
      <c r="Q355" s="240">
        <v>100000</v>
      </c>
      <c r="R355" s="241"/>
      <c r="S355" s="242"/>
      <c r="T355" s="240">
        <v>376819</v>
      </c>
      <c r="U355" s="242"/>
      <c r="V355" s="130"/>
      <c r="W355" s="170"/>
    </row>
    <row r="356" s="39" customFormat="1" ht="22" hidden="1" customHeight="1" spans="1:23">
      <c r="A356" s="144" t="s">
        <v>1321</v>
      </c>
      <c r="B356" s="174" t="s">
        <v>30</v>
      </c>
      <c r="C356" s="175"/>
      <c r="D356" s="45" t="s">
        <v>31</v>
      </c>
      <c r="E356" s="82" t="s">
        <v>1121</v>
      </c>
      <c r="F356" s="81">
        <f>IFERROR(VLOOKUP(E356,客户!B:C,2,FALSE),"/")</f>
        <v>0</v>
      </c>
      <c r="G356" s="80" t="s">
        <v>1322</v>
      </c>
      <c r="H356" s="45" t="s">
        <v>123</v>
      </c>
      <c r="I356" s="45" t="s">
        <v>215</v>
      </c>
      <c r="J356" s="108">
        <v>44148</v>
      </c>
      <c r="K356" s="159">
        <v>44200</v>
      </c>
      <c r="L356" s="100">
        <v>44215</v>
      </c>
      <c r="M356" s="165" t="s">
        <v>1323</v>
      </c>
      <c r="N356" s="198" t="s">
        <v>1324</v>
      </c>
      <c r="O356" s="104" t="s">
        <v>523</v>
      </c>
      <c r="P356" s="240">
        <v>330566</v>
      </c>
      <c r="Q356" s="240"/>
      <c r="R356" s="241"/>
      <c r="S356" s="242"/>
      <c r="T356" s="240">
        <v>330566</v>
      </c>
      <c r="U356" s="100"/>
      <c r="V356" s="130"/>
      <c r="W356" s="170"/>
    </row>
    <row r="357" s="39" customFormat="1" ht="22" hidden="1" customHeight="1" spans="1:23">
      <c r="A357" s="144" t="s">
        <v>1325</v>
      </c>
      <c r="B357" s="174" t="s">
        <v>30</v>
      </c>
      <c r="C357" s="175"/>
      <c r="D357" s="45" t="s">
        <v>31</v>
      </c>
      <c r="E357" s="82" t="s">
        <v>1326</v>
      </c>
      <c r="F357" s="81">
        <f>IFERROR(VLOOKUP(E357,客户!B:C,2,FALSE),"/")</f>
        <v>0</v>
      </c>
      <c r="G357" s="80" t="s">
        <v>390</v>
      </c>
      <c r="H357" s="45" t="s">
        <v>123</v>
      </c>
      <c r="I357" s="45" t="s">
        <v>1327</v>
      </c>
      <c r="J357" s="108">
        <v>44148</v>
      </c>
      <c r="K357" s="159">
        <v>44195</v>
      </c>
      <c r="L357" s="100">
        <v>44226</v>
      </c>
      <c r="M357" s="198" t="s">
        <v>1328</v>
      </c>
      <c r="N357" s="198" t="s">
        <v>1329</v>
      </c>
      <c r="O357" s="104" t="s">
        <v>523</v>
      </c>
      <c r="P357" s="102">
        <v>22280.9</v>
      </c>
      <c r="Q357" s="102">
        <v>6413.48</v>
      </c>
      <c r="R357" s="241"/>
      <c r="S357" s="242"/>
      <c r="T357" s="102">
        <v>15867.42</v>
      </c>
      <c r="U357" s="100"/>
      <c r="V357" s="130"/>
      <c r="W357" s="170"/>
    </row>
    <row r="358" s="39" customFormat="1" ht="22" hidden="1" customHeight="1" spans="1:23">
      <c r="A358" s="144" t="s">
        <v>1330</v>
      </c>
      <c r="B358" s="174" t="s">
        <v>30</v>
      </c>
      <c r="C358" s="175"/>
      <c r="D358" s="45" t="s">
        <v>31</v>
      </c>
      <c r="E358" s="82" t="s">
        <v>1326</v>
      </c>
      <c r="F358" s="81">
        <f>IFERROR(VLOOKUP(E358,客户!B:C,2,FALSE),"/")</f>
        <v>0</v>
      </c>
      <c r="G358" s="80" t="s">
        <v>390</v>
      </c>
      <c r="H358" s="45" t="s">
        <v>123</v>
      </c>
      <c r="I358" s="45" t="s">
        <v>909</v>
      </c>
      <c r="J358" s="108">
        <v>44148</v>
      </c>
      <c r="K358" s="159">
        <v>44215</v>
      </c>
      <c r="L358" s="100">
        <v>44248</v>
      </c>
      <c r="M358" s="165" t="s">
        <v>1331</v>
      </c>
      <c r="N358" s="198" t="s">
        <v>1332</v>
      </c>
      <c r="O358" s="104" t="s">
        <v>523</v>
      </c>
      <c r="P358" s="169">
        <v>23178</v>
      </c>
      <c r="Q358" s="102">
        <v>6953.4</v>
      </c>
      <c r="R358" s="241"/>
      <c r="S358" s="242"/>
      <c r="T358" s="102">
        <v>16224.6</v>
      </c>
      <c r="U358" s="100"/>
      <c r="V358" s="130"/>
      <c r="W358" s="170"/>
    </row>
    <row r="359" s="39" customFormat="1" ht="22" hidden="1" customHeight="1" spans="1:23">
      <c r="A359" s="145" t="s">
        <v>1333</v>
      </c>
      <c r="B359" s="174" t="s">
        <v>30</v>
      </c>
      <c r="C359" s="175"/>
      <c r="D359" s="45" t="s">
        <v>31</v>
      </c>
      <c r="E359" s="82" t="s">
        <v>1190</v>
      </c>
      <c r="F359" s="81">
        <f>IFERROR(VLOOKUP(E359,客户!B:C,2,FALSE),"/")</f>
        <v>0</v>
      </c>
      <c r="G359" s="80" t="s">
        <v>1334</v>
      </c>
      <c r="H359" s="45" t="s">
        <v>123</v>
      </c>
      <c r="I359" s="45" t="s">
        <v>1335</v>
      </c>
      <c r="J359" s="108">
        <v>44151</v>
      </c>
      <c r="K359" s="159">
        <v>44237</v>
      </c>
      <c r="L359" s="100">
        <v>44279</v>
      </c>
      <c r="M359" s="165" t="s">
        <v>1336</v>
      </c>
      <c r="N359" s="198" t="s">
        <v>1337</v>
      </c>
      <c r="O359" s="104" t="s">
        <v>523</v>
      </c>
      <c r="P359" s="102">
        <v>85438.16</v>
      </c>
      <c r="Q359" s="102"/>
      <c r="R359" s="241"/>
      <c r="S359" s="242"/>
      <c r="T359" s="102">
        <v>85438.16</v>
      </c>
      <c r="U359" s="100"/>
      <c r="V359" s="130"/>
      <c r="W359" s="170"/>
    </row>
    <row r="360" s="39" customFormat="1" ht="22" hidden="1" customHeight="1" spans="1:23">
      <c r="A360" s="144" t="s">
        <v>1338</v>
      </c>
      <c r="B360" s="174" t="s">
        <v>30</v>
      </c>
      <c r="C360" s="175"/>
      <c r="D360" s="45" t="s">
        <v>31</v>
      </c>
      <c r="E360" s="82" t="s">
        <v>1339</v>
      </c>
      <c r="F360" s="81">
        <f>IFERROR(VLOOKUP(E360,客户!B:C,2,FALSE),"/")</f>
        <v>0</v>
      </c>
      <c r="G360" s="80" t="s">
        <v>1340</v>
      </c>
      <c r="H360" s="45" t="s">
        <v>123</v>
      </c>
      <c r="I360" s="45" t="s">
        <v>1341</v>
      </c>
      <c r="J360" s="108">
        <v>44167</v>
      </c>
      <c r="K360" s="159">
        <v>44202</v>
      </c>
      <c r="L360" s="100"/>
      <c r="M360" s="165" t="s">
        <v>1342</v>
      </c>
      <c r="N360" s="198" t="s">
        <v>1343</v>
      </c>
      <c r="O360" s="104" t="s">
        <v>970</v>
      </c>
      <c r="P360" s="102">
        <v>2400</v>
      </c>
      <c r="Q360" s="102"/>
      <c r="R360" s="241"/>
      <c r="S360" s="242"/>
      <c r="T360" s="102">
        <v>2400</v>
      </c>
      <c r="U360" s="100"/>
      <c r="V360" s="130"/>
      <c r="W360" s="170"/>
    </row>
    <row r="361" s="39" customFormat="1" ht="22" hidden="1" customHeight="1" spans="1:23">
      <c r="A361" s="144" t="s">
        <v>1344</v>
      </c>
      <c r="B361" s="174" t="s">
        <v>30</v>
      </c>
      <c r="C361" s="175"/>
      <c r="D361" s="45" t="s">
        <v>31</v>
      </c>
      <c r="E361" s="82" t="s">
        <v>1345</v>
      </c>
      <c r="F361" s="81" t="str">
        <f>IFERROR(VLOOKUP(E361,客户!B:C,2,FALSE),"/")</f>
        <v>J4159还差USD265.65没付齐 J4220还有定金5674.3 账上剩5408.65</v>
      </c>
      <c r="G361" s="80" t="s">
        <v>1198</v>
      </c>
      <c r="H361" s="45" t="s">
        <v>123</v>
      </c>
      <c r="I361" s="45" t="s">
        <v>1346</v>
      </c>
      <c r="J361" s="108">
        <v>44167</v>
      </c>
      <c r="K361" s="159">
        <v>44211</v>
      </c>
      <c r="L361" s="100">
        <v>44244</v>
      </c>
      <c r="M361" s="165" t="s">
        <v>1347</v>
      </c>
      <c r="N361" s="198" t="s">
        <v>1348</v>
      </c>
      <c r="O361" s="104" t="s">
        <v>523</v>
      </c>
      <c r="P361" s="102">
        <v>24039.71</v>
      </c>
      <c r="Q361" s="102">
        <v>7047.14</v>
      </c>
      <c r="R361" s="241"/>
      <c r="S361" s="242"/>
      <c r="T361" s="102">
        <v>16992.57</v>
      </c>
      <c r="U361" s="100"/>
      <c r="V361" s="130"/>
      <c r="W361" s="170"/>
    </row>
    <row r="362" s="39" customFormat="1" ht="22" hidden="1" customHeight="1" spans="1:23">
      <c r="A362" s="144" t="s">
        <v>1349</v>
      </c>
      <c r="B362" s="174" t="s">
        <v>30</v>
      </c>
      <c r="C362" s="175"/>
      <c r="D362" s="45" t="s">
        <v>31</v>
      </c>
      <c r="E362" s="82" t="s">
        <v>1238</v>
      </c>
      <c r="F362" s="81">
        <f>IFERROR(VLOOKUP(E362,客户!B:C,2,FALSE),"/")</f>
        <v>0</v>
      </c>
      <c r="G362" s="80" t="s">
        <v>1350</v>
      </c>
      <c r="H362" s="45" t="s">
        <v>123</v>
      </c>
      <c r="I362" s="45" t="s">
        <v>1351</v>
      </c>
      <c r="J362" s="108">
        <v>44169</v>
      </c>
      <c r="K362" s="159">
        <v>44228</v>
      </c>
      <c r="L362" s="100">
        <v>44275</v>
      </c>
      <c r="M362" s="165" t="s">
        <v>1352</v>
      </c>
      <c r="N362" s="198" t="s">
        <v>1353</v>
      </c>
      <c r="O362" s="104" t="s">
        <v>523</v>
      </c>
      <c r="P362" s="102">
        <v>25027.16</v>
      </c>
      <c r="Q362" s="102"/>
      <c r="R362" s="241"/>
      <c r="S362" s="242"/>
      <c r="T362" s="102">
        <v>16557.5</v>
      </c>
      <c r="U362" s="102">
        <v>8469.66</v>
      </c>
      <c r="V362" s="130"/>
      <c r="W362" s="170"/>
    </row>
    <row r="363" s="39" customFormat="1" ht="22" hidden="1" customHeight="1" spans="1:23">
      <c r="A363" s="144" t="s">
        <v>1354</v>
      </c>
      <c r="B363" s="174" t="s">
        <v>30</v>
      </c>
      <c r="C363" s="175"/>
      <c r="D363" s="45" t="s">
        <v>31</v>
      </c>
      <c r="E363" s="82" t="s">
        <v>1121</v>
      </c>
      <c r="F363" s="81">
        <f>IFERROR(VLOOKUP(E363,客户!B:C,2,FALSE),"/")</f>
        <v>0</v>
      </c>
      <c r="G363" s="80" t="s">
        <v>1355</v>
      </c>
      <c r="H363" s="45" t="s">
        <v>123</v>
      </c>
      <c r="I363" s="45" t="s">
        <v>215</v>
      </c>
      <c r="J363" s="108">
        <v>44179</v>
      </c>
      <c r="K363" s="159">
        <v>44235</v>
      </c>
      <c r="L363" s="100">
        <v>44259</v>
      </c>
      <c r="M363" s="165" t="s">
        <v>1356</v>
      </c>
      <c r="N363" s="198" t="s">
        <v>1357</v>
      </c>
      <c r="O363" s="104" t="s">
        <v>523</v>
      </c>
      <c r="P363" s="102">
        <v>77665.36</v>
      </c>
      <c r="Q363" s="102">
        <v>15000</v>
      </c>
      <c r="R363" s="241"/>
      <c r="S363" s="242"/>
      <c r="T363" s="102">
        <v>62666</v>
      </c>
      <c r="U363" s="100"/>
      <c r="V363" s="130"/>
      <c r="W363" s="170"/>
    </row>
    <row r="364" s="39" customFormat="1" ht="22" hidden="1" customHeight="1" spans="1:23">
      <c r="A364" s="144" t="s">
        <v>1358</v>
      </c>
      <c r="B364" s="174" t="s">
        <v>30</v>
      </c>
      <c r="C364" s="175"/>
      <c r="D364" s="45" t="s">
        <v>31</v>
      </c>
      <c r="E364" s="82" t="s">
        <v>1190</v>
      </c>
      <c r="F364" s="81">
        <f>IFERROR(VLOOKUP(E364,客户!B:C,2,FALSE),"/")</f>
        <v>0</v>
      </c>
      <c r="G364" s="80" t="s">
        <v>1359</v>
      </c>
      <c r="H364" s="45" t="s">
        <v>123</v>
      </c>
      <c r="I364" s="45" t="s">
        <v>542</v>
      </c>
      <c r="J364" s="108">
        <v>44183</v>
      </c>
      <c r="K364" s="159">
        <v>44324</v>
      </c>
      <c r="L364" s="100">
        <v>44351</v>
      </c>
      <c r="M364" s="165" t="s">
        <v>1360</v>
      </c>
      <c r="N364" s="198" t="s">
        <v>1292</v>
      </c>
      <c r="O364" s="104" t="s">
        <v>680</v>
      </c>
      <c r="P364" s="102">
        <v>46751.37</v>
      </c>
      <c r="Q364" s="102"/>
      <c r="R364" s="241"/>
      <c r="S364" s="242"/>
      <c r="T364" s="102">
        <v>46751.37</v>
      </c>
      <c r="U364" s="100"/>
      <c r="V364" s="130"/>
      <c r="W364" s="170"/>
    </row>
    <row r="365" s="39" customFormat="1" ht="22" hidden="1" customHeight="1" spans="1:23">
      <c r="A365" s="144" t="s">
        <v>1361</v>
      </c>
      <c r="B365" s="174" t="s">
        <v>30</v>
      </c>
      <c r="C365" s="175"/>
      <c r="D365" s="45" t="s">
        <v>31</v>
      </c>
      <c r="E365" s="82" t="s">
        <v>1190</v>
      </c>
      <c r="F365" s="81">
        <f>IFERROR(VLOOKUP(E365,客户!B:C,2,FALSE),"/")</f>
        <v>0</v>
      </c>
      <c r="G365" s="80" t="s">
        <v>1362</v>
      </c>
      <c r="H365" s="45" t="s">
        <v>123</v>
      </c>
      <c r="I365" s="45" t="s">
        <v>542</v>
      </c>
      <c r="J365" s="108">
        <v>44183</v>
      </c>
      <c r="K365" s="159">
        <v>44344</v>
      </c>
      <c r="L365" s="100">
        <v>44379</v>
      </c>
      <c r="M365" s="165" t="s">
        <v>1363</v>
      </c>
      <c r="N365" s="198"/>
      <c r="O365" s="104" t="s">
        <v>680</v>
      </c>
      <c r="P365" s="102">
        <v>23251.63</v>
      </c>
      <c r="Q365" s="102"/>
      <c r="R365" s="241"/>
      <c r="S365" s="242"/>
      <c r="T365" s="102">
        <v>23251.63</v>
      </c>
      <c r="U365" s="100"/>
      <c r="V365" s="130"/>
      <c r="W365" s="170"/>
    </row>
    <row r="366" s="39" customFormat="1" ht="22" hidden="1" customHeight="1" spans="1:23">
      <c r="A366" s="144" t="s">
        <v>1364</v>
      </c>
      <c r="B366" s="174" t="s">
        <v>30</v>
      </c>
      <c r="C366" s="175"/>
      <c r="D366" s="45" t="s">
        <v>31</v>
      </c>
      <c r="E366" s="82" t="s">
        <v>1265</v>
      </c>
      <c r="F366" s="81" t="str">
        <f>IFERROR(VLOOKUP(E366,客户!B:C,2,FALSE),"/")</f>
        <v>外送费用945人民币+装箱费用 加在发票里</v>
      </c>
      <c r="G366" s="80" t="s">
        <v>1365</v>
      </c>
      <c r="H366" s="45" t="s">
        <v>147</v>
      </c>
      <c r="I366" s="45" t="s">
        <v>997</v>
      </c>
      <c r="J366" s="108">
        <v>44196</v>
      </c>
      <c r="K366" s="159">
        <v>44300</v>
      </c>
      <c r="L366" s="100">
        <v>44350</v>
      </c>
      <c r="M366" s="165" t="s">
        <v>1366</v>
      </c>
      <c r="N366" s="198" t="s">
        <v>1367</v>
      </c>
      <c r="O366" s="104" t="s">
        <v>680</v>
      </c>
      <c r="P366" s="102">
        <v>101525</v>
      </c>
      <c r="Q366" s="102"/>
      <c r="R366" s="241"/>
      <c r="S366" s="242"/>
      <c r="T366" s="102">
        <v>101525</v>
      </c>
      <c r="U366" s="100"/>
      <c r="V366" s="130"/>
      <c r="W366" s="170"/>
    </row>
    <row r="367" s="39" customFormat="1" ht="22" hidden="1" customHeight="1" spans="1:23">
      <c r="A367" s="144" t="s">
        <v>1368</v>
      </c>
      <c r="B367" s="174" t="s">
        <v>30</v>
      </c>
      <c r="C367" s="175"/>
      <c r="D367" s="45" t="s">
        <v>31</v>
      </c>
      <c r="E367" s="82" t="s">
        <v>1167</v>
      </c>
      <c r="F367" s="81">
        <f>IFERROR(VLOOKUP(E367,客户!B:C,2,FALSE),"/")</f>
        <v>0</v>
      </c>
      <c r="G367" s="80" t="s">
        <v>1369</v>
      </c>
      <c r="H367" s="45" t="s">
        <v>123</v>
      </c>
      <c r="I367" s="45" t="s">
        <v>1370</v>
      </c>
      <c r="J367" s="108">
        <v>44201</v>
      </c>
      <c r="K367" s="159">
        <v>44247</v>
      </c>
      <c r="L367" s="100">
        <v>44277</v>
      </c>
      <c r="M367" s="165" t="s">
        <v>1371</v>
      </c>
      <c r="N367" s="198" t="s">
        <v>1372</v>
      </c>
      <c r="O367" s="104" t="s">
        <v>523</v>
      </c>
      <c r="P367" s="102">
        <v>37191.49</v>
      </c>
      <c r="Q367" s="102">
        <v>11200</v>
      </c>
      <c r="R367" s="241"/>
      <c r="S367" s="242"/>
      <c r="T367" s="102">
        <f>7623+18368.49</f>
        <v>25991.49</v>
      </c>
      <c r="U367" s="100"/>
      <c r="V367" s="130"/>
      <c r="W367" s="170"/>
    </row>
    <row r="368" s="39" customFormat="1" ht="22" hidden="1" customHeight="1" spans="1:23">
      <c r="A368" s="144" t="s">
        <v>1373</v>
      </c>
      <c r="B368" s="174" t="s">
        <v>30</v>
      </c>
      <c r="C368" s="175"/>
      <c r="D368" s="45" t="s">
        <v>31</v>
      </c>
      <c r="E368" s="82" t="s">
        <v>1117</v>
      </c>
      <c r="F368" s="81">
        <f>IFERROR(VLOOKUP(E368,客户!B:C,2,FALSE),"/")</f>
        <v>0</v>
      </c>
      <c r="G368" s="80" t="s">
        <v>1374</v>
      </c>
      <c r="H368" s="229" t="s">
        <v>970</v>
      </c>
      <c r="I368" s="45"/>
      <c r="J368" s="108">
        <v>44201</v>
      </c>
      <c r="K368" s="159">
        <v>44216</v>
      </c>
      <c r="L368" s="100"/>
      <c r="M368" s="165" t="s">
        <v>1375</v>
      </c>
      <c r="N368" s="198"/>
      <c r="O368" s="104" t="s">
        <v>970</v>
      </c>
      <c r="P368" s="240">
        <v>60740</v>
      </c>
      <c r="Q368" s="240">
        <v>20000</v>
      </c>
      <c r="R368" s="241"/>
      <c r="S368" s="242"/>
      <c r="T368" s="240">
        <v>40740</v>
      </c>
      <c r="U368" s="100"/>
      <c r="V368" s="130"/>
      <c r="W368" s="170"/>
    </row>
    <row r="369" s="39" customFormat="1" ht="22" hidden="1" customHeight="1" spans="1:23">
      <c r="A369" s="144" t="s">
        <v>1376</v>
      </c>
      <c r="B369" s="174" t="s">
        <v>30</v>
      </c>
      <c r="C369" s="175"/>
      <c r="D369" s="45" t="s">
        <v>31</v>
      </c>
      <c r="E369" s="82" t="s">
        <v>1377</v>
      </c>
      <c r="F369" s="81"/>
      <c r="G369" s="80" t="s">
        <v>1378</v>
      </c>
      <c r="H369" s="45" t="s">
        <v>123</v>
      </c>
      <c r="I369" s="45" t="s">
        <v>1095</v>
      </c>
      <c r="J369" s="108">
        <v>44203</v>
      </c>
      <c r="K369" s="159">
        <v>44324</v>
      </c>
      <c r="L369" s="100">
        <v>44363</v>
      </c>
      <c r="M369" s="165" t="s">
        <v>1379</v>
      </c>
      <c r="N369" s="198" t="s">
        <v>1380</v>
      </c>
      <c r="O369" s="104" t="s">
        <v>523</v>
      </c>
      <c r="P369" s="102">
        <v>25048.15</v>
      </c>
      <c r="Q369" s="102">
        <v>4000</v>
      </c>
      <c r="R369" s="241"/>
      <c r="S369" s="242"/>
      <c r="T369" s="102">
        <v>21048.15</v>
      </c>
      <c r="U369" s="100"/>
      <c r="V369" s="130"/>
      <c r="W369" s="170"/>
    </row>
    <row r="370" s="39" customFormat="1" ht="22" hidden="1" customHeight="1" spans="1:23">
      <c r="A370" s="144" t="s">
        <v>1381</v>
      </c>
      <c r="B370" s="174" t="s">
        <v>30</v>
      </c>
      <c r="C370" s="175"/>
      <c r="D370" s="45" t="s">
        <v>31</v>
      </c>
      <c r="E370" s="82" t="s">
        <v>1113</v>
      </c>
      <c r="F370" s="81" t="str">
        <f>IFERROR(VLOOKUP(E370,客户!B:C,2,FALSE),"/")</f>
        <v>收货人可能变 每次和客户确认下收货人 必须受到客户明确回复</v>
      </c>
      <c r="G370" s="80" t="s">
        <v>1382</v>
      </c>
      <c r="H370" s="45" t="s">
        <v>123</v>
      </c>
      <c r="I370" s="45" t="s">
        <v>980</v>
      </c>
      <c r="J370" s="108">
        <v>44208</v>
      </c>
      <c r="K370" s="159">
        <v>44343</v>
      </c>
      <c r="L370" s="100">
        <v>44394</v>
      </c>
      <c r="M370" s="165" t="s">
        <v>1383</v>
      </c>
      <c r="N370" s="108" t="s">
        <v>1384</v>
      </c>
      <c r="O370" s="104" t="s">
        <v>523</v>
      </c>
      <c r="P370" s="102">
        <v>56661.25</v>
      </c>
      <c r="Q370" s="102">
        <v>10000</v>
      </c>
      <c r="R370" s="241"/>
      <c r="S370" s="242"/>
      <c r="T370" s="102">
        <v>18000</v>
      </c>
      <c r="U370" s="102">
        <f>185438/6.47</f>
        <v>28661.2055641422</v>
      </c>
      <c r="V370" s="130"/>
      <c r="W370" s="170"/>
    </row>
    <row r="371" s="39" customFormat="1" ht="22" hidden="1" customHeight="1" spans="1:23">
      <c r="A371" s="144" t="s">
        <v>1385</v>
      </c>
      <c r="B371" s="174" t="s">
        <v>30</v>
      </c>
      <c r="C371" s="175"/>
      <c r="D371" s="45" t="s">
        <v>31</v>
      </c>
      <c r="E371" s="82" t="s">
        <v>1257</v>
      </c>
      <c r="F371" s="81">
        <f>IFERROR(VLOOKUP(E371,客户!B:C,2,FALSE),"/")</f>
        <v>0</v>
      </c>
      <c r="G371" s="80" t="s">
        <v>1202</v>
      </c>
      <c r="H371" s="45" t="s">
        <v>123</v>
      </c>
      <c r="I371" s="45" t="s">
        <v>1149</v>
      </c>
      <c r="J371" s="108">
        <v>44218</v>
      </c>
      <c r="K371" s="159">
        <v>44290</v>
      </c>
      <c r="L371" s="100">
        <v>44311</v>
      </c>
      <c r="M371" s="165" t="s">
        <v>1386</v>
      </c>
      <c r="N371" s="198" t="s">
        <v>1387</v>
      </c>
      <c r="O371" s="104" t="s">
        <v>523</v>
      </c>
      <c r="P371" s="102">
        <v>27186.72</v>
      </c>
      <c r="Q371" s="102">
        <v>5025.17</v>
      </c>
      <c r="R371" s="241"/>
      <c r="S371" s="242"/>
      <c r="T371" s="102">
        <v>22161.55</v>
      </c>
      <c r="U371" s="100"/>
      <c r="V371" s="130"/>
      <c r="W371" s="170"/>
    </row>
    <row r="372" s="39" customFormat="1" ht="22" hidden="1" customHeight="1" spans="1:23">
      <c r="A372" s="144" t="s">
        <v>1388</v>
      </c>
      <c r="B372" s="174" t="s">
        <v>30</v>
      </c>
      <c r="C372" s="175"/>
      <c r="D372" s="45" t="s">
        <v>31</v>
      </c>
      <c r="E372" s="82" t="s">
        <v>1389</v>
      </c>
      <c r="F372" s="81">
        <f>IFERROR(VLOOKUP(E372,客户!B:C,2,FALSE),"/")</f>
        <v>0</v>
      </c>
      <c r="G372" s="80" t="s">
        <v>1390</v>
      </c>
      <c r="H372" s="45" t="s">
        <v>127</v>
      </c>
      <c r="I372" s="45" t="s">
        <v>1391</v>
      </c>
      <c r="J372" s="108">
        <v>44226</v>
      </c>
      <c r="K372" s="159">
        <v>44315</v>
      </c>
      <c r="L372" s="100">
        <v>44327</v>
      </c>
      <c r="M372" s="165" t="s">
        <v>1392</v>
      </c>
      <c r="N372" s="198" t="s">
        <v>1393</v>
      </c>
      <c r="O372" s="104" t="s">
        <v>523</v>
      </c>
      <c r="P372" s="102">
        <v>18261.02</v>
      </c>
      <c r="Q372" s="102">
        <v>5476</v>
      </c>
      <c r="R372" s="241"/>
      <c r="S372" s="242"/>
      <c r="T372" s="102">
        <v>9814.15</v>
      </c>
      <c r="U372" s="102">
        <v>2963.18</v>
      </c>
      <c r="V372" s="130"/>
      <c r="W372" s="170"/>
    </row>
    <row r="373" s="39" customFormat="1" ht="22" hidden="1" customHeight="1" spans="1:23">
      <c r="A373" s="144" t="s">
        <v>1394</v>
      </c>
      <c r="B373" s="174" t="s">
        <v>30</v>
      </c>
      <c r="C373" s="175"/>
      <c r="D373" s="229" t="s">
        <v>31</v>
      </c>
      <c r="E373" s="82" t="s">
        <v>1265</v>
      </c>
      <c r="F373" s="81" t="str">
        <f>IFERROR(VLOOKUP(E373,客户!B:C,2,FALSE),"/")</f>
        <v>外送费用945人民币+装箱费用 加在发票里</v>
      </c>
      <c r="G373" s="80" t="s">
        <v>1395</v>
      </c>
      <c r="H373" s="45" t="s">
        <v>147</v>
      </c>
      <c r="I373" s="45" t="s">
        <v>997</v>
      </c>
      <c r="J373" s="108">
        <v>44231</v>
      </c>
      <c r="K373" s="159">
        <v>44336</v>
      </c>
      <c r="L373" s="100">
        <v>44370</v>
      </c>
      <c r="M373" s="165" t="s">
        <v>1396</v>
      </c>
      <c r="N373" s="198" t="s">
        <v>1397</v>
      </c>
      <c r="O373" s="104" t="s">
        <v>680</v>
      </c>
      <c r="P373" s="102">
        <v>104894.17</v>
      </c>
      <c r="Q373" s="102"/>
      <c r="R373" s="241"/>
      <c r="S373" s="242"/>
      <c r="T373" s="102">
        <v>104894.17</v>
      </c>
      <c r="U373" s="100"/>
      <c r="V373" s="130"/>
      <c r="W373" s="170"/>
    </row>
    <row r="374" s="39" customFormat="1" ht="22" hidden="1" customHeight="1" spans="1:23">
      <c r="A374" s="144" t="s">
        <v>1398</v>
      </c>
      <c r="B374" s="174" t="s">
        <v>30</v>
      </c>
      <c r="C374" s="175"/>
      <c r="D374" s="229" t="s">
        <v>31</v>
      </c>
      <c r="E374" s="82" t="s">
        <v>1265</v>
      </c>
      <c r="F374" s="81" t="str">
        <f>IFERROR(VLOOKUP(E374,客户!B:C,2,FALSE),"/")</f>
        <v>外送费用945人民币+装箱费用 加在发票里</v>
      </c>
      <c r="G374" s="80" t="s">
        <v>1399</v>
      </c>
      <c r="H374" s="45" t="s">
        <v>147</v>
      </c>
      <c r="I374" s="45" t="s">
        <v>997</v>
      </c>
      <c r="J374" s="108">
        <v>44231</v>
      </c>
      <c r="K374" s="159">
        <v>44487</v>
      </c>
      <c r="L374" s="100">
        <v>44521</v>
      </c>
      <c r="M374" s="165" t="s">
        <v>1400</v>
      </c>
      <c r="N374" s="108"/>
      <c r="O374" s="104" t="s">
        <v>680</v>
      </c>
      <c r="P374" s="139"/>
      <c r="Q374" s="102"/>
      <c r="R374" s="241"/>
      <c r="S374" s="242"/>
      <c r="T374" s="240"/>
      <c r="U374" s="100"/>
      <c r="V374" s="130"/>
      <c r="W374" s="170"/>
    </row>
    <row r="375" s="39" customFormat="1" ht="22" hidden="1" customHeight="1" spans="1:23">
      <c r="A375" s="144" t="s">
        <v>1401</v>
      </c>
      <c r="B375" s="174" t="s">
        <v>30</v>
      </c>
      <c r="C375" s="175"/>
      <c r="D375" s="229" t="s">
        <v>31</v>
      </c>
      <c r="E375" s="82" t="s">
        <v>1265</v>
      </c>
      <c r="F375" s="81" t="str">
        <f>IFERROR(VLOOKUP(E375,客户!B:C,2,FALSE),"/")</f>
        <v>外送费用945人民币+装箱费用 加在发票里</v>
      </c>
      <c r="G375" s="80" t="s">
        <v>1399</v>
      </c>
      <c r="H375" s="45" t="s">
        <v>147</v>
      </c>
      <c r="I375" s="45" t="s">
        <v>997</v>
      </c>
      <c r="J375" s="108">
        <v>44231</v>
      </c>
      <c r="K375" s="159">
        <v>44358</v>
      </c>
      <c r="L375" s="100">
        <v>44403</v>
      </c>
      <c r="M375" s="165" t="s">
        <v>1402</v>
      </c>
      <c r="N375" s="198" t="s">
        <v>1403</v>
      </c>
      <c r="O375" s="104" t="s">
        <v>680</v>
      </c>
      <c r="P375" s="102">
        <v>54178.1</v>
      </c>
      <c r="Q375" s="102">
        <f>9574*2</f>
        <v>19148</v>
      </c>
      <c r="R375" s="241"/>
      <c r="S375" s="242"/>
      <c r="T375" s="102">
        <v>35030.1</v>
      </c>
      <c r="U375" s="100"/>
      <c r="V375" s="130"/>
      <c r="W375" s="170"/>
    </row>
    <row r="376" s="39" customFormat="1" ht="22" hidden="1" customHeight="1" spans="1:23">
      <c r="A376" s="144" t="s">
        <v>1404</v>
      </c>
      <c r="B376" s="174" t="s">
        <v>30</v>
      </c>
      <c r="C376" s="175"/>
      <c r="D376" s="229" t="s">
        <v>31</v>
      </c>
      <c r="E376" s="82" t="s">
        <v>1265</v>
      </c>
      <c r="F376" s="81" t="str">
        <f>IFERROR(VLOOKUP(E376,客户!B:C,2,FALSE),"/")</f>
        <v>外送费用945人民币+装箱费用 加在发票里</v>
      </c>
      <c r="G376" s="80" t="s">
        <v>1399</v>
      </c>
      <c r="H376" s="45" t="s">
        <v>147</v>
      </c>
      <c r="I376" s="45" t="s">
        <v>542</v>
      </c>
      <c r="J376" s="108">
        <v>44231</v>
      </c>
      <c r="K376" s="159">
        <v>44347</v>
      </c>
      <c r="L376" s="100">
        <v>44387</v>
      </c>
      <c r="M376" s="165" t="s">
        <v>1405</v>
      </c>
      <c r="N376" s="198" t="s">
        <v>1406</v>
      </c>
      <c r="O376" s="104" t="s">
        <v>680</v>
      </c>
      <c r="P376" s="102">
        <v>53757.46</v>
      </c>
      <c r="Q376" s="102"/>
      <c r="R376" s="241"/>
      <c r="S376" s="242"/>
      <c r="T376" s="102">
        <v>53757.46</v>
      </c>
      <c r="U376" s="100"/>
      <c r="V376" s="130"/>
      <c r="W376" s="170"/>
    </row>
    <row r="377" s="39" customFormat="1" ht="22" hidden="1" customHeight="1" spans="1:23">
      <c r="A377" s="144" t="s">
        <v>1407</v>
      </c>
      <c r="B377" s="174" t="s">
        <v>30</v>
      </c>
      <c r="C377" s="175"/>
      <c r="D377" s="45" t="s">
        <v>31</v>
      </c>
      <c r="E377" s="82" t="s">
        <v>1326</v>
      </c>
      <c r="F377" s="81">
        <f>IFERROR(VLOOKUP(E377,客户!B:C,2,FALSE),"/")</f>
        <v>0</v>
      </c>
      <c r="G377" s="80" t="s">
        <v>985</v>
      </c>
      <c r="H377" s="45" t="s">
        <v>123</v>
      </c>
      <c r="I377" s="45" t="s">
        <v>909</v>
      </c>
      <c r="J377" s="108">
        <v>44232</v>
      </c>
      <c r="K377" s="159">
        <v>44299</v>
      </c>
      <c r="L377" s="100">
        <v>44367</v>
      </c>
      <c r="M377" s="165" t="s">
        <v>1408</v>
      </c>
      <c r="N377" s="198" t="s">
        <v>1409</v>
      </c>
      <c r="O377" s="104" t="s">
        <v>523</v>
      </c>
      <c r="P377" s="102">
        <v>23780</v>
      </c>
      <c r="Q377" s="102">
        <v>4756</v>
      </c>
      <c r="R377" s="241"/>
      <c r="S377" s="242"/>
      <c r="T377" s="102">
        <v>19024</v>
      </c>
      <c r="U377" s="100"/>
      <c r="V377" s="130"/>
      <c r="W377" s="170"/>
    </row>
    <row r="378" s="39" customFormat="1" ht="22" hidden="1" customHeight="1" spans="1:23">
      <c r="A378" s="144" t="s">
        <v>1410</v>
      </c>
      <c r="B378" s="174" t="s">
        <v>30</v>
      </c>
      <c r="C378" s="175"/>
      <c r="D378" s="45" t="s">
        <v>31</v>
      </c>
      <c r="E378" s="82" t="s">
        <v>1117</v>
      </c>
      <c r="F378" s="81">
        <f>IFERROR(VLOOKUP(E378,客户!B:C,2,FALSE),"/")</f>
        <v>0</v>
      </c>
      <c r="G378" s="80" t="s">
        <v>985</v>
      </c>
      <c r="H378" s="45" t="s">
        <v>123</v>
      </c>
      <c r="I378" s="45" t="s">
        <v>1411</v>
      </c>
      <c r="J378" s="108">
        <v>44236</v>
      </c>
      <c r="K378" s="159">
        <v>44325</v>
      </c>
      <c r="L378" s="100"/>
      <c r="M378" s="165" t="s">
        <v>1412</v>
      </c>
      <c r="N378" s="198" t="s">
        <v>1413</v>
      </c>
      <c r="O378" s="104" t="s">
        <v>970</v>
      </c>
      <c r="P378" s="102">
        <v>24385.81</v>
      </c>
      <c r="Q378" s="102"/>
      <c r="R378" s="241"/>
      <c r="S378" s="242"/>
      <c r="T378" s="102">
        <v>24385.81</v>
      </c>
      <c r="U378" s="100"/>
      <c r="V378" s="130"/>
      <c r="W378" s="170"/>
    </row>
    <row r="379" s="39" customFormat="1" ht="22" hidden="1" customHeight="1" spans="1:23">
      <c r="A379" s="144" t="s">
        <v>1414</v>
      </c>
      <c r="B379" s="174" t="s">
        <v>30</v>
      </c>
      <c r="C379" s="175"/>
      <c r="D379" s="45" t="s">
        <v>31</v>
      </c>
      <c r="E379" s="82" t="s">
        <v>1415</v>
      </c>
      <c r="F379" s="81">
        <f>IFERROR(VLOOKUP(E379,客户!B:C,2,FALSE),"/")</f>
        <v>0</v>
      </c>
      <c r="G379" s="80" t="s">
        <v>985</v>
      </c>
      <c r="H379" s="45" t="s">
        <v>123</v>
      </c>
      <c r="I379" s="45" t="s">
        <v>1203</v>
      </c>
      <c r="J379" s="108">
        <v>44257</v>
      </c>
      <c r="K379" s="116">
        <v>44299</v>
      </c>
      <c r="L379" s="100">
        <v>44335</v>
      </c>
      <c r="M379" s="165" t="s">
        <v>1416</v>
      </c>
      <c r="N379" s="198" t="s">
        <v>1417</v>
      </c>
      <c r="O379" s="104" t="s">
        <v>523</v>
      </c>
      <c r="P379" s="102">
        <v>28173.95</v>
      </c>
      <c r="Q379" s="102">
        <v>8000</v>
      </c>
      <c r="R379" s="241"/>
      <c r="S379" s="242"/>
      <c r="T379" s="102">
        <v>20173.95</v>
      </c>
      <c r="U379" s="100"/>
      <c r="V379" s="130"/>
      <c r="W379" s="170"/>
    </row>
    <row r="380" s="39" customFormat="1" ht="22" hidden="1" customHeight="1" spans="1:23">
      <c r="A380" s="144" t="s">
        <v>1418</v>
      </c>
      <c r="B380" s="174" t="s">
        <v>30</v>
      </c>
      <c r="C380" s="175"/>
      <c r="D380" s="45" t="s">
        <v>31</v>
      </c>
      <c r="E380" s="82" t="s">
        <v>1121</v>
      </c>
      <c r="F380" s="81">
        <f>IFERROR(VLOOKUP(E380,客户!B:C,2,FALSE),"/")</f>
        <v>0</v>
      </c>
      <c r="G380" s="80" t="s">
        <v>1419</v>
      </c>
      <c r="H380" s="45" t="s">
        <v>123</v>
      </c>
      <c r="I380" s="45" t="s">
        <v>215</v>
      </c>
      <c r="J380" s="108">
        <v>44257</v>
      </c>
      <c r="K380" s="159">
        <v>44295</v>
      </c>
      <c r="L380" s="100">
        <v>44312</v>
      </c>
      <c r="M380" s="165" t="s">
        <v>1420</v>
      </c>
      <c r="N380" s="198" t="s">
        <v>1421</v>
      </c>
      <c r="O380" s="104" t="s">
        <v>523</v>
      </c>
      <c r="P380" s="102">
        <v>48899.94</v>
      </c>
      <c r="Q380" s="102"/>
      <c r="R380" s="241"/>
      <c r="S380" s="242"/>
      <c r="T380" s="102">
        <v>48899.94</v>
      </c>
      <c r="U380" s="100"/>
      <c r="V380" s="130"/>
      <c r="W380" s="170"/>
    </row>
    <row r="381" s="39" customFormat="1" ht="22" hidden="1" customHeight="1" spans="1:23">
      <c r="A381" s="144" t="s">
        <v>1422</v>
      </c>
      <c r="B381" s="174" t="s">
        <v>30</v>
      </c>
      <c r="C381" s="175"/>
      <c r="D381" s="45" t="s">
        <v>31</v>
      </c>
      <c r="E381" s="82" t="s">
        <v>1121</v>
      </c>
      <c r="F381" s="81">
        <f>IFERROR(VLOOKUP(E381,客户!B:C,2,FALSE),"/")</f>
        <v>0</v>
      </c>
      <c r="G381" s="80" t="s">
        <v>1186</v>
      </c>
      <c r="H381" s="45" t="s">
        <v>123</v>
      </c>
      <c r="I381" s="45" t="s">
        <v>215</v>
      </c>
      <c r="J381" s="108">
        <v>44257</v>
      </c>
      <c r="K381" s="116">
        <v>44310</v>
      </c>
      <c r="L381" s="100">
        <v>44326</v>
      </c>
      <c r="M381" s="165" t="s">
        <v>1423</v>
      </c>
      <c r="N381" s="198" t="s">
        <v>1424</v>
      </c>
      <c r="O381" s="104" t="s">
        <v>523</v>
      </c>
      <c r="P381" s="102">
        <v>82954.3</v>
      </c>
      <c r="Q381" s="102">
        <v>15000</v>
      </c>
      <c r="R381" s="241"/>
      <c r="S381" s="242"/>
      <c r="T381" s="102">
        <v>67955</v>
      </c>
      <c r="U381" s="100"/>
      <c r="V381" s="130"/>
      <c r="W381" s="170"/>
    </row>
    <row r="382" s="39" customFormat="1" ht="22" hidden="1" customHeight="1" spans="1:23">
      <c r="A382" s="144" t="s">
        <v>1425</v>
      </c>
      <c r="B382" s="174" t="s">
        <v>30</v>
      </c>
      <c r="C382" s="175"/>
      <c r="D382" s="45" t="s">
        <v>31</v>
      </c>
      <c r="E382" s="82" t="s">
        <v>1167</v>
      </c>
      <c r="F382" s="81">
        <f>IFERROR(VLOOKUP(E382,客户!B:C,2,FALSE),"/")</f>
        <v>0</v>
      </c>
      <c r="G382" s="80" t="s">
        <v>1369</v>
      </c>
      <c r="H382" s="45" t="s">
        <v>123</v>
      </c>
      <c r="I382" s="45" t="s">
        <v>1370</v>
      </c>
      <c r="J382" s="108">
        <v>44258</v>
      </c>
      <c r="K382" s="116">
        <v>44288</v>
      </c>
      <c r="L382" s="100">
        <v>44308</v>
      </c>
      <c r="M382" s="165" t="s">
        <v>1426</v>
      </c>
      <c r="N382" s="198" t="s">
        <v>1427</v>
      </c>
      <c r="O382" s="104" t="s">
        <v>523</v>
      </c>
      <c r="P382" s="102">
        <v>34548.34</v>
      </c>
      <c r="Q382" s="102">
        <v>10208.98</v>
      </c>
      <c r="R382" s="241"/>
      <c r="S382" s="242"/>
      <c r="T382" s="102">
        <v>24339.36</v>
      </c>
      <c r="U382" s="100"/>
      <c r="V382" s="130"/>
      <c r="W382" s="170"/>
    </row>
    <row r="383" s="39" customFormat="1" ht="22" hidden="1" customHeight="1" spans="1:23">
      <c r="A383" s="144" t="s">
        <v>1428</v>
      </c>
      <c r="B383" s="174" t="s">
        <v>30</v>
      </c>
      <c r="C383" s="175"/>
      <c r="D383" s="45" t="s">
        <v>31</v>
      </c>
      <c r="E383" s="82" t="s">
        <v>1429</v>
      </c>
      <c r="F383" s="81">
        <f>IFERROR(VLOOKUP(E383,客户!B:C,2,FALSE),"/")</f>
        <v>0</v>
      </c>
      <c r="G383" s="80" t="s">
        <v>1430</v>
      </c>
      <c r="H383" s="45" t="s">
        <v>127</v>
      </c>
      <c r="I383" s="45" t="s">
        <v>1431</v>
      </c>
      <c r="J383" s="108">
        <v>44260</v>
      </c>
      <c r="K383" s="159">
        <v>44324</v>
      </c>
      <c r="L383" s="200">
        <v>44419</v>
      </c>
      <c r="M383" s="165" t="s">
        <v>1432</v>
      </c>
      <c r="N383" s="198" t="s">
        <v>1433</v>
      </c>
      <c r="O383" s="104" t="s">
        <v>680</v>
      </c>
      <c r="P383" s="102">
        <v>98963.74</v>
      </c>
      <c r="Q383" s="102"/>
      <c r="R383" s="241"/>
      <c r="S383" s="242"/>
      <c r="T383" s="102">
        <v>98963.74</v>
      </c>
      <c r="U383" s="100"/>
      <c r="V383" s="130"/>
      <c r="W383" s="170"/>
    </row>
    <row r="384" s="39" customFormat="1" ht="22" hidden="1" customHeight="1" spans="1:23">
      <c r="A384" s="144" t="s">
        <v>1434</v>
      </c>
      <c r="B384" s="174" t="s">
        <v>30</v>
      </c>
      <c r="C384" s="175"/>
      <c r="D384" s="45" t="s">
        <v>31</v>
      </c>
      <c r="E384" s="82" t="s">
        <v>1274</v>
      </c>
      <c r="F384" s="81">
        <f>IFERROR(VLOOKUP(E384,客户!B:C,2,FALSE),"/")</f>
        <v>0</v>
      </c>
      <c r="G384" s="80" t="s">
        <v>985</v>
      </c>
      <c r="H384" s="45" t="s">
        <v>123</v>
      </c>
      <c r="I384" s="45" t="s">
        <v>925</v>
      </c>
      <c r="J384" s="108">
        <v>44260</v>
      </c>
      <c r="K384" s="159">
        <v>44318</v>
      </c>
      <c r="L384" s="100">
        <v>44375</v>
      </c>
      <c r="M384" s="165" t="s">
        <v>1435</v>
      </c>
      <c r="N384" s="198" t="s">
        <v>1436</v>
      </c>
      <c r="O384" s="104" t="s">
        <v>523</v>
      </c>
      <c r="P384" s="102">
        <v>22183.65</v>
      </c>
      <c r="Q384" s="102">
        <v>6650</v>
      </c>
      <c r="R384" s="241"/>
      <c r="S384" s="242"/>
      <c r="T384" s="102">
        <v>15533.65</v>
      </c>
      <c r="U384" s="100"/>
      <c r="V384" s="130"/>
      <c r="W384" s="170"/>
    </row>
    <row r="385" s="39" customFormat="1" ht="22" hidden="1" customHeight="1" spans="1:23">
      <c r="A385" s="144" t="s">
        <v>1437</v>
      </c>
      <c r="B385" s="174" t="s">
        <v>30</v>
      </c>
      <c r="C385" s="175"/>
      <c r="D385" s="45" t="s">
        <v>31</v>
      </c>
      <c r="E385" s="82" t="s">
        <v>1238</v>
      </c>
      <c r="F385" s="81">
        <f>IFERROR(VLOOKUP(E385,客户!B:C,2,FALSE),"/")</f>
        <v>0</v>
      </c>
      <c r="G385" s="80" t="s">
        <v>985</v>
      </c>
      <c r="H385" s="45" t="s">
        <v>123</v>
      </c>
      <c r="I385" s="45" t="s">
        <v>760</v>
      </c>
      <c r="J385" s="108">
        <v>44261</v>
      </c>
      <c r="K385" s="116">
        <v>44289</v>
      </c>
      <c r="L385" s="100">
        <v>44322</v>
      </c>
      <c r="M385" s="165" t="s">
        <v>1438</v>
      </c>
      <c r="N385" s="198" t="s">
        <v>1439</v>
      </c>
      <c r="O385" s="104" t="s">
        <v>523</v>
      </c>
      <c r="P385" s="102">
        <v>27263.5</v>
      </c>
      <c r="Q385" s="102"/>
      <c r="R385" s="241"/>
      <c r="S385" s="242"/>
      <c r="T385" s="102">
        <v>14992.91</v>
      </c>
      <c r="U385" s="102">
        <v>12270.59</v>
      </c>
      <c r="V385" s="130"/>
      <c r="W385" s="170"/>
    </row>
    <row r="386" s="39" customFormat="1" ht="22" hidden="1" customHeight="1" spans="1:23">
      <c r="A386" s="144" t="s">
        <v>1440</v>
      </c>
      <c r="B386" s="174" t="s">
        <v>30</v>
      </c>
      <c r="C386" s="175"/>
      <c r="D386" s="229" t="s">
        <v>3</v>
      </c>
      <c r="E386" s="82" t="s">
        <v>1441</v>
      </c>
      <c r="F386" s="81">
        <f>IFERROR(VLOOKUP(E386,客户!B:C,2,FALSE),"/")</f>
        <v>0</v>
      </c>
      <c r="G386" s="80" t="s">
        <v>1442</v>
      </c>
      <c r="H386" s="45" t="s">
        <v>127</v>
      </c>
      <c r="I386" s="45" t="s">
        <v>1431</v>
      </c>
      <c r="J386" s="108">
        <v>44265</v>
      </c>
      <c r="K386" s="178"/>
      <c r="L386" s="100"/>
      <c r="M386" s="165" t="s">
        <v>1443</v>
      </c>
      <c r="N386" s="108"/>
      <c r="O386" s="104" t="s">
        <v>680</v>
      </c>
      <c r="P386" s="139">
        <v>129123.29</v>
      </c>
      <c r="Q386" s="102"/>
      <c r="R386" s="241"/>
      <c r="S386" s="242"/>
      <c r="T386" s="102"/>
      <c r="U386" s="100"/>
      <c r="V386" s="130"/>
      <c r="W386" s="170"/>
    </row>
    <row r="387" s="39" customFormat="1" ht="22" hidden="1" customHeight="1" spans="1:23">
      <c r="A387" s="190" t="s">
        <v>1444</v>
      </c>
      <c r="B387" s="174" t="s">
        <v>30</v>
      </c>
      <c r="C387" s="175"/>
      <c r="D387" s="229" t="s">
        <v>31</v>
      </c>
      <c r="E387" s="82" t="s">
        <v>1257</v>
      </c>
      <c r="F387" s="81">
        <f>IFERROR(VLOOKUP(E387,客户!B:C,2,FALSE),"/")</f>
        <v>0</v>
      </c>
      <c r="G387" s="80" t="s">
        <v>43</v>
      </c>
      <c r="H387" s="45" t="s">
        <v>123</v>
      </c>
      <c r="I387" s="45" t="s">
        <v>751</v>
      </c>
      <c r="J387" s="108">
        <v>44274</v>
      </c>
      <c r="K387" s="159">
        <v>44436</v>
      </c>
      <c r="L387" s="100">
        <v>44474</v>
      </c>
      <c r="M387" s="165" t="s">
        <v>1445</v>
      </c>
      <c r="N387" s="198" t="s">
        <v>1446</v>
      </c>
      <c r="O387" s="104" t="s">
        <v>523</v>
      </c>
      <c r="P387" s="102">
        <v>32318.43</v>
      </c>
      <c r="Q387" s="102">
        <v>5638.56</v>
      </c>
      <c r="R387" s="241"/>
      <c r="S387" s="242"/>
      <c r="T387" s="102">
        <v>26679.87</v>
      </c>
      <c r="U387" s="100"/>
      <c r="V387" s="130"/>
      <c r="W387" s="170"/>
    </row>
    <row r="388" s="39" customFormat="1" ht="22" hidden="1" customHeight="1" spans="1:23">
      <c r="A388" s="144" t="s">
        <v>1447</v>
      </c>
      <c r="B388" s="174" t="s">
        <v>30</v>
      </c>
      <c r="C388" s="175"/>
      <c r="D388" s="45" t="s">
        <v>31</v>
      </c>
      <c r="E388" s="82" t="s">
        <v>1345</v>
      </c>
      <c r="F388" s="81" t="str">
        <f>IFERROR(VLOOKUP(E388,客户!B:C,2,FALSE),"/")</f>
        <v>J4159还差USD265.65没付齐 J4220还有定金5674.3 账上剩5408.65</v>
      </c>
      <c r="G388" s="80" t="s">
        <v>1198</v>
      </c>
      <c r="H388" s="45" t="s">
        <v>123</v>
      </c>
      <c r="I388" s="45" t="s">
        <v>1346</v>
      </c>
      <c r="J388" s="108">
        <v>44274</v>
      </c>
      <c r="K388" s="159">
        <v>44302</v>
      </c>
      <c r="L388" s="100">
        <v>44338</v>
      </c>
      <c r="M388" s="165" t="s">
        <v>1448</v>
      </c>
      <c r="N388" s="198" t="s">
        <v>1449</v>
      </c>
      <c r="O388" s="104" t="s">
        <v>523</v>
      </c>
      <c r="P388" s="102">
        <v>26397.73</v>
      </c>
      <c r="Q388" s="102">
        <v>7832.82</v>
      </c>
      <c r="R388" s="241"/>
      <c r="S388" s="242"/>
      <c r="T388" s="102">
        <v>18564.91</v>
      </c>
      <c r="U388" s="100"/>
      <c r="V388" s="130"/>
      <c r="W388" s="170"/>
    </row>
    <row r="389" s="39" customFormat="1" ht="22" hidden="1" customHeight="1" spans="1:23">
      <c r="A389" s="144" t="s">
        <v>1450</v>
      </c>
      <c r="B389" s="174" t="s">
        <v>30</v>
      </c>
      <c r="C389" s="175"/>
      <c r="D389" s="229" t="s">
        <v>31</v>
      </c>
      <c r="E389" s="82" t="s">
        <v>1190</v>
      </c>
      <c r="F389" s="81">
        <f>IFERROR(VLOOKUP(E389,客户!B:C,2,FALSE),"/")</f>
        <v>0</v>
      </c>
      <c r="G389" s="80" t="s">
        <v>1279</v>
      </c>
      <c r="H389" s="45" t="s">
        <v>123</v>
      </c>
      <c r="I389" s="45" t="s">
        <v>1451</v>
      </c>
      <c r="J389" s="108">
        <v>44280</v>
      </c>
      <c r="K389" s="159">
        <v>44425</v>
      </c>
      <c r="L389" s="100">
        <v>44468</v>
      </c>
      <c r="M389" s="165" t="s">
        <v>1452</v>
      </c>
      <c r="N389" s="198" t="s">
        <v>1453</v>
      </c>
      <c r="O389" s="104" t="s">
        <v>680</v>
      </c>
      <c r="P389" s="102">
        <v>78693.24</v>
      </c>
      <c r="Q389" s="102"/>
      <c r="R389" s="241"/>
      <c r="S389" s="242"/>
      <c r="T389" s="102">
        <v>78693.24</v>
      </c>
      <c r="U389" s="100"/>
      <c r="V389" s="130"/>
      <c r="W389" s="170"/>
    </row>
    <row r="390" s="39" customFormat="1" ht="22" hidden="1" customHeight="1" spans="1:23">
      <c r="A390" s="144" t="s">
        <v>1454</v>
      </c>
      <c r="B390" s="174" t="s">
        <v>30</v>
      </c>
      <c r="C390" s="175"/>
      <c r="D390" s="229" t="s">
        <v>31</v>
      </c>
      <c r="E390" s="82" t="s">
        <v>1190</v>
      </c>
      <c r="F390" s="81">
        <f>IFERROR(VLOOKUP(E390,客户!B:C,2,FALSE),"/")</f>
        <v>0</v>
      </c>
      <c r="G390" s="80" t="s">
        <v>1455</v>
      </c>
      <c r="H390" s="45" t="s">
        <v>123</v>
      </c>
      <c r="I390" s="45" t="s">
        <v>997</v>
      </c>
      <c r="J390" s="108">
        <v>44280</v>
      </c>
      <c r="K390" s="159">
        <v>44383</v>
      </c>
      <c r="L390" s="100">
        <v>44421</v>
      </c>
      <c r="M390" s="165" t="s">
        <v>1456</v>
      </c>
      <c r="N390" s="198" t="s">
        <v>1292</v>
      </c>
      <c r="O390" s="104" t="s">
        <v>680</v>
      </c>
      <c r="P390" s="102">
        <v>52462.16</v>
      </c>
      <c r="Q390" s="102"/>
      <c r="R390" s="241"/>
      <c r="S390" s="242"/>
      <c r="T390" s="102">
        <v>52462.16</v>
      </c>
      <c r="U390" s="100"/>
      <c r="V390" s="130"/>
      <c r="W390" s="170"/>
    </row>
    <row r="391" s="39" customFormat="1" ht="22" hidden="1" customHeight="1" spans="1:23">
      <c r="A391" s="144" t="s">
        <v>1457</v>
      </c>
      <c r="B391" s="174" t="s">
        <v>30</v>
      </c>
      <c r="C391" s="175"/>
      <c r="D391" s="229" t="s">
        <v>31</v>
      </c>
      <c r="E391" s="82" t="s">
        <v>1190</v>
      </c>
      <c r="F391" s="81">
        <f>IFERROR(VLOOKUP(E391,客户!B:C,2,FALSE),"/")</f>
        <v>0</v>
      </c>
      <c r="G391" s="80" t="s">
        <v>1198</v>
      </c>
      <c r="H391" s="45" t="s">
        <v>123</v>
      </c>
      <c r="I391" s="45" t="s">
        <v>542</v>
      </c>
      <c r="J391" s="108">
        <v>44280</v>
      </c>
      <c r="K391" s="159">
        <v>44344</v>
      </c>
      <c r="L391" s="100">
        <v>44379</v>
      </c>
      <c r="M391" s="165" t="s">
        <v>1458</v>
      </c>
      <c r="N391" s="198" t="s">
        <v>1459</v>
      </c>
      <c r="O391" s="104" t="s">
        <v>680</v>
      </c>
      <c r="P391" s="102">
        <v>26526.2</v>
      </c>
      <c r="Q391" s="102"/>
      <c r="R391" s="241"/>
      <c r="S391" s="242"/>
      <c r="T391" s="102">
        <v>26526.2</v>
      </c>
      <c r="U391" s="100"/>
      <c r="V391" s="130"/>
      <c r="W391" s="170"/>
    </row>
    <row r="392" s="39" customFormat="1" ht="22" hidden="1" customHeight="1" spans="1:23">
      <c r="A392" s="144" t="s">
        <v>1460</v>
      </c>
      <c r="B392" s="174" t="s">
        <v>30</v>
      </c>
      <c r="C392" s="175"/>
      <c r="D392" s="229" t="s">
        <v>31</v>
      </c>
      <c r="E392" s="82" t="s">
        <v>1249</v>
      </c>
      <c r="F392" s="81">
        <f>IFERROR(VLOOKUP(E392,客户!B:C,2,FALSE),"/")</f>
        <v>0</v>
      </c>
      <c r="G392" s="80" t="s">
        <v>941</v>
      </c>
      <c r="H392" s="45" t="s">
        <v>123</v>
      </c>
      <c r="I392" s="45" t="s">
        <v>1250</v>
      </c>
      <c r="J392" s="108">
        <v>44281</v>
      </c>
      <c r="K392" s="159">
        <v>44346</v>
      </c>
      <c r="L392" s="100">
        <v>44377</v>
      </c>
      <c r="M392" s="165" t="s">
        <v>1461</v>
      </c>
      <c r="N392" s="198" t="s">
        <v>1462</v>
      </c>
      <c r="O392" s="104" t="s">
        <v>523</v>
      </c>
      <c r="P392" s="102">
        <v>24624.49</v>
      </c>
      <c r="Q392" s="102">
        <v>7482</v>
      </c>
      <c r="R392" s="241"/>
      <c r="S392" s="242"/>
      <c r="T392" s="102">
        <v>17142.49</v>
      </c>
      <c r="U392" s="100"/>
      <c r="V392" s="130"/>
      <c r="W392" s="170"/>
    </row>
    <row r="393" s="39" customFormat="1" ht="22" hidden="1" customHeight="1" spans="1:23">
      <c r="A393" s="144" t="s">
        <v>1463</v>
      </c>
      <c r="B393" s="174" t="s">
        <v>30</v>
      </c>
      <c r="C393" s="175"/>
      <c r="D393" s="45" t="s">
        <v>31</v>
      </c>
      <c r="E393" s="82" t="s">
        <v>1117</v>
      </c>
      <c r="F393" s="81">
        <f>IFERROR(VLOOKUP(E393,客户!B:C,2,FALSE),"/")</f>
        <v>0</v>
      </c>
      <c r="G393" s="80" t="s">
        <v>1464</v>
      </c>
      <c r="H393" s="45" t="s">
        <v>186</v>
      </c>
      <c r="I393" s="45"/>
      <c r="J393" s="108">
        <v>44281</v>
      </c>
      <c r="K393" s="159">
        <v>44299</v>
      </c>
      <c r="L393" s="100"/>
      <c r="M393" s="165" t="s">
        <v>1465</v>
      </c>
      <c r="N393" s="108"/>
      <c r="O393" s="104" t="s">
        <v>970</v>
      </c>
      <c r="P393" s="240">
        <v>12800</v>
      </c>
      <c r="Q393" s="102"/>
      <c r="R393" s="241"/>
      <c r="S393" s="242"/>
      <c r="T393" s="240">
        <v>12800</v>
      </c>
      <c r="U393" s="100"/>
      <c r="V393" s="130"/>
      <c r="W393" s="170"/>
    </row>
    <row r="394" s="39" customFormat="1" ht="22" hidden="1" customHeight="1" spans="1:23">
      <c r="A394" s="190" t="s">
        <v>1466</v>
      </c>
      <c r="B394" s="174" t="s">
        <v>30</v>
      </c>
      <c r="C394" s="175"/>
      <c r="D394" s="229" t="s">
        <v>31</v>
      </c>
      <c r="E394" s="82" t="s">
        <v>1117</v>
      </c>
      <c r="F394" s="81">
        <f>IFERROR(VLOOKUP(E394,客户!B:C,2,FALSE),"/")</f>
        <v>0</v>
      </c>
      <c r="G394" s="80" t="s">
        <v>941</v>
      </c>
      <c r="H394" s="45" t="s">
        <v>123</v>
      </c>
      <c r="I394" s="45" t="s">
        <v>1467</v>
      </c>
      <c r="J394" s="108">
        <v>44284</v>
      </c>
      <c r="K394" s="159">
        <v>44385</v>
      </c>
      <c r="L394" s="100"/>
      <c r="M394" s="165" t="s">
        <v>1468</v>
      </c>
      <c r="N394" s="198" t="s">
        <v>1469</v>
      </c>
      <c r="O394" s="104" t="s">
        <v>970</v>
      </c>
      <c r="P394" s="102">
        <v>18524.33</v>
      </c>
      <c r="Q394" s="102">
        <v>5000</v>
      </c>
      <c r="R394" s="241"/>
      <c r="S394" s="242"/>
      <c r="T394" s="102">
        <v>13524.33</v>
      </c>
      <c r="U394" s="100"/>
      <c r="V394" s="130"/>
      <c r="W394" s="170"/>
    </row>
    <row r="395" s="39" customFormat="1" ht="22" hidden="1" customHeight="1" spans="1:23">
      <c r="A395" s="144" t="s">
        <v>1470</v>
      </c>
      <c r="B395" s="174" t="s">
        <v>30</v>
      </c>
      <c r="C395" s="175"/>
      <c r="D395" s="229" t="s">
        <v>31</v>
      </c>
      <c r="E395" s="82" t="s">
        <v>1265</v>
      </c>
      <c r="F395" s="81"/>
      <c r="G395" s="80" t="s">
        <v>1471</v>
      </c>
      <c r="H395" s="45" t="s">
        <v>147</v>
      </c>
      <c r="I395" s="45" t="s">
        <v>997</v>
      </c>
      <c r="J395" s="108">
        <v>44286</v>
      </c>
      <c r="K395" s="159">
        <v>44487</v>
      </c>
      <c r="L395" s="100">
        <v>44521</v>
      </c>
      <c r="M395" s="165" t="s">
        <v>1472</v>
      </c>
      <c r="N395" s="198" t="s">
        <v>1473</v>
      </c>
      <c r="O395" s="104" t="s">
        <v>680</v>
      </c>
      <c r="P395" s="102">
        <v>127028.3</v>
      </c>
      <c r="Q395" s="102">
        <f>9574*2+9574*2</f>
        <v>38296</v>
      </c>
      <c r="R395" s="241"/>
      <c r="S395" s="242"/>
      <c r="T395" s="102">
        <v>88732.3</v>
      </c>
      <c r="U395" s="100"/>
      <c r="V395" s="130"/>
      <c r="W395" s="170"/>
    </row>
    <row r="396" s="39" customFormat="1" ht="22" hidden="1" customHeight="1" spans="1:23">
      <c r="A396" s="144" t="s">
        <v>1474</v>
      </c>
      <c r="B396" s="174" t="s">
        <v>30</v>
      </c>
      <c r="C396" s="175"/>
      <c r="D396" s="229" t="s">
        <v>31</v>
      </c>
      <c r="E396" s="82" t="s">
        <v>1265</v>
      </c>
      <c r="F396" s="81"/>
      <c r="G396" s="80" t="s">
        <v>1475</v>
      </c>
      <c r="H396" s="45" t="s">
        <v>147</v>
      </c>
      <c r="I396" s="45" t="s">
        <v>997</v>
      </c>
      <c r="J396" s="108">
        <v>44286</v>
      </c>
      <c r="K396" s="159">
        <v>44358</v>
      </c>
      <c r="L396" s="100">
        <v>44403</v>
      </c>
      <c r="M396" s="165" t="s">
        <v>1476</v>
      </c>
      <c r="N396" s="198" t="s">
        <v>1403</v>
      </c>
      <c r="O396" s="104" t="s">
        <v>680</v>
      </c>
      <c r="P396" s="102">
        <v>30764.68</v>
      </c>
      <c r="Q396" s="102">
        <v>9574</v>
      </c>
      <c r="R396" s="241"/>
      <c r="S396" s="242"/>
      <c r="T396" s="102">
        <v>21190.68</v>
      </c>
      <c r="U396" s="100"/>
      <c r="V396" s="130"/>
      <c r="W396" s="170"/>
    </row>
    <row r="397" s="39" customFormat="1" ht="22" hidden="1" customHeight="1" spans="1:23">
      <c r="A397" s="144" t="s">
        <v>1477</v>
      </c>
      <c r="B397" s="174" t="s">
        <v>30</v>
      </c>
      <c r="C397" s="175"/>
      <c r="D397" s="229" t="s">
        <v>31</v>
      </c>
      <c r="E397" s="82" t="s">
        <v>1265</v>
      </c>
      <c r="F397" s="81"/>
      <c r="G397" s="80" t="s">
        <v>1478</v>
      </c>
      <c r="H397" s="45" t="s">
        <v>147</v>
      </c>
      <c r="I397" s="45" t="s">
        <v>997</v>
      </c>
      <c r="J397" s="108">
        <v>44286</v>
      </c>
      <c r="K397" s="159">
        <v>44368</v>
      </c>
      <c r="L397" s="100">
        <v>44404</v>
      </c>
      <c r="M397" s="165" t="s">
        <v>1479</v>
      </c>
      <c r="N397" s="198" t="s">
        <v>1480</v>
      </c>
      <c r="O397" s="104" t="s">
        <v>680</v>
      </c>
      <c r="P397" s="102">
        <v>93180.08</v>
      </c>
      <c r="Q397" s="102">
        <f>9574*3</f>
        <v>28722</v>
      </c>
      <c r="R397" s="241"/>
      <c r="S397" s="242"/>
      <c r="T397" s="102">
        <v>64458.08</v>
      </c>
      <c r="U397" s="100"/>
      <c r="V397" s="130"/>
      <c r="W397" s="170"/>
    </row>
    <row r="398" s="39" customFormat="1" ht="22" hidden="1" customHeight="1" spans="1:23">
      <c r="A398" s="145" t="s">
        <v>1481</v>
      </c>
      <c r="B398" s="174" t="s">
        <v>30</v>
      </c>
      <c r="C398" s="175"/>
      <c r="D398" s="229" t="s">
        <v>31</v>
      </c>
      <c r="E398" s="82" t="s">
        <v>1265</v>
      </c>
      <c r="F398" s="81"/>
      <c r="G398" s="80" t="s">
        <v>1482</v>
      </c>
      <c r="H398" s="45" t="s">
        <v>147</v>
      </c>
      <c r="I398" s="45" t="s">
        <v>997</v>
      </c>
      <c r="J398" s="108">
        <v>44286</v>
      </c>
      <c r="K398" s="159">
        <v>44441</v>
      </c>
      <c r="L398" s="100">
        <v>44497</v>
      </c>
      <c r="M398" s="165" t="s">
        <v>1483</v>
      </c>
      <c r="N398" s="198" t="s">
        <v>1484</v>
      </c>
      <c r="O398" s="104" t="s">
        <v>680</v>
      </c>
      <c r="P398" s="102">
        <v>126426.12</v>
      </c>
      <c r="Q398" s="102">
        <f>9574*4</f>
        <v>38296</v>
      </c>
      <c r="R398" s="241"/>
      <c r="S398" s="242"/>
      <c r="T398" s="102">
        <v>88130.12</v>
      </c>
      <c r="U398" s="100"/>
      <c r="V398" s="130"/>
      <c r="W398" s="170"/>
    </row>
    <row r="399" s="39" customFormat="1" ht="22" hidden="1" customHeight="1" spans="1:23">
      <c r="A399" s="144" t="s">
        <v>1485</v>
      </c>
      <c r="B399" s="174" t="s">
        <v>30</v>
      </c>
      <c r="C399" s="175"/>
      <c r="D399" s="229" t="s">
        <v>31</v>
      </c>
      <c r="E399" s="82" t="s">
        <v>1167</v>
      </c>
      <c r="F399" s="81">
        <f>IFERROR(VLOOKUP(E399,客户!B:C,2,FALSE),"/")</f>
        <v>0</v>
      </c>
      <c r="G399" s="80" t="s">
        <v>1369</v>
      </c>
      <c r="H399" s="45" t="s">
        <v>123</v>
      </c>
      <c r="I399" s="45" t="s">
        <v>1370</v>
      </c>
      <c r="J399" s="108">
        <v>44295</v>
      </c>
      <c r="K399" s="159">
        <v>44365</v>
      </c>
      <c r="L399" s="200">
        <v>44386</v>
      </c>
      <c r="M399" s="165" t="s">
        <v>1486</v>
      </c>
      <c r="N399" s="198" t="s">
        <v>1487</v>
      </c>
      <c r="O399" s="104" t="s">
        <v>523</v>
      </c>
      <c r="P399" s="102">
        <v>36184.76</v>
      </c>
      <c r="Q399" s="102">
        <v>10800</v>
      </c>
      <c r="R399" s="241"/>
      <c r="S399" s="242"/>
      <c r="T399" s="102">
        <v>25384.76</v>
      </c>
      <c r="U399" s="100"/>
      <c r="V399" s="130"/>
      <c r="W399" s="170"/>
    </row>
    <row r="400" s="39" customFormat="1" ht="22" hidden="1" customHeight="1" spans="1:23">
      <c r="A400" s="144" t="s">
        <v>1488</v>
      </c>
      <c r="B400" s="174" t="s">
        <v>30</v>
      </c>
      <c r="C400" s="175"/>
      <c r="D400" s="229" t="s">
        <v>31</v>
      </c>
      <c r="E400" s="82" t="s">
        <v>1121</v>
      </c>
      <c r="F400" s="81">
        <f>IFERROR(VLOOKUP(E400,客户!B:C,2,FALSE),"/")</f>
        <v>0</v>
      </c>
      <c r="G400" s="80" t="s">
        <v>1186</v>
      </c>
      <c r="H400" s="45" t="s">
        <v>123</v>
      </c>
      <c r="I400" s="45" t="s">
        <v>215</v>
      </c>
      <c r="J400" s="108">
        <v>44295</v>
      </c>
      <c r="K400" s="159">
        <v>44334</v>
      </c>
      <c r="L400" s="100">
        <v>44354</v>
      </c>
      <c r="M400" s="165" t="s">
        <v>1489</v>
      </c>
      <c r="N400" s="198" t="s">
        <v>1490</v>
      </c>
      <c r="O400" s="104" t="s">
        <v>523</v>
      </c>
      <c r="P400" s="102">
        <v>89200.44</v>
      </c>
      <c r="Q400" s="102">
        <v>10000</v>
      </c>
      <c r="R400" s="241"/>
      <c r="S400" s="242"/>
      <c r="T400" s="102">
        <v>79201</v>
      </c>
      <c r="U400" s="100"/>
      <c r="V400" s="130"/>
      <c r="W400" s="170"/>
    </row>
    <row r="401" s="39" customFormat="1" ht="22" hidden="1" customHeight="1" spans="1:23">
      <c r="A401" s="144" t="s">
        <v>1491</v>
      </c>
      <c r="B401" s="174" t="s">
        <v>30</v>
      </c>
      <c r="C401" s="175"/>
      <c r="D401" s="229" t="s">
        <v>31</v>
      </c>
      <c r="E401" s="82" t="s">
        <v>1345</v>
      </c>
      <c r="F401" s="81" t="str">
        <f>IFERROR(VLOOKUP(E401,客户!B:C,2,FALSE),"/")</f>
        <v>J4159还差USD265.65没付齐 J4220还有定金5674.3 账上剩5408.65</v>
      </c>
      <c r="G401" s="80" t="s">
        <v>1198</v>
      </c>
      <c r="H401" s="45" t="s">
        <v>123</v>
      </c>
      <c r="I401" s="45" t="s">
        <v>1346</v>
      </c>
      <c r="J401" s="108">
        <v>44305</v>
      </c>
      <c r="K401" s="159">
        <v>44369</v>
      </c>
      <c r="L401" s="100">
        <v>44420</v>
      </c>
      <c r="M401" s="165" t="s">
        <v>1492</v>
      </c>
      <c r="N401" s="198" t="s">
        <v>1493</v>
      </c>
      <c r="O401" s="104" t="s">
        <v>523</v>
      </c>
      <c r="P401" s="102">
        <v>24813.78</v>
      </c>
      <c r="Q401" s="102">
        <v>7495</v>
      </c>
      <c r="R401" s="241"/>
      <c r="S401" s="242"/>
      <c r="T401" s="102">
        <v>17318.78</v>
      </c>
      <c r="U401" s="100"/>
      <c r="V401" s="130"/>
      <c r="W401" s="170"/>
    </row>
    <row r="402" s="39" customFormat="1" ht="22" hidden="1" customHeight="1" spans="1:23">
      <c r="A402" s="144" t="s">
        <v>1494</v>
      </c>
      <c r="B402" s="174" t="s">
        <v>30</v>
      </c>
      <c r="C402" s="175"/>
      <c r="D402" s="229" t="s">
        <v>31</v>
      </c>
      <c r="E402" s="82" t="s">
        <v>1238</v>
      </c>
      <c r="F402" s="81">
        <f>IFERROR(VLOOKUP(E402,客户!B:C,2,FALSE),"/")</f>
        <v>0</v>
      </c>
      <c r="G402" s="80" t="s">
        <v>941</v>
      </c>
      <c r="H402" s="45" t="s">
        <v>123</v>
      </c>
      <c r="I402" s="45" t="s">
        <v>760</v>
      </c>
      <c r="J402" s="108">
        <v>44307</v>
      </c>
      <c r="K402" s="159">
        <v>44340</v>
      </c>
      <c r="L402" s="100">
        <v>44375</v>
      </c>
      <c r="M402" s="165" t="s">
        <v>1495</v>
      </c>
      <c r="N402" s="198" t="s">
        <v>1496</v>
      </c>
      <c r="O402" s="104" t="s">
        <v>523</v>
      </c>
      <c r="P402" s="102">
        <v>29510.8</v>
      </c>
      <c r="Q402" s="102">
        <v>4229.41</v>
      </c>
      <c r="R402" s="241"/>
      <c r="S402" s="242"/>
      <c r="T402" s="102">
        <v>16004</v>
      </c>
      <c r="U402" s="102">
        <f>P402-Q402-T402</f>
        <v>9277.39</v>
      </c>
      <c r="V402" s="219" t="s">
        <v>1497</v>
      </c>
      <c r="W402" s="170"/>
    </row>
    <row r="403" s="39" customFormat="1" ht="22" hidden="1" customHeight="1" spans="1:23">
      <c r="A403" s="190" t="s">
        <v>1498</v>
      </c>
      <c r="B403" s="174" t="s">
        <v>30</v>
      </c>
      <c r="C403" s="175"/>
      <c r="D403" s="229" t="s">
        <v>31</v>
      </c>
      <c r="E403" s="82" t="s">
        <v>1274</v>
      </c>
      <c r="F403" s="81">
        <f>IFERROR(VLOOKUP(E403,客户!B:C,2,FALSE),"/")</f>
        <v>0</v>
      </c>
      <c r="G403" s="80" t="s">
        <v>985</v>
      </c>
      <c r="H403" s="45" t="s">
        <v>123</v>
      </c>
      <c r="I403" s="45" t="s">
        <v>925</v>
      </c>
      <c r="J403" s="108">
        <v>44308</v>
      </c>
      <c r="K403" s="159">
        <v>44357</v>
      </c>
      <c r="L403" s="200">
        <v>44395</v>
      </c>
      <c r="M403" s="165" t="s">
        <v>1499</v>
      </c>
      <c r="N403" s="198" t="s">
        <v>1500</v>
      </c>
      <c r="O403" s="104" t="s">
        <v>523</v>
      </c>
      <c r="P403" s="102">
        <v>25079.25</v>
      </c>
      <c r="Q403" s="102">
        <v>7594</v>
      </c>
      <c r="R403" s="241"/>
      <c r="S403" s="242"/>
      <c r="T403" s="102">
        <v>17485.25</v>
      </c>
      <c r="U403" s="100"/>
      <c r="V403" s="130"/>
      <c r="W403" s="170"/>
    </row>
    <row r="404" s="39" customFormat="1" ht="22" hidden="1" customHeight="1" spans="1:23">
      <c r="A404" s="144" t="s">
        <v>1501</v>
      </c>
      <c r="B404" s="174" t="s">
        <v>30</v>
      </c>
      <c r="C404" s="175"/>
      <c r="D404" s="229" t="s">
        <v>31</v>
      </c>
      <c r="E404" s="82" t="s">
        <v>1502</v>
      </c>
      <c r="F404" s="81">
        <f>IFERROR(VLOOKUP(E404,客户!B:C,2,FALSE),"/")</f>
        <v>0</v>
      </c>
      <c r="G404" s="80" t="s">
        <v>1503</v>
      </c>
      <c r="H404" s="45" t="s">
        <v>123</v>
      </c>
      <c r="I404" s="45" t="s">
        <v>1504</v>
      </c>
      <c r="J404" s="108">
        <v>44308</v>
      </c>
      <c r="K404" s="159">
        <v>44347</v>
      </c>
      <c r="L404" s="100">
        <v>44401</v>
      </c>
      <c r="M404" s="165" t="s">
        <v>1505</v>
      </c>
      <c r="N404" s="198" t="s">
        <v>1506</v>
      </c>
      <c r="O404" s="104" t="s">
        <v>1283</v>
      </c>
      <c r="P404" s="102">
        <v>9810</v>
      </c>
      <c r="Q404" s="102"/>
      <c r="R404" s="241">
        <v>9810</v>
      </c>
      <c r="S404" s="242"/>
      <c r="T404" s="240"/>
      <c r="U404" s="100"/>
      <c r="V404" s="130"/>
      <c r="W404" s="170"/>
    </row>
    <row r="405" s="39" customFormat="1" ht="22" hidden="1" customHeight="1" spans="1:23">
      <c r="A405" s="144" t="s">
        <v>1507</v>
      </c>
      <c r="B405" s="174" t="s">
        <v>30</v>
      </c>
      <c r="C405" s="175"/>
      <c r="D405" s="229" t="s">
        <v>31</v>
      </c>
      <c r="E405" s="82" t="s">
        <v>1508</v>
      </c>
      <c r="F405" s="81"/>
      <c r="G405" s="80" t="s">
        <v>985</v>
      </c>
      <c r="H405" s="45" t="s">
        <v>123</v>
      </c>
      <c r="I405" s="45" t="s">
        <v>1509</v>
      </c>
      <c r="J405" s="108">
        <v>44312</v>
      </c>
      <c r="K405" s="159">
        <v>44355</v>
      </c>
      <c r="L405" s="100">
        <v>44474</v>
      </c>
      <c r="M405" s="165" t="s">
        <v>1510</v>
      </c>
      <c r="N405" s="198" t="s">
        <v>1511</v>
      </c>
      <c r="O405" s="104" t="s">
        <v>523</v>
      </c>
      <c r="P405" s="102">
        <v>28783.125</v>
      </c>
      <c r="Q405" s="102">
        <v>8000</v>
      </c>
      <c r="R405" s="241"/>
      <c r="S405" s="242"/>
      <c r="T405" s="102">
        <v>20783.13</v>
      </c>
      <c r="U405" s="100"/>
      <c r="V405" s="130"/>
      <c r="W405" s="170"/>
    </row>
    <row r="406" s="39" customFormat="1" ht="22" hidden="1" customHeight="1" spans="1:23">
      <c r="A406" s="144" t="s">
        <v>1512</v>
      </c>
      <c r="B406" s="174" t="s">
        <v>30</v>
      </c>
      <c r="C406" s="175"/>
      <c r="D406" s="229" t="s">
        <v>31</v>
      </c>
      <c r="E406" s="82" t="s">
        <v>1513</v>
      </c>
      <c r="F406" s="81">
        <f>IFERROR(VLOOKUP(E406,客户!B:C,2,FALSE),"/")</f>
        <v>0</v>
      </c>
      <c r="G406" s="82" t="s">
        <v>1514</v>
      </c>
      <c r="H406" s="45" t="s">
        <v>186</v>
      </c>
      <c r="I406" s="45"/>
      <c r="J406" s="108">
        <v>44323</v>
      </c>
      <c r="K406" s="159">
        <v>44354</v>
      </c>
      <c r="L406" s="100"/>
      <c r="M406" s="165" t="s">
        <v>1515</v>
      </c>
      <c r="N406" s="108"/>
      <c r="O406" s="104" t="s">
        <v>970</v>
      </c>
      <c r="P406" s="240">
        <v>25000</v>
      </c>
      <c r="Q406" s="240">
        <v>7500</v>
      </c>
      <c r="R406" s="241"/>
      <c r="S406" s="242"/>
      <c r="T406" s="240">
        <v>17500</v>
      </c>
      <c r="U406" s="100"/>
      <c r="V406" s="130"/>
      <c r="W406" s="170"/>
    </row>
    <row r="407" s="39" customFormat="1" ht="22" hidden="1" customHeight="1" spans="1:23">
      <c r="A407" s="144" t="s">
        <v>1516</v>
      </c>
      <c r="B407" s="174" t="s">
        <v>30</v>
      </c>
      <c r="C407" s="175"/>
      <c r="D407" s="229" t="s">
        <v>31</v>
      </c>
      <c r="E407" s="82" t="s">
        <v>1345</v>
      </c>
      <c r="F407" s="81" t="str">
        <f>IFERROR(VLOOKUP(E407,客户!B:C,2,FALSE),"/")</f>
        <v>J4159还差USD265.65没付齐 J4220还有定金5674.3 账上剩5408.65</v>
      </c>
      <c r="G407" s="82" t="s">
        <v>1517</v>
      </c>
      <c r="H407" s="45" t="s">
        <v>123</v>
      </c>
      <c r="I407" s="45" t="s">
        <v>1346</v>
      </c>
      <c r="J407" s="108">
        <v>44329</v>
      </c>
      <c r="K407" s="159">
        <v>44380</v>
      </c>
      <c r="L407" s="100">
        <v>44420</v>
      </c>
      <c r="M407" s="165" t="s">
        <v>1518</v>
      </c>
      <c r="N407" s="198" t="s">
        <v>1493</v>
      </c>
      <c r="O407" s="104" t="s">
        <v>523</v>
      </c>
      <c r="P407" s="102">
        <v>33684.15</v>
      </c>
      <c r="Q407" s="102">
        <v>10105.25</v>
      </c>
      <c r="R407" s="241"/>
      <c r="S407" s="242"/>
      <c r="T407" s="102">
        <v>23578.9</v>
      </c>
      <c r="U407" s="100"/>
      <c r="V407" s="130"/>
      <c r="W407" s="170"/>
    </row>
    <row r="408" s="39" customFormat="1" ht="22" hidden="1" customHeight="1" spans="1:23">
      <c r="A408" s="144" t="s">
        <v>1519</v>
      </c>
      <c r="B408" s="174" t="s">
        <v>30</v>
      </c>
      <c r="C408" s="175"/>
      <c r="D408" s="229" t="s">
        <v>31</v>
      </c>
      <c r="E408" s="82" t="s">
        <v>1117</v>
      </c>
      <c r="F408" s="81">
        <f>IFERROR(VLOOKUP(E408,客户!B:C,2,FALSE),"/")</f>
        <v>0</v>
      </c>
      <c r="G408" s="82" t="s">
        <v>1520</v>
      </c>
      <c r="H408" s="45" t="s">
        <v>186</v>
      </c>
      <c r="I408" s="45"/>
      <c r="J408" s="108">
        <v>44335</v>
      </c>
      <c r="K408" s="159">
        <v>44347</v>
      </c>
      <c r="L408" s="100"/>
      <c r="M408" s="165" t="s">
        <v>1463</v>
      </c>
      <c r="N408" s="108"/>
      <c r="O408" s="104" t="s">
        <v>970</v>
      </c>
      <c r="P408" s="240">
        <v>19050</v>
      </c>
      <c r="Q408" s="240">
        <v>5000</v>
      </c>
      <c r="R408" s="241"/>
      <c r="S408" s="242"/>
      <c r="T408" s="240">
        <v>14050</v>
      </c>
      <c r="U408" s="100"/>
      <c r="V408" s="130"/>
      <c r="W408" s="170"/>
    </row>
    <row r="409" s="39" customFormat="1" ht="22" hidden="1" customHeight="1" spans="1:23">
      <c r="A409" s="144" t="s">
        <v>1521</v>
      </c>
      <c r="B409" s="174" t="s">
        <v>30</v>
      </c>
      <c r="C409" s="175"/>
      <c r="D409" s="229" t="s">
        <v>31</v>
      </c>
      <c r="E409" s="82" t="s">
        <v>1083</v>
      </c>
      <c r="F409" s="81">
        <f>IFERROR(VLOOKUP(E409,客户!B:C,2,FALSE),"/")</f>
        <v>0</v>
      </c>
      <c r="G409" s="82" t="s">
        <v>1522</v>
      </c>
      <c r="H409" s="45" t="s">
        <v>123</v>
      </c>
      <c r="I409" s="45" t="s">
        <v>1523</v>
      </c>
      <c r="J409" s="108">
        <v>44337</v>
      </c>
      <c r="K409" s="159">
        <v>44374</v>
      </c>
      <c r="L409" s="100">
        <v>44390</v>
      </c>
      <c r="M409" s="165" t="s">
        <v>1524</v>
      </c>
      <c r="N409" s="198" t="s">
        <v>1525</v>
      </c>
      <c r="O409" s="104" t="s">
        <v>523</v>
      </c>
      <c r="P409" s="102">
        <v>31700.5</v>
      </c>
      <c r="Q409" s="102">
        <v>9368.25</v>
      </c>
      <c r="R409" s="241"/>
      <c r="S409" s="242"/>
      <c r="T409" s="102">
        <v>22332.25</v>
      </c>
      <c r="U409" s="100"/>
      <c r="V409" s="130"/>
      <c r="W409" s="170"/>
    </row>
    <row r="410" s="39" customFormat="1" ht="22" hidden="1" customHeight="1" spans="1:23">
      <c r="A410" s="144" t="s">
        <v>1526</v>
      </c>
      <c r="B410" s="174" t="s">
        <v>30</v>
      </c>
      <c r="C410" s="175"/>
      <c r="D410" s="229" t="s">
        <v>31</v>
      </c>
      <c r="E410" s="82" t="s">
        <v>1167</v>
      </c>
      <c r="F410" s="81">
        <f>IFERROR(VLOOKUP(E410,客户!B:C,2,FALSE),"/")</f>
        <v>0</v>
      </c>
      <c r="G410" s="82" t="s">
        <v>1527</v>
      </c>
      <c r="H410" s="45" t="s">
        <v>123</v>
      </c>
      <c r="I410" s="45" t="s">
        <v>1370</v>
      </c>
      <c r="J410" s="108">
        <v>44337</v>
      </c>
      <c r="K410" s="108">
        <v>44383</v>
      </c>
      <c r="L410" s="100">
        <v>44424</v>
      </c>
      <c r="M410" s="165" t="s">
        <v>1528</v>
      </c>
      <c r="N410" s="198" t="s">
        <v>1529</v>
      </c>
      <c r="O410" s="104" t="s">
        <v>523</v>
      </c>
      <c r="P410" s="102">
        <v>42255</v>
      </c>
      <c r="Q410" s="102">
        <v>12500</v>
      </c>
      <c r="R410" s="241"/>
      <c r="S410" s="242"/>
      <c r="T410" s="102">
        <v>29755</v>
      </c>
      <c r="U410" s="100"/>
      <c r="V410" s="130"/>
      <c r="W410" s="170"/>
    </row>
    <row r="411" s="39" customFormat="1" ht="22" hidden="1" customHeight="1" spans="1:23">
      <c r="A411" s="144" t="s">
        <v>1530</v>
      </c>
      <c r="B411" s="174" t="s">
        <v>30</v>
      </c>
      <c r="C411" s="175"/>
      <c r="D411" s="229" t="s">
        <v>31</v>
      </c>
      <c r="E411" s="82" t="s">
        <v>1345</v>
      </c>
      <c r="F411" s="81" t="str">
        <f>IFERROR(VLOOKUP(E411,客户!B:C,2,FALSE),"/")</f>
        <v>J4159还差USD265.65没付齐 J4220还有定金5674.3 账上剩5408.65</v>
      </c>
      <c r="G411" s="82" t="s">
        <v>1517</v>
      </c>
      <c r="H411" s="45" t="s">
        <v>123</v>
      </c>
      <c r="I411" s="45" t="s">
        <v>1346</v>
      </c>
      <c r="J411" s="108">
        <v>44337</v>
      </c>
      <c r="K411" s="159">
        <v>44380</v>
      </c>
      <c r="L411" s="100">
        <v>44420</v>
      </c>
      <c r="M411" s="165" t="s">
        <v>1531</v>
      </c>
      <c r="N411" s="198" t="s">
        <v>1493</v>
      </c>
      <c r="O411" s="104" t="s">
        <v>523</v>
      </c>
      <c r="P411" s="102">
        <v>29787.62</v>
      </c>
      <c r="Q411" s="102">
        <v>8865.8</v>
      </c>
      <c r="R411" s="241"/>
      <c r="S411" s="242"/>
      <c r="T411" s="102">
        <v>20921.82</v>
      </c>
      <c r="U411" s="100"/>
      <c r="V411" s="130"/>
      <c r="W411" s="170"/>
    </row>
    <row r="412" s="39" customFormat="1" ht="22" hidden="1" customHeight="1" spans="1:23">
      <c r="A412" s="144" t="s">
        <v>1532</v>
      </c>
      <c r="B412" s="174" t="s">
        <v>30</v>
      </c>
      <c r="C412" s="175"/>
      <c r="D412" s="229" t="s">
        <v>31</v>
      </c>
      <c r="E412" s="82" t="s">
        <v>1117</v>
      </c>
      <c r="F412" s="81"/>
      <c r="G412" s="82" t="s">
        <v>1517</v>
      </c>
      <c r="H412" s="45" t="s">
        <v>123</v>
      </c>
      <c r="I412" s="45" t="s">
        <v>1533</v>
      </c>
      <c r="J412" s="108">
        <v>44342</v>
      </c>
      <c r="K412" s="159">
        <v>44388</v>
      </c>
      <c r="L412" s="100"/>
      <c r="M412" s="165" t="s">
        <v>1534</v>
      </c>
      <c r="N412" s="198" t="s">
        <v>1535</v>
      </c>
      <c r="O412" s="104" t="s">
        <v>523</v>
      </c>
      <c r="P412" s="102">
        <v>18991.55</v>
      </c>
      <c r="Q412" s="102">
        <v>5000</v>
      </c>
      <c r="R412" s="241"/>
      <c r="S412" s="242"/>
      <c r="T412" s="102">
        <v>13991.55</v>
      </c>
      <c r="U412" s="100"/>
      <c r="V412" s="130"/>
      <c r="W412" s="170"/>
    </row>
    <row r="413" s="39" customFormat="1" ht="22" hidden="1" customHeight="1" spans="1:23">
      <c r="A413" s="144" t="s">
        <v>1536</v>
      </c>
      <c r="B413" s="174" t="s">
        <v>30</v>
      </c>
      <c r="C413" s="175"/>
      <c r="D413" s="229" t="s">
        <v>31</v>
      </c>
      <c r="E413" s="82" t="s">
        <v>1238</v>
      </c>
      <c r="F413" s="81">
        <f>IFERROR(VLOOKUP(E413,客户!B:C,2,FALSE),"/")</f>
        <v>0</v>
      </c>
      <c r="G413" s="80" t="s">
        <v>941</v>
      </c>
      <c r="H413" s="45" t="s">
        <v>123</v>
      </c>
      <c r="I413" s="45" t="s">
        <v>760</v>
      </c>
      <c r="J413" s="108">
        <v>44344</v>
      </c>
      <c r="K413" s="159">
        <v>44379</v>
      </c>
      <c r="L413" s="100">
        <v>44409</v>
      </c>
      <c r="M413" s="165" t="s">
        <v>1537</v>
      </c>
      <c r="N413" s="198" t="s">
        <v>1538</v>
      </c>
      <c r="O413" s="104" t="s">
        <v>523</v>
      </c>
      <c r="P413" s="102">
        <v>29728.25</v>
      </c>
      <c r="Q413" s="102">
        <v>1251</v>
      </c>
      <c r="R413" s="241"/>
      <c r="S413" s="242"/>
      <c r="T413" s="102">
        <v>18477.5</v>
      </c>
      <c r="U413" s="102">
        <v>10000</v>
      </c>
      <c r="V413" s="130"/>
      <c r="W413" s="170"/>
    </row>
    <row r="414" s="39" customFormat="1" ht="22" hidden="1" customHeight="1" spans="1:23">
      <c r="A414" s="144" t="s">
        <v>1539</v>
      </c>
      <c r="B414" s="174" t="s">
        <v>30</v>
      </c>
      <c r="C414" s="175"/>
      <c r="D414" s="229" t="s">
        <v>31</v>
      </c>
      <c r="E414" s="82" t="s">
        <v>1121</v>
      </c>
      <c r="F414" s="81">
        <f>IFERROR(VLOOKUP(E414,客户!B:C,2,FALSE),"/")</f>
        <v>0</v>
      </c>
      <c r="G414" s="80" t="s">
        <v>1419</v>
      </c>
      <c r="H414" s="45" t="s">
        <v>123</v>
      </c>
      <c r="I414" s="45" t="s">
        <v>215</v>
      </c>
      <c r="J414" s="108">
        <v>44344</v>
      </c>
      <c r="K414" s="159">
        <v>44384</v>
      </c>
      <c r="L414" s="100">
        <v>44404</v>
      </c>
      <c r="M414" s="165" t="s">
        <v>1540</v>
      </c>
      <c r="N414" s="198" t="s">
        <v>1541</v>
      </c>
      <c r="O414" s="104" t="s">
        <v>523</v>
      </c>
      <c r="P414" s="102">
        <v>60867.84</v>
      </c>
      <c r="Q414" s="102"/>
      <c r="R414" s="241"/>
      <c r="S414" s="242"/>
      <c r="T414" s="102">
        <v>60867.84</v>
      </c>
      <c r="U414" s="100"/>
      <c r="V414" s="130"/>
      <c r="W414" s="170"/>
    </row>
    <row r="415" s="39" customFormat="1" ht="22" hidden="1" customHeight="1" spans="1:23">
      <c r="A415" s="144" t="s">
        <v>1542</v>
      </c>
      <c r="B415" s="174" t="s">
        <v>30</v>
      </c>
      <c r="C415" s="175"/>
      <c r="D415" s="229" t="s">
        <v>31</v>
      </c>
      <c r="E415" s="82" t="s">
        <v>1121</v>
      </c>
      <c r="F415" s="81">
        <f>IFERROR(VLOOKUP(E415,客户!B:C,2,FALSE),"/")</f>
        <v>0</v>
      </c>
      <c r="G415" s="80" t="s">
        <v>1419</v>
      </c>
      <c r="H415" s="45" t="s">
        <v>123</v>
      </c>
      <c r="I415" s="45" t="s">
        <v>215</v>
      </c>
      <c r="J415" s="108">
        <v>44344</v>
      </c>
      <c r="K415" s="159">
        <v>44391</v>
      </c>
      <c r="L415" s="100">
        <v>44404</v>
      </c>
      <c r="M415" s="165" t="s">
        <v>1543</v>
      </c>
      <c r="N415" s="198" t="s">
        <v>1544</v>
      </c>
      <c r="O415" s="104" t="s">
        <v>523</v>
      </c>
      <c r="P415" s="102">
        <v>57517.1</v>
      </c>
      <c r="Q415" s="102">
        <v>10000</v>
      </c>
      <c r="R415" s="241"/>
      <c r="S415" s="242"/>
      <c r="T415" s="102">
        <v>47518</v>
      </c>
      <c r="U415" s="100"/>
      <c r="V415" s="130"/>
      <c r="W415" s="170"/>
    </row>
    <row r="416" s="39" customFormat="1" ht="22" hidden="1" customHeight="1" spans="1:23">
      <c r="A416" s="144" t="s">
        <v>1545</v>
      </c>
      <c r="B416" s="174" t="s">
        <v>30</v>
      </c>
      <c r="C416" s="175"/>
      <c r="D416" s="229" t="s">
        <v>31</v>
      </c>
      <c r="E416" s="82" t="s">
        <v>1508</v>
      </c>
      <c r="F416" s="81">
        <f>IFERROR(VLOOKUP(E416,客户!B:C,2,FALSE),"/")</f>
        <v>0</v>
      </c>
      <c r="G416" s="80" t="s">
        <v>941</v>
      </c>
      <c r="H416" s="45" t="s">
        <v>123</v>
      </c>
      <c r="I416" s="45" t="s">
        <v>1546</v>
      </c>
      <c r="J416" s="108">
        <v>44349</v>
      </c>
      <c r="K416" s="159">
        <v>44420</v>
      </c>
      <c r="L416" s="100">
        <v>44452</v>
      </c>
      <c r="M416" s="165" t="s">
        <v>1547</v>
      </c>
      <c r="N416" s="198" t="s">
        <v>1548</v>
      </c>
      <c r="O416" s="104" t="s">
        <v>523</v>
      </c>
      <c r="P416" s="102">
        <v>31106.6</v>
      </c>
      <c r="Q416" s="102">
        <v>8000</v>
      </c>
      <c r="R416" s="241"/>
      <c r="S416" s="242"/>
      <c r="T416" s="102">
        <v>23106.6</v>
      </c>
      <c r="U416" s="100"/>
      <c r="V416" s="130"/>
      <c r="W416" s="170"/>
    </row>
    <row r="417" s="39" customFormat="1" ht="22" hidden="1" customHeight="1" spans="1:23">
      <c r="A417" s="144" t="s">
        <v>1549</v>
      </c>
      <c r="B417" s="174" t="s">
        <v>30</v>
      </c>
      <c r="C417" s="175"/>
      <c r="D417" s="229" t="s">
        <v>31</v>
      </c>
      <c r="E417" s="82" t="s">
        <v>1508</v>
      </c>
      <c r="F417" s="81">
        <f>IFERROR(VLOOKUP(E417,客户!B:C,2,FALSE),"/")</f>
        <v>0</v>
      </c>
      <c r="G417" s="80" t="s">
        <v>941</v>
      </c>
      <c r="H417" s="45" t="s">
        <v>123</v>
      </c>
      <c r="I417" s="45" t="s">
        <v>1550</v>
      </c>
      <c r="J417" s="108">
        <v>44349</v>
      </c>
      <c r="K417" s="159">
        <v>44383</v>
      </c>
      <c r="L417" s="100">
        <v>44424</v>
      </c>
      <c r="M417" s="177" t="s">
        <v>1551</v>
      </c>
      <c r="N417" s="198" t="s">
        <v>1552</v>
      </c>
      <c r="O417" s="104" t="s">
        <v>523</v>
      </c>
      <c r="P417" s="102">
        <v>31162.6</v>
      </c>
      <c r="Q417" s="102">
        <v>8000</v>
      </c>
      <c r="R417" s="241"/>
      <c r="S417" s="242"/>
      <c r="T417" s="102">
        <v>23162.6</v>
      </c>
      <c r="U417" s="100"/>
      <c r="V417" s="130"/>
      <c r="W417" s="170"/>
    </row>
    <row r="418" s="39" customFormat="1" ht="22" hidden="1" customHeight="1" spans="1:23">
      <c r="A418" s="144" t="s">
        <v>1553</v>
      </c>
      <c r="B418" s="174" t="s">
        <v>30</v>
      </c>
      <c r="C418" s="175"/>
      <c r="D418" s="229" t="s">
        <v>31</v>
      </c>
      <c r="E418" s="82" t="s">
        <v>1265</v>
      </c>
      <c r="F418" s="81" t="str">
        <f>IFERROR(VLOOKUP(E418,客户!B:C,2,FALSE),"/")</f>
        <v>外送费用945人民币+装箱费用 加在发票里</v>
      </c>
      <c r="G418" s="80" t="s">
        <v>1554</v>
      </c>
      <c r="H418" s="45" t="s">
        <v>147</v>
      </c>
      <c r="I418" s="45" t="s">
        <v>1001</v>
      </c>
      <c r="J418" s="108">
        <v>44353</v>
      </c>
      <c r="K418" s="159">
        <v>44398</v>
      </c>
      <c r="L418" s="100">
        <v>44454</v>
      </c>
      <c r="M418" s="165" t="s">
        <v>1555</v>
      </c>
      <c r="N418" s="198" t="s">
        <v>1556</v>
      </c>
      <c r="O418" s="104" t="s">
        <v>680</v>
      </c>
      <c r="P418" s="102">
        <v>97531.8</v>
      </c>
      <c r="Q418" s="102"/>
      <c r="R418" s="241"/>
      <c r="S418" s="242"/>
      <c r="T418" s="102">
        <v>97531.8</v>
      </c>
      <c r="U418" s="100"/>
      <c r="V418" s="130"/>
      <c r="W418" s="170"/>
    </row>
    <row r="419" s="39" customFormat="1" ht="22" hidden="1" customHeight="1" spans="1:23">
      <c r="A419" s="144" t="s">
        <v>1557</v>
      </c>
      <c r="B419" s="174" t="s">
        <v>30</v>
      </c>
      <c r="C419" s="175"/>
      <c r="D419" s="229" t="s">
        <v>31</v>
      </c>
      <c r="E419" s="82" t="s">
        <v>1265</v>
      </c>
      <c r="F419" s="81" t="str">
        <f>IFERROR(VLOOKUP(E419,客户!B:C,2,FALSE),"/")</f>
        <v>外送费用945人民币+装箱费用 加在发票里</v>
      </c>
      <c r="G419" s="80" t="s">
        <v>1554</v>
      </c>
      <c r="H419" s="45" t="s">
        <v>147</v>
      </c>
      <c r="I419" s="45" t="s">
        <v>1001</v>
      </c>
      <c r="J419" s="108">
        <v>44353</v>
      </c>
      <c r="K419" s="108">
        <v>44416</v>
      </c>
      <c r="L419" s="100">
        <v>44460</v>
      </c>
      <c r="M419" s="165" t="s">
        <v>1558</v>
      </c>
      <c r="N419" s="198" t="s">
        <v>1559</v>
      </c>
      <c r="O419" s="104" t="s">
        <v>680</v>
      </c>
      <c r="P419" s="102">
        <v>98341.8</v>
      </c>
      <c r="Q419" s="102"/>
      <c r="R419" s="241"/>
      <c r="S419" s="242"/>
      <c r="T419" s="102">
        <v>98341.8</v>
      </c>
      <c r="U419" s="100"/>
      <c r="V419" s="130"/>
      <c r="W419" s="170"/>
    </row>
    <row r="420" s="39" customFormat="1" ht="22" hidden="1" customHeight="1" spans="1:23">
      <c r="A420" s="144" t="s">
        <v>1560</v>
      </c>
      <c r="B420" s="174" t="s">
        <v>30</v>
      </c>
      <c r="C420" s="175"/>
      <c r="D420" s="229" t="s">
        <v>31</v>
      </c>
      <c r="E420" s="82" t="s">
        <v>1167</v>
      </c>
      <c r="F420" s="81">
        <f>IFERROR(VLOOKUP(E420,客户!B:C,2,FALSE),"/")</f>
        <v>0</v>
      </c>
      <c r="G420" s="80" t="s">
        <v>1561</v>
      </c>
      <c r="H420" s="45" t="s">
        <v>123</v>
      </c>
      <c r="I420" s="45" t="s">
        <v>1370</v>
      </c>
      <c r="J420" s="108">
        <v>44355</v>
      </c>
      <c r="K420" s="159">
        <v>44402</v>
      </c>
      <c r="L420" s="100">
        <v>44458</v>
      </c>
      <c r="M420" s="165" t="s">
        <v>1562</v>
      </c>
      <c r="N420" s="198" t="s">
        <v>1529</v>
      </c>
      <c r="O420" s="104" t="s">
        <v>523</v>
      </c>
      <c r="P420" s="102">
        <v>34897.39</v>
      </c>
      <c r="Q420" s="102">
        <v>10300</v>
      </c>
      <c r="R420" s="241"/>
      <c r="S420" s="242"/>
      <c r="T420" s="102">
        <v>24597.39</v>
      </c>
      <c r="U420" s="100"/>
      <c r="V420" s="130"/>
      <c r="W420" s="170"/>
    </row>
    <row r="421" s="39" customFormat="1" ht="23" hidden="1" customHeight="1" spans="1:23">
      <c r="A421" s="144" t="s">
        <v>1563</v>
      </c>
      <c r="B421" s="174" t="s">
        <v>30</v>
      </c>
      <c r="C421" s="175"/>
      <c r="D421" s="229" t="s">
        <v>31</v>
      </c>
      <c r="E421" s="82" t="s">
        <v>1326</v>
      </c>
      <c r="F421" s="81">
        <f>IFERROR(VLOOKUP(E421,客户!B:C,2,FALSE),"/")</f>
        <v>0</v>
      </c>
      <c r="G421" s="80" t="s">
        <v>941</v>
      </c>
      <c r="H421" s="45" t="s">
        <v>123</v>
      </c>
      <c r="I421" s="45" t="s">
        <v>755</v>
      </c>
      <c r="J421" s="108">
        <v>44360</v>
      </c>
      <c r="K421" s="159">
        <v>44452</v>
      </c>
      <c r="L421" s="100">
        <v>44487</v>
      </c>
      <c r="M421" s="165" t="s">
        <v>1564</v>
      </c>
      <c r="N421" s="198" t="s">
        <v>1565</v>
      </c>
      <c r="O421" s="104" t="s">
        <v>523</v>
      </c>
      <c r="P421" s="102">
        <v>28232</v>
      </c>
      <c r="Q421" s="102">
        <v>5646</v>
      </c>
      <c r="R421" s="241"/>
      <c r="S421" s="242"/>
      <c r="T421" s="102">
        <v>22585.6</v>
      </c>
      <c r="U421" s="100"/>
      <c r="V421" s="130"/>
      <c r="W421" s="170"/>
    </row>
    <row r="422" s="39" customFormat="1" ht="22" hidden="1" customHeight="1" spans="1:23">
      <c r="A422" s="144" t="s">
        <v>1566</v>
      </c>
      <c r="B422" s="174" t="s">
        <v>30</v>
      </c>
      <c r="C422" s="175"/>
      <c r="D422" s="229" t="s">
        <v>31</v>
      </c>
      <c r="E422" s="82" t="s">
        <v>1274</v>
      </c>
      <c r="F422" s="81">
        <f>IFERROR(VLOOKUP(E422,客户!B:C,2,FALSE),"/")</f>
        <v>0</v>
      </c>
      <c r="G422" s="80" t="s">
        <v>941</v>
      </c>
      <c r="H422" s="45" t="s">
        <v>123</v>
      </c>
      <c r="I422" s="45" t="s">
        <v>925</v>
      </c>
      <c r="J422" s="108">
        <v>44363</v>
      </c>
      <c r="K422" s="159">
        <v>44427</v>
      </c>
      <c r="L422" s="100">
        <v>44451</v>
      </c>
      <c r="M422" s="165" t="s">
        <v>1567</v>
      </c>
      <c r="N422" s="198" t="s">
        <v>1500</v>
      </c>
      <c r="O422" s="104" t="s">
        <v>523</v>
      </c>
      <c r="P422" s="102">
        <v>22382</v>
      </c>
      <c r="Q422" s="102"/>
      <c r="R422" s="241"/>
      <c r="S422" s="242"/>
      <c r="T422" s="102">
        <v>22382</v>
      </c>
      <c r="U422" s="100"/>
      <c r="V422" s="130"/>
      <c r="W422" s="170"/>
    </row>
    <row r="423" s="39" customFormat="1" ht="22" hidden="1" customHeight="1" spans="1:23">
      <c r="A423" s="144" t="s">
        <v>1568</v>
      </c>
      <c r="B423" s="174" t="s">
        <v>30</v>
      </c>
      <c r="C423" s="175"/>
      <c r="D423" s="229" t="s">
        <v>31</v>
      </c>
      <c r="E423" s="82" t="s">
        <v>1121</v>
      </c>
      <c r="F423" s="81">
        <f>IFERROR(VLOOKUP(E423,客户!B:C,2,FALSE),"/")</f>
        <v>0</v>
      </c>
      <c r="G423" s="80" t="s">
        <v>1419</v>
      </c>
      <c r="H423" s="45" t="s">
        <v>123</v>
      </c>
      <c r="I423" s="45" t="s">
        <v>215</v>
      </c>
      <c r="J423" s="108">
        <v>44364</v>
      </c>
      <c r="K423" s="159">
        <v>44415</v>
      </c>
      <c r="L423" s="100">
        <v>44433</v>
      </c>
      <c r="M423" s="165" t="s">
        <v>1569</v>
      </c>
      <c r="N423" s="108" t="s">
        <v>1570</v>
      </c>
      <c r="O423" s="104" t="s">
        <v>523</v>
      </c>
      <c r="P423" s="102">
        <v>58408.07</v>
      </c>
      <c r="Q423" s="102"/>
      <c r="R423" s="241"/>
      <c r="S423" s="242"/>
      <c r="T423" s="102">
        <v>58408.07</v>
      </c>
      <c r="U423" s="100"/>
      <c r="V423" s="130"/>
      <c r="W423" s="170"/>
    </row>
    <row r="424" s="39" customFormat="1" ht="22" hidden="1" customHeight="1" spans="1:23">
      <c r="A424" s="144" t="s">
        <v>1571</v>
      </c>
      <c r="B424" s="174" t="s">
        <v>30</v>
      </c>
      <c r="C424" s="175"/>
      <c r="D424" s="229" t="s">
        <v>31</v>
      </c>
      <c r="E424" s="82" t="s">
        <v>1121</v>
      </c>
      <c r="F424" s="81">
        <f>IFERROR(VLOOKUP(E424,客户!B:C,2,FALSE),"/")</f>
        <v>0</v>
      </c>
      <c r="G424" s="80" t="s">
        <v>1419</v>
      </c>
      <c r="H424" s="45" t="s">
        <v>123</v>
      </c>
      <c r="I424" s="45" t="s">
        <v>215</v>
      </c>
      <c r="J424" s="108">
        <v>44364</v>
      </c>
      <c r="K424" s="159">
        <v>44428</v>
      </c>
      <c r="L424" s="100">
        <v>44445</v>
      </c>
      <c r="M424" s="165" t="s">
        <v>1572</v>
      </c>
      <c r="N424" s="198" t="s">
        <v>1573</v>
      </c>
      <c r="O424" s="104" t="s">
        <v>523</v>
      </c>
      <c r="P424" s="102">
        <v>61378.9</v>
      </c>
      <c r="Q424" s="102">
        <v>10000</v>
      </c>
      <c r="R424" s="241"/>
      <c r="S424" s="242"/>
      <c r="T424" s="102">
        <v>51379</v>
      </c>
      <c r="U424" s="100"/>
      <c r="V424" s="130"/>
      <c r="W424" s="170"/>
    </row>
    <row r="425" s="39" customFormat="1" ht="22" hidden="1" customHeight="1" spans="1:23">
      <c r="A425" s="144" t="s">
        <v>1574</v>
      </c>
      <c r="B425" s="174" t="s">
        <v>30</v>
      </c>
      <c r="C425" s="175"/>
      <c r="D425" s="229" t="s">
        <v>31</v>
      </c>
      <c r="E425" s="82" t="s">
        <v>1238</v>
      </c>
      <c r="F425" s="81">
        <f>IFERROR(VLOOKUP(E425,客户!B:C,2,FALSE),"/")</f>
        <v>0</v>
      </c>
      <c r="G425" s="80" t="s">
        <v>941</v>
      </c>
      <c r="H425" s="45" t="s">
        <v>123</v>
      </c>
      <c r="I425" s="45" t="s">
        <v>760</v>
      </c>
      <c r="J425" s="108">
        <v>44366</v>
      </c>
      <c r="K425" s="108">
        <v>44406</v>
      </c>
      <c r="L425" s="200">
        <v>44441</v>
      </c>
      <c r="M425" s="165" t="s">
        <v>1575</v>
      </c>
      <c r="N425" s="198" t="s">
        <v>1576</v>
      </c>
      <c r="O425" s="104" t="s">
        <v>523</v>
      </c>
      <c r="P425" s="102">
        <v>29492.6</v>
      </c>
      <c r="Q425" s="102"/>
      <c r="R425" s="241"/>
      <c r="S425" s="242"/>
      <c r="T425" s="102">
        <v>16064.63</v>
      </c>
      <c r="U425" s="102">
        <v>13428</v>
      </c>
      <c r="V425" s="130"/>
      <c r="W425" s="170"/>
    </row>
    <row r="426" s="39" customFormat="1" ht="22" hidden="1" customHeight="1" spans="1:23">
      <c r="A426" s="145" t="s">
        <v>1577</v>
      </c>
      <c r="B426" s="174" t="s">
        <v>30</v>
      </c>
      <c r="C426" s="175"/>
      <c r="D426" s="229" t="s">
        <v>31</v>
      </c>
      <c r="E426" s="82" t="s">
        <v>1578</v>
      </c>
      <c r="F426" s="81">
        <f>IFERROR(VLOOKUP(E426,客户!B:C,2,FALSE),"/")</f>
        <v>0</v>
      </c>
      <c r="G426" s="80" t="s">
        <v>1579</v>
      </c>
      <c r="H426" s="45" t="s">
        <v>186</v>
      </c>
      <c r="I426" s="45"/>
      <c r="J426" s="108">
        <v>44375</v>
      </c>
      <c r="K426" s="159">
        <v>44399</v>
      </c>
      <c r="L426" s="100"/>
      <c r="M426" s="165" t="s">
        <v>1580</v>
      </c>
      <c r="N426" s="198" t="s">
        <v>1581</v>
      </c>
      <c r="O426" s="104" t="s">
        <v>970</v>
      </c>
      <c r="P426" s="240">
        <v>116600</v>
      </c>
      <c r="Q426" s="240">
        <v>20000</v>
      </c>
      <c r="R426" s="241"/>
      <c r="S426" s="242"/>
      <c r="T426" s="240">
        <v>96600</v>
      </c>
      <c r="U426" s="100"/>
      <c r="V426" s="130"/>
      <c r="W426" s="170"/>
    </row>
    <row r="427" s="39" customFormat="1" ht="22" hidden="1" customHeight="1" spans="1:23">
      <c r="A427" s="144" t="s">
        <v>1582</v>
      </c>
      <c r="B427" s="174" t="s">
        <v>30</v>
      </c>
      <c r="C427" s="175"/>
      <c r="D427" s="229" t="s">
        <v>31</v>
      </c>
      <c r="E427" s="82" t="s">
        <v>1238</v>
      </c>
      <c r="F427" s="81">
        <f>IFERROR(VLOOKUP(E427,客户!B:C,2,FALSE),"/")</f>
        <v>0</v>
      </c>
      <c r="G427" s="80" t="s">
        <v>941</v>
      </c>
      <c r="H427" s="45" t="s">
        <v>123</v>
      </c>
      <c r="I427" s="45" t="s">
        <v>760</v>
      </c>
      <c r="J427" s="108">
        <v>44378</v>
      </c>
      <c r="K427" s="159">
        <v>44426</v>
      </c>
      <c r="L427" s="100">
        <v>44470</v>
      </c>
      <c r="M427" s="165" t="s">
        <v>1583</v>
      </c>
      <c r="N427" s="198" t="s">
        <v>1584</v>
      </c>
      <c r="O427" s="104" t="s">
        <v>523</v>
      </c>
      <c r="P427" s="102">
        <v>29967.2</v>
      </c>
      <c r="Q427" s="240"/>
      <c r="R427" s="241"/>
      <c r="S427" s="242"/>
      <c r="T427" s="102">
        <v>16639.25</v>
      </c>
      <c r="U427" s="102">
        <v>13327.95</v>
      </c>
      <c r="V427" s="130" t="s">
        <v>1585</v>
      </c>
      <c r="W427" s="170"/>
    </row>
    <row r="428" s="39" customFormat="1" ht="22" hidden="1" customHeight="1" spans="1:23">
      <c r="A428" s="144" t="s">
        <v>1586</v>
      </c>
      <c r="B428" s="174" t="s">
        <v>30</v>
      </c>
      <c r="C428" s="175"/>
      <c r="D428" s="229" t="s">
        <v>31</v>
      </c>
      <c r="E428" s="82" t="s">
        <v>1167</v>
      </c>
      <c r="F428" s="81">
        <f>IFERROR(VLOOKUP(E428,客户!B:C,2,FALSE),"/")</f>
        <v>0</v>
      </c>
      <c r="G428" s="80" t="s">
        <v>1369</v>
      </c>
      <c r="H428" s="45" t="s">
        <v>123</v>
      </c>
      <c r="I428" s="45" t="s">
        <v>1370</v>
      </c>
      <c r="J428" s="108">
        <v>44382</v>
      </c>
      <c r="K428" s="159">
        <v>44424</v>
      </c>
      <c r="L428" s="100">
        <v>44496</v>
      </c>
      <c r="M428" s="165" t="s">
        <v>1587</v>
      </c>
      <c r="N428" s="198" t="s">
        <v>1588</v>
      </c>
      <c r="O428" s="104" t="s">
        <v>523</v>
      </c>
      <c r="P428" s="102">
        <v>34785.44</v>
      </c>
      <c r="Q428" s="102">
        <v>10900</v>
      </c>
      <c r="R428" s="241"/>
      <c r="S428" s="242"/>
      <c r="T428" s="102">
        <v>23885.44</v>
      </c>
      <c r="U428" s="100"/>
      <c r="V428" s="130"/>
      <c r="W428" s="170"/>
    </row>
    <row r="429" s="39" customFormat="1" ht="22" hidden="1" customHeight="1" spans="1:23">
      <c r="A429" s="144" t="s">
        <v>1589</v>
      </c>
      <c r="B429" s="174" t="s">
        <v>30</v>
      </c>
      <c r="C429" s="175"/>
      <c r="D429" s="229" t="s">
        <v>31</v>
      </c>
      <c r="E429" s="82" t="s">
        <v>1117</v>
      </c>
      <c r="F429" s="81">
        <f>IFERROR(VLOOKUP(E429,客户!B:C,2,FALSE),"/")</f>
        <v>0</v>
      </c>
      <c r="G429" s="80" t="s">
        <v>1590</v>
      </c>
      <c r="H429" s="45" t="s">
        <v>186</v>
      </c>
      <c r="I429" s="45"/>
      <c r="J429" s="108">
        <v>44384</v>
      </c>
      <c r="K429" s="159">
        <v>44405</v>
      </c>
      <c r="L429" s="100"/>
      <c r="M429" s="165" t="s">
        <v>1591</v>
      </c>
      <c r="N429" s="108"/>
      <c r="O429" s="104" t="s">
        <v>970</v>
      </c>
      <c r="P429" s="240">
        <v>17400</v>
      </c>
      <c r="Q429" s="102"/>
      <c r="R429" s="241"/>
      <c r="S429" s="242"/>
      <c r="T429" s="240">
        <v>17400</v>
      </c>
      <c r="U429" s="100"/>
      <c r="V429" s="130"/>
      <c r="W429" s="170"/>
    </row>
    <row r="430" s="39" customFormat="1" ht="22" hidden="1" customHeight="1" spans="1:23">
      <c r="A430" s="144" t="s">
        <v>1592</v>
      </c>
      <c r="B430" s="174" t="s">
        <v>30</v>
      </c>
      <c r="C430" s="175"/>
      <c r="D430" s="229" t="s">
        <v>31</v>
      </c>
      <c r="E430" s="82" t="s">
        <v>1121</v>
      </c>
      <c r="F430" s="81">
        <f>IFERROR(VLOOKUP(E430,客户!B:C,2,FALSE),"/")</f>
        <v>0</v>
      </c>
      <c r="G430" s="80" t="s">
        <v>1419</v>
      </c>
      <c r="H430" s="45" t="s">
        <v>123</v>
      </c>
      <c r="I430" s="45" t="s">
        <v>215</v>
      </c>
      <c r="J430" s="108">
        <v>44391</v>
      </c>
      <c r="K430" s="159">
        <v>44450</v>
      </c>
      <c r="L430" s="100">
        <v>44466</v>
      </c>
      <c r="M430" s="165" t="s">
        <v>1593</v>
      </c>
      <c r="N430" s="198" t="s">
        <v>1594</v>
      </c>
      <c r="O430" s="104" t="s">
        <v>523</v>
      </c>
      <c r="P430" s="102">
        <v>61063.21</v>
      </c>
      <c r="Q430" s="102"/>
      <c r="R430" s="241"/>
      <c r="S430" s="242"/>
      <c r="T430" s="102">
        <v>61063.21</v>
      </c>
      <c r="U430" s="100"/>
      <c r="V430" s="130"/>
      <c r="W430" s="170"/>
    </row>
    <row r="431" s="39" customFormat="1" ht="22" hidden="1" customHeight="1" spans="1:23">
      <c r="A431" s="144" t="s">
        <v>1595</v>
      </c>
      <c r="B431" s="174" t="s">
        <v>30</v>
      </c>
      <c r="C431" s="175"/>
      <c r="D431" s="229" t="s">
        <v>31</v>
      </c>
      <c r="E431" s="82" t="s">
        <v>1121</v>
      </c>
      <c r="F431" s="81">
        <f>IFERROR(VLOOKUP(E431,客户!B:C,2,FALSE),"/")</f>
        <v>0</v>
      </c>
      <c r="G431" s="80" t="s">
        <v>1419</v>
      </c>
      <c r="H431" s="45" t="s">
        <v>123</v>
      </c>
      <c r="I431" s="45" t="s">
        <v>215</v>
      </c>
      <c r="J431" s="108">
        <v>44391</v>
      </c>
      <c r="K431" s="159">
        <v>44466</v>
      </c>
      <c r="L431" s="100">
        <v>44481</v>
      </c>
      <c r="M431" s="165" t="s">
        <v>1596</v>
      </c>
      <c r="N431" s="198" t="s">
        <v>1597</v>
      </c>
      <c r="O431" s="104" t="s">
        <v>523</v>
      </c>
      <c r="P431" s="253">
        <v>61563.21</v>
      </c>
      <c r="Q431" s="102">
        <v>10000</v>
      </c>
      <c r="R431" s="241"/>
      <c r="S431" s="242"/>
      <c r="T431" s="253">
        <v>51563.21</v>
      </c>
      <c r="U431" s="100"/>
      <c r="V431" s="130"/>
      <c r="W431" s="170"/>
    </row>
    <row r="432" s="39" customFormat="1" ht="22" hidden="1" customHeight="1" spans="1:23">
      <c r="A432" s="144" t="s">
        <v>1598</v>
      </c>
      <c r="B432" s="174" t="s">
        <v>30</v>
      </c>
      <c r="C432" s="175"/>
      <c r="D432" s="229" t="s">
        <v>31</v>
      </c>
      <c r="E432" s="82" t="s">
        <v>1389</v>
      </c>
      <c r="F432" s="81">
        <f>IFERROR(VLOOKUP(E432,客户!B:C,2,FALSE),"/")</f>
        <v>0</v>
      </c>
      <c r="G432" s="80" t="s">
        <v>1599</v>
      </c>
      <c r="H432" s="45" t="s">
        <v>1600</v>
      </c>
      <c r="I432" s="45" t="s">
        <v>1078</v>
      </c>
      <c r="J432" s="108">
        <v>44392</v>
      </c>
      <c r="K432" s="159">
        <v>44436</v>
      </c>
      <c r="L432" s="100">
        <v>44444</v>
      </c>
      <c r="M432" s="165" t="s">
        <v>1601</v>
      </c>
      <c r="N432" s="198" t="s">
        <v>1602</v>
      </c>
      <c r="O432" s="104" t="s">
        <v>523</v>
      </c>
      <c r="P432" s="102">
        <v>28140.4</v>
      </c>
      <c r="Q432" s="102">
        <v>9440</v>
      </c>
      <c r="R432" s="241"/>
      <c r="S432" s="242"/>
      <c r="T432" s="102">
        <v>18700</v>
      </c>
      <c r="U432" s="100"/>
      <c r="V432" s="130"/>
      <c r="W432" s="170"/>
    </row>
    <row r="433" s="39" customFormat="1" ht="22" hidden="1" customHeight="1" spans="1:23">
      <c r="A433" s="144" t="s">
        <v>1603</v>
      </c>
      <c r="B433" s="174" t="s">
        <v>30</v>
      </c>
      <c r="C433" s="175"/>
      <c r="D433" s="229" t="s">
        <v>31</v>
      </c>
      <c r="E433" s="82" t="s">
        <v>1429</v>
      </c>
      <c r="F433" s="81">
        <f>IFERROR(VLOOKUP(E433,客户!B:C,2,FALSE),"/")</f>
        <v>0</v>
      </c>
      <c r="G433" s="80" t="s">
        <v>979</v>
      </c>
      <c r="H433" s="45" t="s">
        <v>1600</v>
      </c>
      <c r="I433" s="45" t="s">
        <v>1431</v>
      </c>
      <c r="J433" s="108">
        <v>44399</v>
      </c>
      <c r="K433" s="159">
        <v>44445</v>
      </c>
      <c r="L433" s="100">
        <v>44536</v>
      </c>
      <c r="M433" s="165" t="s">
        <v>1604</v>
      </c>
      <c r="N433" s="198" t="s">
        <v>1605</v>
      </c>
      <c r="O433" s="104" t="s">
        <v>523</v>
      </c>
      <c r="P433" s="102">
        <v>73179.26</v>
      </c>
      <c r="Q433" s="102"/>
      <c r="R433" s="241"/>
      <c r="S433" s="242"/>
      <c r="T433" s="102">
        <v>73179.26</v>
      </c>
      <c r="U433" s="102"/>
      <c r="V433" s="130"/>
      <c r="W433" s="170"/>
    </row>
    <row r="434" s="39" customFormat="1" ht="22" hidden="1" customHeight="1" spans="1:23">
      <c r="A434" s="144" t="s">
        <v>1606</v>
      </c>
      <c r="B434" s="174" t="s">
        <v>30</v>
      </c>
      <c r="C434" s="175"/>
      <c r="D434" s="229" t="s">
        <v>31</v>
      </c>
      <c r="E434" s="82" t="s">
        <v>1607</v>
      </c>
      <c r="F434" s="81">
        <f>IFERROR(VLOOKUP(E434,客户!B:C,2,FALSE),"/")</f>
        <v>0</v>
      </c>
      <c r="G434" s="82" t="s">
        <v>1608</v>
      </c>
      <c r="H434" s="45" t="s">
        <v>147</v>
      </c>
      <c r="I434" s="254" t="s">
        <v>1609</v>
      </c>
      <c r="J434" s="108">
        <v>44403</v>
      </c>
      <c r="K434" s="159">
        <v>44414</v>
      </c>
      <c r="L434" s="100"/>
      <c r="M434" s="165" t="s">
        <v>1610</v>
      </c>
      <c r="N434" s="108"/>
      <c r="O434" s="104" t="s">
        <v>970</v>
      </c>
      <c r="P434" s="102">
        <v>3063.46</v>
      </c>
      <c r="Q434" s="102"/>
      <c r="R434" s="241"/>
      <c r="S434" s="242"/>
      <c r="T434" s="102">
        <v>3045</v>
      </c>
      <c r="U434" s="102">
        <v>18.42</v>
      </c>
      <c r="V434" s="130"/>
      <c r="W434" s="170"/>
    </row>
    <row r="435" s="39" customFormat="1" ht="22" hidden="1" customHeight="1" spans="1:23">
      <c r="A435" s="252" t="s">
        <v>1611</v>
      </c>
      <c r="B435" s="174" t="s">
        <v>30</v>
      </c>
      <c r="C435" s="175"/>
      <c r="D435" s="229" t="s">
        <v>31</v>
      </c>
      <c r="E435" s="82" t="s">
        <v>1612</v>
      </c>
      <c r="F435" s="81">
        <f>IFERROR(VLOOKUP(E435,客户!B:C,2,FALSE),"/")</f>
        <v>0</v>
      </c>
      <c r="G435" s="82" t="s">
        <v>1613</v>
      </c>
      <c r="H435" s="45" t="s">
        <v>186</v>
      </c>
      <c r="I435" s="254"/>
      <c r="J435" s="108">
        <v>44405</v>
      </c>
      <c r="K435" s="159">
        <v>44448</v>
      </c>
      <c r="L435" s="100"/>
      <c r="M435" s="165"/>
      <c r="N435" s="198" t="s">
        <v>1614</v>
      </c>
      <c r="O435" s="104" t="s">
        <v>970</v>
      </c>
      <c r="P435" s="240">
        <f>16753.5+600</f>
        <v>17353.5</v>
      </c>
      <c r="Q435" s="240">
        <v>3600</v>
      </c>
      <c r="R435" s="241"/>
      <c r="S435" s="242"/>
      <c r="T435" s="240">
        <v>13189</v>
      </c>
      <c r="U435" s="240">
        <v>564</v>
      </c>
      <c r="V435" s="130"/>
      <c r="W435" s="170"/>
    </row>
    <row r="436" s="39" customFormat="1" ht="22" hidden="1" customHeight="1" spans="1:23">
      <c r="A436" s="144" t="s">
        <v>1615</v>
      </c>
      <c r="B436" s="174" t="s">
        <v>30</v>
      </c>
      <c r="C436" s="175"/>
      <c r="D436" s="229" t="s">
        <v>31</v>
      </c>
      <c r="E436" s="82" t="s">
        <v>1238</v>
      </c>
      <c r="F436" s="81">
        <f>IFERROR(VLOOKUP(E436,客户!B:C,2,FALSE),"/")</f>
        <v>0</v>
      </c>
      <c r="G436" s="82" t="s">
        <v>1616</v>
      </c>
      <c r="H436" s="45" t="s">
        <v>123</v>
      </c>
      <c r="I436" s="45" t="s">
        <v>1617</v>
      </c>
      <c r="J436" s="108">
        <v>44411</v>
      </c>
      <c r="K436" s="159">
        <v>44454</v>
      </c>
      <c r="L436" s="100">
        <v>44482</v>
      </c>
      <c r="M436" s="165" t="s">
        <v>1618</v>
      </c>
      <c r="N436" s="198" t="s">
        <v>1619</v>
      </c>
      <c r="O436" s="104" t="s">
        <v>523</v>
      </c>
      <c r="P436" s="102">
        <v>31995.94</v>
      </c>
      <c r="Q436" s="240"/>
      <c r="R436" s="241"/>
      <c r="S436" s="242"/>
      <c r="T436" s="102">
        <v>22000</v>
      </c>
      <c r="U436" s="102">
        <f>4682.05+5313.89</f>
        <v>9995.94</v>
      </c>
      <c r="V436" s="130"/>
      <c r="W436" s="170"/>
    </row>
    <row r="437" s="39" customFormat="1" ht="22" hidden="1" customHeight="1" spans="1:23">
      <c r="A437" s="144" t="s">
        <v>1620</v>
      </c>
      <c r="B437" s="174" t="s">
        <v>30</v>
      </c>
      <c r="C437" s="175"/>
      <c r="D437" s="229" t="s">
        <v>31</v>
      </c>
      <c r="E437" s="82" t="s">
        <v>1238</v>
      </c>
      <c r="F437" s="81">
        <f>IFERROR(VLOOKUP(E437,客户!B:C,2,FALSE),"/")</f>
        <v>0</v>
      </c>
      <c r="G437" s="82" t="s">
        <v>1616</v>
      </c>
      <c r="H437" s="45" t="s">
        <v>123</v>
      </c>
      <c r="I437" s="45" t="s">
        <v>1617</v>
      </c>
      <c r="J437" s="108">
        <v>44411</v>
      </c>
      <c r="K437" s="159">
        <v>44460</v>
      </c>
      <c r="L437" s="100">
        <v>44487</v>
      </c>
      <c r="M437" s="165" t="s">
        <v>1621</v>
      </c>
      <c r="N437" s="198" t="s">
        <v>1622</v>
      </c>
      <c r="O437" s="104" t="s">
        <v>523</v>
      </c>
      <c r="P437" s="102">
        <v>32795.28</v>
      </c>
      <c r="Q437" s="240"/>
      <c r="R437" s="241"/>
      <c r="S437" s="242"/>
      <c r="T437" s="102">
        <v>18137.13</v>
      </c>
      <c r="U437" s="102">
        <v>14658.15</v>
      </c>
      <c r="V437" s="130" t="s">
        <v>1623</v>
      </c>
      <c r="W437" s="170"/>
    </row>
    <row r="438" s="39" customFormat="1" ht="22" hidden="1" customHeight="1" spans="1:23">
      <c r="A438" s="144" t="s">
        <v>1624</v>
      </c>
      <c r="B438" s="174" t="s">
        <v>30</v>
      </c>
      <c r="C438" s="175"/>
      <c r="D438" s="229" t="s">
        <v>31</v>
      </c>
      <c r="E438" s="82" t="s">
        <v>1377</v>
      </c>
      <c r="F438" s="81">
        <f>IFERROR(VLOOKUP(E438,客户!B:C,2,FALSE),"/")</f>
        <v>0</v>
      </c>
      <c r="G438" s="82" t="s">
        <v>1625</v>
      </c>
      <c r="H438" s="45" t="s">
        <v>123</v>
      </c>
      <c r="I438" s="45" t="s">
        <v>1626</v>
      </c>
      <c r="J438" s="108">
        <v>44413</v>
      </c>
      <c r="K438" s="159">
        <v>44470</v>
      </c>
      <c r="L438" s="100">
        <v>44510</v>
      </c>
      <c r="M438" s="165" t="s">
        <v>1627</v>
      </c>
      <c r="N438" s="198" t="s">
        <v>1628</v>
      </c>
      <c r="O438" s="104" t="s">
        <v>523</v>
      </c>
      <c r="P438" s="102">
        <v>37318.45</v>
      </c>
      <c r="Q438" s="102">
        <v>3000</v>
      </c>
      <c r="R438" s="241"/>
      <c r="S438" s="242"/>
      <c r="T438" s="102">
        <v>34318.45</v>
      </c>
      <c r="U438" s="100"/>
      <c r="V438" s="130"/>
      <c r="W438" s="170"/>
    </row>
    <row r="439" s="39" customFormat="1" ht="22" hidden="1" customHeight="1" spans="1:23">
      <c r="A439" s="144" t="s">
        <v>1629</v>
      </c>
      <c r="B439" s="174" t="s">
        <v>30</v>
      </c>
      <c r="C439" s="175"/>
      <c r="D439" s="229" t="s">
        <v>31</v>
      </c>
      <c r="E439" s="82" t="s">
        <v>1257</v>
      </c>
      <c r="F439" s="81">
        <f>IFERROR(VLOOKUP(E439,客户!B:C,2,FALSE),"/")</f>
        <v>0</v>
      </c>
      <c r="G439" s="80" t="s">
        <v>941</v>
      </c>
      <c r="H439" s="45" t="s">
        <v>123</v>
      </c>
      <c r="I439" s="45" t="s">
        <v>751</v>
      </c>
      <c r="J439" s="108">
        <v>44414</v>
      </c>
      <c r="K439" s="159">
        <v>44454</v>
      </c>
      <c r="L439" s="100">
        <v>44491</v>
      </c>
      <c r="M439" s="165" t="s">
        <v>1630</v>
      </c>
      <c r="N439" s="198" t="s">
        <v>1631</v>
      </c>
      <c r="O439" s="104" t="s">
        <v>523</v>
      </c>
      <c r="P439" s="102">
        <v>32721.27</v>
      </c>
      <c r="Q439" s="102">
        <v>5822</v>
      </c>
      <c r="R439" s="241"/>
      <c r="S439" s="242"/>
      <c r="T439" s="102">
        <v>26899.27</v>
      </c>
      <c r="U439" s="100"/>
      <c r="V439" s="130"/>
      <c r="W439" s="170"/>
    </row>
    <row r="440" s="39" customFormat="1" ht="22" hidden="1" customHeight="1" spans="1:23">
      <c r="A440" s="144" t="s">
        <v>1632</v>
      </c>
      <c r="B440" s="174" t="s">
        <v>30</v>
      </c>
      <c r="C440" s="175"/>
      <c r="D440" s="229" t="s">
        <v>31</v>
      </c>
      <c r="E440" s="82" t="s">
        <v>1167</v>
      </c>
      <c r="F440" s="81">
        <f>IFERROR(VLOOKUP(E440,客户!B:C,2,FALSE),"/")</f>
        <v>0</v>
      </c>
      <c r="G440" s="80" t="s">
        <v>1369</v>
      </c>
      <c r="H440" s="45" t="s">
        <v>123</v>
      </c>
      <c r="I440" s="45" t="s">
        <v>1370</v>
      </c>
      <c r="J440" s="108">
        <v>44420</v>
      </c>
      <c r="K440" s="159">
        <v>44455</v>
      </c>
      <c r="L440" s="100">
        <v>44486</v>
      </c>
      <c r="M440" s="165" t="s">
        <v>1633</v>
      </c>
      <c r="N440" s="198" t="s">
        <v>1634</v>
      </c>
      <c r="O440" s="104" t="s">
        <v>523</v>
      </c>
      <c r="P440" s="102">
        <v>37399.07</v>
      </c>
      <c r="Q440" s="102">
        <f>6600+5100</f>
        <v>11700</v>
      </c>
      <c r="R440" s="241"/>
      <c r="S440" s="242"/>
      <c r="T440" s="102">
        <v>25699.07</v>
      </c>
      <c r="U440" s="100"/>
      <c r="V440" s="130"/>
      <c r="W440" s="170"/>
    </row>
    <row r="441" s="39" customFormat="1" ht="22" hidden="1" customHeight="1" spans="1:23">
      <c r="A441" s="144" t="s">
        <v>1635</v>
      </c>
      <c r="B441" s="174" t="s">
        <v>30</v>
      </c>
      <c r="C441" s="175"/>
      <c r="D441" s="229" t="s">
        <v>31</v>
      </c>
      <c r="E441" s="82" t="s">
        <v>1274</v>
      </c>
      <c r="F441" s="81">
        <f>IFERROR(VLOOKUP(E441,客户!B:C,2,FALSE),"/")</f>
        <v>0</v>
      </c>
      <c r="G441" s="80" t="s">
        <v>941</v>
      </c>
      <c r="H441" s="45" t="s">
        <v>123</v>
      </c>
      <c r="I441" s="45" t="s">
        <v>1636</v>
      </c>
      <c r="J441" s="108">
        <v>44425</v>
      </c>
      <c r="K441" s="159">
        <v>44511</v>
      </c>
      <c r="L441" s="100">
        <v>44538</v>
      </c>
      <c r="M441" s="165" t="s">
        <v>1637</v>
      </c>
      <c r="N441" s="198" t="s">
        <v>1638</v>
      </c>
      <c r="O441" s="104" t="s">
        <v>523</v>
      </c>
      <c r="P441" s="102">
        <v>24562</v>
      </c>
      <c r="Q441" s="102"/>
      <c r="R441" s="241"/>
      <c r="S441" s="242"/>
      <c r="T441" s="102">
        <v>24562</v>
      </c>
      <c r="U441" s="100"/>
      <c r="V441" s="130"/>
      <c r="W441" s="170"/>
    </row>
    <row r="442" s="39" customFormat="1" ht="22" hidden="1" customHeight="1" spans="1:23">
      <c r="A442" s="144" t="s">
        <v>1639</v>
      </c>
      <c r="B442" s="174" t="s">
        <v>30</v>
      </c>
      <c r="C442" s="175"/>
      <c r="D442" s="229" t="s">
        <v>31</v>
      </c>
      <c r="E442" s="82" t="s">
        <v>1117</v>
      </c>
      <c r="F442" s="81">
        <f>IFERROR(VLOOKUP(E442,客户!B:C,2,FALSE),"/")</f>
        <v>0</v>
      </c>
      <c r="G442" s="80" t="s">
        <v>1640</v>
      </c>
      <c r="H442" s="45" t="s">
        <v>186</v>
      </c>
      <c r="I442" s="45"/>
      <c r="J442" s="108">
        <v>44433</v>
      </c>
      <c r="K442" s="159">
        <v>44448</v>
      </c>
      <c r="L442" s="100"/>
      <c r="M442" s="165" t="s">
        <v>1641</v>
      </c>
      <c r="N442" s="108"/>
      <c r="O442" s="104" t="s">
        <v>970</v>
      </c>
      <c r="P442" s="240">
        <v>17850</v>
      </c>
      <c r="Q442" s="102"/>
      <c r="R442" s="241"/>
      <c r="S442" s="242"/>
      <c r="T442" s="240">
        <v>17850</v>
      </c>
      <c r="U442" s="100"/>
      <c r="V442" s="130"/>
      <c r="W442" s="170"/>
    </row>
    <row r="443" s="39" customFormat="1" ht="22" hidden="1" customHeight="1" spans="1:23">
      <c r="A443" s="144" t="s">
        <v>1642</v>
      </c>
      <c r="B443" s="174" t="s">
        <v>30</v>
      </c>
      <c r="C443" s="175"/>
      <c r="D443" s="229" t="s">
        <v>31</v>
      </c>
      <c r="E443" s="82" t="s">
        <v>1167</v>
      </c>
      <c r="F443" s="81">
        <f>IFERROR(VLOOKUP(E443,客户!B:C,2,FALSE),"/")</f>
        <v>0</v>
      </c>
      <c r="G443" s="80" t="s">
        <v>1369</v>
      </c>
      <c r="H443" s="45" t="s">
        <v>123</v>
      </c>
      <c r="I443" s="45" t="s">
        <v>1370</v>
      </c>
      <c r="J443" s="108">
        <v>44433</v>
      </c>
      <c r="K443" s="159">
        <v>44485</v>
      </c>
      <c r="L443" s="100">
        <v>44546</v>
      </c>
      <c r="M443" s="165" t="s">
        <v>1643</v>
      </c>
      <c r="N443" s="198" t="s">
        <v>1644</v>
      </c>
      <c r="O443" s="104" t="s">
        <v>523</v>
      </c>
      <c r="P443" s="102">
        <v>34602.13</v>
      </c>
      <c r="Q443" s="102">
        <v>10400</v>
      </c>
      <c r="R443" s="241"/>
      <c r="S443" s="242"/>
      <c r="T443" s="102">
        <v>24202.13</v>
      </c>
      <c r="U443" s="100"/>
      <c r="V443" s="130"/>
      <c r="W443" s="170"/>
    </row>
    <row r="444" s="39" customFormat="1" ht="22" hidden="1" customHeight="1" spans="1:23">
      <c r="A444" s="144" t="s">
        <v>1645</v>
      </c>
      <c r="B444" s="174" t="s">
        <v>30</v>
      </c>
      <c r="C444" s="175"/>
      <c r="D444" s="229" t="s">
        <v>31</v>
      </c>
      <c r="E444" s="82" t="s">
        <v>1121</v>
      </c>
      <c r="F444" s="81">
        <f>IFERROR(VLOOKUP(E444,客户!B:C,2,FALSE),"/")</f>
        <v>0</v>
      </c>
      <c r="G444" s="80" t="s">
        <v>1419</v>
      </c>
      <c r="H444" s="45" t="s">
        <v>123</v>
      </c>
      <c r="I444" s="45" t="s">
        <v>215</v>
      </c>
      <c r="J444" s="108">
        <v>44434</v>
      </c>
      <c r="K444" s="159">
        <v>44492</v>
      </c>
      <c r="L444" s="100">
        <v>44509</v>
      </c>
      <c r="M444" s="165" t="s">
        <v>1646</v>
      </c>
      <c r="N444" s="198" t="s">
        <v>1647</v>
      </c>
      <c r="O444" s="104" t="s">
        <v>523</v>
      </c>
      <c r="P444" s="102">
        <v>61451.64</v>
      </c>
      <c r="Q444" s="102"/>
      <c r="R444" s="241"/>
      <c r="S444" s="242"/>
      <c r="T444" s="102">
        <v>61451.64</v>
      </c>
      <c r="U444" s="100"/>
      <c r="V444" s="130"/>
      <c r="W444" s="170"/>
    </row>
    <row r="445" s="39" customFormat="1" ht="22" hidden="1" customHeight="1" spans="1:23">
      <c r="A445" s="144" t="s">
        <v>1648</v>
      </c>
      <c r="B445" s="174" t="s">
        <v>30</v>
      </c>
      <c r="C445" s="175"/>
      <c r="D445" s="229" t="s">
        <v>31</v>
      </c>
      <c r="E445" s="82" t="s">
        <v>1121</v>
      </c>
      <c r="F445" s="81">
        <f>IFERROR(VLOOKUP(E445,客户!B:C,2,FALSE),"/")</f>
        <v>0</v>
      </c>
      <c r="G445" s="80" t="s">
        <v>1419</v>
      </c>
      <c r="H445" s="45" t="s">
        <v>123</v>
      </c>
      <c r="I445" s="45" t="s">
        <v>215</v>
      </c>
      <c r="J445" s="108">
        <v>44434</v>
      </c>
      <c r="K445" s="159">
        <v>44500</v>
      </c>
      <c r="L445" s="100">
        <v>44516</v>
      </c>
      <c r="M445" s="165" t="s">
        <v>1649</v>
      </c>
      <c r="N445" s="198" t="s">
        <v>1650</v>
      </c>
      <c r="O445" s="104" t="s">
        <v>523</v>
      </c>
      <c r="P445" s="102">
        <v>60927</v>
      </c>
      <c r="Q445" s="102">
        <v>10000</v>
      </c>
      <c r="R445" s="241"/>
      <c r="S445" s="242"/>
      <c r="T445" s="102">
        <v>50927</v>
      </c>
      <c r="U445" s="100"/>
      <c r="V445" s="130"/>
      <c r="W445" s="170"/>
    </row>
    <row r="446" s="39" customFormat="1" ht="21" hidden="1" customHeight="1" spans="1:23">
      <c r="A446" s="145" t="s">
        <v>1651</v>
      </c>
      <c r="B446" s="174" t="s">
        <v>30</v>
      </c>
      <c r="C446" s="175"/>
      <c r="D446" s="229" t="s">
        <v>31</v>
      </c>
      <c r="E446" s="82" t="s">
        <v>1249</v>
      </c>
      <c r="F446" s="81">
        <f>IFERROR(VLOOKUP(E446,客户!B:C,2,FALSE),"/")</f>
        <v>0</v>
      </c>
      <c r="G446" s="80" t="s">
        <v>941</v>
      </c>
      <c r="H446" s="45" t="s">
        <v>123</v>
      </c>
      <c r="I446" s="45" t="s">
        <v>1250</v>
      </c>
      <c r="J446" s="108">
        <v>44435</v>
      </c>
      <c r="K446" s="159">
        <v>44470</v>
      </c>
      <c r="L446" s="100">
        <v>44510</v>
      </c>
      <c r="M446" s="165" t="s">
        <v>1652</v>
      </c>
      <c r="N446" s="198" t="s">
        <v>1653</v>
      </c>
      <c r="O446" s="104" t="s">
        <v>523</v>
      </c>
      <c r="P446" s="102">
        <v>24038.93</v>
      </c>
      <c r="Q446" s="102">
        <v>7212</v>
      </c>
      <c r="R446" s="241"/>
      <c r="S446" s="242"/>
      <c r="T446" s="102">
        <v>16826.93</v>
      </c>
      <c r="U446" s="100"/>
      <c r="V446" s="130"/>
      <c r="W446" s="170"/>
    </row>
    <row r="447" s="39" customFormat="1" ht="22" hidden="1" customHeight="1" spans="1:23">
      <c r="A447" s="144" t="s">
        <v>1654</v>
      </c>
      <c r="B447" s="174" t="s">
        <v>30</v>
      </c>
      <c r="C447" s="175"/>
      <c r="D447" s="229" t="s">
        <v>31</v>
      </c>
      <c r="E447" s="82" t="s">
        <v>1117</v>
      </c>
      <c r="F447" s="81">
        <f>IFERROR(VLOOKUP(E447,客户!B:C,2,FALSE),"/")</f>
        <v>0</v>
      </c>
      <c r="G447" s="80" t="s">
        <v>941</v>
      </c>
      <c r="H447" s="45" t="s">
        <v>123</v>
      </c>
      <c r="I447" s="45" t="s">
        <v>1655</v>
      </c>
      <c r="J447" s="108">
        <v>44446</v>
      </c>
      <c r="K447" s="159">
        <v>44486</v>
      </c>
      <c r="L447" s="100"/>
      <c r="M447" s="165" t="s">
        <v>1656</v>
      </c>
      <c r="N447" s="198" t="s">
        <v>1657</v>
      </c>
      <c r="O447" s="104" t="s">
        <v>970</v>
      </c>
      <c r="P447" s="102">
        <v>30681.26</v>
      </c>
      <c r="Q447" s="102"/>
      <c r="R447" s="241"/>
      <c r="S447" s="242"/>
      <c r="T447" s="203">
        <v>13395</v>
      </c>
      <c r="U447" s="100"/>
      <c r="V447" s="217" t="s">
        <v>1658</v>
      </c>
      <c r="W447" s="170"/>
    </row>
    <row r="448" s="39" customFormat="1" ht="22" hidden="1" customHeight="1" spans="1:23">
      <c r="A448" s="190" t="s">
        <v>1659</v>
      </c>
      <c r="B448" s="174" t="s">
        <v>30</v>
      </c>
      <c r="C448" s="175"/>
      <c r="D448" s="229" t="s">
        <v>31</v>
      </c>
      <c r="E448" s="82" t="s">
        <v>1607</v>
      </c>
      <c r="F448" s="81">
        <f>IFERROR(VLOOKUP(E448,客户!B:C,2,FALSE),"/")</f>
        <v>0</v>
      </c>
      <c r="G448" s="82" t="s">
        <v>1608</v>
      </c>
      <c r="H448" s="45" t="s">
        <v>147</v>
      </c>
      <c r="I448" s="254" t="s">
        <v>1609</v>
      </c>
      <c r="J448" s="108">
        <v>44447</v>
      </c>
      <c r="K448" s="159">
        <v>44462</v>
      </c>
      <c r="L448" s="100"/>
      <c r="M448" s="165" t="s">
        <v>1660</v>
      </c>
      <c r="N448" s="108"/>
      <c r="O448" s="104" t="s">
        <v>970</v>
      </c>
      <c r="P448" s="102">
        <v>4498.2</v>
      </c>
      <c r="Q448" s="102"/>
      <c r="R448" s="241"/>
      <c r="S448" s="242"/>
      <c r="T448" s="102">
        <v>4498.2</v>
      </c>
      <c r="U448" s="100"/>
      <c r="V448" s="130"/>
      <c r="W448" s="170"/>
    </row>
    <row r="449" s="39" customFormat="1" ht="22" hidden="1" customHeight="1" spans="1:23">
      <c r="A449" s="144" t="s">
        <v>1661</v>
      </c>
      <c r="B449" s="174" t="s">
        <v>30</v>
      </c>
      <c r="C449" s="175"/>
      <c r="D449" s="229" t="s">
        <v>31</v>
      </c>
      <c r="E449" s="82" t="s">
        <v>1238</v>
      </c>
      <c r="F449" s="81">
        <f>IFERROR(VLOOKUP(E449,客户!B:C,2,FALSE),"/")</f>
        <v>0</v>
      </c>
      <c r="G449" s="82" t="s">
        <v>1616</v>
      </c>
      <c r="H449" s="45" t="s">
        <v>123</v>
      </c>
      <c r="I449" s="45" t="s">
        <v>1662</v>
      </c>
      <c r="J449" s="108">
        <v>44447</v>
      </c>
      <c r="K449" s="159">
        <v>44503</v>
      </c>
      <c r="L449" s="100">
        <v>44542</v>
      </c>
      <c r="M449" s="165" t="s">
        <v>1663</v>
      </c>
      <c r="N449" s="198" t="s">
        <v>1664</v>
      </c>
      <c r="O449" s="104" t="s">
        <v>523</v>
      </c>
      <c r="P449" s="102">
        <v>33264.55</v>
      </c>
      <c r="Q449" s="102"/>
      <c r="R449" s="241"/>
      <c r="S449" s="242"/>
      <c r="T449" s="102">
        <v>22980</v>
      </c>
      <c r="U449" s="102">
        <v>10284.55</v>
      </c>
      <c r="V449" s="130" t="s">
        <v>1665</v>
      </c>
      <c r="W449" s="170"/>
    </row>
    <row r="450" s="39" customFormat="1" ht="22" hidden="1" customHeight="1" spans="1:23">
      <c r="A450" s="144" t="s">
        <v>1666</v>
      </c>
      <c r="B450" s="174" t="s">
        <v>30</v>
      </c>
      <c r="C450" s="175"/>
      <c r="D450" s="229" t="s">
        <v>31</v>
      </c>
      <c r="E450" s="82" t="s">
        <v>1238</v>
      </c>
      <c r="F450" s="81">
        <f>IFERROR(VLOOKUP(E450,客户!B:C,2,FALSE),"/")</f>
        <v>0</v>
      </c>
      <c r="G450" s="82" t="s">
        <v>1616</v>
      </c>
      <c r="H450" s="45" t="s">
        <v>123</v>
      </c>
      <c r="I450" s="45" t="s">
        <v>1662</v>
      </c>
      <c r="J450" s="108">
        <v>44447</v>
      </c>
      <c r="K450" s="159">
        <v>44512</v>
      </c>
      <c r="L450" s="100">
        <v>44543</v>
      </c>
      <c r="M450" s="165" t="s">
        <v>1667</v>
      </c>
      <c r="N450" s="198" t="s">
        <v>1668</v>
      </c>
      <c r="O450" s="104" t="s">
        <v>523</v>
      </c>
      <c r="P450" s="102">
        <v>30699.02</v>
      </c>
      <c r="Q450" s="102"/>
      <c r="R450" s="241"/>
      <c r="S450" s="242"/>
      <c r="T450" s="102">
        <v>21776.57</v>
      </c>
      <c r="U450" s="102">
        <v>8922.45</v>
      </c>
      <c r="V450" s="219" t="s">
        <v>1669</v>
      </c>
      <c r="W450" s="170"/>
    </row>
    <row r="451" s="39" customFormat="1" ht="22" hidden="1" customHeight="1" spans="1:23">
      <c r="A451" s="144" t="s">
        <v>1670</v>
      </c>
      <c r="B451" s="174" t="s">
        <v>30</v>
      </c>
      <c r="C451" s="175"/>
      <c r="D451" s="229" t="s">
        <v>31</v>
      </c>
      <c r="E451" s="82" t="s">
        <v>1210</v>
      </c>
      <c r="F451" s="81">
        <f>IFERROR(VLOOKUP(E451,客户!B:C,2,FALSE),"/")</f>
        <v>0</v>
      </c>
      <c r="G451" s="82" t="s">
        <v>1671</v>
      </c>
      <c r="H451" s="45"/>
      <c r="I451" s="45" t="s">
        <v>1672</v>
      </c>
      <c r="J451" s="108">
        <v>44448</v>
      </c>
      <c r="K451" s="159">
        <v>44507</v>
      </c>
      <c r="L451" s="100"/>
      <c r="M451" s="165" t="s">
        <v>1673</v>
      </c>
      <c r="N451" s="198" t="s">
        <v>1674</v>
      </c>
      <c r="O451" s="104" t="s">
        <v>523</v>
      </c>
      <c r="P451" s="102">
        <v>4405.68</v>
      </c>
      <c r="Q451" s="102"/>
      <c r="R451" s="241"/>
      <c r="S451" s="242"/>
      <c r="T451" s="102">
        <v>4405.68</v>
      </c>
      <c r="U451" s="100"/>
      <c r="V451" s="219" t="s">
        <v>1675</v>
      </c>
      <c r="W451" s="170"/>
    </row>
    <row r="452" s="39" customFormat="1" ht="22" hidden="1" customHeight="1" spans="1:23">
      <c r="A452" s="144" t="s">
        <v>1676</v>
      </c>
      <c r="B452" s="174" t="s">
        <v>30</v>
      </c>
      <c r="C452" s="175"/>
      <c r="D452" s="229" t="s">
        <v>31</v>
      </c>
      <c r="E452" s="82" t="s">
        <v>1167</v>
      </c>
      <c r="F452" s="81">
        <f>IFERROR(VLOOKUP(E452,客户!B:C,2,FALSE),"/")</f>
        <v>0</v>
      </c>
      <c r="G452" s="80" t="s">
        <v>1369</v>
      </c>
      <c r="H452" s="45" t="s">
        <v>123</v>
      </c>
      <c r="I452" s="45" t="s">
        <v>1370</v>
      </c>
      <c r="J452" s="108">
        <v>44454</v>
      </c>
      <c r="K452" s="159">
        <v>44548</v>
      </c>
      <c r="L452" s="100"/>
      <c r="M452" s="165" t="s">
        <v>1677</v>
      </c>
      <c r="N452" s="198" t="s">
        <v>1678</v>
      </c>
      <c r="O452" s="104" t="s">
        <v>523</v>
      </c>
      <c r="P452" s="102">
        <v>34964.34</v>
      </c>
      <c r="Q452" s="102">
        <v>10300</v>
      </c>
      <c r="R452" s="241"/>
      <c r="S452" s="242"/>
      <c r="T452" s="102">
        <v>24664.34</v>
      </c>
      <c r="U452" s="100"/>
      <c r="V452" s="130"/>
      <c r="W452" s="170"/>
    </row>
    <row r="453" s="39" customFormat="1" ht="22" hidden="1" customHeight="1" spans="1:23">
      <c r="A453" s="144" t="s">
        <v>1679</v>
      </c>
      <c r="B453" s="174" t="s">
        <v>30</v>
      </c>
      <c r="C453" s="175"/>
      <c r="D453" s="229" t="s">
        <v>31</v>
      </c>
      <c r="E453" s="82" t="s">
        <v>1377</v>
      </c>
      <c r="F453" s="81">
        <f>IFERROR(VLOOKUP(E453,客户!B:C,2,FALSE),"/")</f>
        <v>0</v>
      </c>
      <c r="G453" s="80" t="s">
        <v>1680</v>
      </c>
      <c r="H453" s="45" t="s">
        <v>123</v>
      </c>
      <c r="I453" s="45" t="s">
        <v>1626</v>
      </c>
      <c r="J453" s="108">
        <v>44455</v>
      </c>
      <c r="K453" s="159">
        <v>44527</v>
      </c>
      <c r="L453" s="100">
        <v>44577</v>
      </c>
      <c r="M453" s="165" t="s">
        <v>1681</v>
      </c>
      <c r="N453" s="198" t="s">
        <v>1682</v>
      </c>
      <c r="O453" s="104" t="s">
        <v>523</v>
      </c>
      <c r="P453" s="102">
        <v>37352</v>
      </c>
      <c r="Q453" s="102">
        <v>6000</v>
      </c>
      <c r="R453" s="241"/>
      <c r="S453" s="242"/>
      <c r="T453" s="102">
        <v>31352</v>
      </c>
      <c r="U453" s="100"/>
      <c r="V453" s="130"/>
      <c r="W453" s="170"/>
    </row>
    <row r="454" s="39" customFormat="1" ht="22" hidden="1" customHeight="1" spans="1:23">
      <c r="A454" s="144" t="s">
        <v>1683</v>
      </c>
      <c r="B454" s="174" t="s">
        <v>30</v>
      </c>
      <c r="C454" s="175"/>
      <c r="D454" s="229" t="s">
        <v>31</v>
      </c>
      <c r="E454" s="82" t="s">
        <v>1508</v>
      </c>
      <c r="F454" s="81">
        <f>IFERROR(VLOOKUP(E454,客户!B:C,2,FALSE),"/")</f>
        <v>0</v>
      </c>
      <c r="G454" s="80" t="s">
        <v>941</v>
      </c>
      <c r="H454" s="45" t="s">
        <v>123</v>
      </c>
      <c r="I454" s="45" t="s">
        <v>1684</v>
      </c>
      <c r="J454" s="108">
        <v>44459</v>
      </c>
      <c r="K454" s="159">
        <v>44535</v>
      </c>
      <c r="L454" s="100">
        <v>44599</v>
      </c>
      <c r="M454" s="165" t="s">
        <v>1685</v>
      </c>
      <c r="N454" s="198" t="s">
        <v>1686</v>
      </c>
      <c r="O454" s="104" t="s">
        <v>523</v>
      </c>
      <c r="P454" s="102">
        <v>32165.35</v>
      </c>
      <c r="Q454" s="102">
        <v>9000</v>
      </c>
      <c r="R454" s="241"/>
      <c r="S454" s="242"/>
      <c r="T454" s="102">
        <v>23165.35</v>
      </c>
      <c r="U454" s="100"/>
      <c r="V454" s="130"/>
      <c r="W454" s="170"/>
    </row>
    <row r="455" s="39" customFormat="1" ht="22" hidden="1" customHeight="1" spans="1:23">
      <c r="A455" s="144" t="s">
        <v>1687</v>
      </c>
      <c r="B455" s="174" t="s">
        <v>30</v>
      </c>
      <c r="C455" s="175"/>
      <c r="D455" s="229" t="s">
        <v>31</v>
      </c>
      <c r="E455" s="82" t="s">
        <v>1508</v>
      </c>
      <c r="F455" s="81">
        <f>IFERROR(VLOOKUP(E455,客户!B:C,2,FALSE),"/")</f>
        <v>0</v>
      </c>
      <c r="G455" s="80" t="s">
        <v>941</v>
      </c>
      <c r="H455" s="45" t="s">
        <v>123</v>
      </c>
      <c r="I455" s="45" t="s">
        <v>1546</v>
      </c>
      <c r="J455" s="108">
        <v>44459</v>
      </c>
      <c r="K455" s="159">
        <v>44542</v>
      </c>
      <c r="L455" s="100">
        <v>44592</v>
      </c>
      <c r="M455" s="165" t="s">
        <v>1688</v>
      </c>
      <c r="N455" s="198" t="s">
        <v>1689</v>
      </c>
      <c r="O455" s="104" t="s">
        <v>523</v>
      </c>
      <c r="P455" s="102">
        <v>31515.35</v>
      </c>
      <c r="Q455" s="102">
        <v>9000</v>
      </c>
      <c r="R455" s="241"/>
      <c r="S455" s="242"/>
      <c r="T455" s="102">
        <v>22515.35</v>
      </c>
      <c r="U455" s="100"/>
      <c r="V455" s="130"/>
      <c r="W455" s="170"/>
    </row>
    <row r="456" s="39" customFormat="1" ht="22" hidden="1" customHeight="1" spans="1:23">
      <c r="A456" s="144" t="s">
        <v>1690</v>
      </c>
      <c r="B456" s="174" t="s">
        <v>30</v>
      </c>
      <c r="C456" s="175"/>
      <c r="D456" s="229" t="s">
        <v>31</v>
      </c>
      <c r="E456" s="82" t="s">
        <v>1508</v>
      </c>
      <c r="F456" s="81">
        <f>IFERROR(VLOOKUP(E456,客户!B:C,2,FALSE),"/")</f>
        <v>0</v>
      </c>
      <c r="G456" s="80" t="s">
        <v>941</v>
      </c>
      <c r="H456" s="45" t="s">
        <v>123</v>
      </c>
      <c r="I456" s="45" t="s">
        <v>560</v>
      </c>
      <c r="J456" s="108">
        <v>44459</v>
      </c>
      <c r="K456" s="159">
        <v>44552</v>
      </c>
      <c r="L456" s="100">
        <v>44602</v>
      </c>
      <c r="M456" s="165" t="s">
        <v>1691</v>
      </c>
      <c r="N456" s="198" t="s">
        <v>1692</v>
      </c>
      <c r="O456" s="104" t="s">
        <v>523</v>
      </c>
      <c r="P456" s="102">
        <v>32165.35</v>
      </c>
      <c r="Q456" s="102">
        <v>9000</v>
      </c>
      <c r="R456" s="241"/>
      <c r="S456" s="242"/>
      <c r="T456" s="102">
        <v>23165.35</v>
      </c>
      <c r="U456" s="100"/>
      <c r="V456" s="130"/>
      <c r="W456" s="170"/>
    </row>
    <row r="457" s="39" customFormat="1" ht="22" hidden="1" customHeight="1" spans="1:23">
      <c r="A457" s="144" t="s">
        <v>1693</v>
      </c>
      <c r="B457" s="174" t="s">
        <v>30</v>
      </c>
      <c r="C457" s="175"/>
      <c r="D457" s="229" t="s">
        <v>31</v>
      </c>
      <c r="E457" s="82" t="s">
        <v>1326</v>
      </c>
      <c r="F457" s="81">
        <f>IFERROR(VLOOKUP(E457,客户!B:C,2,FALSE),"/")</f>
        <v>0</v>
      </c>
      <c r="G457" s="80" t="s">
        <v>1202</v>
      </c>
      <c r="H457" s="45" t="s">
        <v>123</v>
      </c>
      <c r="I457" s="45" t="s">
        <v>755</v>
      </c>
      <c r="J457" s="108">
        <v>44462</v>
      </c>
      <c r="K457" s="159">
        <v>44549</v>
      </c>
      <c r="L457" s="100">
        <v>44623</v>
      </c>
      <c r="M457" s="165" t="s">
        <v>1694</v>
      </c>
      <c r="N457" s="198" t="s">
        <v>1695</v>
      </c>
      <c r="O457" s="104" t="s">
        <v>523</v>
      </c>
      <c r="P457" s="102">
        <v>28371</v>
      </c>
      <c r="Q457" s="102">
        <v>5674</v>
      </c>
      <c r="R457" s="241"/>
      <c r="S457" s="242"/>
      <c r="T457" s="102">
        <v>22697</v>
      </c>
      <c r="U457" s="100"/>
      <c r="V457" s="130"/>
      <c r="W457" s="170"/>
    </row>
    <row r="458" s="39" customFormat="1" ht="22" hidden="1" customHeight="1" spans="1:23">
      <c r="A458" s="144" t="s">
        <v>1696</v>
      </c>
      <c r="B458" s="174" t="s">
        <v>30</v>
      </c>
      <c r="C458" s="175"/>
      <c r="D458" s="229" t="s">
        <v>31</v>
      </c>
      <c r="E458" s="82" t="s">
        <v>1265</v>
      </c>
      <c r="F458" s="81" t="str">
        <f>IFERROR(VLOOKUP(E458,客户!B:C,2,FALSE),"/")</f>
        <v>外送费用945人民币+装箱费用 加在发票里</v>
      </c>
      <c r="G458" s="80" t="s">
        <v>1286</v>
      </c>
      <c r="H458" s="45" t="s">
        <v>123</v>
      </c>
      <c r="I458" s="45" t="s">
        <v>1697</v>
      </c>
      <c r="J458" s="108">
        <v>44463</v>
      </c>
      <c r="K458" s="159">
        <v>44526</v>
      </c>
      <c r="L458" s="100">
        <v>44572</v>
      </c>
      <c r="M458" s="165" t="s">
        <v>1698</v>
      </c>
      <c r="N458" s="198" t="s">
        <v>1699</v>
      </c>
      <c r="O458" s="104" t="s">
        <v>680</v>
      </c>
      <c r="P458" s="102">
        <v>101350.27</v>
      </c>
      <c r="Q458" s="102"/>
      <c r="R458" s="241"/>
      <c r="S458" s="242"/>
      <c r="T458" s="102">
        <v>101350.27</v>
      </c>
      <c r="U458" s="100"/>
      <c r="V458" s="130"/>
      <c r="W458" s="170"/>
    </row>
    <row r="459" s="39" customFormat="1" ht="22" hidden="1" customHeight="1" spans="1:23">
      <c r="A459" s="144" t="s">
        <v>1700</v>
      </c>
      <c r="B459" s="174" t="s">
        <v>30</v>
      </c>
      <c r="C459" s="175"/>
      <c r="D459" s="229" t="s">
        <v>31</v>
      </c>
      <c r="E459" s="82" t="s">
        <v>1265</v>
      </c>
      <c r="F459" s="81" t="str">
        <f>IFERROR(VLOOKUP(E459,客户!B:C,2,FALSE),"/")</f>
        <v>外送费用945人民币+装箱费用 加在发票里</v>
      </c>
      <c r="G459" s="80" t="s">
        <v>1286</v>
      </c>
      <c r="H459" s="45" t="s">
        <v>123</v>
      </c>
      <c r="I459" s="45" t="s">
        <v>1697</v>
      </c>
      <c r="J459" s="108">
        <v>44463</v>
      </c>
      <c r="K459" s="159">
        <v>44570</v>
      </c>
      <c r="L459" s="100">
        <v>44602</v>
      </c>
      <c r="M459" s="165" t="s">
        <v>1701</v>
      </c>
      <c r="N459" s="198" t="s">
        <v>1702</v>
      </c>
      <c r="O459" s="104" t="s">
        <v>680</v>
      </c>
      <c r="P459" s="102">
        <v>104996.4</v>
      </c>
      <c r="Q459" s="102"/>
      <c r="R459" s="241"/>
      <c r="S459" s="242"/>
      <c r="T459" s="102">
        <v>104996.4</v>
      </c>
      <c r="U459" s="100"/>
      <c r="V459" s="130"/>
      <c r="W459" s="170"/>
    </row>
    <row r="460" s="39" customFormat="1" ht="22" hidden="1" customHeight="1" spans="1:23">
      <c r="A460" s="144" t="s">
        <v>1703</v>
      </c>
      <c r="B460" s="174" t="s">
        <v>30</v>
      </c>
      <c r="C460" s="175"/>
      <c r="D460" s="229" t="s">
        <v>31</v>
      </c>
      <c r="E460" s="82" t="s">
        <v>1265</v>
      </c>
      <c r="F460" s="81" t="str">
        <f>IFERROR(VLOOKUP(E460,客户!B:C,2,FALSE),"/")</f>
        <v>外送费用945人民币+装箱费用 加在发票里</v>
      </c>
      <c r="G460" s="80" t="s">
        <v>1704</v>
      </c>
      <c r="H460" s="45" t="s">
        <v>123</v>
      </c>
      <c r="I460" s="45" t="s">
        <v>1280</v>
      </c>
      <c r="J460" s="108">
        <v>44463</v>
      </c>
      <c r="K460" s="159">
        <v>44526</v>
      </c>
      <c r="L460" s="100">
        <v>44579</v>
      </c>
      <c r="M460" s="165" t="s">
        <v>1705</v>
      </c>
      <c r="N460" s="198" t="s">
        <v>1706</v>
      </c>
      <c r="O460" s="104" t="s">
        <v>680</v>
      </c>
      <c r="P460" s="102">
        <v>168956.7</v>
      </c>
      <c r="Q460" s="102"/>
      <c r="R460" s="241"/>
      <c r="S460" s="242"/>
      <c r="T460" s="102">
        <v>168956.7</v>
      </c>
      <c r="U460" s="100"/>
      <c r="V460" s="130"/>
      <c r="W460" s="170"/>
    </row>
    <row r="461" s="39" customFormat="1" ht="22" hidden="1" customHeight="1" spans="1:23">
      <c r="A461" s="144" t="s">
        <v>1707</v>
      </c>
      <c r="B461" s="174" t="s">
        <v>30</v>
      </c>
      <c r="C461" s="175"/>
      <c r="D461" s="229" t="s">
        <v>31</v>
      </c>
      <c r="E461" s="82" t="s">
        <v>1265</v>
      </c>
      <c r="F461" s="81" t="str">
        <f>IFERROR(VLOOKUP(E461,客户!B:C,2,FALSE),"/")</f>
        <v>外送费用945人民币+装箱费用 加在发票里</v>
      </c>
      <c r="G461" s="80" t="s">
        <v>1286</v>
      </c>
      <c r="H461" s="45" t="s">
        <v>123</v>
      </c>
      <c r="I461" s="45" t="s">
        <v>1280</v>
      </c>
      <c r="J461" s="108">
        <v>44463</v>
      </c>
      <c r="K461" s="159">
        <v>44561</v>
      </c>
      <c r="L461" s="100">
        <v>44597</v>
      </c>
      <c r="M461" s="165" t="s">
        <v>1708</v>
      </c>
      <c r="N461" s="198" t="s">
        <v>1709</v>
      </c>
      <c r="O461" s="104" t="s">
        <v>680</v>
      </c>
      <c r="P461" s="102">
        <v>104066.4</v>
      </c>
      <c r="Q461" s="102"/>
      <c r="R461" s="241"/>
      <c r="S461" s="242"/>
      <c r="T461" s="102">
        <v>104066.4</v>
      </c>
      <c r="U461" s="100"/>
      <c r="V461" s="130"/>
      <c r="W461" s="170"/>
    </row>
    <row r="462" s="39" customFormat="1" ht="22" hidden="1" customHeight="1" spans="1:23">
      <c r="A462" s="144" t="s">
        <v>1710</v>
      </c>
      <c r="B462" s="174" t="s">
        <v>30</v>
      </c>
      <c r="C462" s="175"/>
      <c r="D462" s="229" t="s">
        <v>31</v>
      </c>
      <c r="E462" s="82" t="s">
        <v>1265</v>
      </c>
      <c r="F462" s="81" t="str">
        <f>IFERROR(VLOOKUP(E462,客户!B:C,2,FALSE),"/")</f>
        <v>外送费用945人民币+装箱费用 加在发票里</v>
      </c>
      <c r="G462" s="80" t="s">
        <v>1191</v>
      </c>
      <c r="H462" s="45" t="s">
        <v>123</v>
      </c>
      <c r="I462" s="45" t="s">
        <v>1280</v>
      </c>
      <c r="J462" s="108">
        <v>44463</v>
      </c>
      <c r="K462" s="159">
        <v>44590</v>
      </c>
      <c r="L462" s="100">
        <v>44628</v>
      </c>
      <c r="M462" s="165" t="s">
        <v>1711</v>
      </c>
      <c r="N462" s="198" t="s">
        <v>1712</v>
      </c>
      <c r="O462" s="104" t="s">
        <v>680</v>
      </c>
      <c r="P462" s="102">
        <v>69569.65</v>
      </c>
      <c r="Q462" s="102"/>
      <c r="R462" s="241"/>
      <c r="S462" s="242"/>
      <c r="T462" s="102">
        <v>69569.65</v>
      </c>
      <c r="U462" s="100"/>
      <c r="V462" s="130"/>
      <c r="W462" s="170"/>
    </row>
    <row r="463" s="39" customFormat="1" ht="22" hidden="1" customHeight="1" spans="1:23">
      <c r="A463" s="144" t="s">
        <v>1713</v>
      </c>
      <c r="B463" s="174" t="s">
        <v>30</v>
      </c>
      <c r="C463" s="175"/>
      <c r="D463" s="229" t="s">
        <v>31</v>
      </c>
      <c r="E463" s="82" t="s">
        <v>1083</v>
      </c>
      <c r="F463" s="81">
        <f>IFERROR(VLOOKUP(E463,客户!B:C,2,FALSE),"/")</f>
        <v>0</v>
      </c>
      <c r="G463" s="80" t="s">
        <v>985</v>
      </c>
      <c r="H463" s="45" t="s">
        <v>123</v>
      </c>
      <c r="I463" s="45" t="s">
        <v>1523</v>
      </c>
      <c r="J463" s="108">
        <v>44464</v>
      </c>
      <c r="K463" s="159">
        <v>44540</v>
      </c>
      <c r="L463" s="100">
        <v>44557</v>
      </c>
      <c r="M463" s="165" t="s">
        <v>1714</v>
      </c>
      <c r="N463" s="198" t="s">
        <v>1715</v>
      </c>
      <c r="O463" s="104" t="s">
        <v>680</v>
      </c>
      <c r="P463" s="102">
        <v>31584.5</v>
      </c>
      <c r="Q463" s="102">
        <v>9014.85</v>
      </c>
      <c r="R463" s="241"/>
      <c r="S463" s="242"/>
      <c r="T463" s="102">
        <v>22570.4</v>
      </c>
      <c r="U463" s="100"/>
      <c r="V463" s="130"/>
      <c r="W463" s="170"/>
    </row>
    <row r="464" s="39" customFormat="1" ht="22" hidden="1" customHeight="1" spans="1:23">
      <c r="A464" s="144" t="s">
        <v>1716</v>
      </c>
      <c r="B464" s="174" t="s">
        <v>30</v>
      </c>
      <c r="C464" s="175"/>
      <c r="D464" s="229" t="s">
        <v>31</v>
      </c>
      <c r="E464" s="82" t="s">
        <v>1717</v>
      </c>
      <c r="F464" s="81">
        <f>IFERROR(VLOOKUP(E464,客户!B:C,2,FALSE),"/")</f>
        <v>0</v>
      </c>
      <c r="G464" s="80" t="s">
        <v>1718</v>
      </c>
      <c r="H464" s="45" t="s">
        <v>123</v>
      </c>
      <c r="I464" s="45" t="s">
        <v>1123</v>
      </c>
      <c r="J464" s="108">
        <v>44466</v>
      </c>
      <c r="K464" s="159">
        <v>44528</v>
      </c>
      <c r="L464" s="100">
        <v>44544</v>
      </c>
      <c r="M464" s="165" t="s">
        <v>1719</v>
      </c>
      <c r="N464" s="198" t="s">
        <v>1720</v>
      </c>
      <c r="O464" s="104" t="s">
        <v>523</v>
      </c>
      <c r="P464" s="102">
        <v>35094.94</v>
      </c>
      <c r="Q464" s="102">
        <v>6400</v>
      </c>
      <c r="R464" s="241"/>
      <c r="S464" s="242"/>
      <c r="T464" s="102">
        <f>5371+23324</f>
        <v>28695</v>
      </c>
      <c r="U464" s="100"/>
      <c r="V464" s="130"/>
      <c r="W464" s="170"/>
    </row>
    <row r="465" s="39" customFormat="1" ht="22" hidden="1" customHeight="1" spans="1:23">
      <c r="A465" s="144" t="s">
        <v>1721</v>
      </c>
      <c r="B465" s="174" t="s">
        <v>30</v>
      </c>
      <c r="C465" s="175"/>
      <c r="D465" s="229" t="s">
        <v>31</v>
      </c>
      <c r="E465" s="82" t="s">
        <v>1717</v>
      </c>
      <c r="F465" s="81">
        <f>IFERROR(VLOOKUP(E465,客户!B:C,2,FALSE),"/")</f>
        <v>0</v>
      </c>
      <c r="G465" s="80" t="s">
        <v>1718</v>
      </c>
      <c r="H465" s="45" t="s">
        <v>123</v>
      </c>
      <c r="I465" s="45" t="s">
        <v>1123</v>
      </c>
      <c r="J465" s="108">
        <v>44466</v>
      </c>
      <c r="K465" s="159">
        <v>44547</v>
      </c>
      <c r="L465" s="100">
        <v>44568</v>
      </c>
      <c r="M465" s="165" t="s">
        <v>1722</v>
      </c>
      <c r="N465" s="198" t="s">
        <v>1723</v>
      </c>
      <c r="O465" s="104" t="s">
        <v>523</v>
      </c>
      <c r="P465" s="102">
        <v>34554.94</v>
      </c>
      <c r="Q465" s="102">
        <v>6400</v>
      </c>
      <c r="R465" s="241"/>
      <c r="S465" s="242"/>
      <c r="T465" s="102">
        <v>24100</v>
      </c>
      <c r="U465" s="102">
        <v>4054.94</v>
      </c>
      <c r="V465" s="219" t="s">
        <v>1724</v>
      </c>
      <c r="W465" s="170"/>
    </row>
    <row r="466" s="39" customFormat="1" ht="22" hidden="1" customHeight="1" spans="1:23">
      <c r="A466" s="144" t="s">
        <v>1725</v>
      </c>
      <c r="B466" s="174" t="s">
        <v>30</v>
      </c>
      <c r="C466" s="175"/>
      <c r="D466" s="229" t="s">
        <v>31</v>
      </c>
      <c r="E466" s="82" t="s">
        <v>1389</v>
      </c>
      <c r="F466" s="81">
        <f>IFERROR(VLOOKUP(E466,客户!B:C,2,FALSE),"/")</f>
        <v>0</v>
      </c>
      <c r="G466" s="80" t="s">
        <v>1599</v>
      </c>
      <c r="H466" s="45" t="s">
        <v>1600</v>
      </c>
      <c r="I466" s="45" t="s">
        <v>1078</v>
      </c>
      <c r="J466" s="108">
        <v>44469</v>
      </c>
      <c r="K466" s="159">
        <v>44544</v>
      </c>
      <c r="L466" s="100">
        <v>44565</v>
      </c>
      <c r="M466" s="165" t="s">
        <v>1726</v>
      </c>
      <c r="N466" s="198" t="s">
        <v>1727</v>
      </c>
      <c r="O466" s="104" t="s">
        <v>523</v>
      </c>
      <c r="P466" s="102">
        <v>32758.81</v>
      </c>
      <c r="Q466" s="102">
        <v>9380.21</v>
      </c>
      <c r="R466" s="241"/>
      <c r="S466" s="242"/>
      <c r="T466" s="102">
        <v>23378.6</v>
      </c>
      <c r="U466" s="100"/>
      <c r="V466" s="130"/>
      <c r="W466" s="170"/>
    </row>
    <row r="467" s="39" customFormat="1" ht="22" hidden="1" customHeight="1" spans="1:23">
      <c r="A467" s="144" t="s">
        <v>1728</v>
      </c>
      <c r="B467" s="174" t="s">
        <v>30</v>
      </c>
      <c r="C467" s="175"/>
      <c r="D467" s="229" t="s">
        <v>31</v>
      </c>
      <c r="E467" s="82" t="s">
        <v>1257</v>
      </c>
      <c r="F467" s="81">
        <f>IFERROR(VLOOKUP(E467,客户!B:C,2,FALSE),"/")</f>
        <v>0</v>
      </c>
      <c r="G467" s="80" t="s">
        <v>985</v>
      </c>
      <c r="H467" s="45" t="s">
        <v>123</v>
      </c>
      <c r="I467" s="45" t="s">
        <v>751</v>
      </c>
      <c r="J467" s="108">
        <v>44475</v>
      </c>
      <c r="K467" s="159">
        <v>44547</v>
      </c>
      <c r="L467" s="100">
        <v>44585</v>
      </c>
      <c r="M467" s="165" t="s">
        <v>1729</v>
      </c>
      <c r="N467" s="198" t="s">
        <v>1730</v>
      </c>
      <c r="O467" s="104" t="s">
        <v>523</v>
      </c>
      <c r="P467" s="102">
        <v>34963.49</v>
      </c>
      <c r="Q467" s="203">
        <v>6022</v>
      </c>
      <c r="R467" s="241"/>
      <c r="S467" s="242"/>
      <c r="T467" s="102">
        <v>28941.49</v>
      </c>
      <c r="U467" s="100"/>
      <c r="V467" s="130"/>
      <c r="W467" s="170"/>
    </row>
    <row r="468" s="39" customFormat="1" ht="22" hidden="1" customHeight="1" spans="1:23">
      <c r="A468" s="144" t="s">
        <v>1731</v>
      </c>
      <c r="B468" s="174" t="s">
        <v>30</v>
      </c>
      <c r="C468" s="175"/>
      <c r="D468" s="229" t="s">
        <v>31</v>
      </c>
      <c r="E468" s="82" t="s">
        <v>1121</v>
      </c>
      <c r="F468" s="81"/>
      <c r="G468" s="80" t="s">
        <v>1732</v>
      </c>
      <c r="H468" s="45" t="s">
        <v>123</v>
      </c>
      <c r="I468" s="45" t="s">
        <v>215</v>
      </c>
      <c r="J468" s="108">
        <v>44477</v>
      </c>
      <c r="K468" s="159">
        <v>44535</v>
      </c>
      <c r="L468" s="100">
        <v>44550</v>
      </c>
      <c r="M468" s="165" t="s">
        <v>1733</v>
      </c>
      <c r="N468" s="198" t="s">
        <v>1734</v>
      </c>
      <c r="O468" s="104" t="s">
        <v>523</v>
      </c>
      <c r="P468" s="102">
        <v>63389.82</v>
      </c>
      <c r="R468" s="241"/>
      <c r="S468" s="242"/>
      <c r="T468" s="102">
        <v>63389.82</v>
      </c>
      <c r="U468" s="100"/>
      <c r="V468" s="130"/>
      <c r="W468" s="170"/>
    </row>
    <row r="469" s="39" customFormat="1" ht="22" hidden="1" customHeight="1" spans="1:23">
      <c r="A469" s="144" t="s">
        <v>1735</v>
      </c>
      <c r="B469" s="174" t="s">
        <v>30</v>
      </c>
      <c r="C469" s="175"/>
      <c r="D469" s="229" t="s">
        <v>31</v>
      </c>
      <c r="E469" s="82" t="s">
        <v>1121</v>
      </c>
      <c r="F469" s="81"/>
      <c r="G469" s="80" t="s">
        <v>1732</v>
      </c>
      <c r="H469" s="45" t="s">
        <v>123</v>
      </c>
      <c r="I469" s="45" t="s">
        <v>215</v>
      </c>
      <c r="J469" s="108">
        <v>44477</v>
      </c>
      <c r="K469" s="159">
        <v>44555</v>
      </c>
      <c r="L469" s="100">
        <v>44571</v>
      </c>
      <c r="M469" s="165" t="s">
        <v>1736</v>
      </c>
      <c r="N469" s="198" t="s">
        <v>1737</v>
      </c>
      <c r="O469" s="104" t="s">
        <v>523</v>
      </c>
      <c r="P469" s="102">
        <v>72093.59</v>
      </c>
      <c r="Q469" s="102">
        <v>10000</v>
      </c>
      <c r="R469" s="241"/>
      <c r="S469" s="242"/>
      <c r="T469" s="102">
        <v>62093.59</v>
      </c>
      <c r="U469" s="100"/>
      <c r="V469" s="130"/>
      <c r="W469" s="170"/>
    </row>
    <row r="470" s="39" customFormat="1" ht="22" hidden="1" customHeight="1" spans="1:23">
      <c r="A470" s="144" t="s">
        <v>1738</v>
      </c>
      <c r="B470" s="174" t="s">
        <v>30</v>
      </c>
      <c r="C470" s="175"/>
      <c r="D470" s="229" t="s">
        <v>31</v>
      </c>
      <c r="E470" s="82" t="s">
        <v>1578</v>
      </c>
      <c r="F470" s="81"/>
      <c r="G470" s="80" t="s">
        <v>1739</v>
      </c>
      <c r="H470" s="229" t="s">
        <v>970</v>
      </c>
      <c r="I470" s="45"/>
      <c r="J470" s="108">
        <v>44478</v>
      </c>
      <c r="K470" s="159"/>
      <c r="L470" s="100"/>
      <c r="M470" s="165" t="s">
        <v>1740</v>
      </c>
      <c r="N470" s="108"/>
      <c r="O470" s="104" t="s">
        <v>970</v>
      </c>
      <c r="P470" s="240">
        <v>139600</v>
      </c>
      <c r="Q470" s="240">
        <v>20000</v>
      </c>
      <c r="R470" s="241"/>
      <c r="S470" s="242"/>
      <c r="T470" s="102">
        <f>120600-1000</f>
        <v>119600</v>
      </c>
      <c r="U470" s="100"/>
      <c r="V470" s="130"/>
      <c r="W470" s="170"/>
    </row>
    <row r="471" s="39" customFormat="1" ht="22" hidden="1" customHeight="1" spans="1:23">
      <c r="A471" s="144" t="s">
        <v>1741</v>
      </c>
      <c r="B471" s="174" t="s">
        <v>30</v>
      </c>
      <c r="C471" s="175"/>
      <c r="D471" s="229" t="s">
        <v>31</v>
      </c>
      <c r="E471" s="82" t="s">
        <v>1117</v>
      </c>
      <c r="F471" s="81">
        <f>IFERROR(VLOOKUP(E471,客户!B:C,2,FALSE),"/")</f>
        <v>0</v>
      </c>
      <c r="G471" s="80" t="s">
        <v>1742</v>
      </c>
      <c r="H471" s="229" t="s">
        <v>970</v>
      </c>
      <c r="I471" s="45" t="s">
        <v>1533</v>
      </c>
      <c r="J471" s="108">
        <v>44481</v>
      </c>
      <c r="K471" s="159">
        <v>44510</v>
      </c>
      <c r="L471" s="100"/>
      <c r="M471" s="165" t="s">
        <v>1743</v>
      </c>
      <c r="N471" s="108"/>
      <c r="O471" s="104" t="s">
        <v>970</v>
      </c>
      <c r="P471" s="102">
        <v>12780.91</v>
      </c>
      <c r="Q471" s="203">
        <v>2800</v>
      </c>
      <c r="R471" s="241"/>
      <c r="S471" s="242"/>
      <c r="T471" s="102">
        <v>4134.91</v>
      </c>
      <c r="U471" s="100"/>
      <c r="V471" s="130"/>
      <c r="W471" s="170"/>
    </row>
    <row r="472" s="39" customFormat="1" ht="22" hidden="1" customHeight="1" spans="1:23">
      <c r="A472" s="144" t="s">
        <v>1744</v>
      </c>
      <c r="B472" s="174" t="s">
        <v>30</v>
      </c>
      <c r="C472" s="175"/>
      <c r="D472" s="229" t="s">
        <v>31</v>
      </c>
      <c r="E472" s="82" t="s">
        <v>1121</v>
      </c>
      <c r="F472" s="81">
        <f>IFERROR(VLOOKUP(E472,客户!B:C,2,FALSE),"/")</f>
        <v>0</v>
      </c>
      <c r="G472" s="80" t="s">
        <v>1732</v>
      </c>
      <c r="H472" s="45" t="s">
        <v>123</v>
      </c>
      <c r="I472" s="45" t="s">
        <v>215</v>
      </c>
      <c r="J472" s="108">
        <v>44496</v>
      </c>
      <c r="K472" s="108">
        <v>44560</v>
      </c>
      <c r="L472" s="100">
        <v>44578</v>
      </c>
      <c r="M472" s="165" t="s">
        <v>1745</v>
      </c>
      <c r="N472" s="198" t="s">
        <v>1746</v>
      </c>
      <c r="O472" s="104" t="s">
        <v>523</v>
      </c>
      <c r="P472" s="102">
        <v>63762.4</v>
      </c>
      <c r="R472" s="241"/>
      <c r="S472" s="242"/>
      <c r="T472" s="102">
        <v>63762.4</v>
      </c>
      <c r="U472" s="100"/>
      <c r="V472" s="130"/>
      <c r="W472" s="170"/>
    </row>
    <row r="473" s="39" customFormat="1" ht="22" hidden="1" customHeight="1" spans="1:23">
      <c r="A473" s="144" t="s">
        <v>1747</v>
      </c>
      <c r="B473" s="174" t="s">
        <v>30</v>
      </c>
      <c r="C473" s="175"/>
      <c r="D473" s="229" t="s">
        <v>31</v>
      </c>
      <c r="E473" s="82" t="s">
        <v>1121</v>
      </c>
      <c r="F473" s="81"/>
      <c r="G473" s="80" t="s">
        <v>1732</v>
      </c>
      <c r="H473" s="45" t="s">
        <v>123</v>
      </c>
      <c r="I473" s="45" t="s">
        <v>215</v>
      </c>
      <c r="J473" s="108">
        <v>44496</v>
      </c>
      <c r="K473" s="159">
        <v>44567</v>
      </c>
      <c r="L473" s="100">
        <v>44585</v>
      </c>
      <c r="M473" s="165" t="s">
        <v>1748</v>
      </c>
      <c r="N473" s="198" t="s">
        <v>1749</v>
      </c>
      <c r="O473" s="104" t="s">
        <v>523</v>
      </c>
      <c r="P473" s="102">
        <v>66273.5</v>
      </c>
      <c r="Q473" s="203">
        <v>10000</v>
      </c>
      <c r="R473" s="241"/>
      <c r="S473" s="242"/>
      <c r="T473" s="102">
        <v>56273.5</v>
      </c>
      <c r="U473" s="100"/>
      <c r="V473" s="130"/>
      <c r="W473" s="170"/>
    </row>
    <row r="474" s="39" customFormat="1" ht="22" hidden="1" customHeight="1" spans="1:23">
      <c r="A474" s="144" t="s">
        <v>1750</v>
      </c>
      <c r="B474" s="174" t="s">
        <v>30</v>
      </c>
      <c r="C474" s="175"/>
      <c r="D474" s="229" t="s">
        <v>31</v>
      </c>
      <c r="E474" s="82" t="s">
        <v>1117</v>
      </c>
      <c r="F474" s="81">
        <f>IFERROR(VLOOKUP(E474,客户!B:C,2,FALSE),"/")</f>
        <v>0</v>
      </c>
      <c r="G474" s="80" t="s">
        <v>1751</v>
      </c>
      <c r="H474" s="45" t="s">
        <v>186</v>
      </c>
      <c r="I474" s="45"/>
      <c r="J474" s="108">
        <v>44499</v>
      </c>
      <c r="K474" s="159">
        <v>44510</v>
      </c>
      <c r="L474" s="100"/>
      <c r="M474" s="165" t="s">
        <v>1752</v>
      </c>
      <c r="N474" s="108"/>
      <c r="O474" s="104" t="s">
        <v>970</v>
      </c>
      <c r="P474" s="240">
        <v>17400</v>
      </c>
      <c r="Q474" s="240">
        <v>6000</v>
      </c>
      <c r="R474" s="241"/>
      <c r="S474" s="242"/>
      <c r="T474" s="240">
        <v>11400</v>
      </c>
      <c r="U474" s="100"/>
      <c r="V474" s="130"/>
      <c r="W474" s="170"/>
    </row>
    <row r="475" s="39" customFormat="1" ht="22" hidden="1" customHeight="1" spans="1:23">
      <c r="A475" s="144" t="s">
        <v>1753</v>
      </c>
      <c r="B475" s="174" t="s">
        <v>30</v>
      </c>
      <c r="C475" s="175"/>
      <c r="D475" s="229" t="s">
        <v>31</v>
      </c>
      <c r="E475" s="82" t="s">
        <v>1754</v>
      </c>
      <c r="F475" s="81">
        <f>IFERROR(VLOOKUP(E475,客户!B:C,2,FALSE),"/")</f>
        <v>0</v>
      </c>
      <c r="G475" s="80" t="s">
        <v>1755</v>
      </c>
      <c r="H475" s="45" t="s">
        <v>123</v>
      </c>
      <c r="I475" s="45"/>
      <c r="J475" s="108">
        <v>44501</v>
      </c>
      <c r="K475" s="159">
        <v>44525</v>
      </c>
      <c r="L475" s="100"/>
      <c r="M475" s="165" t="s">
        <v>1756</v>
      </c>
      <c r="N475" s="108"/>
      <c r="O475" s="104" t="s">
        <v>970</v>
      </c>
      <c r="P475" s="102">
        <v>6649.35</v>
      </c>
      <c r="Q475" s="203"/>
      <c r="R475" s="241"/>
      <c r="S475" s="242"/>
      <c r="T475" s="102">
        <v>6649.35</v>
      </c>
      <c r="U475" s="100"/>
      <c r="V475" s="130"/>
      <c r="W475" s="170"/>
    </row>
    <row r="476" s="39" customFormat="1" ht="22" hidden="1" customHeight="1" spans="1:23">
      <c r="A476" s="144" t="s">
        <v>1757</v>
      </c>
      <c r="B476" s="174" t="s">
        <v>30</v>
      </c>
      <c r="C476" s="175"/>
      <c r="D476" s="229" t="s">
        <v>31</v>
      </c>
      <c r="E476" s="82" t="s">
        <v>1758</v>
      </c>
      <c r="F476" s="81">
        <f>IFERROR(VLOOKUP(E476,客户!B:C,2,FALSE),"/")</f>
        <v>0</v>
      </c>
      <c r="G476" s="80" t="s">
        <v>1759</v>
      </c>
      <c r="H476" s="45" t="s">
        <v>147</v>
      </c>
      <c r="I476" s="45" t="s">
        <v>215</v>
      </c>
      <c r="J476" s="108">
        <v>44504</v>
      </c>
      <c r="K476" s="159">
        <v>44579</v>
      </c>
      <c r="L476" s="100">
        <v>44592</v>
      </c>
      <c r="M476" s="165" t="s">
        <v>1760</v>
      </c>
      <c r="N476" s="198" t="s">
        <v>1761</v>
      </c>
      <c r="O476" s="104" t="s">
        <v>523</v>
      </c>
      <c r="P476" s="102">
        <v>34771.48</v>
      </c>
      <c r="Q476" s="203">
        <v>19119.07</v>
      </c>
      <c r="R476" s="241"/>
      <c r="S476" s="242"/>
      <c r="T476" s="102">
        <v>15652.41</v>
      </c>
      <c r="U476" s="100"/>
      <c r="V476" s="130"/>
      <c r="W476" s="170"/>
    </row>
    <row r="477" s="39" customFormat="1" ht="22" hidden="1" customHeight="1" spans="1:23">
      <c r="A477" s="144" t="s">
        <v>1762</v>
      </c>
      <c r="B477" s="174" t="s">
        <v>30</v>
      </c>
      <c r="C477" s="175"/>
      <c r="D477" s="229" t="s">
        <v>31</v>
      </c>
      <c r="E477" s="82" t="s">
        <v>1508</v>
      </c>
      <c r="F477" s="81">
        <f>IFERROR(VLOOKUP(E477,客户!B:C,2,FALSE),"/")</f>
        <v>0</v>
      </c>
      <c r="G477" s="80" t="s">
        <v>390</v>
      </c>
      <c r="H477" s="45" t="s">
        <v>123</v>
      </c>
      <c r="I477" s="45" t="s">
        <v>1763</v>
      </c>
      <c r="J477" s="108">
        <v>44509</v>
      </c>
      <c r="K477" s="159">
        <v>44552</v>
      </c>
      <c r="L477" s="100">
        <v>44602</v>
      </c>
      <c r="M477" s="165" t="s">
        <v>1764</v>
      </c>
      <c r="N477" s="198" t="s">
        <v>1765</v>
      </c>
      <c r="O477" s="104" t="s">
        <v>523</v>
      </c>
      <c r="P477" s="102">
        <v>31781.67</v>
      </c>
      <c r="Q477" s="203">
        <v>8000</v>
      </c>
      <c r="R477" s="241"/>
      <c r="S477" s="242"/>
      <c r="T477" s="102">
        <v>23781.67</v>
      </c>
      <c r="U477" s="100"/>
      <c r="V477" s="130"/>
      <c r="W477" s="170"/>
    </row>
    <row r="478" s="39" customFormat="1" ht="22" hidden="1" customHeight="1" spans="1:23">
      <c r="A478" s="144" t="s">
        <v>1766</v>
      </c>
      <c r="B478" s="174" t="s">
        <v>30</v>
      </c>
      <c r="C478" s="175"/>
      <c r="D478" s="229" t="s">
        <v>31</v>
      </c>
      <c r="E478" s="82" t="s">
        <v>1083</v>
      </c>
      <c r="F478" s="81">
        <f>IFERROR(VLOOKUP(E478,客户!B:C,2,FALSE),"/")</f>
        <v>0</v>
      </c>
      <c r="G478" s="80" t="s">
        <v>1767</v>
      </c>
      <c r="H478" s="45" t="s">
        <v>123</v>
      </c>
      <c r="I478" s="45" t="s">
        <v>1523</v>
      </c>
      <c r="J478" s="108">
        <v>44509</v>
      </c>
      <c r="K478" s="159">
        <v>44555</v>
      </c>
      <c r="L478" s="100">
        <v>44572</v>
      </c>
      <c r="M478" s="165" t="s">
        <v>1768</v>
      </c>
      <c r="N478" s="198" t="s">
        <v>1769</v>
      </c>
      <c r="O478" s="104" t="s">
        <v>523</v>
      </c>
      <c r="P478" s="102">
        <v>29324</v>
      </c>
      <c r="Q478" s="203"/>
      <c r="R478" s="241"/>
      <c r="S478" s="242"/>
      <c r="T478" s="102">
        <v>29324</v>
      </c>
      <c r="U478" s="100"/>
      <c r="V478" s="130"/>
      <c r="W478" s="170"/>
    </row>
    <row r="479" s="39" customFormat="1" ht="22" hidden="1" customHeight="1" spans="1:23">
      <c r="A479" s="144" t="s">
        <v>1770</v>
      </c>
      <c r="B479" s="174" t="s">
        <v>30</v>
      </c>
      <c r="C479" s="175"/>
      <c r="D479" s="229" t="s">
        <v>31</v>
      </c>
      <c r="E479" s="82" t="s">
        <v>1345</v>
      </c>
      <c r="F479" s="81" t="str">
        <f>IFERROR(VLOOKUP(E479,客户!B:C,2,FALSE),"/")</f>
        <v>J4159还差USD265.65没付齐 J4220还有定金5674.3 账上剩5408.65</v>
      </c>
      <c r="G479" s="80" t="s">
        <v>1771</v>
      </c>
      <c r="H479" s="45" t="s">
        <v>123</v>
      </c>
      <c r="I479" s="45" t="s">
        <v>1346</v>
      </c>
      <c r="J479" s="108">
        <v>44510</v>
      </c>
      <c r="K479" s="159">
        <v>44555</v>
      </c>
      <c r="L479" s="100">
        <v>44590</v>
      </c>
      <c r="M479" s="165" t="s">
        <v>1772</v>
      </c>
      <c r="N479" s="198" t="s">
        <v>1773</v>
      </c>
      <c r="O479" s="104" t="s">
        <v>523</v>
      </c>
      <c r="P479" s="102">
        <v>29057.95</v>
      </c>
      <c r="Q479" s="203">
        <v>5758.46</v>
      </c>
      <c r="R479" s="241"/>
      <c r="S479" s="242"/>
      <c r="T479" s="102">
        <v>23033.84</v>
      </c>
      <c r="U479" s="100"/>
      <c r="V479" s="130"/>
      <c r="W479" s="170"/>
    </row>
    <row r="480" s="39" customFormat="1" ht="22" hidden="1" customHeight="1" spans="1:23">
      <c r="A480" s="144" t="s">
        <v>1774</v>
      </c>
      <c r="B480" s="174" t="s">
        <v>30</v>
      </c>
      <c r="C480" s="175"/>
      <c r="D480" s="229" t="s">
        <v>31</v>
      </c>
      <c r="E480" s="82" t="s">
        <v>1167</v>
      </c>
      <c r="F480" s="81">
        <f>IFERROR(VLOOKUP(E480,客户!B:C,2,FALSE),"/")</f>
        <v>0</v>
      </c>
      <c r="G480" s="80" t="s">
        <v>1369</v>
      </c>
      <c r="H480" s="45" t="s">
        <v>123</v>
      </c>
      <c r="I480" s="45" t="s">
        <v>1370</v>
      </c>
      <c r="J480" s="108">
        <v>44516</v>
      </c>
      <c r="K480" s="159">
        <v>44588</v>
      </c>
      <c r="L480" s="100">
        <v>44628</v>
      </c>
      <c r="M480" s="165" t="s">
        <v>1775</v>
      </c>
      <c r="N480" s="198" t="s">
        <v>1776</v>
      </c>
      <c r="O480" s="104" t="s">
        <v>523</v>
      </c>
      <c r="P480" s="102">
        <v>33782.44</v>
      </c>
      <c r="Q480" s="203">
        <v>9400</v>
      </c>
      <c r="R480" s="241"/>
      <c r="S480" s="242"/>
      <c r="T480" s="102">
        <v>24382.44</v>
      </c>
      <c r="U480" s="100"/>
      <c r="V480" s="130"/>
      <c r="W480" s="170"/>
    </row>
    <row r="481" s="39" customFormat="1" ht="22" hidden="1" customHeight="1" spans="1:23">
      <c r="A481" s="144" t="s">
        <v>1777</v>
      </c>
      <c r="B481" s="174" t="s">
        <v>30</v>
      </c>
      <c r="C481" s="175"/>
      <c r="D481" s="229" t="s">
        <v>31</v>
      </c>
      <c r="E481" s="82" t="s">
        <v>1238</v>
      </c>
      <c r="F481" s="81">
        <f>IFERROR(VLOOKUP(E481,客户!B:C,2,FALSE),"/")</f>
        <v>0</v>
      </c>
      <c r="G481" s="80" t="s">
        <v>985</v>
      </c>
      <c r="H481" s="45" t="s">
        <v>123</v>
      </c>
      <c r="I481" s="45" t="s">
        <v>1662</v>
      </c>
      <c r="J481" s="108">
        <v>44516</v>
      </c>
      <c r="K481" s="159">
        <v>44565</v>
      </c>
      <c r="L481" s="100">
        <v>44607</v>
      </c>
      <c r="M481" s="165" t="s">
        <v>1778</v>
      </c>
      <c r="N481" s="198" t="s">
        <v>1779</v>
      </c>
      <c r="O481" s="104" t="s">
        <v>523</v>
      </c>
      <c r="P481" s="102">
        <v>31146.62</v>
      </c>
      <c r="Q481" s="203"/>
      <c r="R481" s="241"/>
      <c r="S481" s="242"/>
      <c r="T481" s="102">
        <v>20735</v>
      </c>
      <c r="U481" s="102">
        <v>10411.62</v>
      </c>
      <c r="V481" s="130"/>
      <c r="W481" s="170"/>
    </row>
    <row r="482" s="39" customFormat="1" ht="22" hidden="1" customHeight="1" spans="1:23">
      <c r="A482" s="144" t="s">
        <v>1780</v>
      </c>
      <c r="B482" s="174" t="s">
        <v>30</v>
      </c>
      <c r="C482" s="175"/>
      <c r="D482" s="229" t="s">
        <v>31</v>
      </c>
      <c r="E482" s="82" t="s">
        <v>1326</v>
      </c>
      <c r="F482" s="81">
        <f>IFERROR(VLOOKUP(E482,客户!B:C,2,FALSE),"/")</f>
        <v>0</v>
      </c>
      <c r="G482" s="80" t="s">
        <v>985</v>
      </c>
      <c r="H482" s="45" t="s">
        <v>123</v>
      </c>
      <c r="I482" s="45" t="s">
        <v>755</v>
      </c>
      <c r="J482" s="108">
        <v>44518</v>
      </c>
      <c r="K482" s="159">
        <v>44569</v>
      </c>
      <c r="L482" s="100">
        <v>44629</v>
      </c>
      <c r="M482" s="165" t="s">
        <v>1781</v>
      </c>
      <c r="N482" s="198" t="s">
        <v>1782</v>
      </c>
      <c r="O482" s="104" t="s">
        <v>523</v>
      </c>
      <c r="P482" s="102">
        <v>27015.75</v>
      </c>
      <c r="Q482" s="203">
        <v>5403.15</v>
      </c>
      <c r="R482" s="241"/>
      <c r="S482" s="242"/>
      <c r="T482" s="102">
        <v>21612.6</v>
      </c>
      <c r="U482" s="100"/>
      <c r="V482" s="130"/>
      <c r="W482" s="170"/>
    </row>
    <row r="483" s="39" customFormat="1" ht="22" hidden="1" customHeight="1" spans="1:23">
      <c r="A483" s="144" t="s">
        <v>1783</v>
      </c>
      <c r="B483" s="174" t="s">
        <v>30</v>
      </c>
      <c r="C483" s="175"/>
      <c r="D483" s="229" t="s">
        <v>31</v>
      </c>
      <c r="E483" s="82" t="s">
        <v>1265</v>
      </c>
      <c r="F483" s="81" t="str">
        <f>IFERROR(VLOOKUP(E483,客户!B:C,2,FALSE),"/")</f>
        <v>外送费用945人民币+装箱费用 加在发票里</v>
      </c>
      <c r="G483" s="80" t="s">
        <v>1482</v>
      </c>
      <c r="H483" s="45" t="s">
        <v>123</v>
      </c>
      <c r="I483" s="45" t="s">
        <v>205</v>
      </c>
      <c r="J483" s="108">
        <v>44532</v>
      </c>
      <c r="K483" s="159">
        <v>44650</v>
      </c>
      <c r="L483" s="100">
        <v>44681</v>
      </c>
      <c r="M483" s="165" t="s">
        <v>1784</v>
      </c>
      <c r="N483" s="198" t="s">
        <v>1785</v>
      </c>
      <c r="O483" s="104" t="s">
        <v>523</v>
      </c>
      <c r="P483" s="102">
        <v>125377.6</v>
      </c>
      <c r="Q483" s="203"/>
      <c r="R483" s="241"/>
      <c r="S483" s="242"/>
      <c r="T483" s="102">
        <v>125377.6</v>
      </c>
      <c r="U483" s="100"/>
      <c r="V483" s="130"/>
      <c r="W483" s="170"/>
    </row>
    <row r="484" s="39" customFormat="1" ht="22" hidden="1" customHeight="1" spans="1:23">
      <c r="A484" s="255" t="s">
        <v>1786</v>
      </c>
      <c r="B484" s="174" t="s">
        <v>30</v>
      </c>
      <c r="C484" s="175"/>
      <c r="D484" s="229" t="s">
        <v>1787</v>
      </c>
      <c r="E484" s="82" t="s">
        <v>1265</v>
      </c>
      <c r="F484" s="81" t="str">
        <f>IFERROR(VLOOKUP(E484,客户!B:C,2,FALSE),"/")</f>
        <v>外送费用945人民币+装箱费用 加在发票里</v>
      </c>
      <c r="G484" s="80" t="s">
        <v>234</v>
      </c>
      <c r="H484" s="45" t="s">
        <v>123</v>
      </c>
      <c r="I484" s="45" t="s">
        <v>205</v>
      </c>
      <c r="J484" s="108">
        <v>44532</v>
      </c>
      <c r="K484" s="159"/>
      <c r="L484" s="100"/>
      <c r="M484" s="165" t="s">
        <v>1788</v>
      </c>
      <c r="N484" s="108"/>
      <c r="O484" s="104" t="s">
        <v>523</v>
      </c>
      <c r="P484" s="139">
        <v>137044</v>
      </c>
      <c r="Q484" s="203"/>
      <c r="R484" s="241"/>
      <c r="S484" s="242"/>
      <c r="T484" s="102"/>
      <c r="U484" s="100"/>
      <c r="V484" s="130"/>
      <c r="W484" s="170"/>
    </row>
    <row r="485" s="39" customFormat="1" ht="22" hidden="1" customHeight="1" spans="1:23">
      <c r="A485" s="255" t="s">
        <v>1789</v>
      </c>
      <c r="B485" s="174" t="s">
        <v>30</v>
      </c>
      <c r="C485" s="175"/>
      <c r="D485" s="229" t="s">
        <v>3</v>
      </c>
      <c r="E485" s="82" t="s">
        <v>1265</v>
      </c>
      <c r="F485" s="81" t="str">
        <f>IFERROR(VLOOKUP(E485,客户!B:C,2,FALSE),"/")</f>
        <v>外送费用945人民币+装箱费用 加在发票里</v>
      </c>
      <c r="G485" s="80" t="s">
        <v>73</v>
      </c>
      <c r="H485" s="45" t="s">
        <v>123</v>
      </c>
      <c r="I485" s="45" t="s">
        <v>205</v>
      </c>
      <c r="J485" s="108">
        <v>44532</v>
      </c>
      <c r="K485" s="159"/>
      <c r="L485" s="100"/>
      <c r="M485" s="165" t="s">
        <v>1788</v>
      </c>
      <c r="N485" s="108"/>
      <c r="O485" s="104"/>
      <c r="P485" s="139"/>
      <c r="Q485" s="203"/>
      <c r="R485" s="241"/>
      <c r="S485" s="242"/>
      <c r="T485" s="102"/>
      <c r="U485" s="100"/>
      <c r="V485" s="130"/>
      <c r="W485" s="170"/>
    </row>
    <row r="486" s="39" customFormat="1" ht="22" hidden="1" customHeight="1" spans="1:23">
      <c r="A486" s="144" t="s">
        <v>1790</v>
      </c>
      <c r="B486" s="174" t="s">
        <v>30</v>
      </c>
      <c r="C486" s="175"/>
      <c r="D486" s="229" t="s">
        <v>31</v>
      </c>
      <c r="E486" s="82" t="s">
        <v>1791</v>
      </c>
      <c r="F486" s="81">
        <f>IFERROR(VLOOKUP(E486,客户!B:C,2,FALSE),"/")</f>
        <v>0</v>
      </c>
      <c r="G486" s="82" t="s">
        <v>1792</v>
      </c>
      <c r="H486" s="45" t="s">
        <v>186</v>
      </c>
      <c r="I486" s="45"/>
      <c r="J486" s="108">
        <v>44537</v>
      </c>
      <c r="K486" s="159">
        <v>44537</v>
      </c>
      <c r="L486" s="100"/>
      <c r="M486" s="165" t="s">
        <v>1793</v>
      </c>
      <c r="N486" s="108"/>
      <c r="O486" s="104" t="s">
        <v>970</v>
      </c>
      <c r="P486" s="240">
        <v>229.6</v>
      </c>
      <c r="Q486" s="203"/>
      <c r="R486" s="241"/>
      <c r="S486" s="242"/>
      <c r="T486" s="240">
        <v>229.6</v>
      </c>
      <c r="U486" s="100"/>
      <c r="V486" s="130"/>
      <c r="W486" s="170"/>
    </row>
    <row r="487" s="39" customFormat="1" ht="22" hidden="1" customHeight="1" spans="1:23">
      <c r="A487" s="144" t="s">
        <v>1794</v>
      </c>
      <c r="B487" s="174" t="s">
        <v>30</v>
      </c>
      <c r="C487" s="175"/>
      <c r="D487" s="229" t="s">
        <v>31</v>
      </c>
      <c r="E487" s="82" t="s">
        <v>1117</v>
      </c>
      <c r="F487" s="81">
        <f>IFERROR(VLOOKUP(E487,客户!B:C,2,FALSE),"/")</f>
        <v>0</v>
      </c>
      <c r="G487" s="82" t="s">
        <v>1795</v>
      </c>
      <c r="H487" s="45" t="s">
        <v>186</v>
      </c>
      <c r="I487" s="45"/>
      <c r="J487" s="108">
        <v>44537</v>
      </c>
      <c r="K487" s="159">
        <v>44550</v>
      </c>
      <c r="L487" s="100"/>
      <c r="M487" s="165" t="s">
        <v>1796</v>
      </c>
      <c r="N487" s="108"/>
      <c r="O487" s="104" t="s">
        <v>970</v>
      </c>
      <c r="P487" s="240">
        <v>14700</v>
      </c>
      <c r="Q487" s="240">
        <v>5000</v>
      </c>
      <c r="R487" s="241"/>
      <c r="S487" s="242"/>
      <c r="T487" s="240">
        <v>9700</v>
      </c>
      <c r="U487" s="100"/>
      <c r="V487" s="130"/>
      <c r="W487" s="170"/>
    </row>
    <row r="488" s="39" customFormat="1" ht="22" hidden="1" customHeight="1" spans="1:23">
      <c r="A488" s="144" t="s">
        <v>1797</v>
      </c>
      <c r="B488" s="174" t="s">
        <v>30</v>
      </c>
      <c r="C488" s="175"/>
      <c r="D488" s="229" t="s">
        <v>31</v>
      </c>
      <c r="E488" s="82" t="s">
        <v>1249</v>
      </c>
      <c r="F488" s="81"/>
      <c r="G488" s="82" t="s">
        <v>1767</v>
      </c>
      <c r="H488" s="45" t="s">
        <v>123</v>
      </c>
      <c r="I488" s="45" t="s">
        <v>1250</v>
      </c>
      <c r="J488" s="108">
        <v>44539</v>
      </c>
      <c r="K488" s="159">
        <v>44589</v>
      </c>
      <c r="L488" s="100">
        <v>44618</v>
      </c>
      <c r="M488" s="165" t="s">
        <v>1798</v>
      </c>
      <c r="N488" s="198" t="s">
        <v>1799</v>
      </c>
      <c r="O488" s="104" t="s">
        <v>523</v>
      </c>
      <c r="P488" s="102">
        <v>20438.8</v>
      </c>
      <c r="Q488" s="203">
        <v>6329</v>
      </c>
      <c r="R488" s="241"/>
      <c r="S488" s="242"/>
      <c r="T488" s="203">
        <v>14109.8</v>
      </c>
      <c r="U488" s="100"/>
      <c r="V488" s="130"/>
      <c r="W488" s="170"/>
    </row>
    <row r="489" s="39" customFormat="1" ht="22" hidden="1" customHeight="1" spans="1:23">
      <c r="A489" s="144" t="s">
        <v>1800</v>
      </c>
      <c r="B489" s="174" t="s">
        <v>30</v>
      </c>
      <c r="C489" s="175"/>
      <c r="D489" s="229" t="s">
        <v>31</v>
      </c>
      <c r="E489" s="82" t="s">
        <v>1257</v>
      </c>
      <c r="F489" s="81">
        <f>IFERROR(VLOOKUP(E489,客户!B:C,2,FALSE),"/")</f>
        <v>0</v>
      </c>
      <c r="G489" s="82" t="s">
        <v>1767</v>
      </c>
      <c r="H489" s="45" t="s">
        <v>123</v>
      </c>
      <c r="I489" s="45" t="s">
        <v>751</v>
      </c>
      <c r="J489" s="108">
        <v>44540</v>
      </c>
      <c r="K489" s="159">
        <v>44589</v>
      </c>
      <c r="L489" s="100">
        <v>44617</v>
      </c>
      <c r="M489" s="165" t="s">
        <v>1801</v>
      </c>
      <c r="N489" s="198" t="s">
        <v>1802</v>
      </c>
      <c r="O489" s="104" t="s">
        <v>523</v>
      </c>
      <c r="P489" s="102">
        <v>32162.23</v>
      </c>
      <c r="Q489" s="203">
        <v>5396</v>
      </c>
      <c r="R489" s="241"/>
      <c r="S489" s="242"/>
      <c r="T489" s="203">
        <v>26766.23</v>
      </c>
      <c r="U489" s="100"/>
      <c r="V489" s="130"/>
      <c r="W489" s="170"/>
    </row>
    <row r="490" s="39" customFormat="1" ht="22" hidden="1" customHeight="1" spans="1:23">
      <c r="A490" s="144" t="s">
        <v>1803</v>
      </c>
      <c r="B490" s="174" t="s">
        <v>30</v>
      </c>
      <c r="C490" s="175"/>
      <c r="D490" s="229" t="s">
        <v>31</v>
      </c>
      <c r="E490" s="82" t="s">
        <v>1117</v>
      </c>
      <c r="F490" s="81">
        <f>IFERROR(VLOOKUP(E490,客户!B:C,2,FALSE),"/")</f>
        <v>0</v>
      </c>
      <c r="G490" s="82" t="s">
        <v>1804</v>
      </c>
      <c r="H490" s="45" t="s">
        <v>123</v>
      </c>
      <c r="I490" s="45" t="s">
        <v>1533</v>
      </c>
      <c r="J490" s="108">
        <v>44543</v>
      </c>
      <c r="K490" s="159">
        <v>44597</v>
      </c>
      <c r="L490" s="100">
        <v>44630</v>
      </c>
      <c r="M490" s="165" t="s">
        <v>1741</v>
      </c>
      <c r="N490" s="198" t="s">
        <v>1805</v>
      </c>
      <c r="O490" s="104" t="s">
        <v>970</v>
      </c>
      <c r="P490" s="102">
        <v>26008.3</v>
      </c>
      <c r="Q490" s="203">
        <v>10000</v>
      </c>
      <c r="R490" s="241"/>
      <c r="S490" s="242"/>
      <c r="T490" s="203">
        <f>P490-Q490</f>
        <v>16008.3</v>
      </c>
      <c r="U490" s="100"/>
      <c r="V490" s="130"/>
      <c r="W490" s="170"/>
    </row>
    <row r="491" s="39" customFormat="1" ht="22" hidden="1" customHeight="1" spans="1:23">
      <c r="A491" s="144" t="s">
        <v>1806</v>
      </c>
      <c r="B491" s="174" t="s">
        <v>30</v>
      </c>
      <c r="C491" s="175"/>
      <c r="D491" s="229" t="s">
        <v>31</v>
      </c>
      <c r="E491" s="82" t="s">
        <v>1167</v>
      </c>
      <c r="F491" s="81">
        <f>IFERROR(VLOOKUP(E491,客户!B:C,2,FALSE),"/")</f>
        <v>0</v>
      </c>
      <c r="G491" s="80" t="s">
        <v>1369</v>
      </c>
      <c r="H491" s="45" t="s">
        <v>123</v>
      </c>
      <c r="I491" s="45" t="s">
        <v>1370</v>
      </c>
      <c r="J491" s="108">
        <v>44546</v>
      </c>
      <c r="K491" s="159">
        <v>44586</v>
      </c>
      <c r="L491" s="100">
        <v>44640</v>
      </c>
      <c r="M491" s="165" t="s">
        <v>1807</v>
      </c>
      <c r="N491" s="198" t="s">
        <v>1808</v>
      </c>
      <c r="O491" s="104" t="s">
        <v>523</v>
      </c>
      <c r="P491" s="102">
        <v>33980.6</v>
      </c>
      <c r="Q491" s="203">
        <v>10200</v>
      </c>
      <c r="R491" s="241"/>
      <c r="S491" s="242"/>
      <c r="T491" s="203">
        <v>23780.6</v>
      </c>
      <c r="U491" s="100"/>
      <c r="V491" s="130"/>
      <c r="W491" s="170"/>
    </row>
    <row r="492" s="39" customFormat="1" ht="22" hidden="1" customHeight="1" spans="1:23">
      <c r="A492" s="144" t="s">
        <v>1809</v>
      </c>
      <c r="B492" s="174" t="s">
        <v>30</v>
      </c>
      <c r="C492" s="175"/>
      <c r="D492" s="229" t="s">
        <v>31</v>
      </c>
      <c r="E492" s="82" t="s">
        <v>1167</v>
      </c>
      <c r="F492" s="81">
        <f>IFERROR(VLOOKUP(E492,客户!B:C,2,FALSE),"/")</f>
        <v>0</v>
      </c>
      <c r="G492" s="80" t="s">
        <v>1369</v>
      </c>
      <c r="H492" s="45" t="s">
        <v>123</v>
      </c>
      <c r="I492" s="45" t="s">
        <v>1370</v>
      </c>
      <c r="J492" s="108">
        <v>44546</v>
      </c>
      <c r="K492" s="159">
        <v>44586</v>
      </c>
      <c r="L492" s="100">
        <v>44640</v>
      </c>
      <c r="M492" s="165" t="s">
        <v>1810</v>
      </c>
      <c r="N492" s="198" t="s">
        <v>1808</v>
      </c>
      <c r="O492" s="104" t="s">
        <v>523</v>
      </c>
      <c r="P492" s="102">
        <v>33285.9</v>
      </c>
      <c r="Q492" s="203">
        <f>19800-10200</f>
        <v>9600</v>
      </c>
      <c r="R492" s="241"/>
      <c r="S492" s="242"/>
      <c r="T492" s="203">
        <v>23685.9</v>
      </c>
      <c r="U492" s="100"/>
      <c r="V492" s="130"/>
      <c r="W492" s="170"/>
    </row>
    <row r="493" s="39" customFormat="1" ht="22" hidden="1" customHeight="1" spans="1:23">
      <c r="A493" s="144" t="s">
        <v>1811</v>
      </c>
      <c r="B493" s="174" t="s">
        <v>30</v>
      </c>
      <c r="C493" s="175"/>
      <c r="D493" s="229" t="s">
        <v>31</v>
      </c>
      <c r="E493" s="82" t="s">
        <v>1121</v>
      </c>
      <c r="F493" s="81"/>
      <c r="G493" s="80" t="s">
        <v>1812</v>
      </c>
      <c r="H493" s="45" t="s">
        <v>123</v>
      </c>
      <c r="I493" s="45" t="s">
        <v>215</v>
      </c>
      <c r="J493" s="108">
        <v>44551</v>
      </c>
      <c r="K493" s="159">
        <v>44579</v>
      </c>
      <c r="L493" s="100">
        <v>44592</v>
      </c>
      <c r="M493" s="165" t="s">
        <v>1813</v>
      </c>
      <c r="N493" s="198" t="s">
        <v>1814</v>
      </c>
      <c r="O493" s="104" t="s">
        <v>523</v>
      </c>
      <c r="P493" s="102">
        <v>32593.52</v>
      </c>
      <c r="Q493" s="203"/>
      <c r="R493" s="241"/>
      <c r="S493" s="242"/>
      <c r="T493" s="102">
        <v>32593.52</v>
      </c>
      <c r="U493" s="100"/>
      <c r="V493" s="130"/>
      <c r="W493" s="170"/>
    </row>
    <row r="494" s="39" customFormat="1" ht="22" hidden="1" customHeight="1" spans="1:23">
      <c r="A494" s="144" t="s">
        <v>1815</v>
      </c>
      <c r="B494" s="174" t="s">
        <v>30</v>
      </c>
      <c r="C494" s="175"/>
      <c r="D494" s="229" t="s">
        <v>31</v>
      </c>
      <c r="E494" s="82" t="s">
        <v>1117</v>
      </c>
      <c r="F494" s="81">
        <f>IFERROR(VLOOKUP(E494,客户!B:C,2,FALSE),"/")</f>
        <v>0</v>
      </c>
      <c r="G494" s="82" t="s">
        <v>1816</v>
      </c>
      <c r="H494" s="45" t="s">
        <v>123</v>
      </c>
      <c r="I494" s="45" t="s">
        <v>1533</v>
      </c>
      <c r="J494" s="108">
        <v>44553</v>
      </c>
      <c r="K494" s="159">
        <v>44666</v>
      </c>
      <c r="L494" s="100"/>
      <c r="M494" s="165" t="s">
        <v>1817</v>
      </c>
      <c r="N494" s="198" t="s">
        <v>1818</v>
      </c>
      <c r="O494" s="104" t="s">
        <v>970</v>
      </c>
      <c r="P494" s="102">
        <v>24797.25</v>
      </c>
      <c r="Q494" s="203">
        <f>10000+324.8</f>
        <v>10324.8</v>
      </c>
      <c r="R494" s="241"/>
      <c r="S494" s="242"/>
      <c r="T494" s="203">
        <v>14472.45</v>
      </c>
      <c r="U494" s="100"/>
      <c r="V494" s="130"/>
      <c r="W494" s="170"/>
    </row>
    <row r="495" s="39" customFormat="1" ht="22" hidden="1" customHeight="1" spans="1:23">
      <c r="A495" s="144" t="s">
        <v>1819</v>
      </c>
      <c r="B495" s="174" t="s">
        <v>30</v>
      </c>
      <c r="C495" s="175"/>
      <c r="D495" s="229" t="s">
        <v>31</v>
      </c>
      <c r="E495" s="82" t="s">
        <v>1717</v>
      </c>
      <c r="F495" s="81">
        <f>IFERROR(VLOOKUP(E495,客户!B:C,2,FALSE),"/")</f>
        <v>0</v>
      </c>
      <c r="G495" s="80" t="s">
        <v>1812</v>
      </c>
      <c r="H495" s="45" t="s">
        <v>123</v>
      </c>
      <c r="I495" s="45" t="s">
        <v>215</v>
      </c>
      <c r="J495" s="108">
        <v>44557</v>
      </c>
      <c r="K495" s="159">
        <v>44635</v>
      </c>
      <c r="L495" s="100">
        <v>44655</v>
      </c>
      <c r="M495" s="165" t="s">
        <v>1820</v>
      </c>
      <c r="N495" s="198" t="s">
        <v>1821</v>
      </c>
      <c r="O495" s="104" t="s">
        <v>523</v>
      </c>
      <c r="P495" s="102">
        <v>33687.44</v>
      </c>
      <c r="Q495" s="203">
        <f>25780.06/2</f>
        <v>12890.03</v>
      </c>
      <c r="R495" s="241"/>
      <c r="S495" s="242"/>
      <c r="T495" s="102">
        <v>20797.41</v>
      </c>
      <c r="U495" s="100"/>
      <c r="V495" s="130"/>
      <c r="W495" s="170"/>
    </row>
    <row r="496" s="39" customFormat="1" ht="22" hidden="1" customHeight="1" spans="1:23">
      <c r="A496" s="144" t="s">
        <v>1822</v>
      </c>
      <c r="B496" s="174" t="s">
        <v>30</v>
      </c>
      <c r="C496" s="175"/>
      <c r="D496" s="229" t="s">
        <v>31</v>
      </c>
      <c r="E496" s="82" t="s">
        <v>1717</v>
      </c>
      <c r="F496" s="81">
        <f>IFERROR(VLOOKUP(E496,客户!B:C,2,FALSE),"/")</f>
        <v>0</v>
      </c>
      <c r="G496" s="80" t="s">
        <v>1812</v>
      </c>
      <c r="H496" s="45" t="s">
        <v>123</v>
      </c>
      <c r="I496" s="45" t="s">
        <v>215</v>
      </c>
      <c r="J496" s="108">
        <v>44557</v>
      </c>
      <c r="K496" s="159">
        <v>44675</v>
      </c>
      <c r="L496" s="100">
        <v>44697</v>
      </c>
      <c r="M496" s="165" t="s">
        <v>1823</v>
      </c>
      <c r="N496" s="198" t="s">
        <v>1824</v>
      </c>
      <c r="O496" s="104" t="s">
        <v>523</v>
      </c>
      <c r="P496" s="102">
        <v>33726.44</v>
      </c>
      <c r="Q496" s="203">
        <f>25780.06/2</f>
        <v>12890.03</v>
      </c>
      <c r="R496" s="241"/>
      <c r="S496" s="242"/>
      <c r="T496" s="203">
        <v>20836.41</v>
      </c>
      <c r="U496" s="100"/>
      <c r="V496" s="130"/>
      <c r="W496" s="170"/>
    </row>
    <row r="497" s="39" customFormat="1" ht="22" hidden="1" customHeight="1" spans="1:23">
      <c r="A497" s="144" t="s">
        <v>1825</v>
      </c>
      <c r="B497" s="174" t="s">
        <v>30</v>
      </c>
      <c r="C497" s="175"/>
      <c r="D497" s="229" t="s">
        <v>31</v>
      </c>
      <c r="E497" s="82" t="s">
        <v>1826</v>
      </c>
      <c r="F497" s="81">
        <f>IFERROR(VLOOKUP(E497,客户!B:C,2,FALSE),"/")</f>
        <v>0</v>
      </c>
      <c r="G497" s="80" t="s">
        <v>1827</v>
      </c>
      <c r="H497" s="45"/>
      <c r="I497" s="45"/>
      <c r="J497" s="108">
        <v>44566</v>
      </c>
      <c r="K497" s="159">
        <v>44567</v>
      </c>
      <c r="L497" s="100"/>
      <c r="M497" s="165" t="s">
        <v>1828</v>
      </c>
      <c r="N497" s="108"/>
      <c r="O497" s="104" t="s">
        <v>970</v>
      </c>
      <c r="P497" s="240">
        <v>8600</v>
      </c>
      <c r="Q497" s="240">
        <v>1000</v>
      </c>
      <c r="R497" s="241"/>
      <c r="S497" s="242"/>
      <c r="T497" s="240">
        <v>7600</v>
      </c>
      <c r="U497" s="100"/>
      <c r="V497" s="130"/>
      <c r="W497" s="170"/>
    </row>
    <row r="498" s="39" customFormat="1" ht="22" hidden="1" customHeight="1" spans="1:23">
      <c r="A498" s="144" t="s">
        <v>1829</v>
      </c>
      <c r="B498" s="174" t="s">
        <v>30</v>
      </c>
      <c r="C498" s="175"/>
      <c r="D498" s="229" t="s">
        <v>31</v>
      </c>
      <c r="E498" s="82" t="s">
        <v>1830</v>
      </c>
      <c r="F498" s="81">
        <f>IFERROR(VLOOKUP(E498,客户!B:C,2,FALSE),"/")</f>
        <v>0</v>
      </c>
      <c r="G498" s="80" t="s">
        <v>985</v>
      </c>
      <c r="H498" s="45" t="s">
        <v>123</v>
      </c>
      <c r="I498" s="45" t="s">
        <v>1831</v>
      </c>
      <c r="J498" s="108">
        <v>44575</v>
      </c>
      <c r="K498" s="159">
        <v>44681</v>
      </c>
      <c r="L498" s="100">
        <v>44703</v>
      </c>
      <c r="M498" s="165" t="s">
        <v>1832</v>
      </c>
      <c r="N498" s="198" t="s">
        <v>1833</v>
      </c>
      <c r="O498" s="104" t="s">
        <v>523</v>
      </c>
      <c r="P498" s="102">
        <v>21712.8</v>
      </c>
      <c r="Q498" s="102">
        <v>6500</v>
      </c>
      <c r="R498" s="241"/>
      <c r="S498" s="242"/>
      <c r="T498" s="102">
        <v>15212.8</v>
      </c>
      <c r="U498" s="100"/>
      <c r="V498" s="130"/>
      <c r="W498" s="170"/>
    </row>
    <row r="499" s="39" customFormat="1" ht="22" hidden="1" customHeight="1" spans="1:23">
      <c r="A499" s="144" t="s">
        <v>1834</v>
      </c>
      <c r="B499" s="174" t="s">
        <v>30</v>
      </c>
      <c r="C499" s="175"/>
      <c r="D499" s="229" t="s">
        <v>31</v>
      </c>
      <c r="E499" s="82" t="s">
        <v>1167</v>
      </c>
      <c r="F499" s="81">
        <f>IFERROR(VLOOKUP(E499,客户!B:C,2,FALSE),"/")</f>
        <v>0</v>
      </c>
      <c r="G499" s="80" t="s">
        <v>1369</v>
      </c>
      <c r="H499" s="45" t="s">
        <v>123</v>
      </c>
      <c r="I499" s="45" t="s">
        <v>1370</v>
      </c>
      <c r="J499" s="108">
        <v>44582</v>
      </c>
      <c r="K499" s="159">
        <v>44623</v>
      </c>
      <c r="L499" s="100">
        <v>44662</v>
      </c>
      <c r="M499" s="165" t="s">
        <v>1835</v>
      </c>
      <c r="N499" s="198" t="s">
        <v>1142</v>
      </c>
      <c r="O499" s="104" t="s">
        <v>523</v>
      </c>
      <c r="P499" s="102">
        <v>34164.64</v>
      </c>
      <c r="Q499" s="102">
        <v>10300</v>
      </c>
      <c r="R499" s="241"/>
      <c r="S499" s="242"/>
      <c r="T499" s="102">
        <v>9900</v>
      </c>
      <c r="U499" s="102">
        <f>14064.64-100</f>
        <v>13964.64</v>
      </c>
      <c r="V499" s="130"/>
      <c r="W499" s="170"/>
    </row>
    <row r="500" s="39" customFormat="1" ht="22" customHeight="1" spans="1:23">
      <c r="A500" s="255" t="s">
        <v>1836</v>
      </c>
      <c r="B500" s="174" t="s">
        <v>30</v>
      </c>
      <c r="C500" s="175"/>
      <c r="D500" s="229" t="s">
        <v>1</v>
      </c>
      <c r="E500" s="82" t="s">
        <v>1274</v>
      </c>
      <c r="F500" s="81">
        <f>IFERROR(VLOOKUP(E500,客户!B:C,2,FALSE),"/")</f>
        <v>0</v>
      </c>
      <c r="G500" s="80" t="s">
        <v>1837</v>
      </c>
      <c r="H500" s="45" t="s">
        <v>123</v>
      </c>
      <c r="I500" s="45" t="s">
        <v>1838</v>
      </c>
      <c r="J500" s="108">
        <v>44585</v>
      </c>
      <c r="K500" s="159">
        <v>44726</v>
      </c>
      <c r="L500" s="100">
        <v>44754</v>
      </c>
      <c r="M500" s="164" t="s">
        <v>1839</v>
      </c>
      <c r="N500" s="198" t="s">
        <v>1840</v>
      </c>
      <c r="O500" s="104" t="s">
        <v>523</v>
      </c>
      <c r="P500" s="102">
        <v>23265.43</v>
      </c>
      <c r="Q500" s="102">
        <v>5000</v>
      </c>
      <c r="R500" s="241">
        <f>P500-Q500</f>
        <v>18265.43</v>
      </c>
      <c r="S500" s="242"/>
      <c r="T500" s="240"/>
      <c r="U500" s="100"/>
      <c r="V500" s="130"/>
      <c r="W500" s="170"/>
    </row>
    <row r="501" s="39" customFormat="1" ht="22" hidden="1" customHeight="1" spans="1:23">
      <c r="A501" s="144" t="s">
        <v>1841</v>
      </c>
      <c r="B501" s="174" t="s">
        <v>30</v>
      </c>
      <c r="C501" s="175"/>
      <c r="D501" s="229" t="s">
        <v>31</v>
      </c>
      <c r="E501" s="82" t="s">
        <v>1345</v>
      </c>
      <c r="F501" s="81" t="str">
        <f>IFERROR(VLOOKUP(E501,客户!B:C,2,FALSE),"/")</f>
        <v>J4159还差USD265.65没付齐 J4220还有定金5674.3 账上剩5408.65</v>
      </c>
      <c r="G501" s="80" t="s">
        <v>1198</v>
      </c>
      <c r="H501" s="45" t="s">
        <v>154</v>
      </c>
      <c r="I501" s="45" t="s">
        <v>1842</v>
      </c>
      <c r="J501" s="108">
        <v>44588</v>
      </c>
      <c r="K501" s="159">
        <v>44640</v>
      </c>
      <c r="L501" s="100">
        <v>44680</v>
      </c>
      <c r="M501" s="165" t="s">
        <v>1843</v>
      </c>
      <c r="N501" s="198" t="s">
        <v>1844</v>
      </c>
      <c r="O501" s="104" t="s">
        <v>523</v>
      </c>
      <c r="P501" s="102">
        <v>28696.46</v>
      </c>
      <c r="Q501" s="102">
        <v>5674.3</v>
      </c>
      <c r="R501" s="241"/>
      <c r="S501" s="242"/>
      <c r="T501" s="102">
        <v>28696.46</v>
      </c>
      <c r="U501" s="100"/>
      <c r="V501" s="130"/>
      <c r="W501" s="170"/>
    </row>
    <row r="502" s="39" customFormat="1" ht="22" hidden="1" customHeight="1" spans="1:23">
      <c r="A502" s="255" t="s">
        <v>1845</v>
      </c>
      <c r="B502" s="174" t="s">
        <v>30</v>
      </c>
      <c r="C502" s="175"/>
      <c r="D502" s="229" t="s">
        <v>0</v>
      </c>
      <c r="E502" s="82" t="s">
        <v>1121</v>
      </c>
      <c r="F502" s="81">
        <f>IFERROR(VLOOKUP(E502,客户!B:C,2,FALSE),"/")</f>
        <v>0</v>
      </c>
      <c r="G502" s="80" t="s">
        <v>1846</v>
      </c>
      <c r="H502" s="45" t="s">
        <v>123</v>
      </c>
      <c r="I502" s="45" t="s">
        <v>215</v>
      </c>
      <c r="J502" s="108">
        <v>44600</v>
      </c>
      <c r="K502" s="159">
        <v>44737</v>
      </c>
      <c r="L502" s="100"/>
      <c r="M502" s="164" t="s">
        <v>1847</v>
      </c>
      <c r="N502" s="198" t="s">
        <v>1848</v>
      </c>
      <c r="O502" s="104" t="s">
        <v>523</v>
      </c>
      <c r="P502" s="139"/>
      <c r="Q502" s="102">
        <v>10000</v>
      </c>
      <c r="R502" s="241"/>
      <c r="S502" s="242"/>
      <c r="T502" s="240"/>
      <c r="U502" s="100"/>
      <c r="V502" s="130"/>
      <c r="W502" s="170"/>
    </row>
    <row r="503" s="39" customFormat="1" ht="23" hidden="1" customHeight="1" spans="1:23">
      <c r="A503" s="144" t="s">
        <v>1849</v>
      </c>
      <c r="B503" s="174" t="s">
        <v>30</v>
      </c>
      <c r="C503" s="175"/>
      <c r="D503" s="229" t="s">
        <v>31</v>
      </c>
      <c r="E503" s="82" t="s">
        <v>1121</v>
      </c>
      <c r="F503" s="81">
        <f>IFERROR(VLOOKUP(E503,客户!B:C,2,FALSE),"/")</f>
        <v>0</v>
      </c>
      <c r="G503" s="80" t="s">
        <v>1846</v>
      </c>
      <c r="H503" s="45" t="s">
        <v>123</v>
      </c>
      <c r="I503" s="45" t="s">
        <v>215</v>
      </c>
      <c r="J503" s="108">
        <v>44600</v>
      </c>
      <c r="K503" s="159">
        <v>44718</v>
      </c>
      <c r="L503" s="100">
        <v>44739</v>
      </c>
      <c r="M503" s="165" t="s">
        <v>1850</v>
      </c>
      <c r="N503" s="198" t="s">
        <v>1851</v>
      </c>
      <c r="O503" s="104" t="s">
        <v>523</v>
      </c>
      <c r="P503" s="102">
        <v>62692.2</v>
      </c>
      <c r="Q503" s="102"/>
      <c r="R503" s="241"/>
      <c r="S503" s="242"/>
      <c r="T503" s="102">
        <v>62692.2</v>
      </c>
      <c r="U503" s="100"/>
      <c r="V503" s="130"/>
      <c r="W503" s="170"/>
    </row>
    <row r="504" s="39" customFormat="1" ht="22" hidden="1" customHeight="1" spans="1:23">
      <c r="A504" s="144" t="s">
        <v>1852</v>
      </c>
      <c r="B504" s="174" t="s">
        <v>30</v>
      </c>
      <c r="C504" s="175"/>
      <c r="D504" s="229" t="s">
        <v>31</v>
      </c>
      <c r="E504" s="82" t="s">
        <v>1117</v>
      </c>
      <c r="F504" s="81">
        <f>IFERROR(VLOOKUP(E504,客户!B:C,2,FALSE),"/")</f>
        <v>0</v>
      </c>
      <c r="G504" s="80" t="s">
        <v>1853</v>
      </c>
      <c r="H504" s="45" t="s">
        <v>186</v>
      </c>
      <c r="I504" s="45"/>
      <c r="J504" s="108">
        <v>44602</v>
      </c>
      <c r="K504" s="159">
        <v>44630</v>
      </c>
      <c r="L504" s="100"/>
      <c r="M504" s="165" t="s">
        <v>1854</v>
      </c>
      <c r="N504" s="108"/>
      <c r="O504" s="104" t="s">
        <v>970</v>
      </c>
      <c r="P504" s="240">
        <v>17490</v>
      </c>
      <c r="Q504" s="240">
        <v>6000</v>
      </c>
      <c r="R504" s="241"/>
      <c r="S504" s="242">
        <f>P504-Q504</f>
        <v>11490</v>
      </c>
      <c r="T504" s="240"/>
      <c r="U504" s="100"/>
      <c r="V504" s="130"/>
      <c r="W504" s="170"/>
    </row>
    <row r="505" s="39" customFormat="1" ht="22" hidden="1" customHeight="1" spans="1:23">
      <c r="A505" s="255" t="s">
        <v>1855</v>
      </c>
      <c r="B505" s="174" t="s">
        <v>30</v>
      </c>
      <c r="C505" s="175"/>
      <c r="D505" s="229" t="s">
        <v>3</v>
      </c>
      <c r="E505" s="82" t="s">
        <v>1717</v>
      </c>
      <c r="F505" s="81">
        <f>IFERROR(VLOOKUP(E505,客户!B:C,2,FALSE),"/")</f>
        <v>0</v>
      </c>
      <c r="G505" s="80" t="s">
        <v>1856</v>
      </c>
      <c r="H505" s="45" t="s">
        <v>123</v>
      </c>
      <c r="I505" s="45" t="s">
        <v>215</v>
      </c>
      <c r="J505" s="108">
        <v>44603</v>
      </c>
      <c r="K505" s="159"/>
      <c r="L505" s="100"/>
      <c r="M505" s="165" t="s">
        <v>1857</v>
      </c>
      <c r="N505" s="108"/>
      <c r="O505" s="104" t="s">
        <v>523</v>
      </c>
      <c r="P505" s="139">
        <v>31395.22</v>
      </c>
      <c r="Q505" s="102">
        <v>9419</v>
      </c>
      <c r="R505" s="241"/>
      <c r="S505" s="242"/>
      <c r="T505" s="240"/>
      <c r="U505" s="100"/>
      <c r="V505" s="130"/>
      <c r="W505" s="170"/>
    </row>
    <row r="506" s="39" customFormat="1" ht="22" hidden="1" customHeight="1" spans="1:23">
      <c r="A506" s="144" t="s">
        <v>1858</v>
      </c>
      <c r="B506" s="174" t="s">
        <v>30</v>
      </c>
      <c r="C506" s="175"/>
      <c r="D506" s="229" t="s">
        <v>31</v>
      </c>
      <c r="E506" s="82" t="s">
        <v>1415</v>
      </c>
      <c r="F506" s="81">
        <f>IFERROR(VLOOKUP(E506,客户!B:C,2,FALSE),"/")</f>
        <v>0</v>
      </c>
      <c r="G506" s="80" t="s">
        <v>1859</v>
      </c>
      <c r="H506" s="45" t="s">
        <v>123</v>
      </c>
      <c r="I506" s="45" t="s">
        <v>1203</v>
      </c>
      <c r="J506" s="108">
        <v>44605</v>
      </c>
      <c r="K506" s="159">
        <v>44715</v>
      </c>
      <c r="L506" s="100">
        <v>44747</v>
      </c>
      <c r="M506" s="165" t="s">
        <v>1860</v>
      </c>
      <c r="N506" s="198" t="s">
        <v>1861</v>
      </c>
      <c r="O506" s="104" t="s">
        <v>523</v>
      </c>
      <c r="P506" s="102">
        <v>32256.9</v>
      </c>
      <c r="Q506" s="102">
        <v>8000</v>
      </c>
      <c r="R506" s="241"/>
      <c r="S506" s="242"/>
      <c r="T506" s="102">
        <v>24256.9</v>
      </c>
      <c r="U506" s="100"/>
      <c r="V506" s="130"/>
      <c r="W506" s="170"/>
    </row>
    <row r="507" s="39" customFormat="1" ht="22" hidden="1" customHeight="1" spans="1:23">
      <c r="A507" s="144" t="s">
        <v>1862</v>
      </c>
      <c r="B507" s="174" t="s">
        <v>30</v>
      </c>
      <c r="C507" s="175"/>
      <c r="D507" s="229" t="s">
        <v>31</v>
      </c>
      <c r="E507" s="82" t="s">
        <v>1083</v>
      </c>
      <c r="F507" s="81"/>
      <c r="G507" s="80" t="s">
        <v>1859</v>
      </c>
      <c r="H507" s="45" t="s">
        <v>123</v>
      </c>
      <c r="I507" s="45" t="s">
        <v>232</v>
      </c>
      <c r="J507" s="108">
        <v>44610</v>
      </c>
      <c r="K507" s="159">
        <v>44679</v>
      </c>
      <c r="L507" s="100">
        <v>44699</v>
      </c>
      <c r="M507" s="165" t="s">
        <v>1863</v>
      </c>
      <c r="N507" s="198" t="s">
        <v>1864</v>
      </c>
      <c r="O507" s="104" t="s">
        <v>523</v>
      </c>
      <c r="P507" s="102">
        <v>28367.98</v>
      </c>
      <c r="Q507" s="102"/>
      <c r="R507" s="241"/>
      <c r="S507" s="242"/>
      <c r="T507" s="102">
        <v>28367.98</v>
      </c>
      <c r="U507" s="100"/>
      <c r="V507" s="219" t="s">
        <v>1865</v>
      </c>
      <c r="W507" s="170"/>
    </row>
    <row r="508" s="39" customFormat="1" ht="22" hidden="1" customHeight="1" spans="1:23">
      <c r="A508" s="144" t="s">
        <v>1866</v>
      </c>
      <c r="B508" s="174" t="s">
        <v>30</v>
      </c>
      <c r="C508" s="175"/>
      <c r="D508" s="229" t="s">
        <v>31</v>
      </c>
      <c r="E508" s="82" t="s">
        <v>1083</v>
      </c>
      <c r="F508" s="81">
        <f>IFERROR(VLOOKUP(E508,客户!B:C,2,FALSE),"/")</f>
        <v>0</v>
      </c>
      <c r="G508" s="80" t="s">
        <v>1859</v>
      </c>
      <c r="H508" s="45" t="s">
        <v>123</v>
      </c>
      <c r="I508" s="45" t="s">
        <v>232</v>
      </c>
      <c r="J508" s="108">
        <v>44610</v>
      </c>
      <c r="K508" s="159">
        <v>44675</v>
      </c>
      <c r="L508" s="100">
        <v>44702</v>
      </c>
      <c r="M508" s="165" t="s">
        <v>1867</v>
      </c>
      <c r="N508" s="198" t="s">
        <v>1868</v>
      </c>
      <c r="O508" s="104" t="s">
        <v>523</v>
      </c>
      <c r="P508" s="102">
        <v>28924</v>
      </c>
      <c r="Q508" s="102"/>
      <c r="R508" s="241"/>
      <c r="S508" s="242"/>
      <c r="T508" s="102">
        <v>28924</v>
      </c>
      <c r="U508" s="100"/>
      <c r="V508" s="130"/>
      <c r="W508" s="170"/>
    </row>
    <row r="509" s="39" customFormat="1" ht="22" hidden="1" customHeight="1" spans="1:23">
      <c r="A509" s="144" t="s">
        <v>1869</v>
      </c>
      <c r="B509" s="174" t="s">
        <v>30</v>
      </c>
      <c r="C509" s="175"/>
      <c r="D509" s="229" t="s">
        <v>31</v>
      </c>
      <c r="E509" s="82" t="s">
        <v>1167</v>
      </c>
      <c r="F509" s="81">
        <f>IFERROR(VLOOKUP(E509,客户!B:C,2,FALSE),"/")</f>
        <v>0</v>
      </c>
      <c r="G509" s="80" t="s">
        <v>1369</v>
      </c>
      <c r="H509" s="45" t="s">
        <v>123</v>
      </c>
      <c r="I509" s="45" t="s">
        <v>1370</v>
      </c>
      <c r="J509" s="108">
        <v>44613</v>
      </c>
      <c r="K509" s="159">
        <v>44678</v>
      </c>
      <c r="L509" s="100">
        <v>44707</v>
      </c>
      <c r="M509" s="165" t="s">
        <v>1870</v>
      </c>
      <c r="N509" s="198" t="s">
        <v>1372</v>
      </c>
      <c r="O509" s="104" t="s">
        <v>523</v>
      </c>
      <c r="P509" s="102">
        <v>37942.17</v>
      </c>
      <c r="Q509" s="102">
        <f>10400+100</f>
        <v>10500</v>
      </c>
      <c r="R509" s="241"/>
      <c r="S509" s="242"/>
      <c r="T509" s="102">
        <v>27442.17</v>
      </c>
      <c r="U509" s="100"/>
      <c r="V509" s="130"/>
      <c r="W509" s="170"/>
    </row>
    <row r="510" s="39" customFormat="1" ht="22" customHeight="1" spans="1:23">
      <c r="A510" s="255" t="s">
        <v>1871</v>
      </c>
      <c r="B510" s="174" t="s">
        <v>30</v>
      </c>
      <c r="C510" s="175"/>
      <c r="D510" s="229" t="s">
        <v>1</v>
      </c>
      <c r="E510" s="82" t="s">
        <v>1429</v>
      </c>
      <c r="F510" s="81">
        <f>IFERROR(VLOOKUP(E510,客户!B:C,2,FALSE),"/")</f>
        <v>0</v>
      </c>
      <c r="G510" s="80" t="s">
        <v>1872</v>
      </c>
      <c r="H510" s="45" t="s">
        <v>127</v>
      </c>
      <c r="I510" s="45" t="s">
        <v>1873</v>
      </c>
      <c r="J510" s="108">
        <v>44614</v>
      </c>
      <c r="K510" s="159">
        <v>44715</v>
      </c>
      <c r="L510" s="100">
        <v>44766</v>
      </c>
      <c r="M510" s="165" t="s">
        <v>1874</v>
      </c>
      <c r="N510" s="198" t="s">
        <v>1875</v>
      </c>
      <c r="O510" s="104" t="s">
        <v>523</v>
      </c>
      <c r="P510" s="102">
        <v>106237.35</v>
      </c>
      <c r="Q510" s="102">
        <v>8000</v>
      </c>
      <c r="R510" s="241"/>
      <c r="S510" s="242"/>
      <c r="T510" s="240"/>
      <c r="U510" s="100"/>
      <c r="V510" s="130"/>
      <c r="W510" s="170"/>
    </row>
    <row r="511" s="39" customFormat="1" ht="22" hidden="1" customHeight="1" spans="1:23">
      <c r="A511" s="144" t="s">
        <v>1876</v>
      </c>
      <c r="B511" s="174" t="s">
        <v>30</v>
      </c>
      <c r="C511" s="175"/>
      <c r="D511" s="229" t="s">
        <v>31</v>
      </c>
      <c r="E511" s="82" t="s">
        <v>1508</v>
      </c>
      <c r="F511" s="81">
        <f>IFERROR(VLOOKUP(E511,客户!B:C,2,FALSE),"/")</f>
        <v>0</v>
      </c>
      <c r="G511" s="80" t="s">
        <v>1859</v>
      </c>
      <c r="H511" s="45" t="s">
        <v>123</v>
      </c>
      <c r="I511" s="45" t="s">
        <v>1877</v>
      </c>
      <c r="J511" s="108">
        <v>44615</v>
      </c>
      <c r="K511" s="159">
        <v>44701</v>
      </c>
      <c r="L511" s="100">
        <v>44748</v>
      </c>
      <c r="M511" s="165" t="s">
        <v>1878</v>
      </c>
      <c r="N511" s="198" t="s">
        <v>1879</v>
      </c>
      <c r="O511" s="104" t="s">
        <v>523</v>
      </c>
      <c r="P511" s="102">
        <v>29576</v>
      </c>
      <c r="Q511" s="102">
        <v>10000</v>
      </c>
      <c r="R511" s="241"/>
      <c r="S511" s="242"/>
      <c r="T511" s="102">
        <v>19576</v>
      </c>
      <c r="U511" s="100"/>
      <c r="V511" s="130"/>
      <c r="W511" s="170"/>
    </row>
    <row r="512" s="39" customFormat="1" ht="22" hidden="1" customHeight="1" spans="1:23">
      <c r="A512" s="144" t="s">
        <v>1880</v>
      </c>
      <c r="B512" s="174" t="s">
        <v>30</v>
      </c>
      <c r="C512" s="175"/>
      <c r="D512" s="229" t="s">
        <v>31</v>
      </c>
      <c r="E512" s="82" t="s">
        <v>1791</v>
      </c>
      <c r="F512" s="81">
        <f>IFERROR(VLOOKUP(E512,客户!B:C,2,FALSE),"/")</f>
        <v>0</v>
      </c>
      <c r="G512" s="80" t="s">
        <v>1881</v>
      </c>
      <c r="H512" s="45" t="s">
        <v>186</v>
      </c>
      <c r="I512" s="45"/>
      <c r="J512" s="108">
        <v>44616</v>
      </c>
      <c r="K512" s="159">
        <v>44713</v>
      </c>
      <c r="L512" s="100"/>
      <c r="M512" s="165" t="s">
        <v>1787</v>
      </c>
      <c r="N512" s="108"/>
      <c r="O512" s="104" t="s">
        <v>970</v>
      </c>
      <c r="P512" s="240">
        <v>34216</v>
      </c>
      <c r="Q512" s="240">
        <v>10000</v>
      </c>
      <c r="R512" s="241"/>
      <c r="S512" s="242"/>
      <c r="T512" s="240">
        <v>24216</v>
      </c>
      <c r="U512" s="100"/>
      <c r="V512" s="130"/>
      <c r="W512" s="170"/>
    </row>
    <row r="513" s="39" customFormat="1" ht="22" hidden="1" customHeight="1" spans="1:23">
      <c r="A513" s="255" t="s">
        <v>1882</v>
      </c>
      <c r="B513" s="174" t="s">
        <v>30</v>
      </c>
      <c r="C513" s="175"/>
      <c r="D513" s="229" t="s">
        <v>3</v>
      </c>
      <c r="E513" s="82" t="s">
        <v>1717</v>
      </c>
      <c r="F513" s="81">
        <f>IFERROR(VLOOKUP(E513,客户!B:C,2,FALSE),"/")</f>
        <v>0</v>
      </c>
      <c r="G513" s="80" t="s">
        <v>1883</v>
      </c>
      <c r="H513" s="45" t="s">
        <v>123</v>
      </c>
      <c r="I513" s="45" t="s">
        <v>215</v>
      </c>
      <c r="J513" s="108">
        <v>44617</v>
      </c>
      <c r="K513" s="159"/>
      <c r="L513" s="100"/>
      <c r="M513" s="165" t="s">
        <v>1884</v>
      </c>
      <c r="N513" s="108"/>
      <c r="O513" s="104" t="s">
        <v>523</v>
      </c>
      <c r="P513" s="139"/>
      <c r="Q513" s="102">
        <f>28260/3</f>
        <v>9420</v>
      </c>
      <c r="R513" s="241"/>
      <c r="S513" s="242"/>
      <c r="T513" s="240"/>
      <c r="U513" s="100"/>
      <c r="V513" s="130"/>
      <c r="W513" s="170"/>
    </row>
    <row r="514" s="39" customFormat="1" ht="22" hidden="1" customHeight="1" spans="1:23">
      <c r="A514" s="144" t="s">
        <v>1885</v>
      </c>
      <c r="B514" s="174" t="s">
        <v>30</v>
      </c>
      <c r="C514" s="175"/>
      <c r="D514" s="229" t="s">
        <v>31</v>
      </c>
      <c r="E514" s="82" t="s">
        <v>1717</v>
      </c>
      <c r="F514" s="81"/>
      <c r="G514" s="80" t="s">
        <v>1883</v>
      </c>
      <c r="H514" s="45" t="s">
        <v>123</v>
      </c>
      <c r="I514" s="45" t="s">
        <v>215</v>
      </c>
      <c r="J514" s="108">
        <v>44617</v>
      </c>
      <c r="K514" s="159">
        <v>44706</v>
      </c>
      <c r="L514" s="100">
        <v>44725</v>
      </c>
      <c r="M514" s="165" t="s">
        <v>1886</v>
      </c>
      <c r="N514" s="198" t="s">
        <v>1887</v>
      </c>
      <c r="O514" s="104" t="s">
        <v>523</v>
      </c>
      <c r="P514" s="102">
        <v>33987.36</v>
      </c>
      <c r="Q514" s="102">
        <v>9420</v>
      </c>
      <c r="R514" s="241"/>
      <c r="S514" s="242"/>
      <c r="T514" s="267">
        <f>13984.8+14345.2</f>
        <v>28330</v>
      </c>
      <c r="U514" s="267">
        <v>21068</v>
      </c>
      <c r="V514" s="130"/>
      <c r="W514" s="170"/>
    </row>
    <row r="515" s="39" customFormat="1" ht="22" hidden="1" customHeight="1" spans="1:23">
      <c r="A515" s="144" t="s">
        <v>1888</v>
      </c>
      <c r="B515" s="174" t="s">
        <v>30</v>
      </c>
      <c r="C515" s="175"/>
      <c r="D515" s="229" t="s">
        <v>31</v>
      </c>
      <c r="E515" s="82" t="s">
        <v>1717</v>
      </c>
      <c r="F515" s="81"/>
      <c r="G515" s="80" t="s">
        <v>1883</v>
      </c>
      <c r="H515" s="45" t="s">
        <v>123</v>
      </c>
      <c r="I515" s="45" t="s">
        <v>215</v>
      </c>
      <c r="J515" s="108">
        <v>44617</v>
      </c>
      <c r="K515" s="159">
        <v>44710</v>
      </c>
      <c r="L515" s="100">
        <v>44725</v>
      </c>
      <c r="M515" s="165" t="s">
        <v>1889</v>
      </c>
      <c r="N515" s="198" t="s">
        <v>1890</v>
      </c>
      <c r="O515" s="104" t="s">
        <v>523</v>
      </c>
      <c r="P515" s="102">
        <v>34250.36</v>
      </c>
      <c r="Q515" s="102">
        <v>9420</v>
      </c>
      <c r="R515" s="241"/>
      <c r="S515" s="242"/>
      <c r="T515" s="268"/>
      <c r="U515" s="268"/>
      <c r="V515" s="130"/>
      <c r="W515" s="170"/>
    </row>
    <row r="516" s="39" customFormat="1" ht="22" hidden="1" customHeight="1" spans="1:23">
      <c r="A516" s="255" t="s">
        <v>1891</v>
      </c>
      <c r="B516" s="174" t="s">
        <v>30</v>
      </c>
      <c r="C516" s="175"/>
      <c r="D516" s="229" t="s">
        <v>2</v>
      </c>
      <c r="E516" s="82" t="s">
        <v>1238</v>
      </c>
      <c r="F516" s="81">
        <f>IFERROR(VLOOKUP(E516,客户!B:C,2,FALSE),"/")</f>
        <v>0</v>
      </c>
      <c r="G516" s="80" t="s">
        <v>985</v>
      </c>
      <c r="H516" s="45" t="s">
        <v>123</v>
      </c>
      <c r="I516" s="45" t="s">
        <v>1662</v>
      </c>
      <c r="J516" s="108">
        <v>44623</v>
      </c>
      <c r="K516" s="159">
        <v>44694</v>
      </c>
      <c r="L516" s="100">
        <v>44735</v>
      </c>
      <c r="M516" s="165" t="s">
        <v>1892</v>
      </c>
      <c r="N516" s="198" t="s">
        <v>1893</v>
      </c>
      <c r="O516" s="104" t="s">
        <v>523</v>
      </c>
      <c r="P516" s="102">
        <v>28796.03</v>
      </c>
      <c r="Q516" s="102">
        <v>2429</v>
      </c>
      <c r="R516" s="241">
        <f>P516-T516-U516</f>
        <v>2429.03</v>
      </c>
      <c r="S516" s="242"/>
      <c r="T516" s="102">
        <v>22090</v>
      </c>
      <c r="U516" s="102">
        <v>4277</v>
      </c>
      <c r="V516" s="130"/>
      <c r="W516" s="170"/>
    </row>
    <row r="517" s="39" customFormat="1" ht="22" hidden="1" customHeight="1" spans="1:23">
      <c r="A517" s="144" t="s">
        <v>1894</v>
      </c>
      <c r="B517" s="174" t="s">
        <v>30</v>
      </c>
      <c r="C517" s="175"/>
      <c r="D517" s="229" t="s">
        <v>31</v>
      </c>
      <c r="E517" s="82" t="s">
        <v>1167</v>
      </c>
      <c r="F517" s="81">
        <f>IFERROR(VLOOKUP(E517,客户!B:C,2,FALSE),"/")</f>
        <v>0</v>
      </c>
      <c r="G517" s="80" t="s">
        <v>1895</v>
      </c>
      <c r="H517" s="45" t="s">
        <v>123</v>
      </c>
      <c r="I517" s="45" t="s">
        <v>550</v>
      </c>
      <c r="J517" s="108">
        <v>44628</v>
      </c>
      <c r="K517" s="159">
        <v>44718</v>
      </c>
      <c r="L517" s="100">
        <v>44741</v>
      </c>
      <c r="M517" s="165" t="s">
        <v>1896</v>
      </c>
      <c r="N517" s="198" t="s">
        <v>1897</v>
      </c>
      <c r="O517" s="104" t="s">
        <v>523</v>
      </c>
      <c r="P517" s="102">
        <v>38030.12</v>
      </c>
      <c r="Q517" s="102">
        <f>20500/2</f>
        <v>10250</v>
      </c>
      <c r="R517" s="241"/>
      <c r="S517" s="242"/>
      <c r="T517" s="102">
        <v>27780.12</v>
      </c>
      <c r="U517" s="100"/>
      <c r="V517" s="130"/>
      <c r="W517" s="170"/>
    </row>
    <row r="518" s="39" customFormat="1" ht="22" hidden="1" customHeight="1" spans="1:23">
      <c r="A518" s="144" t="s">
        <v>1898</v>
      </c>
      <c r="B518" s="174" t="s">
        <v>30</v>
      </c>
      <c r="C518" s="175"/>
      <c r="D518" s="229" t="s">
        <v>31</v>
      </c>
      <c r="E518" s="82" t="s">
        <v>1167</v>
      </c>
      <c r="F518" s="81">
        <f>IFERROR(VLOOKUP(E518,客户!B:C,2,FALSE),"/")</f>
        <v>0</v>
      </c>
      <c r="G518" s="80" t="s">
        <v>1895</v>
      </c>
      <c r="H518" s="45" t="s">
        <v>123</v>
      </c>
      <c r="I518" s="45" t="s">
        <v>550</v>
      </c>
      <c r="J518" s="108">
        <v>44628</v>
      </c>
      <c r="K518" s="159">
        <v>44718</v>
      </c>
      <c r="L518" s="100">
        <v>44741</v>
      </c>
      <c r="M518" s="165" t="s">
        <v>1899</v>
      </c>
      <c r="N518" s="198" t="s">
        <v>1897</v>
      </c>
      <c r="O518" s="104" t="s">
        <v>523</v>
      </c>
      <c r="P518" s="102">
        <v>35121.68</v>
      </c>
      <c r="Q518" s="102">
        <f>20500/2</f>
        <v>10250</v>
      </c>
      <c r="R518" s="241"/>
      <c r="S518" s="242"/>
      <c r="T518" s="102">
        <v>24871.68</v>
      </c>
      <c r="U518" s="100"/>
      <c r="V518" s="130"/>
      <c r="W518" s="170"/>
    </row>
    <row r="519" s="39" customFormat="1" ht="22" hidden="1" customHeight="1" spans="1:23">
      <c r="A519" s="255" t="s">
        <v>1900</v>
      </c>
      <c r="B519" s="174" t="s">
        <v>30</v>
      </c>
      <c r="C519" s="175"/>
      <c r="D519" s="229" t="s">
        <v>2</v>
      </c>
      <c r="E519" s="82" t="s">
        <v>1901</v>
      </c>
      <c r="F519" s="81">
        <f>IFERROR(VLOOKUP(E519,客户!B:C,2,FALSE),"/")</f>
        <v>0</v>
      </c>
      <c r="G519" s="80" t="s">
        <v>1902</v>
      </c>
      <c r="H519" s="45" t="s">
        <v>123</v>
      </c>
      <c r="I519" s="45" t="s">
        <v>1903</v>
      </c>
      <c r="J519" s="108">
        <v>44633</v>
      </c>
      <c r="K519" s="159">
        <v>44721</v>
      </c>
      <c r="L519" s="100">
        <v>44762</v>
      </c>
      <c r="M519" s="165" t="s">
        <v>1904</v>
      </c>
      <c r="N519" s="198" t="s">
        <v>1905</v>
      </c>
      <c r="O519" s="104" t="s">
        <v>523</v>
      </c>
      <c r="P519" s="102">
        <v>58389.48</v>
      </c>
      <c r="Q519" s="102">
        <v>18000</v>
      </c>
      <c r="R519" s="241">
        <f>P519-Q519</f>
        <v>40389.48</v>
      </c>
      <c r="S519" s="242"/>
      <c r="T519" s="240"/>
      <c r="U519" s="100"/>
      <c r="V519" s="130"/>
      <c r="W519" s="170"/>
    </row>
    <row r="520" s="39" customFormat="1" ht="22" hidden="1" customHeight="1" spans="1:23">
      <c r="A520" s="255" t="s">
        <v>1906</v>
      </c>
      <c r="B520" s="174" t="s">
        <v>30</v>
      </c>
      <c r="C520" s="175"/>
      <c r="D520" s="229" t="s">
        <v>0</v>
      </c>
      <c r="E520" s="82" t="s">
        <v>1117</v>
      </c>
      <c r="F520" s="81">
        <f>IFERROR(VLOOKUP(E520,客户!B:C,2,FALSE),"/")</f>
        <v>0</v>
      </c>
      <c r="G520" s="80" t="s">
        <v>1907</v>
      </c>
      <c r="H520" s="45" t="s">
        <v>123</v>
      </c>
      <c r="I520" s="45" t="s">
        <v>1533</v>
      </c>
      <c r="J520" s="108">
        <v>44635</v>
      </c>
      <c r="K520" s="159"/>
      <c r="L520" s="100"/>
      <c r="M520" s="165" t="s">
        <v>1908</v>
      </c>
      <c r="N520" s="108"/>
      <c r="O520" s="104" t="s">
        <v>523</v>
      </c>
      <c r="P520" s="139">
        <v>28743.75</v>
      </c>
      <c r="Q520" s="102">
        <v>10000</v>
      </c>
      <c r="R520" s="241"/>
      <c r="S520" s="242"/>
      <c r="T520" s="240"/>
      <c r="U520" s="100"/>
      <c r="V520" s="130"/>
      <c r="W520" s="170"/>
    </row>
    <row r="521" s="39" customFormat="1" ht="22" customHeight="1" spans="1:23">
      <c r="A521" s="255" t="s">
        <v>1909</v>
      </c>
      <c r="B521" s="174" t="s">
        <v>30</v>
      </c>
      <c r="C521" s="175"/>
      <c r="D521" s="229" t="s">
        <v>1</v>
      </c>
      <c r="E521" s="82" t="s">
        <v>1508</v>
      </c>
      <c r="F521" s="81">
        <f>IFERROR(VLOOKUP(E521,客户!B:C,2,FALSE),"/")</f>
        <v>0</v>
      </c>
      <c r="G521" s="80" t="s">
        <v>913</v>
      </c>
      <c r="H521" s="45" t="s">
        <v>123</v>
      </c>
      <c r="I521" s="45" t="s">
        <v>1546</v>
      </c>
      <c r="J521" s="108">
        <v>44639</v>
      </c>
      <c r="K521" s="159">
        <v>44736</v>
      </c>
      <c r="L521" s="100"/>
      <c r="M521" s="165" t="s">
        <v>1910</v>
      </c>
      <c r="N521" s="198" t="s">
        <v>1911</v>
      </c>
      <c r="O521" s="104" t="s">
        <v>523</v>
      </c>
      <c r="P521" s="102">
        <v>32202.53</v>
      </c>
      <c r="Q521" s="102">
        <v>10000</v>
      </c>
      <c r="R521" s="241">
        <f>P521-Q521</f>
        <v>22202.53</v>
      </c>
      <c r="S521" s="242"/>
      <c r="T521" s="240"/>
      <c r="U521" s="100"/>
      <c r="V521" s="130"/>
      <c r="W521" s="170"/>
    </row>
    <row r="522" s="39" customFormat="1" ht="22" hidden="1" customHeight="1" spans="1:23">
      <c r="A522" s="144" t="s">
        <v>1912</v>
      </c>
      <c r="B522" s="174" t="s">
        <v>30</v>
      </c>
      <c r="C522" s="175"/>
      <c r="D522" s="229" t="s">
        <v>31</v>
      </c>
      <c r="E522" s="82" t="s">
        <v>1913</v>
      </c>
      <c r="F522" s="81">
        <f>IFERROR(VLOOKUP(E522,客户!B:C,2,FALSE),"/")</f>
        <v>0</v>
      </c>
      <c r="G522" s="80" t="s">
        <v>1914</v>
      </c>
      <c r="H522" s="45" t="s">
        <v>123</v>
      </c>
      <c r="I522" s="45" t="s">
        <v>1915</v>
      </c>
      <c r="J522" s="108">
        <v>44644</v>
      </c>
      <c r="K522" s="159">
        <v>44714</v>
      </c>
      <c r="L522" s="100">
        <v>44743</v>
      </c>
      <c r="M522" s="165" t="s">
        <v>1916</v>
      </c>
      <c r="N522" s="198" t="s">
        <v>1917</v>
      </c>
      <c r="O522" s="104" t="s">
        <v>523</v>
      </c>
      <c r="P522" s="262">
        <v>44513.03</v>
      </c>
      <c r="Q522" s="262">
        <v>10751.19</v>
      </c>
      <c r="R522" s="262"/>
      <c r="S522" s="242"/>
      <c r="T522" s="262">
        <v>33761.84</v>
      </c>
      <c r="U522" s="100"/>
      <c r="V522" s="130"/>
      <c r="W522" s="170"/>
    </row>
    <row r="523" s="39" customFormat="1" ht="22" hidden="1" customHeight="1" spans="1:23">
      <c r="A523" s="255" t="s">
        <v>1918</v>
      </c>
      <c r="B523" s="174" t="s">
        <v>30</v>
      </c>
      <c r="C523" s="175"/>
      <c r="D523" s="229" t="s">
        <v>0</v>
      </c>
      <c r="E523" s="82" t="s">
        <v>1257</v>
      </c>
      <c r="F523" s="81">
        <f>IFERROR(VLOOKUP(E523,客户!B:C,2,FALSE),"/")</f>
        <v>0</v>
      </c>
      <c r="G523" s="80" t="s">
        <v>1907</v>
      </c>
      <c r="H523" s="45" t="s">
        <v>123</v>
      </c>
      <c r="I523" s="45" t="s">
        <v>751</v>
      </c>
      <c r="J523" s="108">
        <v>44644</v>
      </c>
      <c r="K523" s="159"/>
      <c r="L523" s="100"/>
      <c r="M523" s="165" t="s">
        <v>1919</v>
      </c>
      <c r="N523" s="198" t="s">
        <v>1920</v>
      </c>
      <c r="O523" s="104" t="s">
        <v>523</v>
      </c>
      <c r="P523" s="139">
        <v>27879.94</v>
      </c>
      <c r="Q523" s="102">
        <v>5575</v>
      </c>
      <c r="R523" s="241"/>
      <c r="S523" s="242"/>
      <c r="T523" s="240"/>
      <c r="U523" s="100"/>
      <c r="V523" s="130"/>
      <c r="W523" s="170"/>
    </row>
    <row r="524" s="39" customFormat="1" ht="22" hidden="1" customHeight="1" spans="1:23">
      <c r="A524" s="256" t="s">
        <v>1921</v>
      </c>
      <c r="B524" s="174" t="s">
        <v>30</v>
      </c>
      <c r="C524" s="175"/>
      <c r="D524" s="229" t="s">
        <v>0</v>
      </c>
      <c r="E524" s="82" t="s">
        <v>1377</v>
      </c>
      <c r="F524" s="81">
        <f>IFERROR(VLOOKUP(E524,客户!B:C,2,FALSE),"/")</f>
        <v>0</v>
      </c>
      <c r="G524" s="80" t="s">
        <v>1517</v>
      </c>
      <c r="H524" s="45" t="s">
        <v>123</v>
      </c>
      <c r="I524" s="45" t="s">
        <v>1095</v>
      </c>
      <c r="J524" s="108">
        <v>44644</v>
      </c>
      <c r="K524" s="159">
        <v>44751</v>
      </c>
      <c r="L524" s="100"/>
      <c r="M524" s="165" t="s">
        <v>1922</v>
      </c>
      <c r="N524" s="198" t="s">
        <v>1923</v>
      </c>
      <c r="O524" s="104" t="s">
        <v>523</v>
      </c>
      <c r="P524" s="139">
        <v>28872</v>
      </c>
      <c r="Q524" s="102">
        <v>5775</v>
      </c>
      <c r="R524" s="241"/>
      <c r="S524" s="242"/>
      <c r="T524" s="240"/>
      <c r="U524" s="100"/>
      <c r="V524" s="130"/>
      <c r="W524" s="170"/>
    </row>
    <row r="525" s="39" customFormat="1" ht="22" hidden="1" customHeight="1" spans="1:23">
      <c r="A525" s="255" t="s">
        <v>1924</v>
      </c>
      <c r="B525" s="174" t="s">
        <v>30</v>
      </c>
      <c r="C525" s="175"/>
      <c r="D525" s="229" t="s">
        <v>3</v>
      </c>
      <c r="E525" s="82" t="s">
        <v>1913</v>
      </c>
      <c r="F525" s="81">
        <f>IFERROR(VLOOKUP(E525,客户!B:C,2,FALSE),"/")</f>
        <v>0</v>
      </c>
      <c r="G525" s="80" t="s">
        <v>1925</v>
      </c>
      <c r="H525" s="45" t="s">
        <v>123</v>
      </c>
      <c r="I525" s="45" t="s">
        <v>1915</v>
      </c>
      <c r="J525" s="108">
        <v>44646</v>
      </c>
      <c r="K525" s="159"/>
      <c r="L525" s="100"/>
      <c r="M525" s="165" t="s">
        <v>1926</v>
      </c>
      <c r="N525" s="108"/>
      <c r="O525" s="104" t="s">
        <v>523</v>
      </c>
      <c r="P525" s="139" t="s">
        <v>1927</v>
      </c>
      <c r="Q525" s="262">
        <v>9710.28</v>
      </c>
      <c r="R525" s="241"/>
      <c r="S525" s="242"/>
      <c r="T525" s="240"/>
      <c r="U525" s="100"/>
      <c r="V525" s="130"/>
      <c r="W525" s="170"/>
    </row>
    <row r="526" s="39" customFormat="1" ht="22" hidden="1" customHeight="1" spans="1:23">
      <c r="A526" s="255" t="s">
        <v>1928</v>
      </c>
      <c r="B526" s="174" t="s">
        <v>30</v>
      </c>
      <c r="C526" s="175"/>
      <c r="D526" s="229" t="s">
        <v>3</v>
      </c>
      <c r="E526" s="82" t="s">
        <v>1913</v>
      </c>
      <c r="F526" s="81">
        <f>IFERROR(VLOOKUP(E526,客户!B:C,2,FALSE),"/")</f>
        <v>0</v>
      </c>
      <c r="G526" s="80" t="s">
        <v>1929</v>
      </c>
      <c r="H526" s="45" t="s">
        <v>123</v>
      </c>
      <c r="I526" s="45" t="s">
        <v>1915</v>
      </c>
      <c r="J526" s="108">
        <v>44650</v>
      </c>
      <c r="K526" s="159"/>
      <c r="L526" s="100"/>
      <c r="M526" s="165" t="s">
        <v>1930</v>
      </c>
      <c r="N526" s="108"/>
      <c r="O526" s="104" t="s">
        <v>523</v>
      </c>
      <c r="P526" s="263">
        <v>39205.1</v>
      </c>
      <c r="Q526" s="262"/>
      <c r="R526" s="241"/>
      <c r="S526" s="242"/>
      <c r="T526" s="240"/>
      <c r="U526" s="100"/>
      <c r="V526" s="130"/>
      <c r="W526" s="170"/>
    </row>
    <row r="527" s="39" customFormat="1" ht="22" hidden="1" customHeight="1" spans="1:23">
      <c r="A527" s="144" t="s">
        <v>1931</v>
      </c>
      <c r="B527" s="174" t="s">
        <v>30</v>
      </c>
      <c r="C527" s="175"/>
      <c r="D527" s="229" t="s">
        <v>31</v>
      </c>
      <c r="E527" s="82" t="s">
        <v>1913</v>
      </c>
      <c r="F527" s="81">
        <f>IFERROR(VLOOKUP(E527,客户!B:C,2,FALSE),"/")</f>
        <v>0</v>
      </c>
      <c r="G527" s="82" t="s">
        <v>1932</v>
      </c>
      <c r="H527" s="45" t="s">
        <v>123</v>
      </c>
      <c r="I527" s="45" t="s">
        <v>1915</v>
      </c>
      <c r="J527" s="108">
        <v>44653</v>
      </c>
      <c r="K527" s="159">
        <v>44714</v>
      </c>
      <c r="L527" s="100">
        <v>44743</v>
      </c>
      <c r="M527" s="165" t="s">
        <v>1933</v>
      </c>
      <c r="N527" s="198" t="s">
        <v>1934</v>
      </c>
      <c r="O527" s="104" t="s">
        <v>523</v>
      </c>
      <c r="P527" s="262">
        <v>48426.2</v>
      </c>
      <c r="Q527" s="262">
        <v>3869.72</v>
      </c>
      <c r="R527" s="262"/>
      <c r="S527" s="242"/>
      <c r="T527" s="262">
        <f>77246.61-T522</f>
        <v>43484.77</v>
      </c>
      <c r="U527" s="262">
        <v>1071.71</v>
      </c>
      <c r="V527" s="219" t="s">
        <v>1935</v>
      </c>
      <c r="W527" s="170"/>
    </row>
    <row r="528" s="39" customFormat="1" ht="22" hidden="1" customHeight="1" spans="1:23">
      <c r="A528" s="144" t="s">
        <v>1936</v>
      </c>
      <c r="B528" s="174" t="s">
        <v>30</v>
      </c>
      <c r="C528" s="175"/>
      <c r="D528" s="229" t="s">
        <v>31</v>
      </c>
      <c r="E528" s="82" t="s">
        <v>1121</v>
      </c>
      <c r="F528" s="81">
        <f>IFERROR(VLOOKUP(E528,客户!B:C,2,FALSE),"/")</f>
        <v>0</v>
      </c>
      <c r="G528" s="82" t="s">
        <v>1937</v>
      </c>
      <c r="H528" s="45" t="s">
        <v>123</v>
      </c>
      <c r="I528" s="45" t="s">
        <v>215</v>
      </c>
      <c r="J528" s="108">
        <v>44665</v>
      </c>
      <c r="K528" s="159">
        <v>44696</v>
      </c>
      <c r="L528" s="100">
        <v>44718</v>
      </c>
      <c r="M528" s="165" t="s">
        <v>1938</v>
      </c>
      <c r="N528" s="198" t="s">
        <v>1939</v>
      </c>
      <c r="O528" s="104" t="s">
        <v>523</v>
      </c>
      <c r="P528" s="102">
        <v>67510.46</v>
      </c>
      <c r="Q528" s="102">
        <f>15000+15000</f>
        <v>30000</v>
      </c>
      <c r="R528" s="241"/>
      <c r="S528" s="242"/>
      <c r="T528" s="102">
        <v>37510.46</v>
      </c>
      <c r="U528" s="100"/>
      <c r="V528" s="130"/>
      <c r="W528" s="170"/>
    </row>
    <row r="529" s="39" customFormat="1" ht="22" hidden="1" customHeight="1" spans="1:23">
      <c r="A529" s="255" t="s">
        <v>1940</v>
      </c>
      <c r="B529" s="174" t="s">
        <v>30</v>
      </c>
      <c r="C529" s="175"/>
      <c r="D529" s="229" t="s">
        <v>3</v>
      </c>
      <c r="E529" s="82" t="s">
        <v>1117</v>
      </c>
      <c r="F529" s="81">
        <f>IFERROR(VLOOKUP(E529,客户!B:C,2,FALSE),"/")</f>
        <v>0</v>
      </c>
      <c r="G529" s="82" t="s">
        <v>1941</v>
      </c>
      <c r="H529" s="45" t="s">
        <v>123</v>
      </c>
      <c r="I529" s="45" t="s">
        <v>1533</v>
      </c>
      <c r="J529" s="108">
        <v>44668</v>
      </c>
      <c r="K529" s="159"/>
      <c r="L529" s="100"/>
      <c r="M529" s="165" t="s">
        <v>1942</v>
      </c>
      <c r="N529" s="108"/>
      <c r="O529" s="104" t="s">
        <v>970</v>
      </c>
      <c r="P529" s="139">
        <v>83647.35</v>
      </c>
      <c r="Q529" s="102">
        <v>25000</v>
      </c>
      <c r="R529" s="241"/>
      <c r="S529" s="242"/>
      <c r="T529" s="240"/>
      <c r="U529" s="100"/>
      <c r="V529" s="130"/>
      <c r="W529" s="170"/>
    </row>
    <row r="530" s="39" customFormat="1" ht="22" hidden="1" customHeight="1" spans="1:23">
      <c r="A530" s="144" t="s">
        <v>1943</v>
      </c>
      <c r="B530" s="174" t="s">
        <v>30</v>
      </c>
      <c r="C530" s="175"/>
      <c r="D530" s="229" t="s">
        <v>31</v>
      </c>
      <c r="E530" s="82" t="s">
        <v>1944</v>
      </c>
      <c r="F530" s="81">
        <f>IFERROR(VLOOKUP(E530,客户!B:C,2,FALSE),"/")</f>
        <v>0</v>
      </c>
      <c r="G530" s="82" t="s">
        <v>1945</v>
      </c>
      <c r="H530" s="45" t="s">
        <v>186</v>
      </c>
      <c r="I530" s="45"/>
      <c r="J530" s="108">
        <v>44670</v>
      </c>
      <c r="K530" s="159">
        <v>44679</v>
      </c>
      <c r="L530" s="100"/>
      <c r="M530" s="165"/>
      <c r="N530" s="108"/>
      <c r="O530" s="104" t="s">
        <v>970</v>
      </c>
      <c r="P530" s="240">
        <v>18155.82</v>
      </c>
      <c r="Q530" s="240">
        <v>16319.41</v>
      </c>
      <c r="R530" s="241"/>
      <c r="S530" s="242"/>
      <c r="T530" s="240">
        <v>1836.41</v>
      </c>
      <c r="U530" s="100"/>
      <c r="V530" s="130"/>
      <c r="W530" s="170"/>
    </row>
    <row r="531" s="39" customFormat="1" ht="22" hidden="1" customHeight="1" spans="1:23">
      <c r="A531" s="255" t="s">
        <v>1946</v>
      </c>
      <c r="B531" s="174" t="s">
        <v>30</v>
      </c>
      <c r="C531" s="175"/>
      <c r="D531" s="229" t="s">
        <v>3</v>
      </c>
      <c r="E531" s="82" t="s">
        <v>1913</v>
      </c>
      <c r="F531" s="81"/>
      <c r="G531" s="82" t="s">
        <v>1947</v>
      </c>
      <c r="H531" s="45" t="s">
        <v>123</v>
      </c>
      <c r="I531" s="45" t="s">
        <v>1915</v>
      </c>
      <c r="J531" s="108">
        <v>44671</v>
      </c>
      <c r="K531" s="159"/>
      <c r="L531" s="100"/>
      <c r="M531" s="165" t="s">
        <v>1948</v>
      </c>
      <c r="N531" s="108"/>
      <c r="O531" s="104" t="s">
        <v>523</v>
      </c>
      <c r="P531" s="263">
        <v>39133.5</v>
      </c>
      <c r="Q531" s="262">
        <f>11740.05/3</f>
        <v>3913.35</v>
      </c>
      <c r="R531" s="241"/>
      <c r="S531" s="242"/>
      <c r="T531" s="240"/>
      <c r="U531" s="100"/>
      <c r="V531" s="130"/>
      <c r="W531" s="170"/>
    </row>
    <row r="532" s="39" customFormat="1" ht="22" hidden="1" customHeight="1" spans="1:23">
      <c r="A532" s="255" t="s">
        <v>1949</v>
      </c>
      <c r="B532" s="174" t="s">
        <v>30</v>
      </c>
      <c r="C532" s="175"/>
      <c r="D532" s="229" t="s">
        <v>3</v>
      </c>
      <c r="E532" s="82" t="s">
        <v>1913</v>
      </c>
      <c r="F532" s="81"/>
      <c r="G532" s="82" t="s">
        <v>1947</v>
      </c>
      <c r="H532" s="45" t="s">
        <v>123</v>
      </c>
      <c r="I532" s="45" t="s">
        <v>1915</v>
      </c>
      <c r="J532" s="108">
        <v>44671</v>
      </c>
      <c r="K532" s="159"/>
      <c r="L532" s="100"/>
      <c r="M532" s="165" t="s">
        <v>1950</v>
      </c>
      <c r="N532" s="108"/>
      <c r="O532" s="104" t="s">
        <v>523</v>
      </c>
      <c r="P532" s="263">
        <v>39133.5</v>
      </c>
      <c r="Q532" s="262">
        <f>11740.05/3</f>
        <v>3913.35</v>
      </c>
      <c r="R532" s="241"/>
      <c r="S532" s="242"/>
      <c r="T532" s="240"/>
      <c r="U532" s="100"/>
      <c r="V532" s="130"/>
      <c r="W532" s="170"/>
    </row>
    <row r="533" s="39" customFormat="1" ht="22" hidden="1" customHeight="1" spans="1:23">
      <c r="A533" s="255" t="s">
        <v>1951</v>
      </c>
      <c r="B533" s="174" t="s">
        <v>30</v>
      </c>
      <c r="C533" s="175"/>
      <c r="D533" s="229" t="s">
        <v>3</v>
      </c>
      <c r="E533" s="82" t="s">
        <v>1913</v>
      </c>
      <c r="F533" s="81"/>
      <c r="G533" s="82" t="s">
        <v>1947</v>
      </c>
      <c r="H533" s="45" t="s">
        <v>123</v>
      </c>
      <c r="I533" s="45" t="s">
        <v>1915</v>
      </c>
      <c r="J533" s="108">
        <v>44671</v>
      </c>
      <c r="K533" s="159"/>
      <c r="L533" s="100"/>
      <c r="M533" s="165" t="s">
        <v>1948</v>
      </c>
      <c r="N533" s="108"/>
      <c r="O533" s="104" t="s">
        <v>523</v>
      </c>
      <c r="P533" s="263">
        <v>39133.5</v>
      </c>
      <c r="Q533" s="262">
        <f>11740.05/3</f>
        <v>3913.35</v>
      </c>
      <c r="R533" s="241"/>
      <c r="S533" s="242"/>
      <c r="T533" s="240"/>
      <c r="U533" s="100"/>
      <c r="V533" s="130"/>
      <c r="W533" s="170"/>
    </row>
    <row r="534" s="39" customFormat="1" ht="22" hidden="1" customHeight="1" spans="1:23">
      <c r="A534" s="144" t="s">
        <v>1952</v>
      </c>
      <c r="B534" s="174" t="s">
        <v>30</v>
      </c>
      <c r="C534" s="175"/>
      <c r="D534" s="229" t="s">
        <v>31</v>
      </c>
      <c r="E534" s="82" t="s">
        <v>1953</v>
      </c>
      <c r="F534" s="81">
        <f>IFERROR(VLOOKUP(E534,客户!B:C,2,FALSE),"/")</f>
        <v>0</v>
      </c>
      <c r="G534" s="82" t="s">
        <v>1954</v>
      </c>
      <c r="H534" s="45" t="s">
        <v>186</v>
      </c>
      <c r="I534" s="45"/>
      <c r="J534" s="108">
        <v>44671</v>
      </c>
      <c r="K534" s="159">
        <v>44707</v>
      </c>
      <c r="L534" s="100"/>
      <c r="M534" s="165" t="s">
        <v>1955</v>
      </c>
      <c r="N534" s="108"/>
      <c r="O534" s="104" t="s">
        <v>970</v>
      </c>
      <c r="P534" s="240">
        <f>67500+3825</f>
        <v>71325</v>
      </c>
      <c r="Q534" s="240">
        <v>20250</v>
      </c>
      <c r="R534" s="241"/>
      <c r="S534" s="242"/>
      <c r="T534" s="240">
        <v>51075</v>
      </c>
      <c r="U534" s="100"/>
      <c r="V534" s="130"/>
      <c r="W534" s="170"/>
    </row>
    <row r="535" s="39" customFormat="1" ht="22" hidden="1" customHeight="1" spans="1:23">
      <c r="A535" s="144" t="s">
        <v>1956</v>
      </c>
      <c r="B535" s="174" t="s">
        <v>30</v>
      </c>
      <c r="C535" s="175"/>
      <c r="D535" s="229" t="s">
        <v>31</v>
      </c>
      <c r="E535" s="82" t="s">
        <v>1957</v>
      </c>
      <c r="F535" s="81">
        <f>IFERROR(VLOOKUP(E535,客户!B:C,2,FALSE),"/")</f>
        <v>0</v>
      </c>
      <c r="G535" s="82" t="s">
        <v>1958</v>
      </c>
      <c r="H535" s="45" t="s">
        <v>186</v>
      </c>
      <c r="I535" s="45"/>
      <c r="J535" s="108">
        <v>44676</v>
      </c>
      <c r="K535" s="159">
        <v>44676</v>
      </c>
      <c r="L535" s="100"/>
      <c r="M535" s="165"/>
      <c r="N535" s="108"/>
      <c r="O535" s="104" t="s">
        <v>970</v>
      </c>
      <c r="P535" s="240">
        <v>1980</v>
      </c>
      <c r="Q535" s="240"/>
      <c r="R535" s="241"/>
      <c r="S535" s="242"/>
      <c r="T535" s="240"/>
      <c r="U535" s="100"/>
      <c r="V535" s="130"/>
      <c r="W535" s="170"/>
    </row>
    <row r="536" s="39" customFormat="1" ht="22" hidden="1" customHeight="1" spans="1:23">
      <c r="A536" s="255" t="s">
        <v>1959</v>
      </c>
      <c r="B536" s="174" t="s">
        <v>30</v>
      </c>
      <c r="C536" s="175"/>
      <c r="D536" s="229" t="s">
        <v>3</v>
      </c>
      <c r="E536" s="82" t="s">
        <v>1238</v>
      </c>
      <c r="F536" s="81">
        <f>IFERROR(VLOOKUP(E536,客户!B:C,2,FALSE),"/")</f>
        <v>0</v>
      </c>
      <c r="G536" s="82" t="s">
        <v>1960</v>
      </c>
      <c r="H536" s="45" t="s">
        <v>123</v>
      </c>
      <c r="I536" s="45" t="s">
        <v>1662</v>
      </c>
      <c r="J536" s="108">
        <v>44678</v>
      </c>
      <c r="K536" s="159"/>
      <c r="L536" s="100"/>
      <c r="M536" s="165" t="s">
        <v>1961</v>
      </c>
      <c r="N536" s="108"/>
      <c r="O536" s="104" t="s">
        <v>523</v>
      </c>
      <c r="P536" s="139">
        <v>26797.41</v>
      </c>
      <c r="Q536" s="102">
        <f>5000-Q516</f>
        <v>2571</v>
      </c>
      <c r="R536" s="241"/>
      <c r="S536" s="242"/>
      <c r="T536" s="240"/>
      <c r="U536" s="100"/>
      <c r="V536" s="130"/>
      <c r="W536" s="170"/>
    </row>
    <row r="537" s="39" customFormat="1" ht="22" hidden="1" customHeight="1" spans="1:23">
      <c r="A537" s="255" t="s">
        <v>1962</v>
      </c>
      <c r="B537" s="174" t="s">
        <v>30</v>
      </c>
      <c r="C537" s="175"/>
      <c r="D537" s="229" t="s">
        <v>2</v>
      </c>
      <c r="E537" s="82" t="s">
        <v>1167</v>
      </c>
      <c r="F537" s="81">
        <f>IFERROR(VLOOKUP(E537,客户!B:C,2,FALSE),"/")</f>
        <v>0</v>
      </c>
      <c r="G537" s="80" t="s">
        <v>1895</v>
      </c>
      <c r="H537" s="45" t="s">
        <v>123</v>
      </c>
      <c r="I537" s="45" t="s">
        <v>550</v>
      </c>
      <c r="J537" s="108">
        <v>44683</v>
      </c>
      <c r="K537" s="159">
        <v>44724</v>
      </c>
      <c r="L537" s="100">
        <v>44765</v>
      </c>
      <c r="M537" s="165" t="s">
        <v>1963</v>
      </c>
      <c r="N537" s="198" t="s">
        <v>1964</v>
      </c>
      <c r="O537" s="104" t="s">
        <v>523</v>
      </c>
      <c r="P537" s="102">
        <v>49634.07</v>
      </c>
      <c r="Q537" s="102">
        <v>14200</v>
      </c>
      <c r="R537" s="241">
        <f>P537-Q537</f>
        <v>35434.07</v>
      </c>
      <c r="S537" s="242"/>
      <c r="T537" s="240"/>
      <c r="U537" s="100"/>
      <c r="V537" s="130"/>
      <c r="W537" s="170"/>
    </row>
    <row r="538" s="39" customFormat="1" ht="22" customHeight="1" spans="1:23">
      <c r="A538" s="255" t="s">
        <v>1965</v>
      </c>
      <c r="B538" s="174" t="s">
        <v>30</v>
      </c>
      <c r="C538" s="175"/>
      <c r="D538" s="229" t="s">
        <v>1</v>
      </c>
      <c r="E538" s="82" t="s">
        <v>1345</v>
      </c>
      <c r="F538" s="81" t="str">
        <f>IFERROR(VLOOKUP(E538,客户!B:C,2,FALSE),"/")</f>
        <v>J4159还差USD265.65没付齐 J4220还有定金5674.3 账上剩5408.65</v>
      </c>
      <c r="G538" s="80" t="s">
        <v>1517</v>
      </c>
      <c r="H538" s="45" t="s">
        <v>123</v>
      </c>
      <c r="I538" s="45" t="s">
        <v>1842</v>
      </c>
      <c r="J538" s="108">
        <v>44683</v>
      </c>
      <c r="K538" s="159">
        <v>44736</v>
      </c>
      <c r="L538" s="100"/>
      <c r="M538" s="165" t="s">
        <v>1966</v>
      </c>
      <c r="N538" s="198" t="s">
        <v>1967</v>
      </c>
      <c r="O538" s="104" t="s">
        <v>523</v>
      </c>
      <c r="P538" s="102">
        <v>26917.23</v>
      </c>
      <c r="Q538" s="102">
        <v>5856.36</v>
      </c>
      <c r="R538" s="241">
        <f>P538-Q538</f>
        <v>21060.87</v>
      </c>
      <c r="S538" s="242"/>
      <c r="T538" s="240"/>
      <c r="U538" s="100"/>
      <c r="V538" s="130"/>
      <c r="W538" s="170"/>
    </row>
    <row r="539" s="39" customFormat="1" ht="22" hidden="1" customHeight="1" spans="1:23">
      <c r="A539" s="255" t="s">
        <v>1968</v>
      </c>
      <c r="B539" s="174" t="s">
        <v>30</v>
      </c>
      <c r="C539" s="175"/>
      <c r="D539" s="229" t="s">
        <v>3</v>
      </c>
      <c r="E539" s="82" t="s">
        <v>1326</v>
      </c>
      <c r="F539" s="81">
        <f>IFERROR(VLOOKUP(E539,客户!B:C,2,FALSE),"/")</f>
        <v>0</v>
      </c>
      <c r="G539" s="80" t="s">
        <v>1969</v>
      </c>
      <c r="H539" s="45" t="s">
        <v>123</v>
      </c>
      <c r="I539" s="45" t="s">
        <v>1327</v>
      </c>
      <c r="J539" s="108">
        <v>44687</v>
      </c>
      <c r="K539" s="159"/>
      <c r="L539" s="100"/>
      <c r="M539" s="165" t="s">
        <v>1970</v>
      </c>
      <c r="N539" s="108"/>
      <c r="O539" s="104" t="s">
        <v>523</v>
      </c>
      <c r="P539" s="139">
        <v>27978</v>
      </c>
      <c r="Q539" s="102">
        <v>5586.21</v>
      </c>
      <c r="R539" s="241"/>
      <c r="S539" s="242"/>
      <c r="T539" s="240"/>
      <c r="U539" s="100"/>
      <c r="V539" s="130"/>
      <c r="W539" s="170"/>
    </row>
    <row r="540" s="39" customFormat="1" ht="22" hidden="1" customHeight="1" spans="1:23">
      <c r="A540" s="255" t="s">
        <v>1971</v>
      </c>
      <c r="B540" s="174" t="s">
        <v>30</v>
      </c>
      <c r="C540" s="175"/>
      <c r="D540" s="229" t="s">
        <v>3</v>
      </c>
      <c r="E540" s="82" t="s">
        <v>1326</v>
      </c>
      <c r="F540" s="81">
        <f>IFERROR(VLOOKUP(E540,客户!B:C,2,FALSE),"/")</f>
        <v>0</v>
      </c>
      <c r="G540" s="80" t="s">
        <v>1969</v>
      </c>
      <c r="H540" s="45" t="s">
        <v>123</v>
      </c>
      <c r="I540" s="45" t="s">
        <v>1327</v>
      </c>
      <c r="J540" s="108">
        <v>44687</v>
      </c>
      <c r="K540" s="159"/>
      <c r="L540" s="100"/>
      <c r="M540" s="165" t="s">
        <v>1970</v>
      </c>
      <c r="N540" s="108"/>
      <c r="O540" s="104" t="s">
        <v>523</v>
      </c>
      <c r="P540" s="139">
        <v>27844.03</v>
      </c>
      <c r="Q540" s="102">
        <f>11172.41-5586.21</f>
        <v>5586.2</v>
      </c>
      <c r="R540" s="241"/>
      <c r="S540" s="242"/>
      <c r="T540" s="240"/>
      <c r="U540" s="100"/>
      <c r="V540" s="130"/>
      <c r="W540" s="170"/>
    </row>
    <row r="541" s="39" customFormat="1" ht="22" hidden="1" customHeight="1" spans="1:23">
      <c r="A541" s="255" t="s">
        <v>1972</v>
      </c>
      <c r="B541" s="174" t="s">
        <v>30</v>
      </c>
      <c r="C541" s="175"/>
      <c r="D541" s="229" t="s">
        <v>3</v>
      </c>
      <c r="E541" s="82" t="s">
        <v>1167</v>
      </c>
      <c r="F541" s="81">
        <f>IFERROR(VLOOKUP(E541,客户!B:C,2,FALSE),"/")</f>
        <v>0</v>
      </c>
      <c r="G541" s="80" t="s">
        <v>1895</v>
      </c>
      <c r="H541" s="45" t="s">
        <v>123</v>
      </c>
      <c r="I541" s="45" t="s">
        <v>550</v>
      </c>
      <c r="J541" s="108">
        <v>44698</v>
      </c>
      <c r="K541" s="159"/>
      <c r="L541" s="100"/>
      <c r="M541" s="165" t="s">
        <v>1973</v>
      </c>
      <c r="N541" s="108"/>
      <c r="O541" s="104" t="s">
        <v>523</v>
      </c>
      <c r="P541" s="139">
        <v>32362.26</v>
      </c>
      <c r="Q541" s="267">
        <v>20000</v>
      </c>
      <c r="R541" s="241"/>
      <c r="S541" s="242"/>
      <c r="T541" s="240"/>
      <c r="U541" s="100"/>
      <c r="V541" s="130"/>
      <c r="W541" s="170"/>
    </row>
    <row r="542" s="39" customFormat="1" ht="22" hidden="1" customHeight="1" spans="1:23">
      <c r="A542" s="255" t="s">
        <v>1974</v>
      </c>
      <c r="B542" s="174" t="s">
        <v>30</v>
      </c>
      <c r="C542" s="175"/>
      <c r="D542" s="229" t="s">
        <v>3</v>
      </c>
      <c r="E542" s="82" t="s">
        <v>1167</v>
      </c>
      <c r="F542" s="81">
        <f>IFERROR(VLOOKUP(E542,客户!B:C,2,FALSE),"/")</f>
        <v>0</v>
      </c>
      <c r="G542" s="80" t="s">
        <v>1895</v>
      </c>
      <c r="H542" s="45" t="s">
        <v>123</v>
      </c>
      <c r="I542" s="45" t="s">
        <v>550</v>
      </c>
      <c r="J542" s="108">
        <v>44698</v>
      </c>
      <c r="K542" s="159"/>
      <c r="L542" s="100"/>
      <c r="M542" s="165" t="s">
        <v>1975</v>
      </c>
      <c r="N542" s="108"/>
      <c r="O542" s="104" t="s">
        <v>523</v>
      </c>
      <c r="P542" s="139">
        <v>33653.61</v>
      </c>
      <c r="Q542" s="268"/>
      <c r="R542" s="241"/>
      <c r="S542" s="242"/>
      <c r="T542" s="240"/>
      <c r="U542" s="100"/>
      <c r="V542" s="130"/>
      <c r="W542" s="170"/>
    </row>
    <row r="543" s="39" customFormat="1" ht="22" hidden="1" customHeight="1" spans="1:23">
      <c r="A543" s="255" t="s">
        <v>1976</v>
      </c>
      <c r="B543" s="174" t="s">
        <v>30</v>
      </c>
      <c r="C543" s="175"/>
      <c r="D543" s="229" t="s">
        <v>3</v>
      </c>
      <c r="E543" s="82" t="s">
        <v>1717</v>
      </c>
      <c r="F543" s="81">
        <f>IFERROR(VLOOKUP(E543,客户!B:C,2,FALSE),"/")</f>
        <v>0</v>
      </c>
      <c r="G543" s="80" t="s">
        <v>1977</v>
      </c>
      <c r="H543" s="45" t="s">
        <v>123</v>
      </c>
      <c r="I543" s="45" t="s">
        <v>215</v>
      </c>
      <c r="J543" s="108">
        <v>44701</v>
      </c>
      <c r="K543" s="159"/>
      <c r="L543" s="100"/>
      <c r="M543" s="165" t="s">
        <v>1978</v>
      </c>
      <c r="N543" s="108"/>
      <c r="O543" s="104" t="s">
        <v>523</v>
      </c>
      <c r="P543" s="139">
        <v>122088.96</v>
      </c>
      <c r="Q543" s="102">
        <v>36626</v>
      </c>
      <c r="R543" s="241"/>
      <c r="S543" s="242"/>
      <c r="T543" s="240"/>
      <c r="U543" s="100"/>
      <c r="V543" s="130"/>
      <c r="W543" s="170"/>
    </row>
    <row r="544" s="39" customFormat="1" ht="22" hidden="1" customHeight="1" spans="1:23">
      <c r="A544" s="255" t="s">
        <v>1979</v>
      </c>
      <c r="B544" s="174" t="s">
        <v>30</v>
      </c>
      <c r="C544" s="175"/>
      <c r="D544" s="229" t="s">
        <v>3</v>
      </c>
      <c r="E544" s="82" t="s">
        <v>1117</v>
      </c>
      <c r="F544" s="81">
        <f>IFERROR(VLOOKUP(E544,客户!B:C,2,FALSE),"/")</f>
        <v>0</v>
      </c>
      <c r="G544" s="80" t="s">
        <v>222</v>
      </c>
      <c r="H544" s="45" t="s">
        <v>123</v>
      </c>
      <c r="I544" s="45" t="s">
        <v>1533</v>
      </c>
      <c r="J544" s="108">
        <v>44701</v>
      </c>
      <c r="K544" s="159"/>
      <c r="L544" s="100"/>
      <c r="M544" s="165" t="s">
        <v>1980</v>
      </c>
      <c r="N544" s="108"/>
      <c r="O544" s="104" t="s">
        <v>970</v>
      </c>
      <c r="P544" s="139">
        <v>25362.23</v>
      </c>
      <c r="Q544" s="102">
        <v>8000</v>
      </c>
      <c r="R544" s="241"/>
      <c r="S544" s="242"/>
      <c r="T544" s="240"/>
      <c r="U544" s="100"/>
      <c r="V544" s="130"/>
      <c r="W544" s="170"/>
    </row>
    <row r="545" s="39" customFormat="1" ht="22" hidden="1" customHeight="1" spans="1:23">
      <c r="A545" s="255" t="s">
        <v>1981</v>
      </c>
      <c r="B545" s="174" t="s">
        <v>30</v>
      </c>
      <c r="C545" s="175"/>
      <c r="D545" s="229" t="s">
        <v>3</v>
      </c>
      <c r="E545" s="82" t="s">
        <v>1265</v>
      </c>
      <c r="F545" s="81" t="str">
        <f>IFERROR(VLOOKUP(E545,客户!B:C,2,FALSE),"/")</f>
        <v>外送费用945人民币+装箱费用 加在发票里</v>
      </c>
      <c r="G545" s="80" t="s">
        <v>1982</v>
      </c>
      <c r="H545" s="45" t="s">
        <v>123</v>
      </c>
      <c r="I545" s="45" t="s">
        <v>1697</v>
      </c>
      <c r="J545" s="108">
        <v>44702</v>
      </c>
      <c r="K545" s="159"/>
      <c r="L545" s="100"/>
      <c r="M545" s="165" t="s">
        <v>1983</v>
      </c>
      <c r="N545" s="108"/>
      <c r="O545" s="104" t="s">
        <v>680</v>
      </c>
      <c r="P545" s="139">
        <v>79958.4</v>
      </c>
      <c r="Q545" s="102"/>
      <c r="R545" s="241"/>
      <c r="S545" s="242"/>
      <c r="T545" s="240"/>
      <c r="U545" s="100"/>
      <c r="V545" s="130"/>
      <c r="W545" s="170"/>
    </row>
    <row r="546" s="39" customFormat="1" ht="22" hidden="1" customHeight="1" spans="1:23">
      <c r="A546" s="255" t="s">
        <v>1984</v>
      </c>
      <c r="B546" s="174" t="s">
        <v>30</v>
      </c>
      <c r="C546" s="175"/>
      <c r="D546" s="229" t="s">
        <v>3</v>
      </c>
      <c r="E546" s="82" t="s">
        <v>1265</v>
      </c>
      <c r="F546" s="81" t="str">
        <f>IFERROR(VLOOKUP(E546,客户!B:C,2,FALSE),"/")</f>
        <v>外送费用945人民币+装箱费用 加在发票里</v>
      </c>
      <c r="G546" s="80" t="s">
        <v>1985</v>
      </c>
      <c r="H546" s="45" t="s">
        <v>123</v>
      </c>
      <c r="I546" s="45" t="s">
        <v>205</v>
      </c>
      <c r="J546" s="108">
        <v>44702</v>
      </c>
      <c r="K546" s="159"/>
      <c r="L546" s="100"/>
      <c r="M546" s="165" t="s">
        <v>1986</v>
      </c>
      <c r="N546" s="108"/>
      <c r="O546" s="104" t="s">
        <v>680</v>
      </c>
      <c r="P546" s="139">
        <v>106611.2</v>
      </c>
      <c r="Q546" s="102"/>
      <c r="R546" s="241"/>
      <c r="S546" s="242"/>
      <c r="T546" s="240"/>
      <c r="U546" s="100"/>
      <c r="V546" s="130"/>
      <c r="W546" s="170"/>
    </row>
    <row r="547" s="39" customFormat="1" ht="22" hidden="1" customHeight="1" spans="1:23">
      <c r="A547" s="255" t="s">
        <v>1987</v>
      </c>
      <c r="B547" s="174" t="s">
        <v>30</v>
      </c>
      <c r="C547" s="175"/>
      <c r="D547" s="229" t="s">
        <v>3</v>
      </c>
      <c r="E547" s="82" t="s">
        <v>1257</v>
      </c>
      <c r="F547" s="81">
        <f>IFERROR(VLOOKUP(E547,客户!B:C,2,FALSE),"/")</f>
        <v>0</v>
      </c>
      <c r="G547" s="80" t="s">
        <v>222</v>
      </c>
      <c r="H547" s="45" t="s">
        <v>123</v>
      </c>
      <c r="I547" s="45" t="s">
        <v>1149</v>
      </c>
      <c r="J547" s="108">
        <v>44710</v>
      </c>
      <c r="K547" s="159"/>
      <c r="L547" s="100"/>
      <c r="M547" s="165" t="s">
        <v>1988</v>
      </c>
      <c r="N547" s="108"/>
      <c r="O547" s="104" t="s">
        <v>523</v>
      </c>
      <c r="P547" s="139">
        <v>25762.57</v>
      </c>
      <c r="Q547" s="102"/>
      <c r="R547" s="241"/>
      <c r="S547" s="242"/>
      <c r="T547" s="240"/>
      <c r="U547" s="100"/>
      <c r="V547" s="130"/>
      <c r="W547" s="170"/>
    </row>
    <row r="548" s="39" customFormat="1" ht="22" hidden="1" customHeight="1" spans="1:23">
      <c r="A548" s="255" t="s">
        <v>1989</v>
      </c>
      <c r="B548" s="174" t="s">
        <v>30</v>
      </c>
      <c r="C548" s="175"/>
      <c r="D548" s="229" t="s">
        <v>3</v>
      </c>
      <c r="E548" s="82" t="s">
        <v>1167</v>
      </c>
      <c r="F548" s="81">
        <f>IFERROR(VLOOKUP(E548,客户!B:C,2,FALSE),"/")</f>
        <v>0</v>
      </c>
      <c r="G548" s="80" t="s">
        <v>1895</v>
      </c>
      <c r="H548" s="45" t="s">
        <v>123</v>
      </c>
      <c r="I548" s="45" t="s">
        <v>550</v>
      </c>
      <c r="J548" s="108">
        <v>44711</v>
      </c>
      <c r="K548" s="159"/>
      <c r="L548" s="100"/>
      <c r="M548" s="165" t="s">
        <v>1990</v>
      </c>
      <c r="N548" s="108"/>
      <c r="O548" s="104" t="s">
        <v>523</v>
      </c>
      <c r="P548" s="139">
        <v>31126.3</v>
      </c>
      <c r="Q548" s="102">
        <v>9400</v>
      </c>
      <c r="R548" s="241"/>
      <c r="S548" s="242"/>
      <c r="T548" s="240"/>
      <c r="U548" s="100"/>
      <c r="V548" s="130"/>
      <c r="W548" s="170"/>
    </row>
    <row r="549" s="39" customFormat="1" ht="22" hidden="1" customHeight="1" spans="1:23">
      <c r="A549" s="255" t="s">
        <v>1991</v>
      </c>
      <c r="B549" s="174" t="s">
        <v>30</v>
      </c>
      <c r="C549" s="175"/>
      <c r="D549" s="229" t="s">
        <v>3</v>
      </c>
      <c r="E549" s="82" t="s">
        <v>1249</v>
      </c>
      <c r="F549" s="81">
        <f>IFERROR(VLOOKUP(E549,客户!B:C,2,FALSE),"/")</f>
        <v>0</v>
      </c>
      <c r="G549" s="80" t="s">
        <v>222</v>
      </c>
      <c r="H549" s="45" t="s">
        <v>123</v>
      </c>
      <c r="I549" s="45" t="s">
        <v>1250</v>
      </c>
      <c r="J549" s="108">
        <v>44718</v>
      </c>
      <c r="K549" s="159"/>
      <c r="L549" s="100"/>
      <c r="M549" s="165" t="s">
        <v>1992</v>
      </c>
      <c r="N549" s="108"/>
      <c r="O549" s="104" t="s">
        <v>523</v>
      </c>
      <c r="P549" s="139">
        <v>25164.89</v>
      </c>
      <c r="Q549" s="102">
        <v>7550</v>
      </c>
      <c r="R549" s="241"/>
      <c r="S549" s="242"/>
      <c r="T549" s="240"/>
      <c r="U549" s="100"/>
      <c r="V549" s="130"/>
      <c r="W549" s="170"/>
    </row>
    <row r="550" s="39" customFormat="1" ht="22" hidden="1" customHeight="1" spans="1:23">
      <c r="A550" s="255" t="s">
        <v>1993</v>
      </c>
      <c r="B550" s="174" t="s">
        <v>30</v>
      </c>
      <c r="C550" s="175"/>
      <c r="D550" s="229" t="s">
        <v>3</v>
      </c>
      <c r="E550" s="82" t="s">
        <v>1083</v>
      </c>
      <c r="F550" s="81">
        <f>IFERROR(VLOOKUP(E550,客户!B:C,2,FALSE),"/")</f>
        <v>0</v>
      </c>
      <c r="G550" s="80" t="s">
        <v>222</v>
      </c>
      <c r="H550" s="45" t="s">
        <v>123</v>
      </c>
      <c r="I550" s="45" t="s">
        <v>232</v>
      </c>
      <c r="J550" s="108">
        <v>44720</v>
      </c>
      <c r="K550" s="159"/>
      <c r="L550" s="100"/>
      <c r="M550" s="165" t="s">
        <v>1994</v>
      </c>
      <c r="N550" s="108"/>
      <c r="O550" s="104" t="s">
        <v>523</v>
      </c>
      <c r="P550" s="139">
        <v>27296</v>
      </c>
      <c r="Q550" s="102"/>
      <c r="R550" s="241"/>
      <c r="S550" s="242"/>
      <c r="T550" s="240"/>
      <c r="U550" s="100"/>
      <c r="V550" s="130"/>
      <c r="W550" s="170"/>
    </row>
    <row r="551" s="39" customFormat="1" ht="22" hidden="1" customHeight="1" spans="1:23">
      <c r="A551" s="255" t="s">
        <v>1995</v>
      </c>
      <c r="B551" s="174" t="s">
        <v>30</v>
      </c>
      <c r="C551" s="175"/>
      <c r="D551" s="229" t="s">
        <v>3</v>
      </c>
      <c r="E551" s="82" t="s">
        <v>1121</v>
      </c>
      <c r="F551" s="81">
        <f>IFERROR(VLOOKUP(E551,客户!B:C,2,FALSE),"/")</f>
        <v>0</v>
      </c>
      <c r="G551" s="80" t="s">
        <v>1996</v>
      </c>
      <c r="H551" s="45" t="s">
        <v>123</v>
      </c>
      <c r="I551" s="45" t="s">
        <v>215</v>
      </c>
      <c r="J551" s="108">
        <v>44720</v>
      </c>
      <c r="K551" s="159"/>
      <c r="L551" s="100"/>
      <c r="M551" s="165" t="s">
        <v>1997</v>
      </c>
      <c r="N551" s="108"/>
      <c r="O551" s="104" t="s">
        <v>523</v>
      </c>
      <c r="P551" s="139">
        <v>140009.4</v>
      </c>
      <c r="Q551" s="102"/>
      <c r="R551" s="241"/>
      <c r="S551" s="242"/>
      <c r="T551" s="240"/>
      <c r="U551" s="100"/>
      <c r="V551" s="130"/>
      <c r="W551" s="170"/>
    </row>
    <row r="552" s="39" customFormat="1" ht="22" hidden="1" customHeight="1" spans="1:23">
      <c r="A552" s="255" t="s">
        <v>1998</v>
      </c>
      <c r="B552" s="174" t="s">
        <v>30</v>
      </c>
      <c r="C552" s="175"/>
      <c r="D552" s="229" t="s">
        <v>3</v>
      </c>
      <c r="E552" s="82" t="s">
        <v>1083</v>
      </c>
      <c r="F552" s="81">
        <f>IFERROR(VLOOKUP(E552,客户!B:C,2,FALSE),"/")</f>
        <v>0</v>
      </c>
      <c r="G552" s="80" t="s">
        <v>222</v>
      </c>
      <c r="H552" s="45" t="s">
        <v>123</v>
      </c>
      <c r="I552" s="45" t="s">
        <v>232</v>
      </c>
      <c r="J552" s="108">
        <v>44728</v>
      </c>
      <c r="K552" s="159"/>
      <c r="L552" s="100"/>
      <c r="M552" s="165" t="s">
        <v>1999</v>
      </c>
      <c r="N552" s="108"/>
      <c r="O552" s="104" t="s">
        <v>523</v>
      </c>
      <c r="P552" s="139">
        <v>30415</v>
      </c>
      <c r="Q552" s="102">
        <v>9124.5</v>
      </c>
      <c r="R552" s="241"/>
      <c r="S552" s="242"/>
      <c r="T552" s="240"/>
      <c r="U552" s="100"/>
      <c r="V552" s="130"/>
      <c r="W552" s="170"/>
    </row>
    <row r="553" s="39" customFormat="1" ht="22" hidden="1" customHeight="1" spans="1:23">
      <c r="A553" s="255" t="s">
        <v>2000</v>
      </c>
      <c r="B553" s="174" t="s">
        <v>30</v>
      </c>
      <c r="C553" s="175"/>
      <c r="D553" s="229" t="s">
        <v>3</v>
      </c>
      <c r="E553" s="82" t="s">
        <v>2001</v>
      </c>
      <c r="F553" s="81">
        <f>IFERROR(VLOOKUP(E553,客户!B:C,2,FALSE),"/")</f>
        <v>0</v>
      </c>
      <c r="G553" s="80" t="s">
        <v>2002</v>
      </c>
      <c r="H553" s="45" t="s">
        <v>123</v>
      </c>
      <c r="I553" s="45"/>
      <c r="J553" s="108">
        <v>44734</v>
      </c>
      <c r="K553" s="159"/>
      <c r="L553" s="100"/>
      <c r="M553" s="165" t="s">
        <v>2003</v>
      </c>
      <c r="N553" s="108"/>
      <c r="O553" s="104" t="s">
        <v>970</v>
      </c>
      <c r="P553" s="264">
        <v>5950</v>
      </c>
      <c r="Q553" s="102"/>
      <c r="R553" s="241"/>
      <c r="S553" s="242"/>
      <c r="T553" s="240">
        <v>5950</v>
      </c>
      <c r="U553" s="100"/>
      <c r="V553" s="130"/>
      <c r="W553" s="170"/>
    </row>
    <row r="554" s="39" customFormat="1" ht="22" hidden="1" customHeight="1" spans="1:23">
      <c r="A554" s="255" t="s">
        <v>2004</v>
      </c>
      <c r="B554" s="174" t="s">
        <v>30</v>
      </c>
      <c r="C554" s="175"/>
      <c r="D554" s="229" t="s">
        <v>3</v>
      </c>
      <c r="E554" s="82" t="s">
        <v>1167</v>
      </c>
      <c r="F554" s="81">
        <f>IFERROR(VLOOKUP(E554,客户!B:C,2,FALSE),"/")</f>
        <v>0</v>
      </c>
      <c r="G554" s="80" t="s">
        <v>1895</v>
      </c>
      <c r="H554" s="45" t="s">
        <v>123</v>
      </c>
      <c r="I554" s="45" t="s">
        <v>550</v>
      </c>
      <c r="J554" s="108">
        <v>44734</v>
      </c>
      <c r="K554" s="159"/>
      <c r="L554" s="100"/>
      <c r="M554" s="165" t="s">
        <v>2005</v>
      </c>
      <c r="N554" s="108"/>
      <c r="O554" s="104" t="s">
        <v>523</v>
      </c>
      <c r="P554" s="139">
        <v>30780.25</v>
      </c>
      <c r="Q554" s="102"/>
      <c r="R554" s="241"/>
      <c r="S554" s="242"/>
      <c r="T554" s="240"/>
      <c r="U554" s="100"/>
      <c r="V554" s="130"/>
      <c r="W554" s="170"/>
    </row>
    <row r="555" s="39" customFormat="1" ht="22" hidden="1" customHeight="1" spans="1:23">
      <c r="A555" s="255" t="s">
        <v>2006</v>
      </c>
      <c r="B555" s="174" t="s">
        <v>30</v>
      </c>
      <c r="C555" s="175"/>
      <c r="D555" s="229" t="s">
        <v>3</v>
      </c>
      <c r="E555" s="82" t="s">
        <v>1167</v>
      </c>
      <c r="F555" s="81">
        <f>IFERROR(VLOOKUP(E555,客户!B:C,2,FALSE),"/")</f>
        <v>0</v>
      </c>
      <c r="G555" s="80" t="s">
        <v>1895</v>
      </c>
      <c r="H555" s="45" t="s">
        <v>123</v>
      </c>
      <c r="I555" s="45" t="s">
        <v>550</v>
      </c>
      <c r="J555" s="108">
        <v>44734</v>
      </c>
      <c r="K555" s="159"/>
      <c r="L555" s="100"/>
      <c r="M555" s="165" t="s">
        <v>2007</v>
      </c>
      <c r="N555" s="108"/>
      <c r="O555" s="104" t="s">
        <v>523</v>
      </c>
      <c r="P555" s="139">
        <v>30133.67</v>
      </c>
      <c r="Q555" s="102"/>
      <c r="R555" s="241"/>
      <c r="S555" s="242"/>
      <c r="T555" s="240"/>
      <c r="U555" s="100"/>
      <c r="V555" s="130"/>
      <c r="W555" s="170"/>
    </row>
    <row r="556" s="39" customFormat="1" ht="22" hidden="1" customHeight="1" spans="1:23">
      <c r="A556" s="144"/>
      <c r="B556" s="174"/>
      <c r="C556" s="175"/>
      <c r="D556" s="45"/>
      <c r="E556" s="80"/>
      <c r="F556" s="81" t="str">
        <f>IFERROR(VLOOKUP(E556,客户!B:C,2,FALSE),"/")</f>
        <v>/</v>
      </c>
      <c r="G556" s="80"/>
      <c r="H556" s="45"/>
      <c r="I556" s="45"/>
      <c r="J556" s="108"/>
      <c r="K556" s="108"/>
      <c r="L556" s="100"/>
      <c r="M556" s="159"/>
      <c r="N556" s="108"/>
      <c r="O556" s="104"/>
      <c r="P556" s="139"/>
      <c r="Q556" s="102"/>
      <c r="R556" s="241"/>
      <c r="S556" s="242"/>
      <c r="T556" s="102"/>
      <c r="U556" s="100"/>
      <c r="V556" s="130"/>
      <c r="W556" s="170"/>
    </row>
    <row r="557" s="39" customFormat="1" ht="22" hidden="1" customHeight="1" spans="1:23">
      <c r="A557" s="144" t="s">
        <v>2008</v>
      </c>
      <c r="B557" s="174" t="s">
        <v>30</v>
      </c>
      <c r="C557" s="175"/>
      <c r="D557" s="45" t="s">
        <v>31</v>
      </c>
      <c r="E557" s="82" t="s">
        <v>422</v>
      </c>
      <c r="F557" s="81" t="str">
        <f>IFERROR(VLOOKUP(E557,客户!B:C,2,FALSE),"/")</f>
        <v>埃及红线客户配件 样品都要单独显示在箱单发票上</v>
      </c>
      <c r="G557" s="80" t="s">
        <v>378</v>
      </c>
      <c r="H557" s="45" t="s">
        <v>123</v>
      </c>
      <c r="I557" s="45" t="s">
        <v>2009</v>
      </c>
      <c r="J557" s="108">
        <v>43642</v>
      </c>
      <c r="K557" s="108">
        <v>43696</v>
      </c>
      <c r="L557" s="100">
        <v>43727</v>
      </c>
      <c r="M557" s="181" t="s">
        <v>2010</v>
      </c>
      <c r="N557" s="108" t="s">
        <v>2011</v>
      </c>
      <c r="O557" s="104" t="s">
        <v>523</v>
      </c>
      <c r="P557" s="102">
        <v>13791.59</v>
      </c>
      <c r="Q557" s="102">
        <v>0</v>
      </c>
      <c r="R557" s="241"/>
      <c r="S557" s="242"/>
      <c r="T557" s="102" t="s">
        <v>2012</v>
      </c>
      <c r="U557" s="100">
        <v>43816</v>
      </c>
      <c r="V557" s="130"/>
      <c r="W557" s="170"/>
    </row>
    <row r="558" s="39" customFormat="1" ht="22" hidden="1" customHeight="1" spans="1:23">
      <c r="A558" s="144" t="s">
        <v>2013</v>
      </c>
      <c r="B558" s="174" t="s">
        <v>30</v>
      </c>
      <c r="C558" s="175"/>
      <c r="D558" s="45" t="s">
        <v>31</v>
      </c>
      <c r="E558" s="80" t="s">
        <v>60</v>
      </c>
      <c r="F558" s="81" t="str">
        <f>IFERROR(VLOOKUP(E558,客户!B:C,2,FALSE),"/")</f>
        <v>外送费用945人民币+装箱费用 加在发票里</v>
      </c>
      <c r="G558" s="80" t="s">
        <v>866</v>
      </c>
      <c r="H558" s="45" t="s">
        <v>123</v>
      </c>
      <c r="I558" s="45" t="s">
        <v>837</v>
      </c>
      <c r="J558" s="108">
        <v>43650</v>
      </c>
      <c r="K558" s="108">
        <v>43684</v>
      </c>
      <c r="L558" s="100">
        <v>43725</v>
      </c>
      <c r="M558" s="181" t="s">
        <v>2014</v>
      </c>
      <c r="N558" s="108" t="s">
        <v>2015</v>
      </c>
      <c r="O558" s="104"/>
      <c r="P558" s="102">
        <v>54602.96</v>
      </c>
      <c r="Q558" s="102">
        <v>0</v>
      </c>
      <c r="R558" s="241">
        <v>0</v>
      </c>
      <c r="S558" s="242"/>
      <c r="T558" s="102">
        <v>54462</v>
      </c>
      <c r="U558" s="100">
        <v>43726</v>
      </c>
      <c r="V558" s="130"/>
      <c r="W558" s="170"/>
    </row>
    <row r="559" s="39" customFormat="1" ht="22" hidden="1" customHeight="1" spans="1:23">
      <c r="A559" s="144" t="s">
        <v>2016</v>
      </c>
      <c r="B559" s="174" t="s">
        <v>30</v>
      </c>
      <c r="C559" s="175"/>
      <c r="D559" s="45" t="s">
        <v>31</v>
      </c>
      <c r="E559" s="80" t="s">
        <v>60</v>
      </c>
      <c r="F559" s="81" t="str">
        <f>IFERROR(VLOOKUP(E559,客户!B:C,2,FALSE),"/")</f>
        <v>外送费用945人民币+装箱费用 加在发票里</v>
      </c>
      <c r="G559" s="80" t="s">
        <v>2017</v>
      </c>
      <c r="H559" s="45" t="s">
        <v>123</v>
      </c>
      <c r="I559" s="45" t="s">
        <v>2018</v>
      </c>
      <c r="J559" s="108">
        <v>43675</v>
      </c>
      <c r="K559" s="108">
        <v>43697</v>
      </c>
      <c r="L559" s="100">
        <v>43726</v>
      </c>
      <c r="M559" s="181" t="s">
        <v>2019</v>
      </c>
      <c r="N559" s="108" t="s">
        <v>2020</v>
      </c>
      <c r="O559" s="104"/>
      <c r="P559" s="102">
        <v>43259.19</v>
      </c>
      <c r="Q559" s="102">
        <v>0</v>
      </c>
      <c r="R559" s="241"/>
      <c r="S559" s="242"/>
      <c r="T559" s="102">
        <v>42997</v>
      </c>
      <c r="U559" s="100">
        <v>43732</v>
      </c>
      <c r="V559" s="130"/>
      <c r="W559" s="170"/>
    </row>
    <row r="560" s="39" customFormat="1" ht="22" hidden="1" customHeight="1" spans="1:23">
      <c r="A560" s="144" t="s">
        <v>2021</v>
      </c>
      <c r="B560" s="174" t="s">
        <v>30</v>
      </c>
      <c r="C560" s="175"/>
      <c r="D560" s="45" t="s">
        <v>31</v>
      </c>
      <c r="E560" s="80" t="s">
        <v>2022</v>
      </c>
      <c r="F560" s="81">
        <f>IFERROR(VLOOKUP(E560,客户!B:C,2,FALSE),"/")</f>
        <v>0</v>
      </c>
      <c r="G560" s="80" t="s">
        <v>2023</v>
      </c>
      <c r="H560" s="45" t="s">
        <v>123</v>
      </c>
      <c r="I560" s="45" t="s">
        <v>2024</v>
      </c>
      <c r="J560" s="108">
        <v>43699</v>
      </c>
      <c r="K560" s="108">
        <v>43716</v>
      </c>
      <c r="L560" s="100">
        <v>43742</v>
      </c>
      <c r="M560" s="159" t="s">
        <v>2025</v>
      </c>
      <c r="N560" s="108" t="s">
        <v>2026</v>
      </c>
      <c r="O560" s="104"/>
      <c r="P560" s="102">
        <v>7532.19</v>
      </c>
      <c r="Q560" s="211">
        <v>3345</v>
      </c>
      <c r="R560" s="131"/>
      <c r="S560" s="132"/>
      <c r="T560" s="102">
        <v>7821</v>
      </c>
      <c r="U560" s="100">
        <v>43734</v>
      </c>
      <c r="V560" s="130"/>
      <c r="W560" s="170"/>
    </row>
    <row r="561" s="39" customFormat="1" ht="22" hidden="1" customHeight="1" spans="1:23">
      <c r="A561" s="144" t="s">
        <v>2027</v>
      </c>
      <c r="B561" s="174" t="s">
        <v>30</v>
      </c>
      <c r="C561" s="175"/>
      <c r="D561" s="45" t="s">
        <v>31</v>
      </c>
      <c r="E561" s="80" t="s">
        <v>2022</v>
      </c>
      <c r="F561" s="81">
        <f>IFERROR(VLOOKUP(E561,客户!B:C,2,FALSE),"/")</f>
        <v>0</v>
      </c>
      <c r="G561" s="80" t="s">
        <v>2028</v>
      </c>
      <c r="H561" s="45" t="s">
        <v>123</v>
      </c>
      <c r="I561" s="45" t="s">
        <v>2029</v>
      </c>
      <c r="J561" s="108">
        <v>43699</v>
      </c>
      <c r="K561" s="108">
        <v>43721</v>
      </c>
      <c r="L561" s="100">
        <v>43742</v>
      </c>
      <c r="M561" s="159" t="s">
        <v>2025</v>
      </c>
      <c r="N561" s="108" t="s">
        <v>2030</v>
      </c>
      <c r="O561" s="104"/>
      <c r="P561" s="102">
        <v>3668.15</v>
      </c>
      <c r="Q561" s="211"/>
      <c r="R561" s="131"/>
      <c r="S561" s="132"/>
      <c r="T561" s="102"/>
      <c r="U561" s="100">
        <v>43734</v>
      </c>
      <c r="V561" s="130"/>
      <c r="W561" s="170"/>
    </row>
    <row r="562" s="39" customFormat="1" ht="22" hidden="1" customHeight="1" spans="1:23">
      <c r="A562" s="144" t="s">
        <v>2031</v>
      </c>
      <c r="B562" s="174" t="s">
        <v>30</v>
      </c>
      <c r="C562" s="175"/>
      <c r="D562" s="45" t="s">
        <v>31</v>
      </c>
      <c r="E562" s="80" t="s">
        <v>60</v>
      </c>
      <c r="F562" s="81" t="str">
        <f>IFERROR(VLOOKUP(E562,客户!B:C,2,FALSE),"/")</f>
        <v>外送费用945人民币+装箱费用 加在发票里</v>
      </c>
      <c r="G562" s="80" t="s">
        <v>866</v>
      </c>
      <c r="H562" s="45" t="s">
        <v>123</v>
      </c>
      <c r="I562" s="45" t="s">
        <v>837</v>
      </c>
      <c r="J562" s="108">
        <v>43719</v>
      </c>
      <c r="K562" s="108">
        <v>43741</v>
      </c>
      <c r="L562" s="100">
        <v>43771</v>
      </c>
      <c r="M562" s="159" t="s">
        <v>2032</v>
      </c>
      <c r="N562" s="108" t="s">
        <v>2033</v>
      </c>
      <c r="O562" s="104"/>
      <c r="P562" s="265">
        <v>49378.24</v>
      </c>
      <c r="Q562" s="102">
        <v>0</v>
      </c>
      <c r="R562" s="131"/>
      <c r="S562" s="132"/>
      <c r="T562" s="102">
        <v>49244</v>
      </c>
      <c r="U562" s="100">
        <v>43768</v>
      </c>
      <c r="V562" s="130"/>
      <c r="W562" s="170"/>
    </row>
    <row r="563" s="39" customFormat="1" ht="22" hidden="1" customHeight="1" spans="1:23">
      <c r="A563" s="257" t="s">
        <v>2034</v>
      </c>
      <c r="B563" s="258" t="s">
        <v>30</v>
      </c>
      <c r="C563" s="259"/>
      <c r="D563" s="45" t="s">
        <v>31</v>
      </c>
      <c r="E563" s="80" t="s">
        <v>2035</v>
      </c>
      <c r="F563" s="81">
        <f>IFERROR(VLOOKUP(E563,客户!B:C,2,FALSE),"/")</f>
        <v>0</v>
      </c>
      <c r="G563" s="194" t="s">
        <v>2036</v>
      </c>
      <c r="H563" s="192" t="s">
        <v>123</v>
      </c>
      <c r="I563" s="192" t="s">
        <v>2037</v>
      </c>
      <c r="J563" s="104">
        <v>43719</v>
      </c>
      <c r="K563" s="104">
        <v>43768</v>
      </c>
      <c r="L563" s="205">
        <v>43806</v>
      </c>
      <c r="M563" s="208" t="s">
        <v>2038</v>
      </c>
      <c r="N563" s="266" t="s">
        <v>2039</v>
      </c>
      <c r="O563" s="104" t="s">
        <v>523</v>
      </c>
      <c r="P563" s="207">
        <v>36250.54</v>
      </c>
      <c r="Q563" s="269">
        <v>9000</v>
      </c>
      <c r="R563" s="241"/>
      <c r="S563" s="242"/>
      <c r="T563" s="207">
        <v>27195.54</v>
      </c>
      <c r="U563" s="205">
        <v>43791</v>
      </c>
      <c r="V563" s="215"/>
      <c r="W563" s="216"/>
    </row>
    <row r="564" s="39" customFormat="1" ht="22" hidden="1" customHeight="1" spans="1:23">
      <c r="A564" s="260" t="s">
        <v>2040</v>
      </c>
      <c r="B564" s="258" t="s">
        <v>30</v>
      </c>
      <c r="C564" s="259"/>
      <c r="D564" s="45" t="s">
        <v>31</v>
      </c>
      <c r="E564" s="194" t="s">
        <v>481</v>
      </c>
      <c r="F564" s="81" t="str">
        <f>IFERROR(VLOOKUP(E564,客户!B:C,2,FALSE),"/")</f>
        <v>$53.50 TUV Austria administration cost 革力减掉150代理费</v>
      </c>
      <c r="G564" s="194" t="s">
        <v>2041</v>
      </c>
      <c r="H564" s="192" t="s">
        <v>123</v>
      </c>
      <c r="I564" s="192" t="s">
        <v>226</v>
      </c>
      <c r="J564" s="104">
        <v>43738</v>
      </c>
      <c r="K564" s="104">
        <v>43778</v>
      </c>
      <c r="L564" s="205">
        <v>43822</v>
      </c>
      <c r="M564" s="208" t="s">
        <v>2042</v>
      </c>
      <c r="N564" s="104" t="s">
        <v>2043</v>
      </c>
      <c r="O564" s="104" t="s">
        <v>523</v>
      </c>
      <c r="P564" s="207">
        <v>46175.79</v>
      </c>
      <c r="Q564" s="269">
        <v>13213</v>
      </c>
      <c r="R564" s="241"/>
      <c r="S564" s="242"/>
      <c r="T564" s="207">
        <v>32899.48</v>
      </c>
      <c r="U564" s="205">
        <v>43804</v>
      </c>
      <c r="V564" s="215"/>
      <c r="W564" s="216"/>
    </row>
    <row r="565" s="39" customFormat="1" ht="22" hidden="1" customHeight="1" spans="1:23">
      <c r="A565" s="261" t="s">
        <v>2044</v>
      </c>
      <c r="B565" s="258" t="s">
        <v>30</v>
      </c>
      <c r="C565" s="259"/>
      <c r="D565" s="45" t="s">
        <v>31</v>
      </c>
      <c r="E565" s="194" t="s">
        <v>60</v>
      </c>
      <c r="F565" s="81" t="str">
        <f>IFERROR(VLOOKUP(E565,客户!B:C,2,FALSE),"/")</f>
        <v>外送费用945人民币+装箱费用 加在发票里</v>
      </c>
      <c r="G565" s="194" t="s">
        <v>2045</v>
      </c>
      <c r="H565" s="192" t="s">
        <v>123</v>
      </c>
      <c r="I565" s="192" t="s">
        <v>837</v>
      </c>
      <c r="J565" s="104">
        <v>43770</v>
      </c>
      <c r="K565" s="104">
        <v>43808</v>
      </c>
      <c r="L565" s="205">
        <v>43841</v>
      </c>
      <c r="M565" s="206" t="s">
        <v>2046</v>
      </c>
      <c r="N565" s="104" t="s">
        <v>2047</v>
      </c>
      <c r="O565" s="104" t="s">
        <v>680</v>
      </c>
      <c r="P565" s="207">
        <v>43919.03</v>
      </c>
      <c r="Q565" s="269"/>
      <c r="R565" s="241"/>
      <c r="S565" s="242"/>
      <c r="T565" s="207">
        <v>43753.71</v>
      </c>
      <c r="U565" s="205">
        <v>43846</v>
      </c>
      <c r="V565" s="215"/>
      <c r="W565" s="216"/>
    </row>
    <row r="566" s="39" customFormat="1" ht="22" hidden="1" customHeight="1" spans="1:23">
      <c r="A566" s="144" t="s">
        <v>2048</v>
      </c>
      <c r="B566" s="174" t="s">
        <v>30</v>
      </c>
      <c r="C566" s="175"/>
      <c r="D566" s="229" t="s">
        <v>31</v>
      </c>
      <c r="E566" s="83" t="s">
        <v>2049</v>
      </c>
      <c r="F566" s="81" t="str">
        <f>IFERROR(VLOOKUP(E566,客户!B:C,2,FALSE),"/")</f>
        <v>外送费用945人民币+装箱费用 加在发票里</v>
      </c>
      <c r="G566" s="80" t="s">
        <v>373</v>
      </c>
      <c r="H566" s="45" t="s">
        <v>123</v>
      </c>
      <c r="I566" s="45" t="s">
        <v>837</v>
      </c>
      <c r="J566" s="108">
        <v>43791</v>
      </c>
      <c r="K566" s="108">
        <v>43891</v>
      </c>
      <c r="L566" s="100">
        <v>43926</v>
      </c>
      <c r="M566" s="165" t="s">
        <v>2050</v>
      </c>
      <c r="N566" s="108" t="s">
        <v>2051</v>
      </c>
      <c r="O566" s="104" t="s">
        <v>680</v>
      </c>
      <c r="P566" s="102">
        <v>65835.31</v>
      </c>
      <c r="Q566" s="102"/>
      <c r="R566" s="131"/>
      <c r="S566" s="132"/>
      <c r="T566" s="102">
        <v>65634.71</v>
      </c>
      <c r="U566" s="100"/>
      <c r="V566" s="130"/>
      <c r="W566" s="170"/>
    </row>
    <row r="567" s="39" customFormat="1" ht="22" hidden="1" customHeight="1" spans="1:23">
      <c r="A567" s="144" t="s">
        <v>2052</v>
      </c>
      <c r="B567" s="174" t="s">
        <v>30</v>
      </c>
      <c r="C567" s="175"/>
      <c r="D567" s="45" t="s">
        <v>31</v>
      </c>
      <c r="E567" s="80" t="s">
        <v>481</v>
      </c>
      <c r="F567" s="81" t="str">
        <f>IFERROR(VLOOKUP(E567,客户!B:C,2,FALSE),"/")</f>
        <v>$53.50 TUV Austria administration cost 革力减掉150代理费</v>
      </c>
      <c r="G567" s="80" t="s">
        <v>2053</v>
      </c>
      <c r="H567" s="45" t="s">
        <v>123</v>
      </c>
      <c r="I567" s="45" t="s">
        <v>226</v>
      </c>
      <c r="J567" s="108">
        <v>43803</v>
      </c>
      <c r="K567" s="108">
        <v>43848</v>
      </c>
      <c r="L567" s="100">
        <v>43884</v>
      </c>
      <c r="M567" s="159" t="s">
        <v>2054</v>
      </c>
      <c r="N567" s="198" t="s">
        <v>2055</v>
      </c>
      <c r="O567" s="104" t="s">
        <v>523</v>
      </c>
      <c r="P567" s="102">
        <v>48236.13</v>
      </c>
      <c r="Q567" s="102">
        <v>13111</v>
      </c>
      <c r="R567" s="131"/>
      <c r="S567" s="132"/>
      <c r="T567" s="102">
        <v>35061</v>
      </c>
      <c r="U567" s="100">
        <v>43863</v>
      </c>
      <c r="V567" s="130"/>
      <c r="W567" s="170"/>
    </row>
    <row r="568" s="39" customFormat="1" ht="22" hidden="1" customHeight="1" spans="1:23">
      <c r="A568" s="144" t="s">
        <v>2056</v>
      </c>
      <c r="B568" s="174" t="s">
        <v>30</v>
      </c>
      <c r="C568" s="175"/>
      <c r="D568" s="45" t="s">
        <v>31</v>
      </c>
      <c r="E568" s="80" t="s">
        <v>2057</v>
      </c>
      <c r="F568" s="81">
        <f>IFERROR(VLOOKUP(E568,客户!B:C,2,FALSE),"/")</f>
        <v>0</v>
      </c>
      <c r="G568" s="80" t="s">
        <v>2058</v>
      </c>
      <c r="H568" s="45" t="s">
        <v>123</v>
      </c>
      <c r="I568" s="45" t="s">
        <v>2059</v>
      </c>
      <c r="J568" s="108">
        <v>43803</v>
      </c>
      <c r="K568" s="108">
        <v>43816</v>
      </c>
      <c r="L568" s="100">
        <v>43873</v>
      </c>
      <c r="M568" s="159" t="s">
        <v>2060</v>
      </c>
      <c r="N568" s="198" t="s">
        <v>2061</v>
      </c>
      <c r="O568" s="104" t="s">
        <v>523</v>
      </c>
      <c r="P568" s="102">
        <v>25140</v>
      </c>
      <c r="Q568" s="102">
        <v>5100</v>
      </c>
      <c r="R568" s="131"/>
      <c r="S568" s="132"/>
      <c r="T568" s="102">
        <v>20040</v>
      </c>
      <c r="U568" s="100">
        <v>43847</v>
      </c>
      <c r="V568" s="130"/>
      <c r="W568" s="170"/>
    </row>
    <row r="569" s="39" customFormat="1" ht="22" hidden="1" customHeight="1" spans="1:23">
      <c r="A569" s="144" t="s">
        <v>2062</v>
      </c>
      <c r="B569" s="174" t="s">
        <v>30</v>
      </c>
      <c r="C569" s="175"/>
      <c r="D569" s="45" t="s">
        <v>31</v>
      </c>
      <c r="E569" s="80" t="s">
        <v>2057</v>
      </c>
      <c r="F569" s="81">
        <f>IFERROR(VLOOKUP(E569,客户!B:C,2,FALSE),"/")</f>
        <v>0</v>
      </c>
      <c r="G569" s="80" t="s">
        <v>2063</v>
      </c>
      <c r="H569" s="45" t="s">
        <v>123</v>
      </c>
      <c r="I569" s="45" t="s">
        <v>2064</v>
      </c>
      <c r="J569" s="108">
        <v>43803</v>
      </c>
      <c r="K569" s="108">
        <v>43831</v>
      </c>
      <c r="L569" s="100">
        <v>43850</v>
      </c>
      <c r="M569" s="159" t="s">
        <v>2065</v>
      </c>
      <c r="N569" s="108" t="s">
        <v>2066</v>
      </c>
      <c r="O569" s="104" t="s">
        <v>523</v>
      </c>
      <c r="P569" s="102">
        <v>19006.8</v>
      </c>
      <c r="Q569" s="102">
        <v>5100</v>
      </c>
      <c r="R569" s="131"/>
      <c r="S569" s="132"/>
      <c r="T569" s="102">
        <v>13906.8</v>
      </c>
      <c r="U569" s="100">
        <v>43847</v>
      </c>
      <c r="V569" s="130"/>
      <c r="W569" s="170"/>
    </row>
    <row r="570" s="39" customFormat="1" ht="22" hidden="1" customHeight="1" spans="1:23">
      <c r="A570" s="144" t="s">
        <v>2067</v>
      </c>
      <c r="B570" s="174" t="s">
        <v>30</v>
      </c>
      <c r="C570" s="175"/>
      <c r="D570" s="45" t="s">
        <v>31</v>
      </c>
      <c r="E570" s="80" t="s">
        <v>2068</v>
      </c>
      <c r="F570" s="81">
        <f>IFERROR(VLOOKUP(E570,客户!B:C,2,FALSE),"/")</f>
        <v>0</v>
      </c>
      <c r="G570" s="80" t="s">
        <v>2069</v>
      </c>
      <c r="H570" s="45" t="s">
        <v>123</v>
      </c>
      <c r="I570" s="45" t="s">
        <v>862</v>
      </c>
      <c r="J570" s="108"/>
      <c r="K570" s="108">
        <v>43827</v>
      </c>
      <c r="L570" s="100">
        <v>43859</v>
      </c>
      <c r="M570" s="165" t="s">
        <v>2070</v>
      </c>
      <c r="N570" s="108" t="s">
        <v>2071</v>
      </c>
      <c r="O570" s="104" t="s">
        <v>970</v>
      </c>
      <c r="P570" s="102">
        <v>72463.14</v>
      </c>
      <c r="Q570" s="102"/>
      <c r="R570" s="131"/>
      <c r="S570" s="132"/>
      <c r="T570" s="102">
        <v>39442.85</v>
      </c>
      <c r="U570" s="100">
        <v>43815</v>
      </c>
      <c r="V570" s="130"/>
      <c r="W570" s="170"/>
    </row>
    <row r="571" s="39" customFormat="1" ht="22" hidden="1" customHeight="1" spans="1:23">
      <c r="A571" s="144" t="s">
        <v>2072</v>
      </c>
      <c r="B571" s="174" t="s">
        <v>30</v>
      </c>
      <c r="C571" s="175"/>
      <c r="D571" s="45" t="s">
        <v>31</v>
      </c>
      <c r="E571" s="80" t="s">
        <v>2068</v>
      </c>
      <c r="F571" s="81">
        <f>IFERROR(VLOOKUP(E571,客户!B:C,2,FALSE),"/")</f>
        <v>0</v>
      </c>
      <c r="G571" s="80" t="s">
        <v>2069</v>
      </c>
      <c r="H571" s="45" t="s">
        <v>123</v>
      </c>
      <c r="I571" s="45" t="s">
        <v>862</v>
      </c>
      <c r="J571" s="108"/>
      <c r="K571" s="108">
        <v>43469</v>
      </c>
      <c r="L571" s="100">
        <v>43866</v>
      </c>
      <c r="M571" s="108" t="s">
        <v>2073</v>
      </c>
      <c r="N571" s="108" t="s">
        <v>2074</v>
      </c>
      <c r="O571" s="104" t="s">
        <v>970</v>
      </c>
      <c r="P571" s="102">
        <v>82576.73</v>
      </c>
      <c r="Q571" s="102"/>
      <c r="R571" s="131"/>
      <c r="S571" s="132"/>
      <c r="T571" s="102">
        <v>42735.05</v>
      </c>
      <c r="U571" s="100">
        <v>43825</v>
      </c>
      <c r="V571" s="130"/>
      <c r="W571" s="170"/>
    </row>
    <row r="572" s="39" customFormat="1" ht="22" hidden="1" customHeight="1" spans="1:23">
      <c r="A572" s="144" t="s">
        <v>2075</v>
      </c>
      <c r="B572" s="174" t="s">
        <v>30</v>
      </c>
      <c r="C572" s="175"/>
      <c r="D572" s="45" t="s">
        <v>31</v>
      </c>
      <c r="E572" s="80" t="s">
        <v>2068</v>
      </c>
      <c r="F572" s="81">
        <f>IFERROR(VLOOKUP(E572,客户!B:C,2,FALSE),"/")</f>
        <v>0</v>
      </c>
      <c r="G572" s="80" t="s">
        <v>2069</v>
      </c>
      <c r="H572" s="45" t="s">
        <v>123</v>
      </c>
      <c r="I572" s="45" t="s">
        <v>862</v>
      </c>
      <c r="J572" s="108"/>
      <c r="K572" s="108">
        <v>44058</v>
      </c>
      <c r="L572" s="100">
        <v>44087</v>
      </c>
      <c r="M572" s="164" t="s">
        <v>2076</v>
      </c>
      <c r="N572" s="198" t="s">
        <v>2077</v>
      </c>
      <c r="O572" s="104" t="s">
        <v>970</v>
      </c>
      <c r="P572" s="102">
        <v>98230.94</v>
      </c>
      <c r="Q572" s="102"/>
      <c r="R572" s="131"/>
      <c r="S572" s="132"/>
      <c r="T572" s="102"/>
      <c r="U572" s="100"/>
      <c r="V572" s="130"/>
      <c r="W572" s="170"/>
    </row>
    <row r="573" s="39" customFormat="1" ht="22" hidden="1" customHeight="1" spans="1:23">
      <c r="A573" s="144" t="s">
        <v>2078</v>
      </c>
      <c r="B573" s="174" t="s">
        <v>30</v>
      </c>
      <c r="C573" s="175"/>
      <c r="D573" s="45" t="s">
        <v>31</v>
      </c>
      <c r="E573" s="82" t="s">
        <v>2079</v>
      </c>
      <c r="F573" s="81">
        <f>IFERROR(VLOOKUP(E573,客户!B:C,2,FALSE),"/")</f>
        <v>0</v>
      </c>
      <c r="G573" s="80" t="s">
        <v>2080</v>
      </c>
      <c r="H573" s="45" t="s">
        <v>123</v>
      </c>
      <c r="I573" s="45" t="s">
        <v>2081</v>
      </c>
      <c r="J573" s="108">
        <v>43830</v>
      </c>
      <c r="K573" s="159">
        <v>43912</v>
      </c>
      <c r="L573" s="100">
        <v>43946</v>
      </c>
      <c r="M573" s="165" t="s">
        <v>2082</v>
      </c>
      <c r="N573" s="198" t="s">
        <v>2083</v>
      </c>
      <c r="O573" s="104" t="s">
        <v>523</v>
      </c>
      <c r="P573" s="102">
        <v>12534.956</v>
      </c>
      <c r="Q573" s="102">
        <v>3500</v>
      </c>
      <c r="R573" s="131">
        <f>P573-Q573</f>
        <v>9034.956</v>
      </c>
      <c r="S573" s="132"/>
      <c r="T573" s="102">
        <v>8981.61</v>
      </c>
      <c r="U573" s="100"/>
      <c r="V573" s="219" t="s">
        <v>2084</v>
      </c>
      <c r="W573" s="170"/>
    </row>
    <row r="574" s="39" customFormat="1" ht="22" hidden="1" customHeight="1" spans="1:23">
      <c r="A574" s="144" t="s">
        <v>2085</v>
      </c>
      <c r="B574" s="174" t="s">
        <v>30</v>
      </c>
      <c r="C574" s="175"/>
      <c r="D574" s="45" t="s">
        <v>31</v>
      </c>
      <c r="E574" s="80" t="s">
        <v>481</v>
      </c>
      <c r="F574" s="81" t="str">
        <f>IFERROR(VLOOKUP(E574,客户!B:C,2,FALSE),"/")</f>
        <v>$53.50 TUV Austria administration cost 革力减掉150代理费</v>
      </c>
      <c r="G574" s="80" t="s">
        <v>2086</v>
      </c>
      <c r="H574" s="45" t="s">
        <v>123</v>
      </c>
      <c r="I574" s="45" t="s">
        <v>340</v>
      </c>
      <c r="J574" s="108">
        <v>43887</v>
      </c>
      <c r="K574" s="100">
        <v>43946</v>
      </c>
      <c r="L574" s="100">
        <v>43975</v>
      </c>
      <c r="M574" s="165" t="s">
        <v>2087</v>
      </c>
      <c r="N574" s="198" t="s">
        <v>2088</v>
      </c>
      <c r="O574" s="104" t="s">
        <v>523</v>
      </c>
      <c r="P574" s="102">
        <v>47220.71</v>
      </c>
      <c r="Q574" s="102">
        <v>12996</v>
      </c>
      <c r="R574" s="131"/>
      <c r="S574" s="132"/>
      <c r="T574" s="102">
        <v>34171.31</v>
      </c>
      <c r="U574" s="100"/>
      <c r="V574" s="243" t="s">
        <v>2089</v>
      </c>
      <c r="W574" s="170"/>
    </row>
    <row r="575" s="39" customFormat="1" ht="22" hidden="1" customHeight="1" spans="1:23">
      <c r="A575" s="144" t="s">
        <v>2090</v>
      </c>
      <c r="B575" s="174" t="s">
        <v>30</v>
      </c>
      <c r="C575" s="175"/>
      <c r="D575" s="45" t="s">
        <v>31</v>
      </c>
      <c r="E575" s="82" t="s">
        <v>2091</v>
      </c>
      <c r="F575" s="81">
        <f>IFERROR(VLOOKUP(E575,客户!B:C,2,FALSE),"/")</f>
        <v>0</v>
      </c>
      <c r="G575" s="80" t="s">
        <v>2092</v>
      </c>
      <c r="H575" s="45" t="s">
        <v>123</v>
      </c>
      <c r="I575" s="45" t="s">
        <v>862</v>
      </c>
      <c r="J575" s="108"/>
      <c r="K575" s="159">
        <v>43905</v>
      </c>
      <c r="L575" s="100">
        <v>43930</v>
      </c>
      <c r="M575" s="165" t="s">
        <v>2093</v>
      </c>
      <c r="N575" s="198" t="s">
        <v>2094</v>
      </c>
      <c r="O575" s="104" t="s">
        <v>970</v>
      </c>
      <c r="P575" s="102">
        <v>22595</v>
      </c>
      <c r="Q575" s="102">
        <v>23181.69</v>
      </c>
      <c r="R575" s="131"/>
      <c r="S575" s="132"/>
      <c r="T575" s="102"/>
      <c r="U575" s="100">
        <v>43900</v>
      </c>
      <c r="V575" s="130"/>
      <c r="W575" s="170"/>
    </row>
    <row r="576" s="39" customFormat="1" ht="22" hidden="1" customHeight="1" spans="1:23">
      <c r="A576" s="144" t="s">
        <v>2095</v>
      </c>
      <c r="B576" s="174" t="s">
        <v>30</v>
      </c>
      <c r="C576" s="175"/>
      <c r="D576" s="45" t="s">
        <v>31</v>
      </c>
      <c r="E576" s="82" t="s">
        <v>2091</v>
      </c>
      <c r="F576" s="81">
        <f>IFERROR(VLOOKUP(E576,客户!B:C,2,FALSE),"/")</f>
        <v>0</v>
      </c>
      <c r="G576" s="80" t="s">
        <v>2092</v>
      </c>
      <c r="H576" s="45" t="s">
        <v>123</v>
      </c>
      <c r="I576" s="45" t="s">
        <v>862</v>
      </c>
      <c r="J576" s="108"/>
      <c r="K576" s="108">
        <v>43992</v>
      </c>
      <c r="L576" s="232">
        <v>44016</v>
      </c>
      <c r="M576" s="165" t="s">
        <v>2096</v>
      </c>
      <c r="N576" s="198" t="s">
        <v>2097</v>
      </c>
      <c r="O576" s="104" t="s">
        <v>970</v>
      </c>
      <c r="P576" s="102">
        <v>55500</v>
      </c>
      <c r="Q576" s="102">
        <v>30097.61</v>
      </c>
      <c r="R576" s="131"/>
      <c r="S576" s="132"/>
      <c r="T576" s="102"/>
      <c r="U576" s="100"/>
      <c r="V576" s="130"/>
      <c r="W576" s="170"/>
    </row>
    <row r="577" s="39" customFormat="1" ht="22" hidden="1" customHeight="1" spans="1:23">
      <c r="A577" s="144" t="s">
        <v>2098</v>
      </c>
      <c r="B577" s="174" t="s">
        <v>30</v>
      </c>
      <c r="C577" s="175"/>
      <c r="D577" s="45" t="s">
        <v>31</v>
      </c>
      <c r="E577" s="82" t="s">
        <v>2099</v>
      </c>
      <c r="F577" s="81">
        <f>IFERROR(VLOOKUP(E577,客户!B:C,2,FALSE),"/")</f>
        <v>0</v>
      </c>
      <c r="G577" s="80" t="s">
        <v>2100</v>
      </c>
      <c r="H577" s="45" t="s">
        <v>123</v>
      </c>
      <c r="I577" s="45" t="s">
        <v>2101</v>
      </c>
      <c r="J577" s="108">
        <v>43953</v>
      </c>
      <c r="K577" s="159">
        <v>44012</v>
      </c>
      <c r="L577" s="100">
        <v>44035</v>
      </c>
      <c r="M577" s="164" t="s">
        <v>2102</v>
      </c>
      <c r="N577" s="198" t="s">
        <v>2103</v>
      </c>
      <c r="O577" s="104" t="s">
        <v>523</v>
      </c>
      <c r="P577" s="102">
        <v>24533.88</v>
      </c>
      <c r="Q577" s="102">
        <v>5000</v>
      </c>
      <c r="R577" s="131"/>
      <c r="S577" s="132"/>
      <c r="T577" s="267">
        <v>40463.44</v>
      </c>
      <c r="U577" s="100"/>
      <c r="V577" s="246" t="s">
        <v>2104</v>
      </c>
      <c r="W577" s="170"/>
    </row>
    <row r="578" s="39" customFormat="1" ht="22" hidden="1" customHeight="1" spans="1:23">
      <c r="A578" s="144" t="s">
        <v>2105</v>
      </c>
      <c r="B578" s="174" t="s">
        <v>30</v>
      </c>
      <c r="C578" s="175"/>
      <c r="D578" s="45" t="s">
        <v>31</v>
      </c>
      <c r="E578" s="82" t="s">
        <v>2099</v>
      </c>
      <c r="F578" s="81"/>
      <c r="G578" s="80" t="s">
        <v>2106</v>
      </c>
      <c r="H578" s="45" t="s">
        <v>123</v>
      </c>
      <c r="I578" s="45" t="s">
        <v>2059</v>
      </c>
      <c r="J578" s="108">
        <v>43953</v>
      </c>
      <c r="K578" s="108">
        <v>43999</v>
      </c>
      <c r="L578" s="100">
        <v>44036</v>
      </c>
      <c r="M578" s="165" t="s">
        <v>2107</v>
      </c>
      <c r="N578" s="198" t="s">
        <v>2108</v>
      </c>
      <c r="O578" s="104" t="s">
        <v>523</v>
      </c>
      <c r="P578" s="102">
        <v>26227.96</v>
      </c>
      <c r="Q578" s="102">
        <v>5250</v>
      </c>
      <c r="R578" s="131"/>
      <c r="S578" s="132"/>
      <c r="T578" s="268"/>
      <c r="U578" s="100"/>
      <c r="V578" s="246" t="s">
        <v>2109</v>
      </c>
      <c r="W578" s="170"/>
    </row>
    <row r="579" s="39" customFormat="1" ht="22" hidden="1" customHeight="1" spans="1:23">
      <c r="A579" s="144" t="s">
        <v>2110</v>
      </c>
      <c r="B579" s="174" t="s">
        <v>30</v>
      </c>
      <c r="C579" s="175"/>
      <c r="D579" s="45" t="s">
        <v>31</v>
      </c>
      <c r="E579" s="82" t="s">
        <v>1128</v>
      </c>
      <c r="F579" s="81">
        <f>IFERROR(VLOOKUP(E579,客户!B:C,2,FALSE),"/")</f>
        <v>0</v>
      </c>
      <c r="G579" s="80" t="s">
        <v>2111</v>
      </c>
      <c r="H579" s="45" t="s">
        <v>123</v>
      </c>
      <c r="I579" s="45" t="s">
        <v>2112</v>
      </c>
      <c r="J579" s="108">
        <v>43966</v>
      </c>
      <c r="K579" s="159">
        <v>43990</v>
      </c>
      <c r="L579" s="232">
        <v>44016</v>
      </c>
      <c r="M579" s="165" t="s">
        <v>2113</v>
      </c>
      <c r="N579" s="198" t="s">
        <v>2114</v>
      </c>
      <c r="O579" s="104" t="s">
        <v>523</v>
      </c>
      <c r="P579" s="102">
        <v>62745.89</v>
      </c>
      <c r="Q579" s="102">
        <v>10000</v>
      </c>
      <c r="R579" s="131">
        <f>P579-Q579</f>
        <v>52745.89</v>
      </c>
      <c r="S579" s="132"/>
      <c r="T579" s="102"/>
      <c r="U579" s="100"/>
      <c r="V579" s="130"/>
      <c r="W579" s="170"/>
    </row>
    <row r="580" s="39" customFormat="1" ht="22" hidden="1" customHeight="1" spans="1:23">
      <c r="A580" s="190" t="s">
        <v>2115</v>
      </c>
      <c r="B580" s="174" t="s">
        <v>30</v>
      </c>
      <c r="C580" s="175"/>
      <c r="D580" s="45" t="s">
        <v>31</v>
      </c>
      <c r="E580" s="82" t="s">
        <v>2116</v>
      </c>
      <c r="F580" s="81"/>
      <c r="G580" s="80" t="s">
        <v>2117</v>
      </c>
      <c r="H580" s="45" t="s">
        <v>123</v>
      </c>
      <c r="I580" s="45" t="s">
        <v>862</v>
      </c>
      <c r="J580" s="108">
        <v>44021</v>
      </c>
      <c r="K580" s="159">
        <v>44153</v>
      </c>
      <c r="L580" s="100">
        <v>44177</v>
      </c>
      <c r="M580" s="165" t="s">
        <v>2118</v>
      </c>
      <c r="N580" s="198" t="s">
        <v>2119</v>
      </c>
      <c r="O580" s="104" t="s">
        <v>970</v>
      </c>
      <c r="P580" s="102">
        <v>88101.62</v>
      </c>
      <c r="Q580" s="102"/>
      <c r="R580" s="131"/>
      <c r="S580" s="132"/>
      <c r="T580" s="102"/>
      <c r="U580" s="100"/>
      <c r="V580" s="130"/>
      <c r="W580" s="170"/>
    </row>
    <row r="581" s="39" customFormat="1" ht="22" hidden="1" customHeight="1" spans="1:23">
      <c r="A581" s="144" t="s">
        <v>2120</v>
      </c>
      <c r="B581" s="174" t="s">
        <v>30</v>
      </c>
      <c r="C581" s="175"/>
      <c r="D581" s="229" t="s">
        <v>3</v>
      </c>
      <c r="E581" s="82" t="s">
        <v>1128</v>
      </c>
      <c r="F581" s="81">
        <f>IFERROR(VLOOKUP(E581,客户!B:C,2,FALSE),"/")</f>
        <v>0</v>
      </c>
      <c r="G581" s="80" t="s">
        <v>2121</v>
      </c>
      <c r="H581" s="45" t="s">
        <v>123</v>
      </c>
      <c r="I581" s="45" t="s">
        <v>2112</v>
      </c>
      <c r="J581" s="108">
        <v>44108</v>
      </c>
      <c r="K581" s="159"/>
      <c r="L581" s="232"/>
      <c r="M581" s="165" t="s">
        <v>2122</v>
      </c>
      <c r="N581" s="198"/>
      <c r="O581" s="104" t="s">
        <v>523</v>
      </c>
      <c r="P581" s="102">
        <v>67458.71</v>
      </c>
      <c r="Q581" s="102">
        <v>13500</v>
      </c>
      <c r="R581" s="131"/>
      <c r="S581" s="132"/>
      <c r="T581" s="102"/>
      <c r="U581" s="100"/>
      <c r="V581" s="130"/>
      <c r="W581" s="170"/>
    </row>
    <row r="582" s="39" customFormat="1" ht="22" hidden="1" customHeight="1" spans="1:23">
      <c r="A582" s="144" t="s">
        <v>2123</v>
      </c>
      <c r="B582" s="174" t="s">
        <v>30</v>
      </c>
      <c r="C582" s="175"/>
      <c r="D582" s="45" t="s">
        <v>31</v>
      </c>
      <c r="E582" s="82" t="s">
        <v>2124</v>
      </c>
      <c r="F582" s="81">
        <v>0</v>
      </c>
      <c r="G582" s="80" t="s">
        <v>2125</v>
      </c>
      <c r="H582" s="45" t="s">
        <v>123</v>
      </c>
      <c r="I582" s="45" t="s">
        <v>2081</v>
      </c>
      <c r="J582" s="108">
        <v>44108</v>
      </c>
      <c r="K582" s="159">
        <v>44135</v>
      </c>
      <c r="L582" s="100">
        <v>44164</v>
      </c>
      <c r="M582" s="165" t="s">
        <v>2126</v>
      </c>
      <c r="N582" s="198" t="s">
        <v>2127</v>
      </c>
      <c r="O582" s="104" t="s">
        <v>523</v>
      </c>
      <c r="P582" s="102">
        <v>6931.97</v>
      </c>
      <c r="Q582" s="267">
        <v>4500</v>
      </c>
      <c r="R582" s="279"/>
      <c r="S582" s="132"/>
      <c r="T582" s="267">
        <v>14704.69</v>
      </c>
      <c r="U582" s="100"/>
      <c r="V582" s="130"/>
      <c r="W582" s="170"/>
    </row>
    <row r="583" s="39" customFormat="1" ht="22" hidden="1" customHeight="1" spans="1:23">
      <c r="A583" s="144" t="s">
        <v>2128</v>
      </c>
      <c r="B583" s="174" t="s">
        <v>30</v>
      </c>
      <c r="C583" s="175"/>
      <c r="D583" s="45" t="s">
        <v>31</v>
      </c>
      <c r="E583" s="82" t="s">
        <v>2124</v>
      </c>
      <c r="F583" s="81">
        <f>IFERROR(VLOOKUP(E583,客户!B:C,2,FALSE),"/")</f>
        <v>0</v>
      </c>
      <c r="G583" s="80" t="s">
        <v>2129</v>
      </c>
      <c r="H583" s="45" t="s">
        <v>123</v>
      </c>
      <c r="I583" s="45" t="s">
        <v>2081</v>
      </c>
      <c r="J583" s="108">
        <v>44108</v>
      </c>
      <c r="K583" s="159">
        <v>44135</v>
      </c>
      <c r="L583" s="100">
        <v>44164</v>
      </c>
      <c r="M583" s="165" t="s">
        <v>2130</v>
      </c>
      <c r="N583" s="198" t="s">
        <v>2131</v>
      </c>
      <c r="O583" s="104" t="s">
        <v>523</v>
      </c>
      <c r="P583" s="102">
        <v>12272.72</v>
      </c>
      <c r="Q583" s="268"/>
      <c r="R583" s="280"/>
      <c r="S583" s="132"/>
      <c r="T583" s="268"/>
      <c r="U583" s="100"/>
      <c r="V583" s="130"/>
      <c r="W583" s="170"/>
    </row>
    <row r="584" s="39" customFormat="1" ht="22" hidden="1" customHeight="1" spans="1:23">
      <c r="A584" s="144" t="s">
        <v>2132</v>
      </c>
      <c r="B584" s="174" t="s">
        <v>30</v>
      </c>
      <c r="C584" s="175"/>
      <c r="D584" s="45" t="s">
        <v>31</v>
      </c>
      <c r="E584" s="82" t="s">
        <v>2133</v>
      </c>
      <c r="F584" s="81"/>
      <c r="G584" s="82" t="s">
        <v>2134</v>
      </c>
      <c r="H584" s="45" t="s">
        <v>123</v>
      </c>
      <c r="I584" s="254" t="s">
        <v>2135</v>
      </c>
      <c r="J584" s="108">
        <v>44165</v>
      </c>
      <c r="K584" s="159">
        <v>44247</v>
      </c>
      <c r="L584" s="100">
        <v>44288</v>
      </c>
      <c r="M584" s="165" t="s">
        <v>2136</v>
      </c>
      <c r="N584" s="198" t="s">
        <v>2137</v>
      </c>
      <c r="O584" s="104" t="s">
        <v>523</v>
      </c>
      <c r="P584" s="102">
        <v>37335.08</v>
      </c>
      <c r="Q584" s="268">
        <f>8000+10000</f>
        <v>18000</v>
      </c>
      <c r="R584" s="280"/>
      <c r="S584" s="132"/>
      <c r="T584" s="268">
        <f>9000+9962.62</f>
        <v>18962.62</v>
      </c>
      <c r="U584" s="268">
        <v>391.62</v>
      </c>
      <c r="V584" s="130"/>
      <c r="W584" s="170"/>
    </row>
    <row r="585" s="39" customFormat="1" ht="22" hidden="1" customHeight="1" spans="1:23">
      <c r="A585" s="144" t="s">
        <v>2138</v>
      </c>
      <c r="B585" s="174" t="s">
        <v>30</v>
      </c>
      <c r="C585" s="175"/>
      <c r="D585" s="45" t="s">
        <v>31</v>
      </c>
      <c r="E585" s="82" t="s">
        <v>2139</v>
      </c>
      <c r="F585" s="81">
        <f>IFERROR(VLOOKUP(E585,客户!B:C,2,FALSE),"/")</f>
        <v>0</v>
      </c>
      <c r="G585" s="82" t="s">
        <v>2140</v>
      </c>
      <c r="H585" s="45" t="s">
        <v>123</v>
      </c>
      <c r="I585" s="254" t="s">
        <v>2141</v>
      </c>
      <c r="J585" s="108">
        <v>44166</v>
      </c>
      <c r="K585" s="159">
        <v>44205</v>
      </c>
      <c r="L585" s="100">
        <v>44253</v>
      </c>
      <c r="M585" s="165" t="s">
        <v>2142</v>
      </c>
      <c r="N585" s="198" t="s">
        <v>2143</v>
      </c>
      <c r="O585" s="104" t="s">
        <v>523</v>
      </c>
      <c r="P585" s="102">
        <v>7228.05</v>
      </c>
      <c r="Q585" s="268">
        <v>2170</v>
      </c>
      <c r="R585" s="280"/>
      <c r="S585" s="132"/>
      <c r="T585" s="268">
        <v>5058.05</v>
      </c>
      <c r="U585" s="100"/>
      <c r="V585" s="219" t="s">
        <v>2144</v>
      </c>
      <c r="W585" s="170"/>
    </row>
    <row r="586" s="39" customFormat="1" ht="22" hidden="1" customHeight="1" spans="1:23">
      <c r="A586" s="144" t="s">
        <v>2145</v>
      </c>
      <c r="B586" s="174" t="s">
        <v>30</v>
      </c>
      <c r="C586" s="175"/>
      <c r="D586" s="45" t="s">
        <v>31</v>
      </c>
      <c r="E586" s="82" t="s">
        <v>2116</v>
      </c>
      <c r="F586" s="81"/>
      <c r="G586" s="82" t="s">
        <v>2146</v>
      </c>
      <c r="H586" s="45" t="s">
        <v>123</v>
      </c>
      <c r="I586" s="254" t="s">
        <v>862</v>
      </c>
      <c r="J586" s="108">
        <v>44183</v>
      </c>
      <c r="K586" s="159">
        <v>44201</v>
      </c>
      <c r="L586" s="100">
        <v>44226</v>
      </c>
      <c r="M586" s="165" t="s">
        <v>2147</v>
      </c>
      <c r="N586" s="198" t="s">
        <v>2148</v>
      </c>
      <c r="O586" s="104" t="s">
        <v>970</v>
      </c>
      <c r="P586" s="102">
        <v>79578.88</v>
      </c>
      <c r="Q586" s="268"/>
      <c r="R586" s="280"/>
      <c r="S586" s="132"/>
      <c r="T586" s="268"/>
      <c r="U586" s="100"/>
      <c r="V586" s="130"/>
      <c r="W586" s="170"/>
    </row>
    <row r="587" s="39" customFormat="1" ht="22" hidden="1" customHeight="1" spans="1:23">
      <c r="A587" s="144" t="s">
        <v>2149</v>
      </c>
      <c r="B587" s="174" t="s">
        <v>30</v>
      </c>
      <c r="C587" s="175"/>
      <c r="D587" s="45" t="s">
        <v>31</v>
      </c>
      <c r="E587" s="82" t="s">
        <v>2116</v>
      </c>
      <c r="F587" s="81">
        <f>IFERROR(VLOOKUP(E587,客户!B:C,2,FALSE),"/")</f>
        <v>0</v>
      </c>
      <c r="G587" s="82" t="s">
        <v>2150</v>
      </c>
      <c r="H587" s="45" t="s">
        <v>123</v>
      </c>
      <c r="I587" s="254" t="s">
        <v>862</v>
      </c>
      <c r="J587" s="108">
        <v>44191</v>
      </c>
      <c r="K587" s="159">
        <v>44215</v>
      </c>
      <c r="L587" s="100">
        <v>44240</v>
      </c>
      <c r="M587" s="201" t="s">
        <v>2151</v>
      </c>
      <c r="N587" s="198" t="s">
        <v>2152</v>
      </c>
      <c r="O587" s="266" t="s">
        <v>970</v>
      </c>
      <c r="P587" s="102">
        <f>23946.57+53419.64</f>
        <v>77366.21</v>
      </c>
      <c r="Q587" s="268"/>
      <c r="R587" s="280"/>
      <c r="S587" s="132"/>
      <c r="T587" s="268"/>
      <c r="U587" s="100"/>
      <c r="V587" s="130"/>
      <c r="W587" s="170"/>
    </row>
    <row r="588" s="39" customFormat="1" ht="22" hidden="1" customHeight="1" spans="1:23">
      <c r="A588" s="144" t="s">
        <v>2153</v>
      </c>
      <c r="B588" s="174" t="s">
        <v>30</v>
      </c>
      <c r="C588" s="175"/>
      <c r="D588" s="45" t="s">
        <v>31</v>
      </c>
      <c r="E588" s="82" t="s">
        <v>2116</v>
      </c>
      <c r="F588" s="81">
        <f>IFERROR(VLOOKUP(E588,客户!B:C,2,FALSE),"/")</f>
        <v>0</v>
      </c>
      <c r="G588" s="82" t="s">
        <v>2154</v>
      </c>
      <c r="H588" s="45" t="s">
        <v>123</v>
      </c>
      <c r="I588" s="254" t="s">
        <v>862</v>
      </c>
      <c r="J588" s="108">
        <v>44191</v>
      </c>
      <c r="K588" s="159">
        <v>44209</v>
      </c>
      <c r="L588" s="100">
        <v>44235</v>
      </c>
      <c r="M588" s="165" t="s">
        <v>2155</v>
      </c>
      <c r="N588" s="198" t="s">
        <v>2156</v>
      </c>
      <c r="O588" s="266" t="s">
        <v>970</v>
      </c>
      <c r="P588" s="102">
        <v>56805.66</v>
      </c>
      <c r="Q588" s="268"/>
      <c r="R588" s="280"/>
      <c r="S588" s="132"/>
      <c r="T588" s="268"/>
      <c r="U588" s="100"/>
      <c r="V588" s="130"/>
      <c r="W588" s="170"/>
    </row>
    <row r="589" s="39" customFormat="1" ht="22" hidden="1" customHeight="1" spans="1:23">
      <c r="A589" s="144" t="s">
        <v>2157</v>
      </c>
      <c r="B589" s="174" t="s">
        <v>30</v>
      </c>
      <c r="C589" s="175"/>
      <c r="D589" s="45" t="s">
        <v>31</v>
      </c>
      <c r="E589" s="82" t="s">
        <v>2124</v>
      </c>
      <c r="F589" s="81">
        <f>IFERROR(VLOOKUP(E589,客户!B:C,2,FALSE),"/")</f>
        <v>0</v>
      </c>
      <c r="G589" s="82" t="s">
        <v>2158</v>
      </c>
      <c r="H589" s="45" t="s">
        <v>123</v>
      </c>
      <c r="I589" s="45" t="s">
        <v>2081</v>
      </c>
      <c r="J589" s="108">
        <v>44258</v>
      </c>
      <c r="K589" s="159">
        <v>44290</v>
      </c>
      <c r="L589" s="100">
        <v>44338</v>
      </c>
      <c r="M589" s="165" t="s">
        <v>2159</v>
      </c>
      <c r="N589" s="198" t="s">
        <v>2160</v>
      </c>
      <c r="O589" s="266" t="s">
        <v>523</v>
      </c>
      <c r="P589" s="102">
        <v>15145.48</v>
      </c>
      <c r="Q589" s="268">
        <v>3613</v>
      </c>
      <c r="R589" s="280"/>
      <c r="S589" s="132"/>
      <c r="T589" s="268">
        <v>11532.48</v>
      </c>
      <c r="U589" s="100"/>
      <c r="V589" s="130"/>
      <c r="W589" s="170"/>
    </row>
    <row r="590" s="39" customFormat="1" ht="22" hidden="1" customHeight="1" spans="1:23">
      <c r="A590" s="145" t="s">
        <v>2161</v>
      </c>
      <c r="B590" s="174" t="s">
        <v>30</v>
      </c>
      <c r="C590" s="175"/>
      <c r="D590" s="45" t="s">
        <v>31</v>
      </c>
      <c r="E590" s="82" t="s">
        <v>2162</v>
      </c>
      <c r="F590" s="81"/>
      <c r="G590" s="82" t="s">
        <v>2163</v>
      </c>
      <c r="H590" s="45" t="s">
        <v>123</v>
      </c>
      <c r="I590" s="45" t="s">
        <v>2164</v>
      </c>
      <c r="J590" s="108">
        <v>44265</v>
      </c>
      <c r="K590" s="159">
        <v>44316</v>
      </c>
      <c r="L590" s="100">
        <v>44358</v>
      </c>
      <c r="M590" s="165" t="s">
        <v>2165</v>
      </c>
      <c r="N590" s="198" t="s">
        <v>2166</v>
      </c>
      <c r="O590" s="266" t="s">
        <v>523</v>
      </c>
      <c r="P590" s="102">
        <v>51545.45</v>
      </c>
      <c r="Q590" s="268">
        <v>15000</v>
      </c>
      <c r="R590" s="280"/>
      <c r="S590" s="132"/>
      <c r="T590" s="268">
        <v>36545.45</v>
      </c>
      <c r="U590" s="100"/>
      <c r="V590" s="130"/>
      <c r="W590" s="170"/>
    </row>
    <row r="591" s="39" customFormat="1" ht="22" hidden="1" customHeight="1" spans="1:23">
      <c r="A591" s="144" t="s">
        <v>2167</v>
      </c>
      <c r="B591" s="174" t="s">
        <v>30</v>
      </c>
      <c r="C591" s="175"/>
      <c r="D591" s="229" t="s">
        <v>31</v>
      </c>
      <c r="E591" s="82" t="s">
        <v>2133</v>
      </c>
      <c r="F591" s="81">
        <f>IFERROR(VLOOKUP(E591,客户!B:C,2,FALSE),"/")</f>
        <v>0</v>
      </c>
      <c r="G591" s="82" t="s">
        <v>2168</v>
      </c>
      <c r="H591" s="45" t="s">
        <v>123</v>
      </c>
      <c r="I591" s="254" t="s">
        <v>2135</v>
      </c>
      <c r="J591" s="108">
        <v>44293</v>
      </c>
      <c r="K591" s="159">
        <v>44394</v>
      </c>
      <c r="L591" s="100">
        <v>44431</v>
      </c>
      <c r="M591" s="165" t="s">
        <v>2169</v>
      </c>
      <c r="N591" s="198" t="s">
        <v>2170</v>
      </c>
      <c r="O591" s="266" t="s">
        <v>523</v>
      </c>
      <c r="P591" s="102">
        <v>73134.45</v>
      </c>
      <c r="Q591" s="268">
        <v>69000</v>
      </c>
      <c r="R591" s="280"/>
      <c r="S591" s="132"/>
      <c r="T591" s="268">
        <v>4162.08</v>
      </c>
      <c r="U591" s="100"/>
      <c r="V591" s="130"/>
      <c r="W591" s="170"/>
    </row>
    <row r="592" s="39" customFormat="1" ht="22" hidden="1" customHeight="1" spans="1:23">
      <c r="A592" s="144" t="s">
        <v>2171</v>
      </c>
      <c r="B592" s="174" t="s">
        <v>30</v>
      </c>
      <c r="C592" s="175"/>
      <c r="D592" s="229" t="s">
        <v>31</v>
      </c>
      <c r="E592" s="82" t="s">
        <v>2099</v>
      </c>
      <c r="F592" s="81">
        <f>IFERROR(VLOOKUP(E592,客户!B:C,2,FALSE),"/")</f>
        <v>0</v>
      </c>
      <c r="G592" s="80" t="s">
        <v>2106</v>
      </c>
      <c r="H592" s="45" t="s">
        <v>123</v>
      </c>
      <c r="I592" s="45" t="s">
        <v>2059</v>
      </c>
      <c r="J592" s="108">
        <v>44301</v>
      </c>
      <c r="K592" s="159">
        <v>44350</v>
      </c>
      <c r="L592" s="100">
        <v>44389</v>
      </c>
      <c r="M592" s="165" t="s">
        <v>2172</v>
      </c>
      <c r="N592" s="198" t="s">
        <v>2173</v>
      </c>
      <c r="O592" s="266" t="s">
        <v>523</v>
      </c>
      <c r="P592" s="102">
        <v>31796</v>
      </c>
      <c r="Q592" s="281">
        <v>17300</v>
      </c>
      <c r="R592" s="280"/>
      <c r="S592" s="132"/>
      <c r="T592" s="281">
        <v>40251.8</v>
      </c>
      <c r="U592" s="100"/>
      <c r="V592" s="130"/>
      <c r="W592" s="170"/>
    </row>
    <row r="593" s="39" customFormat="1" ht="22" hidden="1" customHeight="1" spans="1:23">
      <c r="A593" s="144" t="s">
        <v>2174</v>
      </c>
      <c r="B593" s="174" t="s">
        <v>30</v>
      </c>
      <c r="C593" s="175"/>
      <c r="D593" s="229" t="s">
        <v>31</v>
      </c>
      <c r="E593" s="82" t="s">
        <v>2099</v>
      </c>
      <c r="F593" s="81">
        <f>IFERROR(VLOOKUP(E593,客户!B:C,2,FALSE),"/")</f>
        <v>0</v>
      </c>
      <c r="G593" s="80" t="s">
        <v>2100</v>
      </c>
      <c r="H593" s="45" t="s">
        <v>123</v>
      </c>
      <c r="I593" s="254" t="s">
        <v>2175</v>
      </c>
      <c r="J593" s="108">
        <v>44301</v>
      </c>
      <c r="K593" s="159">
        <v>44354</v>
      </c>
      <c r="L593" s="100">
        <v>44372</v>
      </c>
      <c r="M593" s="165" t="s">
        <v>2176</v>
      </c>
      <c r="N593" s="198" t="s">
        <v>2177</v>
      </c>
      <c r="O593" s="266" t="s">
        <v>523</v>
      </c>
      <c r="P593" s="102">
        <v>25755.8</v>
      </c>
      <c r="Q593" s="268"/>
      <c r="R593" s="280"/>
      <c r="S593" s="132"/>
      <c r="T593" s="268"/>
      <c r="U593" s="100"/>
      <c r="V593" s="130"/>
      <c r="W593" s="170"/>
    </row>
    <row r="594" s="39" customFormat="1" ht="22" hidden="1" customHeight="1" spans="1:23">
      <c r="A594" s="144" t="s">
        <v>2178</v>
      </c>
      <c r="B594" s="174" t="s">
        <v>30</v>
      </c>
      <c r="C594" s="175"/>
      <c r="D594" s="229" t="s">
        <v>31</v>
      </c>
      <c r="E594" s="82" t="s">
        <v>2139</v>
      </c>
      <c r="F594" s="81">
        <f>IFERROR(VLOOKUP(E594,客户!B:C,2,FALSE),"/")</f>
        <v>0</v>
      </c>
      <c r="G594" s="80" t="s">
        <v>2179</v>
      </c>
      <c r="H594" s="45" t="s">
        <v>123</v>
      </c>
      <c r="I594" s="254" t="s">
        <v>2141</v>
      </c>
      <c r="J594" s="108">
        <v>44307</v>
      </c>
      <c r="K594" s="159">
        <v>44541</v>
      </c>
      <c r="L594" s="100">
        <v>44220</v>
      </c>
      <c r="M594" s="165" t="s">
        <v>2180</v>
      </c>
      <c r="N594" s="198" t="s">
        <v>2181</v>
      </c>
      <c r="O594" s="266" t="s">
        <v>523</v>
      </c>
      <c r="P594" s="102">
        <v>23181.61</v>
      </c>
      <c r="Q594" s="268">
        <v>6957</v>
      </c>
      <c r="R594" s="280"/>
      <c r="S594" s="132"/>
      <c r="T594" s="268">
        <v>16225.62</v>
      </c>
      <c r="U594" s="100"/>
      <c r="V594" s="130"/>
      <c r="W594" s="170"/>
    </row>
    <row r="595" s="39" customFormat="1" ht="22" hidden="1" customHeight="1" spans="1:23">
      <c r="A595" s="144" t="s">
        <v>2182</v>
      </c>
      <c r="B595" s="174" t="s">
        <v>30</v>
      </c>
      <c r="C595" s="175"/>
      <c r="D595" s="229" t="s">
        <v>31</v>
      </c>
      <c r="E595" s="82" t="s">
        <v>1210</v>
      </c>
      <c r="F595" s="81"/>
      <c r="G595" s="80" t="s">
        <v>2183</v>
      </c>
      <c r="H595" s="45" t="s">
        <v>123</v>
      </c>
      <c r="I595" s="45" t="s">
        <v>2184</v>
      </c>
      <c r="J595" s="108">
        <v>44309</v>
      </c>
      <c r="K595" s="159">
        <v>44332</v>
      </c>
      <c r="L595" s="100">
        <v>44385</v>
      </c>
      <c r="M595" s="165" t="s">
        <v>2185</v>
      </c>
      <c r="N595" s="198" t="s">
        <v>2186</v>
      </c>
      <c r="O595" s="266" t="s">
        <v>523</v>
      </c>
      <c r="P595" s="264">
        <v>50832.58</v>
      </c>
      <c r="Q595" s="264">
        <v>15000</v>
      </c>
      <c r="R595" s="280"/>
      <c r="S595" s="132"/>
      <c r="T595" s="264">
        <v>15832</v>
      </c>
      <c r="U595" s="264">
        <v>20000.58</v>
      </c>
      <c r="V595" s="130"/>
      <c r="W595" s="170"/>
    </row>
    <row r="596" s="39" customFormat="1" ht="22" hidden="1" customHeight="1" spans="1:23">
      <c r="A596" s="255" t="s">
        <v>2187</v>
      </c>
      <c r="B596" s="174" t="s">
        <v>30</v>
      </c>
      <c r="C596" s="175"/>
      <c r="D596" s="229" t="s">
        <v>3</v>
      </c>
      <c r="E596" s="82" t="s">
        <v>2133</v>
      </c>
      <c r="F596" s="81">
        <f>IFERROR(VLOOKUP(E596,客户!B:C,2,FALSE),"/")</f>
        <v>0</v>
      </c>
      <c r="G596" s="82" t="s">
        <v>2168</v>
      </c>
      <c r="H596" s="45" t="s">
        <v>123</v>
      </c>
      <c r="I596" s="254" t="s">
        <v>2135</v>
      </c>
      <c r="J596" s="108">
        <v>44315</v>
      </c>
      <c r="K596" s="178"/>
      <c r="L596" s="100"/>
      <c r="M596" s="165" t="s">
        <v>2188</v>
      </c>
      <c r="N596" s="198"/>
      <c r="O596" s="266" t="s">
        <v>523</v>
      </c>
      <c r="P596" s="139">
        <v>72116.45</v>
      </c>
      <c r="Q596" s="268">
        <f>10000-4859.64</f>
        <v>5140.36</v>
      </c>
      <c r="R596" s="280"/>
      <c r="S596" s="132"/>
      <c r="T596" s="268"/>
      <c r="U596" s="100"/>
      <c r="V596" s="130"/>
      <c r="W596" s="170"/>
    </row>
    <row r="597" s="39" customFormat="1" ht="22" hidden="1" customHeight="1" spans="1:23">
      <c r="A597" s="144" t="s">
        <v>2189</v>
      </c>
      <c r="B597" s="174" t="s">
        <v>30</v>
      </c>
      <c r="C597" s="175"/>
      <c r="D597" s="229" t="s">
        <v>31</v>
      </c>
      <c r="E597" s="82" t="s">
        <v>2133</v>
      </c>
      <c r="F597" s="81">
        <f>IFERROR(VLOOKUP(E597,客户!B:C,2,FALSE),"/")</f>
        <v>0</v>
      </c>
      <c r="G597" s="82" t="s">
        <v>2190</v>
      </c>
      <c r="H597" s="45" t="s">
        <v>123</v>
      </c>
      <c r="I597" s="45" t="s">
        <v>2191</v>
      </c>
      <c r="J597" s="108">
        <v>44343</v>
      </c>
      <c r="K597" s="159">
        <v>44380</v>
      </c>
      <c r="L597" s="100">
        <v>44446</v>
      </c>
      <c r="M597" s="165" t="s">
        <v>2192</v>
      </c>
      <c r="N597" s="198" t="s">
        <v>2193</v>
      </c>
      <c r="O597" s="266" t="s">
        <v>523</v>
      </c>
      <c r="P597" s="102">
        <v>21637.92</v>
      </c>
      <c r="Q597" s="268">
        <v>10000</v>
      </c>
      <c r="R597" s="280"/>
      <c r="S597" s="132"/>
      <c r="T597" s="268">
        <v>10000</v>
      </c>
      <c r="U597" s="268">
        <v>1637.92</v>
      </c>
      <c r="V597" s="130"/>
      <c r="W597" s="170"/>
    </row>
    <row r="598" s="39" customFormat="1" ht="22" hidden="1" customHeight="1" spans="1:23">
      <c r="A598" s="144" t="s">
        <v>2194</v>
      </c>
      <c r="B598" s="174" t="s">
        <v>30</v>
      </c>
      <c r="C598" s="175"/>
      <c r="D598" s="229" t="s">
        <v>31</v>
      </c>
      <c r="E598" s="82" t="s">
        <v>2116</v>
      </c>
      <c r="F598" s="81">
        <f>IFERROR(VLOOKUP(E598,客户!B:C,2,FALSE),"/")</f>
        <v>0</v>
      </c>
      <c r="G598" s="82" t="s">
        <v>2195</v>
      </c>
      <c r="H598" s="45" t="s">
        <v>123</v>
      </c>
      <c r="I598" s="254" t="s">
        <v>862</v>
      </c>
      <c r="J598" s="108">
        <v>44363</v>
      </c>
      <c r="K598" s="159">
        <v>44374</v>
      </c>
      <c r="L598" s="100">
        <v>44417</v>
      </c>
      <c r="M598" s="165" t="s">
        <v>2196</v>
      </c>
      <c r="N598" s="198" t="s">
        <v>2197</v>
      </c>
      <c r="O598" s="266" t="s">
        <v>970</v>
      </c>
      <c r="P598" s="102">
        <v>28505.49</v>
      </c>
      <c r="Q598" s="268"/>
      <c r="R598" s="280"/>
      <c r="S598" s="132"/>
      <c r="T598" s="268"/>
      <c r="U598" s="100"/>
      <c r="V598" s="130"/>
      <c r="W598" s="170"/>
    </row>
    <row r="599" s="39" customFormat="1" ht="22" hidden="1" customHeight="1" spans="1:23">
      <c r="A599" s="144" t="s">
        <v>2198</v>
      </c>
      <c r="B599" s="174" t="s">
        <v>30</v>
      </c>
      <c r="C599" s="175"/>
      <c r="D599" s="229" t="s">
        <v>31</v>
      </c>
      <c r="E599" s="82" t="s">
        <v>2116</v>
      </c>
      <c r="F599" s="81">
        <f>IFERROR(VLOOKUP(E599,客户!B:C,2,FALSE),"/")</f>
        <v>0</v>
      </c>
      <c r="G599" s="82" t="s">
        <v>2199</v>
      </c>
      <c r="H599" s="45" t="s">
        <v>123</v>
      </c>
      <c r="I599" s="254" t="s">
        <v>862</v>
      </c>
      <c r="J599" s="108">
        <v>44363</v>
      </c>
      <c r="K599" s="108">
        <v>44374</v>
      </c>
      <c r="L599" s="100">
        <v>44417</v>
      </c>
      <c r="M599" s="165" t="s">
        <v>2200</v>
      </c>
      <c r="N599" s="198" t="s">
        <v>2201</v>
      </c>
      <c r="O599" s="266" t="s">
        <v>970</v>
      </c>
      <c r="P599" s="169">
        <v>85191.6</v>
      </c>
      <c r="Q599" s="268"/>
      <c r="R599" s="280"/>
      <c r="S599" s="132"/>
      <c r="T599" s="268"/>
      <c r="U599" s="100"/>
      <c r="V599" s="130"/>
      <c r="W599" s="170"/>
    </row>
    <row r="600" s="39" customFormat="1" ht="22" hidden="1" customHeight="1" spans="1:23">
      <c r="A600" s="144" t="s">
        <v>2202</v>
      </c>
      <c r="B600" s="174" t="s">
        <v>30</v>
      </c>
      <c r="C600" s="175"/>
      <c r="D600" s="229" t="s">
        <v>31</v>
      </c>
      <c r="E600" s="82" t="s">
        <v>2124</v>
      </c>
      <c r="F600" s="81">
        <f>IFERROR(VLOOKUP(E600,客户!B:C,2,FALSE),"/")</f>
        <v>0</v>
      </c>
      <c r="G600" s="82" t="s">
        <v>2203</v>
      </c>
      <c r="H600" s="45" t="s">
        <v>123</v>
      </c>
      <c r="I600" s="45" t="s">
        <v>2081</v>
      </c>
      <c r="J600" s="108">
        <v>44377</v>
      </c>
      <c r="K600" s="108">
        <v>44417</v>
      </c>
      <c r="L600" s="100">
        <v>44459</v>
      </c>
      <c r="M600" s="165" t="s">
        <v>2204</v>
      </c>
      <c r="N600" s="198" t="s">
        <v>2205</v>
      </c>
      <c r="O600" s="266" t="s">
        <v>523</v>
      </c>
      <c r="P600" s="169">
        <v>19566.14</v>
      </c>
      <c r="Q600" s="268"/>
      <c r="R600" s="280"/>
      <c r="S600" s="132"/>
      <c r="T600" s="268">
        <v>19566.14</v>
      </c>
      <c r="U600" s="100"/>
      <c r="V600" s="130"/>
      <c r="W600" s="170"/>
    </row>
    <row r="601" s="39" customFormat="1" ht="22" hidden="1" customHeight="1" spans="1:23">
      <c r="A601" s="144" t="s">
        <v>2206</v>
      </c>
      <c r="B601" s="174" t="s">
        <v>30</v>
      </c>
      <c r="C601" s="175"/>
      <c r="D601" s="229" t="s">
        <v>31</v>
      </c>
      <c r="E601" s="82" t="s">
        <v>2162</v>
      </c>
      <c r="F601" s="81"/>
      <c r="G601" s="82" t="s">
        <v>2207</v>
      </c>
      <c r="H601" s="45" t="s">
        <v>123</v>
      </c>
      <c r="I601" s="45" t="s">
        <v>2164</v>
      </c>
      <c r="J601" s="108">
        <v>44433</v>
      </c>
      <c r="K601" s="159">
        <v>44451</v>
      </c>
      <c r="L601" s="100">
        <v>44499</v>
      </c>
      <c r="M601" s="165" t="s">
        <v>2208</v>
      </c>
      <c r="N601" s="198" t="s">
        <v>2209</v>
      </c>
      <c r="O601" s="266" t="s">
        <v>523</v>
      </c>
      <c r="P601" s="169">
        <v>30343.99</v>
      </c>
      <c r="Q601" s="268">
        <v>8000</v>
      </c>
      <c r="R601" s="280"/>
      <c r="S601" s="132"/>
      <c r="T601" s="268">
        <v>22343.99</v>
      </c>
      <c r="U601" s="100"/>
      <c r="V601" s="130"/>
      <c r="W601" s="170"/>
    </row>
    <row r="602" s="39" customFormat="1" ht="22" hidden="1" customHeight="1" spans="1:23">
      <c r="A602" s="144" t="s">
        <v>2210</v>
      </c>
      <c r="B602" s="174" t="s">
        <v>30</v>
      </c>
      <c r="C602" s="175"/>
      <c r="D602" s="229" t="s">
        <v>31</v>
      </c>
      <c r="E602" s="82" t="s">
        <v>2116</v>
      </c>
      <c r="F602" s="81">
        <f>IFERROR(VLOOKUP(E602,客户!B:C,2,FALSE),"/")</f>
        <v>0</v>
      </c>
      <c r="G602" s="82" t="s">
        <v>2199</v>
      </c>
      <c r="H602" s="45" t="s">
        <v>123</v>
      </c>
      <c r="I602" s="254" t="s">
        <v>862</v>
      </c>
      <c r="J602" s="108">
        <v>44447</v>
      </c>
      <c r="K602" s="108">
        <v>44457</v>
      </c>
      <c r="L602" s="100">
        <v>44493</v>
      </c>
      <c r="M602" s="165" t="s">
        <v>2211</v>
      </c>
      <c r="N602" s="198" t="s">
        <v>2212</v>
      </c>
      <c r="O602" s="266" t="s">
        <v>970</v>
      </c>
      <c r="P602" s="169">
        <v>93488.4</v>
      </c>
      <c r="Q602" s="268"/>
      <c r="R602" s="280"/>
      <c r="S602" s="132"/>
      <c r="T602" s="268"/>
      <c r="U602" s="100"/>
      <c r="V602" s="130"/>
      <c r="W602" s="170"/>
    </row>
    <row r="603" s="39" customFormat="1" ht="22" hidden="1" customHeight="1" spans="1:23">
      <c r="A603" s="144" t="s">
        <v>2213</v>
      </c>
      <c r="B603" s="174" t="s">
        <v>30</v>
      </c>
      <c r="C603" s="175"/>
      <c r="D603" s="229" t="s">
        <v>31</v>
      </c>
      <c r="E603" s="82" t="s">
        <v>2116</v>
      </c>
      <c r="F603" s="81">
        <f>IFERROR(VLOOKUP(E603,客户!B:C,2,FALSE),"/")</f>
        <v>0</v>
      </c>
      <c r="G603" s="82" t="s">
        <v>2214</v>
      </c>
      <c r="H603" s="45" t="s">
        <v>123</v>
      </c>
      <c r="I603" s="254" t="s">
        <v>862</v>
      </c>
      <c r="J603" s="108">
        <v>44470</v>
      </c>
      <c r="K603" s="108">
        <v>44525</v>
      </c>
      <c r="L603" s="100"/>
      <c r="M603" s="165" t="s">
        <v>2215</v>
      </c>
      <c r="N603" s="198" t="s">
        <v>2216</v>
      </c>
      <c r="O603" s="266" t="s">
        <v>970</v>
      </c>
      <c r="P603" s="169">
        <v>55400</v>
      </c>
      <c r="Q603" s="268"/>
      <c r="R603" s="280"/>
      <c r="S603" s="132"/>
      <c r="T603" s="268"/>
      <c r="U603" s="100"/>
      <c r="V603" s="130"/>
      <c r="W603" s="170"/>
    </row>
    <row r="604" s="39" customFormat="1" ht="22" hidden="1" customHeight="1" spans="1:23">
      <c r="A604" s="144" t="s">
        <v>2217</v>
      </c>
      <c r="B604" s="174" t="s">
        <v>30</v>
      </c>
      <c r="C604" s="175"/>
      <c r="D604" s="229" t="s">
        <v>31</v>
      </c>
      <c r="E604" s="82" t="s">
        <v>2116</v>
      </c>
      <c r="F604" s="81">
        <f>IFERROR(VLOOKUP(E604,客户!B:C,2,FALSE),"/")</f>
        <v>0</v>
      </c>
      <c r="G604" s="82" t="s">
        <v>2218</v>
      </c>
      <c r="H604" s="45" t="s">
        <v>123</v>
      </c>
      <c r="I604" s="254" t="s">
        <v>2219</v>
      </c>
      <c r="J604" s="108">
        <v>44580</v>
      </c>
      <c r="K604" s="108">
        <v>44587</v>
      </c>
      <c r="L604" s="100">
        <v>44640</v>
      </c>
      <c r="M604" s="165" t="s">
        <v>2220</v>
      </c>
      <c r="N604" s="198" t="s">
        <v>2119</v>
      </c>
      <c r="O604" s="266" t="s">
        <v>970</v>
      </c>
      <c r="P604" s="169">
        <v>76517.99</v>
      </c>
      <c r="Q604" s="268"/>
      <c r="R604" s="280"/>
      <c r="S604" s="132"/>
      <c r="T604" s="268"/>
      <c r="U604" s="100"/>
      <c r="V604" s="130"/>
      <c r="W604" s="170"/>
    </row>
    <row r="605" s="39" customFormat="1" ht="22" hidden="1" customHeight="1" spans="1:23">
      <c r="A605" s="255" t="s">
        <v>2221</v>
      </c>
      <c r="B605" s="174" t="s">
        <v>30</v>
      </c>
      <c r="C605" s="175"/>
      <c r="D605" s="229" t="s">
        <v>0</v>
      </c>
      <c r="E605" s="82" t="s">
        <v>2139</v>
      </c>
      <c r="F605" s="81">
        <f>IFERROR(VLOOKUP(E605,客户!B:C,2,FALSE),"/")</f>
        <v>0</v>
      </c>
      <c r="G605" s="80" t="s">
        <v>2179</v>
      </c>
      <c r="H605" s="45" t="s">
        <v>123</v>
      </c>
      <c r="I605" s="254" t="s">
        <v>2141</v>
      </c>
      <c r="J605" s="108">
        <v>44673</v>
      </c>
      <c r="K605" s="108">
        <v>44736</v>
      </c>
      <c r="L605" s="100"/>
      <c r="M605" s="165" t="s">
        <v>2222</v>
      </c>
      <c r="N605" s="198" t="s">
        <v>2223</v>
      </c>
      <c r="O605" s="266" t="s">
        <v>970</v>
      </c>
      <c r="P605" s="169">
        <v>31545.82</v>
      </c>
      <c r="Q605" s="268">
        <v>9464</v>
      </c>
      <c r="R605" s="280"/>
      <c r="S605" s="132"/>
      <c r="T605" s="268">
        <v>22082.71</v>
      </c>
      <c r="U605" s="100"/>
      <c r="V605" s="130"/>
      <c r="W605" s="170"/>
    </row>
    <row r="606" s="39" customFormat="1" ht="22" hidden="1" customHeight="1" spans="1:23">
      <c r="A606" s="144" t="s">
        <v>2224</v>
      </c>
      <c r="B606" s="174" t="s">
        <v>30</v>
      </c>
      <c r="C606" s="175"/>
      <c r="D606" s="229" t="s">
        <v>31</v>
      </c>
      <c r="E606" s="82" t="s">
        <v>2133</v>
      </c>
      <c r="F606" s="81">
        <f>IFERROR(VLOOKUP(E606,客户!B:C,2,FALSE),"/")</f>
        <v>0</v>
      </c>
      <c r="G606" s="80" t="s">
        <v>2225</v>
      </c>
      <c r="H606" s="45" t="s">
        <v>123</v>
      </c>
      <c r="I606" s="45" t="s">
        <v>2191</v>
      </c>
      <c r="J606" s="108">
        <v>44680</v>
      </c>
      <c r="K606" s="159">
        <v>44696</v>
      </c>
      <c r="L606" s="100">
        <v>44754</v>
      </c>
      <c r="M606" s="165" t="s">
        <v>2226</v>
      </c>
      <c r="N606" s="198" t="s">
        <v>2227</v>
      </c>
      <c r="O606" s="266" t="s">
        <v>970</v>
      </c>
      <c r="P606" s="169">
        <v>24859.64</v>
      </c>
      <c r="Q606" s="268">
        <v>10000</v>
      </c>
      <c r="R606" s="280"/>
      <c r="S606" s="132"/>
      <c r="T606" s="268">
        <v>10000</v>
      </c>
      <c r="U606" s="268">
        <v>4859.64</v>
      </c>
      <c r="V606" s="130"/>
      <c r="W606" s="170"/>
    </row>
    <row r="607" s="39" customFormat="1" ht="22" customHeight="1" spans="1:23">
      <c r="A607" s="255" t="s">
        <v>2228</v>
      </c>
      <c r="B607" s="174" t="s">
        <v>30</v>
      </c>
      <c r="C607" s="175"/>
      <c r="D607" s="229" t="s">
        <v>1</v>
      </c>
      <c r="E607" s="82" t="s">
        <v>2099</v>
      </c>
      <c r="F607" s="81"/>
      <c r="G607" s="80" t="s">
        <v>2106</v>
      </c>
      <c r="H607" s="45" t="s">
        <v>123</v>
      </c>
      <c r="I607" s="254" t="s">
        <v>2229</v>
      </c>
      <c r="J607" s="108">
        <v>44704</v>
      </c>
      <c r="K607" s="159">
        <v>44739</v>
      </c>
      <c r="L607" s="100"/>
      <c r="M607" s="165" t="s">
        <v>2230</v>
      </c>
      <c r="N607" s="198" t="s">
        <v>2231</v>
      </c>
      <c r="O607" s="266" t="s">
        <v>523</v>
      </c>
      <c r="P607" s="169">
        <v>32317.6</v>
      </c>
      <c r="Q607" s="268">
        <v>9000</v>
      </c>
      <c r="R607" s="280">
        <f>P607-Q607</f>
        <v>23317.6</v>
      </c>
      <c r="S607" s="132"/>
      <c r="T607" s="268"/>
      <c r="U607" s="100"/>
      <c r="V607" s="130"/>
      <c r="W607" s="170"/>
    </row>
    <row r="608" s="39" customFormat="1" ht="22" hidden="1" customHeight="1" spans="1:23">
      <c r="A608" s="255"/>
      <c r="B608" s="174"/>
      <c r="C608" s="175"/>
      <c r="D608" s="45"/>
      <c r="E608" s="80"/>
      <c r="F608" s="81" t="str">
        <f>IFERROR(VLOOKUP(E608,客户!B:C,2,FALSE),"/")</f>
        <v>/</v>
      </c>
      <c r="G608" s="80"/>
      <c r="H608" s="45"/>
      <c r="I608" s="45"/>
      <c r="J608" s="108"/>
      <c r="K608" s="108"/>
      <c r="L608" s="100"/>
      <c r="M608" s="159"/>
      <c r="N608" s="108"/>
      <c r="O608" s="104"/>
      <c r="P608" s="209"/>
      <c r="Q608" s="102"/>
      <c r="R608" s="131"/>
      <c r="S608" s="132"/>
      <c r="T608" s="102"/>
      <c r="U608" s="100"/>
      <c r="V608" s="130"/>
      <c r="W608" s="170"/>
    </row>
    <row r="609" s="39" customFormat="1" ht="22" hidden="1" customHeight="1" spans="1:23">
      <c r="A609" s="209" t="s">
        <v>2232</v>
      </c>
      <c r="B609" s="270"/>
      <c r="C609" s="271"/>
      <c r="D609" s="45"/>
      <c r="E609" s="80"/>
      <c r="F609" s="81" t="str">
        <f>IFERROR(VLOOKUP(E609,客户!B:C,2,FALSE),"/")</f>
        <v>/</v>
      </c>
      <c r="G609" s="272"/>
      <c r="H609" s="42"/>
      <c r="I609" s="42"/>
      <c r="J609" s="108"/>
      <c r="K609" s="108"/>
      <c r="L609" s="100"/>
      <c r="M609" s="276"/>
      <c r="N609" s="276"/>
      <c r="O609" s="104"/>
      <c r="P609" s="209"/>
      <c r="Q609" s="129"/>
      <c r="R609" s="131"/>
      <c r="S609" s="132"/>
      <c r="T609" s="129"/>
      <c r="U609" s="100"/>
      <c r="V609" s="282"/>
      <c r="W609" s="184"/>
    </row>
    <row r="610" s="39" customFormat="1" ht="22" hidden="1" customHeight="1" spans="1:23">
      <c r="A610" s="42" t="s">
        <v>2233</v>
      </c>
      <c r="B610" s="273" t="s">
        <v>2234</v>
      </c>
      <c r="C610" s="274"/>
      <c r="D610" s="45" t="s">
        <v>31</v>
      </c>
      <c r="E610" s="42" t="s">
        <v>2235</v>
      </c>
      <c r="F610" s="81" t="str">
        <f>IFERROR(VLOOKUP(E610,客户!B:C,2,FALSE),"/")</f>
        <v>/</v>
      </c>
      <c r="G610" s="42" t="s">
        <v>2236</v>
      </c>
      <c r="H610" s="42" t="s">
        <v>127</v>
      </c>
      <c r="I610" s="42"/>
      <c r="J610" s="108"/>
      <c r="K610" s="108"/>
      <c r="L610" s="100"/>
      <c r="M610" s="276"/>
      <c r="N610" s="277" t="s">
        <v>2237</v>
      </c>
      <c r="O610" s="104"/>
      <c r="P610" s="129">
        <v>22386</v>
      </c>
      <c r="Q610" s="129">
        <v>7000</v>
      </c>
      <c r="R610" s="283"/>
      <c r="S610" s="172"/>
      <c r="T610" s="129"/>
      <c r="U610" s="100"/>
      <c r="V610" s="129"/>
      <c r="W610" s="167"/>
    </row>
    <row r="611" s="39" customFormat="1" ht="22" hidden="1" customHeight="1" spans="1:23">
      <c r="A611" s="42" t="s">
        <v>2238</v>
      </c>
      <c r="B611" s="273" t="s">
        <v>2234</v>
      </c>
      <c r="C611" s="274"/>
      <c r="D611" s="45" t="s">
        <v>31</v>
      </c>
      <c r="E611" s="42" t="s">
        <v>2235</v>
      </c>
      <c r="F611" s="81" t="str">
        <f>IFERROR(VLOOKUP(E611,客户!B:C,2,FALSE),"/")</f>
        <v>/</v>
      </c>
      <c r="G611" s="42" t="s">
        <v>2239</v>
      </c>
      <c r="H611" s="42" t="s">
        <v>127</v>
      </c>
      <c r="I611" s="42"/>
      <c r="J611" s="108"/>
      <c r="K611" s="108"/>
      <c r="L611" s="100"/>
      <c r="M611" s="276"/>
      <c r="N611" s="277" t="s">
        <v>2240</v>
      </c>
      <c r="O611" s="104"/>
      <c r="P611" s="129">
        <v>42500.2</v>
      </c>
      <c r="Q611" s="129">
        <v>14000</v>
      </c>
      <c r="R611" s="283"/>
      <c r="S611" s="172"/>
      <c r="T611" s="129"/>
      <c r="U611" s="100"/>
      <c r="V611" s="129"/>
      <c r="W611" s="167"/>
    </row>
    <row r="612" s="39" customFormat="1" ht="22" hidden="1" customHeight="1" spans="1:23">
      <c r="A612" s="42" t="s">
        <v>2241</v>
      </c>
      <c r="B612" s="273" t="s">
        <v>2234</v>
      </c>
      <c r="C612" s="274"/>
      <c r="D612" s="45" t="s">
        <v>31</v>
      </c>
      <c r="E612" s="42" t="s">
        <v>2235</v>
      </c>
      <c r="F612" s="81" t="str">
        <f>IFERROR(VLOOKUP(E612,客户!B:C,2,FALSE),"/")</f>
        <v>/</v>
      </c>
      <c r="G612" s="42" t="s">
        <v>2236</v>
      </c>
      <c r="H612" s="42" t="s">
        <v>127</v>
      </c>
      <c r="I612" s="42"/>
      <c r="J612" s="108"/>
      <c r="K612" s="108"/>
      <c r="L612" s="100"/>
      <c r="M612" s="276"/>
      <c r="N612" s="277" t="s">
        <v>2240</v>
      </c>
      <c r="O612" s="104"/>
      <c r="P612" s="129">
        <v>21349</v>
      </c>
      <c r="Q612" s="129">
        <v>7000</v>
      </c>
      <c r="R612" s="283"/>
      <c r="S612" s="172"/>
      <c r="T612" s="129"/>
      <c r="U612" s="100"/>
      <c r="V612" s="129"/>
      <c r="W612" s="167"/>
    </row>
    <row r="613" s="39" customFormat="1" ht="22" hidden="1" customHeight="1" spans="1:23">
      <c r="A613" s="42" t="s">
        <v>2242</v>
      </c>
      <c r="B613" s="273" t="s">
        <v>2234</v>
      </c>
      <c r="C613" s="274"/>
      <c r="D613" s="45" t="s">
        <v>31</v>
      </c>
      <c r="E613" s="42" t="s">
        <v>2243</v>
      </c>
      <c r="F613" s="81" t="str">
        <f>IFERROR(VLOOKUP(E613,客户!B:C,2,FALSE),"/")</f>
        <v>/</v>
      </c>
      <c r="G613" s="42" t="s">
        <v>2244</v>
      </c>
      <c r="H613" s="42" t="s">
        <v>127</v>
      </c>
      <c r="I613" s="42"/>
      <c r="J613" s="108"/>
      <c r="K613" s="108"/>
      <c r="L613" s="100"/>
      <c r="M613" s="276" t="s">
        <v>2245</v>
      </c>
      <c r="N613" s="277" t="s">
        <v>2246</v>
      </c>
      <c r="O613" s="104"/>
      <c r="P613" s="129">
        <v>41966.1</v>
      </c>
      <c r="Q613" s="129">
        <v>12000</v>
      </c>
      <c r="R613" s="171"/>
      <c r="S613" s="172"/>
      <c r="T613" s="129">
        <v>29935</v>
      </c>
      <c r="U613" s="100"/>
      <c r="V613" s="129"/>
      <c r="W613" s="167"/>
    </row>
    <row r="614" s="39" customFormat="1" ht="22" hidden="1" customHeight="1" spans="1:23">
      <c r="A614" s="42" t="s">
        <v>2247</v>
      </c>
      <c r="B614" s="273" t="s">
        <v>2234</v>
      </c>
      <c r="C614" s="274"/>
      <c r="D614" s="45" t="s">
        <v>31</v>
      </c>
      <c r="E614" s="275" t="s">
        <v>2248</v>
      </c>
      <c r="F614" s="81" t="str">
        <f>IFERROR(VLOOKUP(E614,客户!B:C,2,FALSE),"/")</f>
        <v>/</v>
      </c>
      <c r="G614" s="42" t="s">
        <v>2249</v>
      </c>
      <c r="H614" s="42" t="s">
        <v>127</v>
      </c>
      <c r="I614" s="42"/>
      <c r="J614" s="108"/>
      <c r="K614" s="108"/>
      <c r="L614" s="100"/>
      <c r="M614" s="276" t="s">
        <v>2245</v>
      </c>
      <c r="N614" s="277" t="s">
        <v>2246</v>
      </c>
      <c r="O614" s="104"/>
      <c r="P614" s="129">
        <v>24567.25</v>
      </c>
      <c r="Q614" s="129">
        <v>7000</v>
      </c>
      <c r="R614" s="171"/>
      <c r="S614" s="172"/>
      <c r="T614" s="129">
        <v>17537</v>
      </c>
      <c r="U614" s="100"/>
      <c r="V614" s="129"/>
      <c r="W614" s="167"/>
    </row>
    <row r="615" s="43" customFormat="1" ht="22" hidden="1" customHeight="1" spans="1:23">
      <c r="A615" s="45" t="s">
        <v>2250</v>
      </c>
      <c r="B615" s="273" t="s">
        <v>2234</v>
      </c>
      <c r="C615" s="274"/>
      <c r="D615" s="45" t="s">
        <v>31</v>
      </c>
      <c r="E615" s="45" t="s">
        <v>2251</v>
      </c>
      <c r="F615" s="81" t="str">
        <f>IFERROR(VLOOKUP(E615,客户!B:C,2,FALSE),"/")</f>
        <v>/</v>
      </c>
      <c r="G615" s="45" t="s">
        <v>2252</v>
      </c>
      <c r="H615" s="45" t="s">
        <v>127</v>
      </c>
      <c r="I615" s="45"/>
      <c r="J615" s="108"/>
      <c r="K615" s="108"/>
      <c r="L615" s="100"/>
      <c r="M615" s="159" t="s">
        <v>2253</v>
      </c>
      <c r="N615" s="162" t="s">
        <v>2254</v>
      </c>
      <c r="O615" s="104"/>
      <c r="P615" s="102">
        <v>27321.32</v>
      </c>
      <c r="Q615" s="102">
        <v>3000</v>
      </c>
      <c r="R615" s="284"/>
      <c r="S615" s="132"/>
      <c r="T615" s="102"/>
      <c r="U615" s="100"/>
      <c r="V615" s="113"/>
      <c r="W615" s="285"/>
    </row>
    <row r="616" s="43" customFormat="1" ht="22" hidden="1" customHeight="1" spans="1:23">
      <c r="A616" s="45" t="s">
        <v>2255</v>
      </c>
      <c r="B616" s="273" t="s">
        <v>2234</v>
      </c>
      <c r="C616" s="274"/>
      <c r="D616" s="45" t="s">
        <v>31</v>
      </c>
      <c r="E616" s="45" t="s">
        <v>2256</v>
      </c>
      <c r="F616" s="81" t="str">
        <f>IFERROR(VLOOKUP(E616,客户!B:C,2,FALSE),"/")</f>
        <v>/</v>
      </c>
      <c r="G616" s="45" t="s">
        <v>2257</v>
      </c>
      <c r="H616" s="45" t="s">
        <v>127</v>
      </c>
      <c r="I616" s="45"/>
      <c r="J616" s="108"/>
      <c r="K616" s="108"/>
      <c r="L616" s="100"/>
      <c r="M616" s="159" t="s">
        <v>2258</v>
      </c>
      <c r="N616" s="162" t="s">
        <v>2259</v>
      </c>
      <c r="O616" s="104"/>
      <c r="P616" s="102">
        <v>41936.9</v>
      </c>
      <c r="Q616" s="102">
        <v>11200</v>
      </c>
      <c r="R616" s="131"/>
      <c r="S616" s="132"/>
      <c r="T616" s="102"/>
      <c r="U616" s="100"/>
      <c r="V616" s="130"/>
      <c r="W616" s="285"/>
    </row>
    <row r="617" s="43" customFormat="1" ht="22" hidden="1" customHeight="1" spans="1:23">
      <c r="A617" s="45" t="s">
        <v>2260</v>
      </c>
      <c r="B617" s="273" t="s">
        <v>2234</v>
      </c>
      <c r="C617" s="274"/>
      <c r="D617" s="45" t="s">
        <v>31</v>
      </c>
      <c r="E617" s="45" t="s">
        <v>2256</v>
      </c>
      <c r="F617" s="81" t="str">
        <f>IFERROR(VLOOKUP(E617,客户!B:C,2,FALSE),"/")</f>
        <v>/</v>
      </c>
      <c r="G617" s="45" t="s">
        <v>2257</v>
      </c>
      <c r="H617" s="45" t="s">
        <v>407</v>
      </c>
      <c r="I617" s="45"/>
      <c r="J617" s="108"/>
      <c r="K617" s="108"/>
      <c r="L617" s="100"/>
      <c r="M617" s="159" t="s">
        <v>2261</v>
      </c>
      <c r="N617" s="162" t="s">
        <v>2262</v>
      </c>
      <c r="O617" s="104"/>
      <c r="P617" s="102">
        <v>44055.4</v>
      </c>
      <c r="Q617" s="102">
        <v>11200</v>
      </c>
      <c r="R617" s="131"/>
      <c r="S617" s="132"/>
      <c r="T617" s="102">
        <v>32835</v>
      </c>
      <c r="U617" s="100"/>
      <c r="V617" s="102"/>
      <c r="W617" s="285"/>
    </row>
    <row r="618" s="43" customFormat="1" ht="22" hidden="1" customHeight="1" spans="1:23">
      <c r="A618" s="45" t="s">
        <v>2263</v>
      </c>
      <c r="B618" s="273" t="s">
        <v>2234</v>
      </c>
      <c r="C618" s="274"/>
      <c r="D618" s="45" t="s">
        <v>31</v>
      </c>
      <c r="E618" s="45" t="s">
        <v>2256</v>
      </c>
      <c r="F618" s="81" t="str">
        <f>IFERROR(VLOOKUP(E618,客户!B:C,2,FALSE),"/")</f>
        <v>/</v>
      </c>
      <c r="G618" s="45" t="s">
        <v>2264</v>
      </c>
      <c r="H618" s="45" t="s">
        <v>127</v>
      </c>
      <c r="I618" s="45"/>
      <c r="J618" s="108"/>
      <c r="K618" s="108"/>
      <c r="L618" s="100"/>
      <c r="M618" s="162" t="s">
        <v>2265</v>
      </c>
      <c r="N618" s="162" t="s">
        <v>2266</v>
      </c>
      <c r="O618" s="104"/>
      <c r="P618" s="102">
        <v>22590</v>
      </c>
      <c r="Q618" s="102">
        <v>5600</v>
      </c>
      <c r="R618" s="131"/>
      <c r="S618" s="132"/>
      <c r="T618" s="102">
        <v>16980</v>
      </c>
      <c r="U618" s="100"/>
      <c r="V618" s="102"/>
      <c r="W618" s="285"/>
    </row>
    <row r="619" s="43" customFormat="1" ht="22" hidden="1" customHeight="1" spans="1:23">
      <c r="A619" s="144" t="s">
        <v>2267</v>
      </c>
      <c r="B619" s="273" t="s">
        <v>2234</v>
      </c>
      <c r="C619" s="274"/>
      <c r="D619" s="45" t="s">
        <v>31</v>
      </c>
      <c r="E619" s="80" t="s">
        <v>2268</v>
      </c>
      <c r="F619" s="81">
        <f>IFERROR(VLOOKUP(E619,客户!B:C,2,FALSE),"/")</f>
        <v>0</v>
      </c>
      <c r="G619" s="45" t="s">
        <v>2269</v>
      </c>
      <c r="H619" s="45" t="s">
        <v>123</v>
      </c>
      <c r="I619" s="45" t="s">
        <v>2270</v>
      </c>
      <c r="J619" s="108">
        <v>43313</v>
      </c>
      <c r="K619" s="108">
        <v>43563</v>
      </c>
      <c r="L619" s="100"/>
      <c r="M619" s="159" t="s">
        <v>2271</v>
      </c>
      <c r="N619" s="159" t="s">
        <v>2272</v>
      </c>
      <c r="O619" s="104"/>
      <c r="P619" s="102">
        <v>53827.34</v>
      </c>
      <c r="Q619" s="102" t="s">
        <v>2273</v>
      </c>
      <c r="R619" s="131">
        <v>0</v>
      </c>
      <c r="S619" s="132"/>
      <c r="T619" s="102">
        <f>10000*5+3827</f>
        <v>53827</v>
      </c>
      <c r="U619" s="100">
        <v>43593</v>
      </c>
      <c r="V619" s="130"/>
      <c r="W619" s="210"/>
    </row>
    <row r="620" s="43" customFormat="1" ht="22" hidden="1" customHeight="1" spans="1:23">
      <c r="A620" s="144" t="s">
        <v>2274</v>
      </c>
      <c r="B620" s="273" t="s">
        <v>2234</v>
      </c>
      <c r="C620" s="274"/>
      <c r="D620" s="45" t="s">
        <v>31</v>
      </c>
      <c r="E620" s="45" t="s">
        <v>2275</v>
      </c>
      <c r="F620" s="81">
        <f>IFERROR(VLOOKUP(E620,客户!B:C,2,FALSE),"/")</f>
        <v>0</v>
      </c>
      <c r="G620" s="45" t="s">
        <v>2276</v>
      </c>
      <c r="H620" s="45" t="s">
        <v>2277</v>
      </c>
      <c r="I620" s="45" t="s">
        <v>2278</v>
      </c>
      <c r="J620" s="108">
        <v>43314</v>
      </c>
      <c r="K620" s="108"/>
      <c r="L620" s="100"/>
      <c r="M620" s="116" t="s">
        <v>2279</v>
      </c>
      <c r="N620" s="108"/>
      <c r="O620" s="104"/>
      <c r="P620" s="102">
        <v>2677.5</v>
      </c>
      <c r="Q620" s="102">
        <f>5000/6.8</f>
        <v>735.294117647059</v>
      </c>
      <c r="R620" s="131">
        <f>N620</f>
        <v>0</v>
      </c>
      <c r="S620" s="132"/>
      <c r="T620" s="102"/>
      <c r="U620" s="100"/>
      <c r="V620" s="102"/>
      <c r="W620" s="210"/>
    </row>
    <row r="621" s="43" customFormat="1" ht="22" hidden="1" customHeight="1" spans="1:23">
      <c r="A621" s="45" t="s">
        <v>2280</v>
      </c>
      <c r="B621" s="273" t="s">
        <v>2234</v>
      </c>
      <c r="C621" s="274"/>
      <c r="D621" s="45" t="s">
        <v>31</v>
      </c>
      <c r="E621" s="45" t="s">
        <v>2281</v>
      </c>
      <c r="F621" s="81" t="str">
        <f>IFERROR(VLOOKUP(E621,客户!B:C,2,FALSE),"/")</f>
        <v>/</v>
      </c>
      <c r="G621" s="45" t="s">
        <v>2282</v>
      </c>
      <c r="H621" s="45" t="s">
        <v>123</v>
      </c>
      <c r="I621" s="45" t="s">
        <v>210</v>
      </c>
      <c r="J621" s="108">
        <v>43346</v>
      </c>
      <c r="K621" s="108"/>
      <c r="L621" s="100"/>
      <c r="M621" s="162" t="s">
        <v>2283</v>
      </c>
      <c r="N621" s="162" t="s">
        <v>2284</v>
      </c>
      <c r="O621" s="104"/>
      <c r="P621" s="102">
        <v>43109.6</v>
      </c>
      <c r="Q621" s="102">
        <v>12666</v>
      </c>
      <c r="R621" s="131"/>
      <c r="S621" s="132"/>
      <c r="T621" s="102"/>
      <c r="U621" s="100"/>
      <c r="V621" s="130"/>
      <c r="W621" s="210"/>
    </row>
    <row r="622" s="43" customFormat="1" ht="22" hidden="1" customHeight="1" spans="1:23">
      <c r="A622" s="190" t="s">
        <v>2285</v>
      </c>
      <c r="B622" s="273" t="s">
        <v>2234</v>
      </c>
      <c r="C622" s="274"/>
      <c r="D622" s="45" t="s">
        <v>31</v>
      </c>
      <c r="E622" s="45" t="s">
        <v>2281</v>
      </c>
      <c r="F622" s="81" t="str">
        <f>IFERROR(VLOOKUP(E622,客户!B:C,2,FALSE),"/")</f>
        <v>/</v>
      </c>
      <c r="G622" s="45" t="s">
        <v>2286</v>
      </c>
      <c r="H622" s="45" t="s">
        <v>123</v>
      </c>
      <c r="I622" s="45" t="s">
        <v>723</v>
      </c>
      <c r="J622" s="108">
        <v>43346</v>
      </c>
      <c r="K622" s="108"/>
      <c r="L622" s="100"/>
      <c r="M622" s="162" t="s">
        <v>2287</v>
      </c>
      <c r="N622" s="162" t="s">
        <v>2288</v>
      </c>
      <c r="O622" s="104"/>
      <c r="P622" s="102">
        <v>22160</v>
      </c>
      <c r="Q622" s="102">
        <v>6334</v>
      </c>
      <c r="R622" s="131"/>
      <c r="S622" s="132"/>
      <c r="T622" s="102">
        <v>15826</v>
      </c>
      <c r="U622" s="100"/>
      <c r="V622" s="169"/>
      <c r="W622" s="210"/>
    </row>
    <row r="623" s="43" customFormat="1" ht="22" hidden="1" customHeight="1" spans="1:23">
      <c r="A623" s="144" t="s">
        <v>2289</v>
      </c>
      <c r="B623" s="273" t="s">
        <v>2234</v>
      </c>
      <c r="C623" s="274"/>
      <c r="D623" s="45" t="s">
        <v>31</v>
      </c>
      <c r="E623" s="45" t="s">
        <v>2290</v>
      </c>
      <c r="F623" s="81" t="str">
        <f>IFERROR(VLOOKUP(E623,客户!B:C,2,FALSE),"/")</f>
        <v>/</v>
      </c>
      <c r="G623" s="45" t="s">
        <v>2291</v>
      </c>
      <c r="H623" s="45" t="s">
        <v>123</v>
      </c>
      <c r="I623" s="45" t="s">
        <v>2292</v>
      </c>
      <c r="J623" s="108">
        <v>43354</v>
      </c>
      <c r="K623" s="108"/>
      <c r="L623" s="100"/>
      <c r="M623" s="159" t="s">
        <v>2293</v>
      </c>
      <c r="N623" s="162" t="s">
        <v>2294</v>
      </c>
      <c r="O623" s="104"/>
      <c r="P623" s="102">
        <v>25724.6</v>
      </c>
      <c r="Q623" s="102">
        <v>4000</v>
      </c>
      <c r="R623" s="131"/>
      <c r="S623" s="132"/>
      <c r="T623" s="102"/>
      <c r="U623" s="100"/>
      <c r="V623" s="130"/>
      <c r="W623" s="210"/>
    </row>
    <row r="624" s="43" customFormat="1" ht="22" hidden="1" customHeight="1" spans="1:23">
      <c r="A624" s="144" t="s">
        <v>2295</v>
      </c>
      <c r="B624" s="273" t="s">
        <v>2234</v>
      </c>
      <c r="C624" s="274"/>
      <c r="D624" s="45" t="s">
        <v>31</v>
      </c>
      <c r="E624" s="45" t="s">
        <v>2296</v>
      </c>
      <c r="F624" s="81" t="str">
        <f>IFERROR(VLOOKUP(E624,客户!B:C,2,FALSE),"/")</f>
        <v>J4159还差USD265.65没付齐 J4220还有定金5674.3 账上剩5408.65</v>
      </c>
      <c r="G624" s="45" t="s">
        <v>2297</v>
      </c>
      <c r="H624" s="45" t="s">
        <v>123</v>
      </c>
      <c r="I624" s="45" t="s">
        <v>2298</v>
      </c>
      <c r="J624" s="108">
        <v>43355</v>
      </c>
      <c r="K624" s="108"/>
      <c r="L624" s="100"/>
      <c r="M624" s="159" t="s">
        <v>2299</v>
      </c>
      <c r="N624" s="162" t="s">
        <v>2300</v>
      </c>
      <c r="O624" s="104"/>
      <c r="P624" s="102">
        <v>22253.75</v>
      </c>
      <c r="Q624" s="102">
        <v>3000</v>
      </c>
      <c r="R624" s="131"/>
      <c r="S624" s="132"/>
      <c r="T624" s="102"/>
      <c r="U624" s="100"/>
      <c r="V624" s="130"/>
      <c r="W624" s="210"/>
    </row>
    <row r="625" s="43" customFormat="1" ht="22" hidden="1" customHeight="1" spans="1:23">
      <c r="A625" s="144" t="s">
        <v>2301</v>
      </c>
      <c r="B625" s="273" t="s">
        <v>2234</v>
      </c>
      <c r="C625" s="274"/>
      <c r="D625" s="45" t="s">
        <v>31</v>
      </c>
      <c r="E625" s="45" t="s">
        <v>2281</v>
      </c>
      <c r="F625" s="81" t="str">
        <f>IFERROR(VLOOKUP(E625,客户!B:C,2,FALSE),"/")</f>
        <v>/</v>
      </c>
      <c r="G625" s="45" t="s">
        <v>2302</v>
      </c>
      <c r="H625" s="45" t="s">
        <v>154</v>
      </c>
      <c r="I625" s="45" t="s">
        <v>2303</v>
      </c>
      <c r="J625" s="108">
        <v>43360</v>
      </c>
      <c r="K625" s="108"/>
      <c r="L625" s="100"/>
      <c r="M625" s="108" t="s">
        <v>2304</v>
      </c>
      <c r="N625" s="159" t="s">
        <v>2305</v>
      </c>
      <c r="O625" s="104"/>
      <c r="P625" s="102">
        <v>44378.4</v>
      </c>
      <c r="Q625" s="102">
        <v>12000</v>
      </c>
      <c r="R625" s="131"/>
      <c r="S625" s="132"/>
      <c r="T625" s="102">
        <v>32378</v>
      </c>
      <c r="U625" s="100"/>
      <c r="V625" s="102"/>
      <c r="W625" s="210"/>
    </row>
    <row r="626" s="43" customFormat="1" ht="22" hidden="1" customHeight="1" spans="1:23">
      <c r="A626" s="144" t="s">
        <v>2306</v>
      </c>
      <c r="B626" s="273" t="s">
        <v>2234</v>
      </c>
      <c r="C626" s="274"/>
      <c r="D626" s="45" t="s">
        <v>31</v>
      </c>
      <c r="E626" s="45" t="s">
        <v>2281</v>
      </c>
      <c r="F626" s="81" t="str">
        <f>IFERROR(VLOOKUP(E626,客户!B:C,2,FALSE),"/")</f>
        <v>/</v>
      </c>
      <c r="G626" s="45" t="s">
        <v>2307</v>
      </c>
      <c r="H626" s="45" t="s">
        <v>123</v>
      </c>
      <c r="I626" s="45" t="s">
        <v>2308</v>
      </c>
      <c r="J626" s="108">
        <v>43360</v>
      </c>
      <c r="K626" s="108"/>
      <c r="L626" s="100"/>
      <c r="M626" s="108" t="s">
        <v>2309</v>
      </c>
      <c r="N626" s="159" t="s">
        <v>2310</v>
      </c>
      <c r="O626" s="104"/>
      <c r="P626" s="102">
        <v>22498.7</v>
      </c>
      <c r="Q626" s="102">
        <v>9000</v>
      </c>
      <c r="R626" s="131"/>
      <c r="S626" s="132"/>
      <c r="T626" s="102">
        <v>13498</v>
      </c>
      <c r="U626" s="100"/>
      <c r="V626" s="102"/>
      <c r="W626" s="210"/>
    </row>
    <row r="627" s="43" customFormat="1" ht="22" hidden="1" customHeight="1" spans="1:23">
      <c r="A627" s="144" t="s">
        <v>2311</v>
      </c>
      <c r="B627" s="273" t="s">
        <v>2234</v>
      </c>
      <c r="C627" s="274"/>
      <c r="D627" s="45" t="s">
        <v>31</v>
      </c>
      <c r="E627" s="45" t="s">
        <v>2281</v>
      </c>
      <c r="F627" s="81" t="str">
        <f>IFERROR(VLOOKUP(E627,客户!B:C,2,FALSE),"/")</f>
        <v>/</v>
      </c>
      <c r="G627" s="45" t="s">
        <v>2312</v>
      </c>
      <c r="H627" s="45" t="s">
        <v>123</v>
      </c>
      <c r="I627" s="45" t="s">
        <v>560</v>
      </c>
      <c r="J627" s="108">
        <v>43360</v>
      </c>
      <c r="K627" s="108">
        <v>43428</v>
      </c>
      <c r="L627" s="100">
        <v>43467</v>
      </c>
      <c r="M627" s="159"/>
      <c r="N627" s="159" t="s">
        <v>2313</v>
      </c>
      <c r="O627" s="104"/>
      <c r="P627" s="102">
        <v>44015.4</v>
      </c>
      <c r="Q627" s="102"/>
      <c r="R627" s="131"/>
      <c r="S627" s="132"/>
      <c r="T627" s="131">
        <v>35583</v>
      </c>
      <c r="U627" s="100"/>
      <c r="V627" s="102"/>
      <c r="W627" s="210"/>
    </row>
    <row r="628" s="43" customFormat="1" ht="22" hidden="1" customHeight="1" spans="1:23">
      <c r="A628" s="145" t="s">
        <v>2314</v>
      </c>
      <c r="B628" s="273" t="s">
        <v>2234</v>
      </c>
      <c r="C628" s="274"/>
      <c r="D628" s="45" t="s">
        <v>31</v>
      </c>
      <c r="E628" s="45" t="s">
        <v>2315</v>
      </c>
      <c r="F628" s="81" t="str">
        <f>IFERROR(VLOOKUP(E628,客户!B:C,2,FALSE),"/")</f>
        <v>/</v>
      </c>
      <c r="G628" s="45" t="s">
        <v>2316</v>
      </c>
      <c r="H628" s="45" t="s">
        <v>123</v>
      </c>
      <c r="I628" s="45" t="s">
        <v>205</v>
      </c>
      <c r="J628" s="108">
        <v>43364</v>
      </c>
      <c r="K628" s="108">
        <v>43400</v>
      </c>
      <c r="L628" s="100">
        <v>43442</v>
      </c>
      <c r="M628" s="159" t="s">
        <v>2317</v>
      </c>
      <c r="N628" s="162" t="s">
        <v>2318</v>
      </c>
      <c r="O628" s="104"/>
      <c r="P628" s="102">
        <v>36631.3</v>
      </c>
      <c r="Q628" s="102">
        <v>12000</v>
      </c>
      <c r="R628" s="131"/>
      <c r="S628" s="132"/>
      <c r="T628" s="102">
        <v>24631</v>
      </c>
      <c r="U628" s="100"/>
      <c r="V628" s="102"/>
      <c r="W628" s="210"/>
    </row>
    <row r="629" s="45" customFormat="1" ht="22" hidden="1" customHeight="1" spans="1:23">
      <c r="A629" s="145" t="s">
        <v>2319</v>
      </c>
      <c r="B629" s="273" t="s">
        <v>2234</v>
      </c>
      <c r="C629" s="274"/>
      <c r="D629" s="45" t="s">
        <v>31</v>
      </c>
      <c r="E629" s="45" t="s">
        <v>2320</v>
      </c>
      <c r="F629" s="81" t="str">
        <f>IFERROR(VLOOKUP(E629,客户!B:C,2,FALSE),"/")</f>
        <v>/</v>
      </c>
      <c r="G629" s="45" t="s">
        <v>2321</v>
      </c>
      <c r="H629" s="45" t="s">
        <v>154</v>
      </c>
      <c r="I629" s="45" t="s">
        <v>205</v>
      </c>
      <c r="J629" s="159">
        <v>43373</v>
      </c>
      <c r="K629" s="108">
        <v>43400</v>
      </c>
      <c r="L629" s="100">
        <v>43442</v>
      </c>
      <c r="M629" s="159" t="s">
        <v>2322</v>
      </c>
      <c r="N629" s="108"/>
      <c r="O629" s="104"/>
      <c r="P629" s="102">
        <v>23788.48</v>
      </c>
      <c r="Q629" s="102">
        <v>7000</v>
      </c>
      <c r="R629" s="131"/>
      <c r="S629" s="132"/>
      <c r="T629" s="102">
        <v>16788</v>
      </c>
      <c r="U629" s="100"/>
      <c r="V629" s="102"/>
      <c r="W629" s="210"/>
    </row>
    <row r="630" s="43" customFormat="1" ht="22" hidden="1" customHeight="1" spans="1:23">
      <c r="A630" s="144" t="s">
        <v>2323</v>
      </c>
      <c r="B630" s="273" t="s">
        <v>2234</v>
      </c>
      <c r="C630" s="274"/>
      <c r="D630" s="45" t="s">
        <v>31</v>
      </c>
      <c r="E630" s="45" t="s">
        <v>2315</v>
      </c>
      <c r="F630" s="81" t="str">
        <f>IFERROR(VLOOKUP(E630,客户!B:C,2,FALSE),"/")</f>
        <v>/</v>
      </c>
      <c r="G630" s="45" t="s">
        <v>2324</v>
      </c>
      <c r="H630" s="45" t="s">
        <v>154</v>
      </c>
      <c r="I630" s="45" t="s">
        <v>205</v>
      </c>
      <c r="J630" s="108">
        <v>43373</v>
      </c>
      <c r="K630" s="108">
        <v>43414</v>
      </c>
      <c r="L630" s="100">
        <v>43456</v>
      </c>
      <c r="M630" s="178"/>
      <c r="N630" s="162" t="s">
        <v>2325</v>
      </c>
      <c r="O630" s="104"/>
      <c r="P630" s="102">
        <v>40351.36</v>
      </c>
      <c r="Q630" s="102">
        <v>12000</v>
      </c>
      <c r="R630" s="131"/>
      <c r="S630" s="132"/>
      <c r="T630" s="102"/>
      <c r="U630" s="100"/>
      <c r="V630" s="130"/>
      <c r="W630" s="210"/>
    </row>
    <row r="631" s="43" customFormat="1" ht="22" hidden="1" customHeight="1" spans="1:23">
      <c r="A631" s="144" t="s">
        <v>2326</v>
      </c>
      <c r="B631" s="273" t="s">
        <v>2234</v>
      </c>
      <c r="C631" s="274"/>
      <c r="D631" s="45" t="s">
        <v>31</v>
      </c>
      <c r="E631" s="45" t="s">
        <v>2327</v>
      </c>
      <c r="F631" s="81" t="str">
        <f>IFERROR(VLOOKUP(E631,客户!B:C,2,FALSE),"/")</f>
        <v>/</v>
      </c>
      <c r="G631" s="45" t="s">
        <v>2328</v>
      </c>
      <c r="H631" s="45"/>
      <c r="I631" s="45" t="s">
        <v>2329</v>
      </c>
      <c r="J631" s="108">
        <v>43371</v>
      </c>
      <c r="K631" s="108">
        <v>43392</v>
      </c>
      <c r="L631" s="100">
        <v>43436</v>
      </c>
      <c r="M631" s="178"/>
      <c r="N631" s="162" t="s">
        <v>2330</v>
      </c>
      <c r="O631" s="104"/>
      <c r="P631" s="102">
        <v>23192</v>
      </c>
      <c r="Q631" s="102">
        <v>5000</v>
      </c>
      <c r="R631" s="131"/>
      <c r="S631" s="132"/>
      <c r="T631" s="102">
        <v>18162</v>
      </c>
      <c r="U631" s="100"/>
      <c r="V631" s="128"/>
      <c r="W631" s="210"/>
    </row>
    <row r="632" s="43" customFormat="1" ht="22" hidden="1" customHeight="1" spans="1:23">
      <c r="A632" s="144" t="s">
        <v>2331</v>
      </c>
      <c r="B632" s="273" t="s">
        <v>2234</v>
      </c>
      <c r="C632" s="274"/>
      <c r="D632" s="45" t="s">
        <v>31</v>
      </c>
      <c r="E632" s="229" t="s">
        <v>2332</v>
      </c>
      <c r="F632" s="81" t="str">
        <f>IFERROR(VLOOKUP(E632,客户!B:C,2,FALSE),"/")</f>
        <v>/</v>
      </c>
      <c r="G632" s="45" t="s">
        <v>2333</v>
      </c>
      <c r="H632" s="45" t="s">
        <v>123</v>
      </c>
      <c r="I632" s="45" t="s">
        <v>1626</v>
      </c>
      <c r="J632" s="108">
        <v>43383</v>
      </c>
      <c r="K632" s="108">
        <v>43434</v>
      </c>
      <c r="L632" s="100">
        <v>43475</v>
      </c>
      <c r="M632" s="178"/>
      <c r="N632" s="162" t="s">
        <v>2334</v>
      </c>
      <c r="O632" s="104"/>
      <c r="P632" s="102">
        <v>23374.4</v>
      </c>
      <c r="Q632" s="102"/>
      <c r="R632" s="131"/>
      <c r="S632" s="132"/>
      <c r="T632" s="102">
        <v>20374</v>
      </c>
      <c r="U632" s="100"/>
      <c r="V632" s="130"/>
      <c r="W632" s="210"/>
    </row>
    <row r="633" s="43" customFormat="1" ht="22" hidden="1" customHeight="1" spans="1:23">
      <c r="A633" s="144" t="s">
        <v>2335</v>
      </c>
      <c r="B633" s="273" t="s">
        <v>2234</v>
      </c>
      <c r="C633" s="274"/>
      <c r="D633" s="45" t="s">
        <v>31</v>
      </c>
      <c r="E633" s="45" t="s">
        <v>2336</v>
      </c>
      <c r="F633" s="81">
        <f>IFERROR(VLOOKUP(E633,客户!B:C,2,FALSE),"/")</f>
        <v>0</v>
      </c>
      <c r="G633" s="45" t="s">
        <v>2337</v>
      </c>
      <c r="H633" s="45" t="s">
        <v>123</v>
      </c>
      <c r="I633" s="45" t="s">
        <v>2338</v>
      </c>
      <c r="J633" s="108">
        <v>43386</v>
      </c>
      <c r="K633" s="108">
        <v>43428</v>
      </c>
      <c r="L633" s="100">
        <v>43475</v>
      </c>
      <c r="M633" s="162" t="s">
        <v>2339</v>
      </c>
      <c r="N633" s="162" t="s">
        <v>2340</v>
      </c>
      <c r="O633" s="104"/>
      <c r="P633" s="102" t="s">
        <v>2341</v>
      </c>
      <c r="Q633" s="102" t="s">
        <v>2342</v>
      </c>
      <c r="R633" s="131"/>
      <c r="S633" s="132"/>
      <c r="T633" s="240">
        <v>95925</v>
      </c>
      <c r="U633" s="100"/>
      <c r="V633" s="102"/>
      <c r="W633" s="210"/>
    </row>
    <row r="634" s="43" customFormat="1" ht="22" hidden="1" customHeight="1" spans="1:23">
      <c r="A634" s="144" t="s">
        <v>2343</v>
      </c>
      <c r="B634" s="273" t="s">
        <v>2234</v>
      </c>
      <c r="C634" s="274"/>
      <c r="D634" s="45" t="s">
        <v>31</v>
      </c>
      <c r="E634" s="45" t="s">
        <v>2344</v>
      </c>
      <c r="F634" s="81" t="str">
        <f>IFERROR(VLOOKUP(E634,客户!B:C,2,FALSE),"/")</f>
        <v>/</v>
      </c>
      <c r="G634" s="45" t="s">
        <v>2345</v>
      </c>
      <c r="H634" s="45" t="s">
        <v>123</v>
      </c>
      <c r="I634" s="45" t="s">
        <v>2346</v>
      </c>
      <c r="J634" s="108">
        <v>43389</v>
      </c>
      <c r="K634" s="108">
        <v>43441</v>
      </c>
      <c r="L634" s="100"/>
      <c r="M634" s="159"/>
      <c r="N634" s="162" t="s">
        <v>2347</v>
      </c>
      <c r="O634" s="104"/>
      <c r="P634" s="102">
        <v>20891.28</v>
      </c>
      <c r="Q634" s="102"/>
      <c r="R634" s="131"/>
      <c r="S634" s="132"/>
      <c r="T634" s="102"/>
      <c r="U634" s="100"/>
      <c r="V634" s="130"/>
      <c r="W634" s="210"/>
    </row>
    <row r="635" s="43" customFormat="1" ht="22" hidden="1" customHeight="1" spans="1:23">
      <c r="A635" s="144" t="s">
        <v>2348</v>
      </c>
      <c r="B635" s="273" t="s">
        <v>2234</v>
      </c>
      <c r="C635" s="274"/>
      <c r="D635" s="45" t="s">
        <v>31</v>
      </c>
      <c r="E635" s="45" t="s">
        <v>2349</v>
      </c>
      <c r="F635" s="81">
        <f>IFERROR(VLOOKUP(E635,客户!B:C,2,FALSE),"/")</f>
        <v>0</v>
      </c>
      <c r="G635" s="45" t="s">
        <v>2350</v>
      </c>
      <c r="H635" s="45" t="s">
        <v>123</v>
      </c>
      <c r="I635" s="45" t="s">
        <v>2351</v>
      </c>
      <c r="J635" s="108">
        <v>43390</v>
      </c>
      <c r="K635" s="108">
        <v>43435</v>
      </c>
      <c r="L635" s="100">
        <v>43473</v>
      </c>
      <c r="M635" s="159"/>
      <c r="N635" s="162" t="s">
        <v>2352</v>
      </c>
      <c r="O635" s="104"/>
      <c r="P635" s="102">
        <v>21420</v>
      </c>
      <c r="Q635" s="102">
        <v>10000</v>
      </c>
      <c r="R635" s="131"/>
      <c r="S635" s="132"/>
      <c r="T635" s="102"/>
      <c r="U635" s="100"/>
      <c r="V635" s="130"/>
      <c r="W635" s="210"/>
    </row>
    <row r="636" s="43" customFormat="1" ht="22" hidden="1" customHeight="1" spans="1:23">
      <c r="A636" s="144" t="s">
        <v>2353</v>
      </c>
      <c r="B636" s="273" t="s">
        <v>2234</v>
      </c>
      <c r="C636" s="274"/>
      <c r="D636" s="45" t="s">
        <v>31</v>
      </c>
      <c r="E636" s="45" t="s">
        <v>2349</v>
      </c>
      <c r="F636" s="81">
        <f>IFERROR(VLOOKUP(E636,客户!B:C,2,FALSE),"/")</f>
        <v>0</v>
      </c>
      <c r="G636" s="45" t="s">
        <v>2354</v>
      </c>
      <c r="H636" s="45" t="s">
        <v>123</v>
      </c>
      <c r="I636" s="45" t="s">
        <v>2355</v>
      </c>
      <c r="J636" s="108">
        <v>43392</v>
      </c>
      <c r="K636" s="108">
        <v>43448</v>
      </c>
      <c r="L636" s="100">
        <v>43486</v>
      </c>
      <c r="M636" s="159"/>
      <c r="N636" s="162" t="s">
        <v>2356</v>
      </c>
      <c r="O636" s="104"/>
      <c r="P636" s="102">
        <v>21440</v>
      </c>
      <c r="Q636" s="102">
        <v>20000</v>
      </c>
      <c r="R636" s="131"/>
      <c r="S636" s="132"/>
      <c r="T636" s="102"/>
      <c r="U636" s="100"/>
      <c r="V636" s="130"/>
      <c r="W636" s="210"/>
    </row>
    <row r="637" s="43" customFormat="1" ht="22" hidden="1" customHeight="1" spans="1:23">
      <c r="A637" s="144" t="s">
        <v>2357</v>
      </c>
      <c r="B637" s="273" t="s">
        <v>2234</v>
      </c>
      <c r="C637" s="274"/>
      <c r="D637" s="45" t="s">
        <v>31</v>
      </c>
      <c r="E637" s="45" t="s">
        <v>2358</v>
      </c>
      <c r="F637" s="81">
        <f>IFERROR(VLOOKUP(E637,客户!B:C,2,FALSE),"/")</f>
        <v>0</v>
      </c>
      <c r="G637" s="45" t="s">
        <v>2359</v>
      </c>
      <c r="H637" s="45"/>
      <c r="I637" s="45" t="s">
        <v>2360</v>
      </c>
      <c r="J637" s="108">
        <v>43392</v>
      </c>
      <c r="K637" s="108">
        <v>43103</v>
      </c>
      <c r="L637" s="100">
        <v>43147</v>
      </c>
      <c r="M637" s="178"/>
      <c r="N637" s="162" t="s">
        <v>2361</v>
      </c>
      <c r="O637" s="104"/>
      <c r="P637" s="102">
        <v>109611.04</v>
      </c>
      <c r="Q637" s="102">
        <v>26000</v>
      </c>
      <c r="R637" s="131">
        <v>0</v>
      </c>
      <c r="S637" s="132"/>
      <c r="T637" s="102">
        <v>83579</v>
      </c>
      <c r="U637" s="100">
        <v>43508</v>
      </c>
      <c r="V637" s="130"/>
      <c r="W637" s="285"/>
    </row>
    <row r="638" s="43" customFormat="1" ht="22" hidden="1" customHeight="1" spans="1:23">
      <c r="A638" s="144" t="s">
        <v>2362</v>
      </c>
      <c r="B638" s="273" t="s">
        <v>2234</v>
      </c>
      <c r="C638" s="274"/>
      <c r="D638" s="45" t="s">
        <v>31</v>
      </c>
      <c r="E638" s="45" t="s">
        <v>2363</v>
      </c>
      <c r="F638" s="81" t="str">
        <f>IFERROR(VLOOKUP(E638,客户!B:C,2,FALSE),"/")</f>
        <v>/</v>
      </c>
      <c r="G638" s="45" t="s">
        <v>2364</v>
      </c>
      <c r="H638" s="45"/>
      <c r="I638" s="45" t="s">
        <v>2360</v>
      </c>
      <c r="J638" s="108">
        <v>43411</v>
      </c>
      <c r="K638" s="108">
        <v>43497</v>
      </c>
      <c r="L638" s="100">
        <v>43529</v>
      </c>
      <c r="M638" s="159" t="s">
        <v>2365</v>
      </c>
      <c r="N638" s="162" t="s">
        <v>2366</v>
      </c>
      <c r="O638" s="104"/>
      <c r="P638" s="102">
        <v>64758.12</v>
      </c>
      <c r="Q638" s="102">
        <v>12000</v>
      </c>
      <c r="R638" s="131">
        <v>0</v>
      </c>
      <c r="S638" s="132"/>
      <c r="T638" s="102">
        <v>52726</v>
      </c>
      <c r="U638" s="100">
        <v>43524</v>
      </c>
      <c r="V638" s="130"/>
      <c r="W638" s="210"/>
    </row>
    <row r="639" s="43" customFormat="1" ht="22" hidden="1" customHeight="1" spans="1:23">
      <c r="A639" s="144" t="s">
        <v>2367</v>
      </c>
      <c r="B639" s="273" t="s">
        <v>2234</v>
      </c>
      <c r="C639" s="274"/>
      <c r="D639" s="45" t="s">
        <v>31</v>
      </c>
      <c r="E639" s="45" t="s">
        <v>2368</v>
      </c>
      <c r="F639" s="81" t="str">
        <f>IFERROR(VLOOKUP(E639,客户!B:C,2,FALSE),"/")</f>
        <v>/</v>
      </c>
      <c r="G639" s="45" t="s">
        <v>2369</v>
      </c>
      <c r="H639" s="45" t="s">
        <v>154</v>
      </c>
      <c r="I639" s="45" t="s">
        <v>205</v>
      </c>
      <c r="J639" s="108">
        <v>43411</v>
      </c>
      <c r="K639" s="108">
        <v>43442</v>
      </c>
      <c r="L639" s="100">
        <v>43484</v>
      </c>
      <c r="M639" s="278"/>
      <c r="N639" s="162" t="s">
        <v>2370</v>
      </c>
      <c r="O639" s="104"/>
      <c r="P639" s="102">
        <v>60440.23</v>
      </c>
      <c r="Q639" s="102">
        <v>12000</v>
      </c>
      <c r="R639" s="131">
        <v>0</v>
      </c>
      <c r="S639" s="132"/>
      <c r="T639" s="102">
        <v>42364</v>
      </c>
      <c r="U639" s="100">
        <v>43483</v>
      </c>
      <c r="V639" s="130"/>
      <c r="W639" s="210"/>
    </row>
    <row r="640" s="43" customFormat="1" ht="22" hidden="1" customHeight="1" spans="1:23">
      <c r="A640" s="144" t="s">
        <v>2371</v>
      </c>
      <c r="B640" s="273" t="s">
        <v>2234</v>
      </c>
      <c r="C640" s="274"/>
      <c r="D640" s="45" t="s">
        <v>31</v>
      </c>
      <c r="E640" s="45" t="s">
        <v>2368</v>
      </c>
      <c r="F640" s="81" t="str">
        <f>IFERROR(VLOOKUP(E640,客户!B:C,2,FALSE),"/")</f>
        <v>/</v>
      </c>
      <c r="G640" s="45" t="s">
        <v>2372</v>
      </c>
      <c r="H640" s="45" t="s">
        <v>154</v>
      </c>
      <c r="I640" s="45" t="s">
        <v>205</v>
      </c>
      <c r="J640" s="108">
        <v>43434</v>
      </c>
      <c r="K640" s="108">
        <v>43442</v>
      </c>
      <c r="L640" s="100">
        <v>43484</v>
      </c>
      <c r="M640" s="278" t="s">
        <v>2373</v>
      </c>
      <c r="N640" s="162" t="s">
        <v>2370</v>
      </c>
      <c r="O640" s="104"/>
      <c r="P640" s="102"/>
      <c r="Q640" s="102">
        <v>7000</v>
      </c>
      <c r="R640" s="131">
        <v>0</v>
      </c>
      <c r="S640" s="132"/>
      <c r="T640" s="102"/>
      <c r="U640" s="100">
        <v>43483</v>
      </c>
      <c r="V640" s="130"/>
      <c r="W640" s="210"/>
    </row>
    <row r="641" s="43" customFormat="1" ht="22" hidden="1" customHeight="1" spans="1:23">
      <c r="A641" s="144" t="s">
        <v>2374</v>
      </c>
      <c r="B641" s="273" t="s">
        <v>2234</v>
      </c>
      <c r="C641" s="274"/>
      <c r="D641" s="45" t="s">
        <v>31</v>
      </c>
      <c r="E641" s="45" t="s">
        <v>2375</v>
      </c>
      <c r="F641" s="81" t="str">
        <f>IFERROR(VLOOKUP(E641,客户!B:C,2,FALSE),"/")</f>
        <v>/</v>
      </c>
      <c r="G641" s="45" t="s">
        <v>2376</v>
      </c>
      <c r="H641" s="45" t="s">
        <v>154</v>
      </c>
      <c r="I641" s="45" t="s">
        <v>1095</v>
      </c>
      <c r="J641" s="108">
        <v>43418</v>
      </c>
      <c r="K641" s="108">
        <v>43448</v>
      </c>
      <c r="L641" s="100">
        <v>43484</v>
      </c>
      <c r="M641" s="116"/>
      <c r="N641" s="162" t="s">
        <v>2377</v>
      </c>
      <c r="O641" s="104"/>
      <c r="P641" s="102">
        <v>20736</v>
      </c>
      <c r="Q641" s="102">
        <v>3000</v>
      </c>
      <c r="R641" s="131">
        <v>0</v>
      </c>
      <c r="S641" s="132"/>
      <c r="T641" s="102">
        <v>17736</v>
      </c>
      <c r="U641" s="100">
        <v>43483</v>
      </c>
      <c r="V641" s="130"/>
      <c r="W641" s="210"/>
    </row>
    <row r="642" s="43" customFormat="1" ht="22" hidden="1" customHeight="1" spans="1:23">
      <c r="A642" s="144" t="s">
        <v>2378</v>
      </c>
      <c r="B642" s="273" t="s">
        <v>2234</v>
      </c>
      <c r="C642" s="274"/>
      <c r="D642" s="45" t="s">
        <v>31</v>
      </c>
      <c r="E642" s="45" t="s">
        <v>2296</v>
      </c>
      <c r="F642" s="81" t="str">
        <f>IFERROR(VLOOKUP(E642,客户!B:C,2,FALSE),"/")</f>
        <v>J4159还差USD265.65没付齐 J4220还有定金5674.3 账上剩5408.65</v>
      </c>
      <c r="G642" s="45" t="s">
        <v>2376</v>
      </c>
      <c r="H642" s="45" t="s">
        <v>154</v>
      </c>
      <c r="I642" s="45" t="s">
        <v>1842</v>
      </c>
      <c r="J642" s="108">
        <v>43454</v>
      </c>
      <c r="K642" s="108">
        <v>43483</v>
      </c>
      <c r="L642" s="100">
        <v>43511</v>
      </c>
      <c r="M642" s="159" t="s">
        <v>2379</v>
      </c>
      <c r="N642" s="177" t="s">
        <v>2380</v>
      </c>
      <c r="O642" s="104"/>
      <c r="P642" s="102">
        <v>19799.11</v>
      </c>
      <c r="Q642" s="102">
        <v>3054</v>
      </c>
      <c r="R642" s="131">
        <v>0</v>
      </c>
      <c r="S642" s="132"/>
      <c r="T642" s="102">
        <v>16710.11</v>
      </c>
      <c r="U642" s="100">
        <v>43508</v>
      </c>
      <c r="V642" s="130"/>
      <c r="W642" s="210"/>
    </row>
    <row r="643" s="43" customFormat="1" ht="22" hidden="1" customHeight="1" spans="1:23">
      <c r="A643" s="144" t="s">
        <v>2381</v>
      </c>
      <c r="B643" s="273" t="s">
        <v>2234</v>
      </c>
      <c r="C643" s="274"/>
      <c r="D643" s="45" t="s">
        <v>31</v>
      </c>
      <c r="E643" s="45" t="s">
        <v>2368</v>
      </c>
      <c r="F643" s="81" t="str">
        <f>IFERROR(VLOOKUP(E643,客户!B:C,2,FALSE),"/")</f>
        <v>/</v>
      </c>
      <c r="G643" s="45" t="s">
        <v>2382</v>
      </c>
      <c r="H643" s="45" t="s">
        <v>154</v>
      </c>
      <c r="I643" s="45" t="s">
        <v>205</v>
      </c>
      <c r="J643" s="108">
        <v>43466</v>
      </c>
      <c r="K643" s="108">
        <v>43491</v>
      </c>
      <c r="L643" s="100">
        <v>43547</v>
      </c>
      <c r="M643" s="159" t="s">
        <v>2383</v>
      </c>
      <c r="N643" s="162" t="s">
        <v>2384</v>
      </c>
      <c r="O643" s="104"/>
      <c r="P643" s="102">
        <v>35259.5</v>
      </c>
      <c r="Q643" s="102">
        <v>10500</v>
      </c>
      <c r="R643" s="131">
        <v>0</v>
      </c>
      <c r="S643" s="132"/>
      <c r="T643" s="102">
        <v>24703.23</v>
      </c>
      <c r="U643" s="100">
        <v>43511</v>
      </c>
      <c r="V643" s="130"/>
      <c r="W643" s="210"/>
    </row>
    <row r="644" s="43" customFormat="1" ht="22" hidden="1" customHeight="1" spans="1:23">
      <c r="A644" s="144" t="s">
        <v>2385</v>
      </c>
      <c r="B644" s="273" t="s">
        <v>2234</v>
      </c>
      <c r="C644" s="274"/>
      <c r="D644" s="45" t="s">
        <v>31</v>
      </c>
      <c r="E644" s="45" t="s">
        <v>2386</v>
      </c>
      <c r="F644" s="81" t="str">
        <f>IFERROR(VLOOKUP(E644,客户!B:C,2,FALSE),"/")</f>
        <v>/</v>
      </c>
      <c r="G644" s="45" t="s">
        <v>2376</v>
      </c>
      <c r="H644" s="45" t="s">
        <v>123</v>
      </c>
      <c r="I644" s="45" t="s">
        <v>1095</v>
      </c>
      <c r="J644" s="108">
        <v>43479</v>
      </c>
      <c r="K644" s="108">
        <v>43540</v>
      </c>
      <c r="L644" s="100">
        <v>43579</v>
      </c>
      <c r="M644" s="163" t="s">
        <v>2387</v>
      </c>
      <c r="N644" s="276" t="s">
        <v>2388</v>
      </c>
      <c r="O644" s="104"/>
      <c r="P644" s="102">
        <v>19878.5</v>
      </c>
      <c r="Q644" s="102">
        <v>3000</v>
      </c>
      <c r="R644" s="131">
        <v>0</v>
      </c>
      <c r="S644" s="132"/>
      <c r="T644" s="102">
        <v>16829</v>
      </c>
      <c r="U644" s="100">
        <v>43573</v>
      </c>
      <c r="V644" s="130"/>
      <c r="W644" s="210"/>
    </row>
    <row r="645" s="43" customFormat="1" ht="22" hidden="1" customHeight="1" spans="1:23">
      <c r="A645" s="144" t="s">
        <v>2389</v>
      </c>
      <c r="B645" s="273" t="s">
        <v>2234</v>
      </c>
      <c r="C645" s="274"/>
      <c r="D645" s="45" t="s">
        <v>31</v>
      </c>
      <c r="E645" s="45" t="s">
        <v>2390</v>
      </c>
      <c r="F645" s="81">
        <f>IFERROR(VLOOKUP(E645,客户!B:C,2,FALSE),"/")</f>
        <v>0</v>
      </c>
      <c r="G645" s="45" t="s">
        <v>2391</v>
      </c>
      <c r="H645" s="45" t="s">
        <v>123</v>
      </c>
      <c r="I645" s="45" t="s">
        <v>2392</v>
      </c>
      <c r="J645" s="108">
        <v>43482</v>
      </c>
      <c r="K645" s="108">
        <v>43519</v>
      </c>
      <c r="L645" s="100"/>
      <c r="M645" s="163" t="s">
        <v>2393</v>
      </c>
      <c r="N645" s="108"/>
      <c r="O645" s="104"/>
      <c r="P645" s="240">
        <v>129529.76</v>
      </c>
      <c r="Q645" s="240"/>
      <c r="R645" s="284">
        <v>0</v>
      </c>
      <c r="S645" s="132">
        <v>0</v>
      </c>
      <c r="T645" s="240">
        <v>129529.76</v>
      </c>
      <c r="U645" s="100">
        <v>43482</v>
      </c>
      <c r="V645" s="130"/>
      <c r="W645" s="210"/>
    </row>
    <row r="646" s="43" customFormat="1" ht="22" hidden="1" customHeight="1" spans="1:23">
      <c r="A646" s="144" t="s">
        <v>2394</v>
      </c>
      <c r="B646" s="273" t="s">
        <v>2234</v>
      </c>
      <c r="C646" s="274"/>
      <c r="D646" s="45" t="s">
        <v>31</v>
      </c>
      <c r="E646" s="45" t="s">
        <v>2395</v>
      </c>
      <c r="F646" s="81" t="str">
        <f>IFERROR(VLOOKUP(E646,客户!B:C,2,FALSE),"/")</f>
        <v>/</v>
      </c>
      <c r="G646" s="45" t="s">
        <v>43</v>
      </c>
      <c r="H646" s="45" t="s">
        <v>123</v>
      </c>
      <c r="I646" s="45" t="s">
        <v>1684</v>
      </c>
      <c r="J646" s="108">
        <v>43489</v>
      </c>
      <c r="K646" s="108">
        <v>43537</v>
      </c>
      <c r="L646" s="100">
        <v>43579</v>
      </c>
      <c r="M646" s="163" t="s">
        <v>2396</v>
      </c>
      <c r="N646" s="108" t="s">
        <v>2397</v>
      </c>
      <c r="O646" s="104"/>
      <c r="P646" s="102">
        <v>21431.25</v>
      </c>
      <c r="Q646" s="102">
        <v>6000</v>
      </c>
      <c r="R646" s="131">
        <v>0</v>
      </c>
      <c r="S646" s="132"/>
      <c r="T646" s="102">
        <v>15431</v>
      </c>
      <c r="U646" s="100"/>
      <c r="V646" s="130"/>
      <c r="W646" s="210"/>
    </row>
    <row r="647" s="43" customFormat="1" ht="22" hidden="1" customHeight="1" spans="1:23">
      <c r="A647" s="144" t="s">
        <v>2398</v>
      </c>
      <c r="B647" s="273" t="s">
        <v>2234</v>
      </c>
      <c r="C647" s="274"/>
      <c r="D647" s="45" t="s">
        <v>31</v>
      </c>
      <c r="E647" s="45" t="s">
        <v>2395</v>
      </c>
      <c r="F647" s="81" t="str">
        <f>IFERROR(VLOOKUP(E647,客户!B:C,2,FALSE),"/")</f>
        <v>/</v>
      </c>
      <c r="G647" s="45" t="s">
        <v>2399</v>
      </c>
      <c r="H647" s="45" t="s">
        <v>123</v>
      </c>
      <c r="I647" s="45" t="s">
        <v>1684</v>
      </c>
      <c r="J647" s="108">
        <v>43489</v>
      </c>
      <c r="K647" s="108">
        <v>43551</v>
      </c>
      <c r="L647" s="100">
        <v>43595</v>
      </c>
      <c r="M647" s="163" t="s">
        <v>2400</v>
      </c>
      <c r="N647" s="108" t="s">
        <v>2401</v>
      </c>
      <c r="O647" s="104"/>
      <c r="P647" s="102">
        <v>38035.3</v>
      </c>
      <c r="Q647" s="102">
        <v>8000</v>
      </c>
      <c r="R647" s="131">
        <v>0</v>
      </c>
      <c r="S647" s="132"/>
      <c r="T647" s="102">
        <v>30003</v>
      </c>
      <c r="U647" s="100">
        <v>43584</v>
      </c>
      <c r="V647" s="130"/>
      <c r="W647" s="210"/>
    </row>
    <row r="648" s="43" customFormat="1" ht="22" hidden="1" customHeight="1" spans="1:23">
      <c r="A648" s="144" t="s">
        <v>2402</v>
      </c>
      <c r="B648" s="273" t="s">
        <v>2234</v>
      </c>
      <c r="C648" s="274"/>
      <c r="D648" s="45" t="s">
        <v>31</v>
      </c>
      <c r="E648" s="45" t="s">
        <v>2403</v>
      </c>
      <c r="F648" s="81" t="str">
        <f>IFERROR(VLOOKUP(E648,客户!B:C,2,FALSE),"/")</f>
        <v>/</v>
      </c>
      <c r="G648" s="45" t="s">
        <v>40</v>
      </c>
      <c r="H648" s="45" t="s">
        <v>123</v>
      </c>
      <c r="I648" s="45" t="s">
        <v>205</v>
      </c>
      <c r="J648" s="108">
        <v>43515</v>
      </c>
      <c r="K648" s="108">
        <v>43547</v>
      </c>
      <c r="L648" s="100">
        <v>43590</v>
      </c>
      <c r="M648" s="163" t="s">
        <v>2404</v>
      </c>
      <c r="N648" s="108" t="s">
        <v>2405</v>
      </c>
      <c r="O648" s="104"/>
      <c r="P648" s="102">
        <v>38163.1</v>
      </c>
      <c r="Q648" s="102">
        <v>10500</v>
      </c>
      <c r="R648" s="131">
        <v>0</v>
      </c>
      <c r="S648" s="132"/>
      <c r="T648" s="102">
        <v>27571</v>
      </c>
      <c r="U648" s="100">
        <v>43584</v>
      </c>
      <c r="V648" s="130"/>
      <c r="W648" s="210"/>
    </row>
    <row r="649" s="43" customFormat="1" ht="22" hidden="1" customHeight="1" spans="1:23">
      <c r="A649" s="144" t="s">
        <v>2406</v>
      </c>
      <c r="B649" s="273" t="s">
        <v>2234</v>
      </c>
      <c r="C649" s="274"/>
      <c r="D649" s="45" t="s">
        <v>31</v>
      </c>
      <c r="E649" s="45" t="s">
        <v>2407</v>
      </c>
      <c r="F649" s="81">
        <f>IFERROR(VLOOKUP(E649,客户!B:C,2,FALSE),"/")</f>
        <v>0</v>
      </c>
      <c r="G649" s="45" t="s">
        <v>36</v>
      </c>
      <c r="H649" s="45" t="s">
        <v>123</v>
      </c>
      <c r="I649" s="45" t="s">
        <v>2408</v>
      </c>
      <c r="J649" s="108">
        <v>43516</v>
      </c>
      <c r="K649" s="108">
        <v>43557</v>
      </c>
      <c r="L649" s="100">
        <v>43590</v>
      </c>
      <c r="M649" s="276" t="s">
        <v>2409</v>
      </c>
      <c r="N649" s="108" t="s">
        <v>2410</v>
      </c>
      <c r="O649" s="104"/>
      <c r="P649" s="102">
        <v>14764.16</v>
      </c>
      <c r="Q649" s="102" t="s">
        <v>453</v>
      </c>
      <c r="R649" s="131">
        <v>0</v>
      </c>
      <c r="S649" s="132"/>
      <c r="T649" s="102">
        <v>14754</v>
      </c>
      <c r="U649" s="100">
        <v>43574</v>
      </c>
      <c r="V649" s="130"/>
      <c r="W649" s="210"/>
    </row>
    <row r="650" s="43" customFormat="1" ht="22" hidden="1" customHeight="1" spans="1:23">
      <c r="A650" s="144" t="s">
        <v>2411</v>
      </c>
      <c r="B650" s="273" t="s">
        <v>2234</v>
      </c>
      <c r="C650" s="274"/>
      <c r="D650" s="45" t="s">
        <v>31</v>
      </c>
      <c r="E650" s="45" t="s">
        <v>2407</v>
      </c>
      <c r="F650" s="81">
        <f>IFERROR(VLOOKUP(E650,客户!B:C,2,FALSE),"/")</f>
        <v>0</v>
      </c>
      <c r="G650" s="45" t="s">
        <v>36</v>
      </c>
      <c r="H650" s="45" t="s">
        <v>123</v>
      </c>
      <c r="I650" s="45" t="s">
        <v>2408</v>
      </c>
      <c r="J650" s="108">
        <v>43516</v>
      </c>
      <c r="K650" s="108">
        <v>43572</v>
      </c>
      <c r="L650" s="100">
        <v>43602</v>
      </c>
      <c r="M650" s="163" t="s">
        <v>2412</v>
      </c>
      <c r="N650" s="108" t="s">
        <v>2413</v>
      </c>
      <c r="O650" s="104"/>
      <c r="P650" s="102">
        <v>13420.41</v>
      </c>
      <c r="Q650" s="102" t="s">
        <v>453</v>
      </c>
      <c r="R650" s="131">
        <v>0</v>
      </c>
      <c r="S650" s="132"/>
      <c r="T650" s="102">
        <v>13410</v>
      </c>
      <c r="U650" s="100">
        <v>43599</v>
      </c>
      <c r="V650" s="130"/>
      <c r="W650" s="210"/>
    </row>
    <row r="651" s="43" customFormat="1" ht="22" hidden="1" customHeight="1" spans="1:23">
      <c r="A651" s="144" t="s">
        <v>2414</v>
      </c>
      <c r="B651" s="273" t="s">
        <v>2234</v>
      </c>
      <c r="C651" s="274"/>
      <c r="D651" s="45" t="s">
        <v>31</v>
      </c>
      <c r="E651" s="45" t="s">
        <v>2395</v>
      </c>
      <c r="F651" s="81" t="str">
        <f>IFERROR(VLOOKUP(E651,客户!B:C,2,FALSE),"/")</f>
        <v>/</v>
      </c>
      <c r="G651" s="45" t="s">
        <v>43</v>
      </c>
      <c r="H651" s="45" t="s">
        <v>123</v>
      </c>
      <c r="I651" s="45" t="s">
        <v>1684</v>
      </c>
      <c r="J651" s="108">
        <v>43518</v>
      </c>
      <c r="K651" s="108">
        <v>43545</v>
      </c>
      <c r="L651" s="100">
        <v>43607</v>
      </c>
      <c r="M651" s="286" t="s">
        <v>2415</v>
      </c>
      <c r="N651" s="159" t="s">
        <v>2416</v>
      </c>
      <c r="O651" s="104"/>
      <c r="P651" s="102">
        <v>22970.5</v>
      </c>
      <c r="Q651" s="102">
        <v>6000</v>
      </c>
      <c r="R651" s="131">
        <v>0</v>
      </c>
      <c r="S651" s="132"/>
      <c r="T651" s="102">
        <v>16970</v>
      </c>
      <c r="U651" s="100"/>
      <c r="V651" s="130"/>
      <c r="W651" s="210"/>
    </row>
    <row r="652" s="43" customFormat="1" ht="22" hidden="1" customHeight="1" spans="1:23">
      <c r="A652" s="144" t="s">
        <v>2417</v>
      </c>
      <c r="B652" s="273" t="s">
        <v>2234</v>
      </c>
      <c r="C652" s="274"/>
      <c r="D652" s="45" t="s">
        <v>31</v>
      </c>
      <c r="E652" s="45" t="s">
        <v>2395</v>
      </c>
      <c r="F652" s="81" t="str">
        <f>IFERROR(VLOOKUP(E652,客户!B:C,2,FALSE),"/")</f>
        <v>/</v>
      </c>
      <c r="G652" s="45" t="s">
        <v>2418</v>
      </c>
      <c r="H652" s="45" t="s">
        <v>123</v>
      </c>
      <c r="I652" s="45" t="s">
        <v>1684</v>
      </c>
      <c r="J652" s="108">
        <v>43518</v>
      </c>
      <c r="K652" s="108">
        <v>43564</v>
      </c>
      <c r="L652" s="100">
        <v>43607</v>
      </c>
      <c r="M652" s="286" t="s">
        <v>2419</v>
      </c>
      <c r="N652" s="159" t="s">
        <v>2420</v>
      </c>
      <c r="O652" s="104"/>
      <c r="P652" s="102">
        <v>78557.3</v>
      </c>
      <c r="Q652" s="102">
        <v>18000</v>
      </c>
      <c r="R652" s="131">
        <v>0</v>
      </c>
      <c r="S652" s="132"/>
      <c r="T652" s="102">
        <v>59941</v>
      </c>
      <c r="U652" s="100">
        <v>43599</v>
      </c>
      <c r="V652" s="130"/>
      <c r="W652" s="210"/>
    </row>
    <row r="653" s="43" customFormat="1" ht="22" hidden="1" customHeight="1" spans="1:23">
      <c r="A653" s="144" t="s">
        <v>2421</v>
      </c>
      <c r="B653" s="273" t="s">
        <v>2234</v>
      </c>
      <c r="C653" s="274"/>
      <c r="D653" s="45" t="s">
        <v>31</v>
      </c>
      <c r="E653" s="45" t="s">
        <v>2395</v>
      </c>
      <c r="F653" s="81" t="str">
        <f>IFERROR(VLOOKUP(E653,客户!B:C,2,FALSE),"/")</f>
        <v>/</v>
      </c>
      <c r="G653" s="45" t="s">
        <v>660</v>
      </c>
      <c r="H653" s="45" t="s">
        <v>123</v>
      </c>
      <c r="I653" s="45" t="s">
        <v>542</v>
      </c>
      <c r="J653" s="108">
        <v>43518</v>
      </c>
      <c r="K653" s="108">
        <v>43590</v>
      </c>
      <c r="L653" s="100">
        <v>43633</v>
      </c>
      <c r="M653" s="181" t="s">
        <v>2422</v>
      </c>
      <c r="N653" s="108" t="s">
        <v>2423</v>
      </c>
      <c r="O653" s="104"/>
      <c r="P653" s="102">
        <v>40440</v>
      </c>
      <c r="Q653" s="102">
        <v>12000</v>
      </c>
      <c r="R653" s="131">
        <v>0</v>
      </c>
      <c r="S653" s="132"/>
      <c r="T653" s="290">
        <v>28408</v>
      </c>
      <c r="U653" s="100">
        <v>43614</v>
      </c>
      <c r="V653" s="130"/>
      <c r="W653" s="210"/>
    </row>
    <row r="654" s="43" customFormat="1" ht="22" hidden="1" customHeight="1" spans="1:23">
      <c r="A654" s="144" t="s">
        <v>2424</v>
      </c>
      <c r="B654" s="273" t="s">
        <v>2234</v>
      </c>
      <c r="C654" s="274"/>
      <c r="D654" s="45" t="s">
        <v>31</v>
      </c>
      <c r="E654" s="45" t="s">
        <v>2395</v>
      </c>
      <c r="F654" s="81" t="str">
        <f>IFERROR(VLOOKUP(E654,客户!B:C,2,FALSE),"/")</f>
        <v>/</v>
      </c>
      <c r="G654" s="45" t="s">
        <v>43</v>
      </c>
      <c r="H654" s="45" t="s">
        <v>123</v>
      </c>
      <c r="I654" s="45" t="s">
        <v>1684</v>
      </c>
      <c r="J654" s="108">
        <v>43552</v>
      </c>
      <c r="K654" s="108">
        <v>43582</v>
      </c>
      <c r="L654" s="100">
        <v>43619</v>
      </c>
      <c r="M654" s="181" t="s">
        <v>2425</v>
      </c>
      <c r="N654" s="108" t="s">
        <v>2426</v>
      </c>
      <c r="O654" s="104"/>
      <c r="P654" s="102">
        <v>22176.25</v>
      </c>
      <c r="Q654" s="102">
        <v>6000</v>
      </c>
      <c r="R654" s="131"/>
      <c r="S654" s="132"/>
      <c r="T654" s="240">
        <v>16176</v>
      </c>
      <c r="U654" s="100"/>
      <c r="V654" s="130"/>
      <c r="W654" s="210"/>
    </row>
    <row r="655" s="43" customFormat="1" ht="22" hidden="1" customHeight="1" spans="1:23">
      <c r="A655" s="144" t="s">
        <v>2427</v>
      </c>
      <c r="B655" s="273" t="s">
        <v>2234</v>
      </c>
      <c r="C655" s="274"/>
      <c r="D655" s="45" t="s">
        <v>31</v>
      </c>
      <c r="E655" s="45" t="s">
        <v>2428</v>
      </c>
      <c r="F655" s="81" t="str">
        <f>IFERROR(VLOOKUP(E655,客户!B:C,2,FALSE),"/")</f>
        <v>/</v>
      </c>
      <c r="G655" s="45" t="s">
        <v>2429</v>
      </c>
      <c r="H655" s="45" t="s">
        <v>123</v>
      </c>
      <c r="I655" s="45" t="s">
        <v>2430</v>
      </c>
      <c r="J655" s="108">
        <v>43523</v>
      </c>
      <c r="K655" s="108">
        <v>43567</v>
      </c>
      <c r="L655" s="100"/>
      <c r="M655" s="116" t="s">
        <v>2431</v>
      </c>
      <c r="N655" s="108" t="s">
        <v>2432</v>
      </c>
      <c r="O655" s="104"/>
      <c r="P655" s="102">
        <v>39238</v>
      </c>
      <c r="Q655" s="102">
        <v>7878</v>
      </c>
      <c r="R655" s="131">
        <v>0</v>
      </c>
      <c r="S655" s="132"/>
      <c r="T655" s="128">
        <v>31360</v>
      </c>
      <c r="U655" s="100">
        <v>43563</v>
      </c>
      <c r="V655" s="130"/>
      <c r="W655" s="210"/>
    </row>
    <row r="656" s="43" customFormat="1" ht="22" hidden="1" customHeight="1" spans="1:23">
      <c r="A656" s="144" t="s">
        <v>2433</v>
      </c>
      <c r="B656" s="273" t="s">
        <v>2234</v>
      </c>
      <c r="C656" s="274"/>
      <c r="D656" s="45" t="s">
        <v>31</v>
      </c>
      <c r="E656" s="45" t="s">
        <v>2349</v>
      </c>
      <c r="F656" s="81">
        <f>IFERROR(VLOOKUP(E656,客户!B:C,2,FALSE),"/")</f>
        <v>0</v>
      </c>
      <c r="G656" s="45" t="s">
        <v>2434</v>
      </c>
      <c r="H656" s="45" t="s">
        <v>123</v>
      </c>
      <c r="I656" s="45" t="s">
        <v>2355</v>
      </c>
      <c r="J656" s="108">
        <v>43531</v>
      </c>
      <c r="K656" s="108">
        <v>43569</v>
      </c>
      <c r="L656" s="100"/>
      <c r="M656" s="276" t="s">
        <v>2435</v>
      </c>
      <c r="N656" s="108" t="s">
        <v>2436</v>
      </c>
      <c r="O656" s="104"/>
      <c r="P656" s="102">
        <v>28568.24</v>
      </c>
      <c r="Q656" s="102">
        <v>15000</v>
      </c>
      <c r="R656" s="131">
        <v>0</v>
      </c>
      <c r="S656" s="132"/>
      <c r="T656" s="128">
        <v>13517</v>
      </c>
      <c r="U656" s="100">
        <v>43566</v>
      </c>
      <c r="V656" s="130"/>
      <c r="W656" s="210"/>
    </row>
    <row r="657" s="43" customFormat="1" ht="22" hidden="1" customHeight="1" spans="1:23">
      <c r="A657" s="144" t="s">
        <v>2437</v>
      </c>
      <c r="B657" s="174" t="s">
        <v>2234</v>
      </c>
      <c r="C657" s="175"/>
      <c r="D657" s="45" t="s">
        <v>31</v>
      </c>
      <c r="E657" s="45" t="s">
        <v>2438</v>
      </c>
      <c r="F657" s="81">
        <f>IFERROR(VLOOKUP(E657,客户!B:C,2,FALSE),"/")</f>
        <v>0</v>
      </c>
      <c r="G657" s="45" t="s">
        <v>2439</v>
      </c>
      <c r="H657" s="144" t="s">
        <v>147</v>
      </c>
      <c r="I657" s="45" t="s">
        <v>2440</v>
      </c>
      <c r="J657" s="108">
        <v>43545</v>
      </c>
      <c r="K657" s="159">
        <v>43695</v>
      </c>
      <c r="L657" s="287" t="s">
        <v>2441</v>
      </c>
      <c r="M657" s="183" t="s">
        <v>2442</v>
      </c>
      <c r="N657" s="108" t="s">
        <v>2443</v>
      </c>
      <c r="O657" s="104"/>
      <c r="P657" s="102">
        <v>9588</v>
      </c>
      <c r="Q657" s="102">
        <v>2958</v>
      </c>
      <c r="R657" s="131">
        <v>0</v>
      </c>
      <c r="S657" s="132"/>
      <c r="T657" s="102">
        <v>6872</v>
      </c>
      <c r="U657" s="100">
        <v>43707</v>
      </c>
      <c r="V657" s="130" t="s">
        <v>2444</v>
      </c>
      <c r="W657" s="210"/>
    </row>
    <row r="658" s="43" customFormat="1" ht="22" hidden="1" customHeight="1" spans="1:23">
      <c r="A658" s="144" t="s">
        <v>2445</v>
      </c>
      <c r="B658" s="174" t="s">
        <v>2234</v>
      </c>
      <c r="C658" s="175"/>
      <c r="D658" s="45" t="s">
        <v>31</v>
      </c>
      <c r="E658" s="45" t="s">
        <v>2349</v>
      </c>
      <c r="F658" s="81">
        <f>IFERROR(VLOOKUP(E658,客户!B:C,2,FALSE),"/")</f>
        <v>0</v>
      </c>
      <c r="G658" s="45" t="s">
        <v>2446</v>
      </c>
      <c r="H658" s="45" t="s">
        <v>123</v>
      </c>
      <c r="I658" s="45" t="s">
        <v>2447</v>
      </c>
      <c r="J658" s="108">
        <v>43550</v>
      </c>
      <c r="K658" s="108">
        <v>43610</v>
      </c>
      <c r="L658" s="100"/>
      <c r="M658" s="163" t="s">
        <v>2448</v>
      </c>
      <c r="N658" s="108" t="s">
        <v>2449</v>
      </c>
      <c r="O658" s="104"/>
      <c r="P658" s="102">
        <v>23512</v>
      </c>
      <c r="Q658" s="102" t="s">
        <v>2450</v>
      </c>
      <c r="R658" s="131">
        <v>0</v>
      </c>
      <c r="S658" s="132"/>
      <c r="T658" s="102"/>
      <c r="U658" s="100">
        <v>43614</v>
      </c>
      <c r="V658" s="130"/>
      <c r="W658" s="210"/>
    </row>
    <row r="659" s="43" customFormat="1" ht="22" hidden="1" customHeight="1" spans="1:23">
      <c r="A659" s="144" t="s">
        <v>2451</v>
      </c>
      <c r="B659" s="174" t="s">
        <v>2234</v>
      </c>
      <c r="C659" s="175"/>
      <c r="D659" s="45" t="s">
        <v>31</v>
      </c>
      <c r="E659" s="45" t="s">
        <v>2349</v>
      </c>
      <c r="F659" s="81">
        <f>IFERROR(VLOOKUP(E659,客户!B:C,2,FALSE),"/")</f>
        <v>0</v>
      </c>
      <c r="G659" s="45" t="s">
        <v>2452</v>
      </c>
      <c r="H659" s="45" t="s">
        <v>123</v>
      </c>
      <c r="I659" s="45" t="s">
        <v>2447</v>
      </c>
      <c r="J659" s="108">
        <v>43552</v>
      </c>
      <c r="K659" s="108">
        <v>43598</v>
      </c>
      <c r="L659" s="100">
        <v>43641</v>
      </c>
      <c r="M659" s="181" t="s">
        <v>2453</v>
      </c>
      <c r="N659" s="108" t="s">
        <v>2454</v>
      </c>
      <c r="O659" s="104"/>
      <c r="P659" s="102">
        <v>22680.84</v>
      </c>
      <c r="Q659" s="102">
        <v>10000</v>
      </c>
      <c r="R659" s="131">
        <v>0</v>
      </c>
      <c r="S659" s="132"/>
      <c r="T659" s="102">
        <v>14141</v>
      </c>
      <c r="U659" s="100">
        <v>43614</v>
      </c>
      <c r="V659" s="130"/>
      <c r="W659" s="210"/>
    </row>
    <row r="660" s="43" customFormat="1" ht="22" hidden="1" customHeight="1" spans="1:23">
      <c r="A660" s="144" t="s">
        <v>2455</v>
      </c>
      <c r="B660" s="174" t="s">
        <v>2234</v>
      </c>
      <c r="C660" s="175"/>
      <c r="D660" s="45" t="s">
        <v>31</v>
      </c>
      <c r="E660" s="45" t="s">
        <v>2403</v>
      </c>
      <c r="F660" s="81" t="str">
        <f>IFERROR(VLOOKUP(E660,客户!B:C,2,FALSE),"/")</f>
        <v>/</v>
      </c>
      <c r="G660" s="45" t="s">
        <v>2456</v>
      </c>
      <c r="H660" s="45" t="s">
        <v>123</v>
      </c>
      <c r="I660" s="45" t="s">
        <v>205</v>
      </c>
      <c r="J660" s="108">
        <v>43553</v>
      </c>
      <c r="K660" s="108">
        <v>43589</v>
      </c>
      <c r="L660" s="100">
        <v>43631</v>
      </c>
      <c r="M660" s="181" t="s">
        <v>2457</v>
      </c>
      <c r="N660" s="108" t="s">
        <v>2458</v>
      </c>
      <c r="O660" s="104"/>
      <c r="P660" s="102">
        <v>36269.42</v>
      </c>
      <c r="Q660" s="102">
        <v>11000</v>
      </c>
      <c r="R660" s="131">
        <v>0</v>
      </c>
      <c r="S660" s="132"/>
      <c r="T660" s="102">
        <v>25237</v>
      </c>
      <c r="U660" s="100">
        <v>43626</v>
      </c>
      <c r="V660" s="130"/>
      <c r="W660" s="210"/>
    </row>
    <row r="661" s="43" customFormat="1" ht="22" hidden="1" customHeight="1" spans="1:23">
      <c r="A661" s="144" t="s">
        <v>2459</v>
      </c>
      <c r="B661" s="174" t="s">
        <v>2234</v>
      </c>
      <c r="C661" s="175"/>
      <c r="D661" s="45" t="s">
        <v>31</v>
      </c>
      <c r="E661" s="229" t="s">
        <v>2460</v>
      </c>
      <c r="F661" s="81">
        <f>IFERROR(VLOOKUP(E661,客户!B:C,2,FALSE),"/")</f>
        <v>0</v>
      </c>
      <c r="G661" s="45" t="s">
        <v>36</v>
      </c>
      <c r="H661" s="45" t="s">
        <v>123</v>
      </c>
      <c r="I661" s="45" t="s">
        <v>2461</v>
      </c>
      <c r="J661" s="108">
        <v>43557</v>
      </c>
      <c r="K661" s="108">
        <v>43609</v>
      </c>
      <c r="L661" s="100"/>
      <c r="M661" s="288" t="s">
        <v>2462</v>
      </c>
      <c r="N661" s="108" t="s">
        <v>2463</v>
      </c>
      <c r="O661" s="104"/>
      <c r="P661" s="102">
        <v>19841.24</v>
      </c>
      <c r="Q661" s="102" t="s">
        <v>2464</v>
      </c>
      <c r="R661" s="131"/>
      <c r="S661" s="132"/>
      <c r="T661" s="102"/>
      <c r="U661" s="100"/>
      <c r="V661" s="130"/>
      <c r="W661" s="210"/>
    </row>
    <row r="662" s="43" customFormat="1" ht="22" hidden="1" customHeight="1" spans="1:23">
      <c r="A662" s="144" t="s">
        <v>2465</v>
      </c>
      <c r="B662" s="174" t="s">
        <v>2234</v>
      </c>
      <c r="C662" s="175"/>
      <c r="D662" s="45" t="s">
        <v>31</v>
      </c>
      <c r="E662" s="45" t="s">
        <v>2296</v>
      </c>
      <c r="F662" s="81" t="str">
        <f>IFERROR(VLOOKUP(E662,客户!B:C,2,FALSE),"/")</f>
        <v>J4159还差USD265.65没付齐 J4220还有定金5674.3 账上剩5408.65</v>
      </c>
      <c r="G662" s="45" t="s">
        <v>36</v>
      </c>
      <c r="H662" s="45" t="s">
        <v>123</v>
      </c>
      <c r="I662" s="45" t="s">
        <v>1842</v>
      </c>
      <c r="J662" s="108">
        <v>43564</v>
      </c>
      <c r="K662" s="108">
        <v>43606</v>
      </c>
      <c r="L662" s="100"/>
      <c r="M662" s="183" t="s">
        <v>2466</v>
      </c>
      <c r="N662" s="108" t="s">
        <v>2467</v>
      </c>
      <c r="O662" s="104"/>
      <c r="P662" s="102">
        <v>21845.84</v>
      </c>
      <c r="Q662" s="102">
        <v>3000</v>
      </c>
      <c r="R662" s="131">
        <v>0</v>
      </c>
      <c r="S662" s="132"/>
      <c r="T662" s="102">
        <v>18835</v>
      </c>
      <c r="U662" s="100">
        <v>43607</v>
      </c>
      <c r="V662" s="130"/>
      <c r="W662" s="210"/>
    </row>
    <row r="663" s="43" customFormat="1" ht="22" hidden="1" customHeight="1" spans="1:23">
      <c r="A663" s="144" t="s">
        <v>2468</v>
      </c>
      <c r="B663" s="174" t="s">
        <v>2234</v>
      </c>
      <c r="C663" s="175"/>
      <c r="D663" s="45" t="s">
        <v>31</v>
      </c>
      <c r="E663" s="80" t="s">
        <v>2268</v>
      </c>
      <c r="F663" s="81">
        <f>IFERROR(VLOOKUP(E663,客户!B:C,2,FALSE),"/")</f>
        <v>0</v>
      </c>
      <c r="G663" s="45" t="s">
        <v>2264</v>
      </c>
      <c r="H663" s="45" t="s">
        <v>123</v>
      </c>
      <c r="I663" s="45" t="s">
        <v>2469</v>
      </c>
      <c r="J663" s="108">
        <v>43566</v>
      </c>
      <c r="K663" s="108">
        <v>43618</v>
      </c>
      <c r="L663" s="100">
        <v>43662</v>
      </c>
      <c r="M663" s="183" t="s">
        <v>2470</v>
      </c>
      <c r="N663" s="108" t="s">
        <v>500</v>
      </c>
      <c r="O663" s="104"/>
      <c r="P663" s="102">
        <v>20459.37</v>
      </c>
      <c r="Q663" s="102">
        <v>10000</v>
      </c>
      <c r="R663" s="131"/>
      <c r="S663" s="132"/>
      <c r="T663" s="102"/>
      <c r="U663" s="100"/>
      <c r="V663" s="130"/>
      <c r="W663" s="210"/>
    </row>
    <row r="664" s="43" customFormat="1" ht="22" hidden="1" customHeight="1" spans="1:23">
      <c r="A664" s="144" t="s">
        <v>2471</v>
      </c>
      <c r="B664" s="174" t="s">
        <v>2234</v>
      </c>
      <c r="C664" s="175"/>
      <c r="D664" s="45" t="s">
        <v>31</v>
      </c>
      <c r="E664" s="45" t="s">
        <v>2395</v>
      </c>
      <c r="F664" s="81" t="str">
        <f>IFERROR(VLOOKUP(E664,客户!B:C,2,FALSE),"/")</f>
        <v>/</v>
      </c>
      <c r="G664" s="45" t="s">
        <v>2472</v>
      </c>
      <c r="H664" s="45" t="s">
        <v>123</v>
      </c>
      <c r="I664" s="45" t="s">
        <v>542</v>
      </c>
      <c r="J664" s="108">
        <v>43572</v>
      </c>
      <c r="K664" s="108">
        <v>43603</v>
      </c>
      <c r="L664" s="100">
        <v>43649</v>
      </c>
      <c r="M664" s="163" t="s">
        <v>2473</v>
      </c>
      <c r="N664" s="108" t="s">
        <v>2474</v>
      </c>
      <c r="O664" s="104"/>
      <c r="P664" s="102">
        <v>60763</v>
      </c>
      <c r="Q664" s="102">
        <v>16000</v>
      </c>
      <c r="R664" s="131">
        <v>0</v>
      </c>
      <c r="S664" s="132"/>
      <c r="T664" s="102">
        <v>44731</v>
      </c>
      <c r="U664" s="100">
        <v>43642</v>
      </c>
      <c r="V664" s="130"/>
      <c r="W664" s="210"/>
    </row>
    <row r="665" s="43" customFormat="1" ht="22" hidden="1" customHeight="1" spans="1:23">
      <c r="A665" s="144" t="s">
        <v>2475</v>
      </c>
      <c r="B665" s="174" t="s">
        <v>2234</v>
      </c>
      <c r="C665" s="175"/>
      <c r="D665" s="45" t="s">
        <v>31</v>
      </c>
      <c r="E665" s="45" t="s">
        <v>2395</v>
      </c>
      <c r="F665" s="81" t="str">
        <f>IFERROR(VLOOKUP(E665,客户!B:C,2,FALSE),"/")</f>
        <v>/</v>
      </c>
      <c r="G665" s="45" t="s">
        <v>485</v>
      </c>
      <c r="H665" s="45" t="s">
        <v>123</v>
      </c>
      <c r="I665" s="45" t="s">
        <v>1684</v>
      </c>
      <c r="J665" s="108">
        <v>43573</v>
      </c>
      <c r="K665" s="108">
        <v>43603</v>
      </c>
      <c r="L665" s="100">
        <v>43633</v>
      </c>
      <c r="M665" s="163" t="s">
        <v>2476</v>
      </c>
      <c r="N665" s="108" t="s">
        <v>2477</v>
      </c>
      <c r="O665" s="104"/>
      <c r="P665" s="102">
        <v>23855.45</v>
      </c>
      <c r="Q665" s="102">
        <v>8000</v>
      </c>
      <c r="R665" s="131">
        <v>0</v>
      </c>
      <c r="S665" s="132"/>
      <c r="T665" s="102">
        <v>15823</v>
      </c>
      <c r="U665" s="100">
        <v>43627</v>
      </c>
      <c r="V665" s="130"/>
      <c r="W665" s="210"/>
    </row>
    <row r="666" s="43" customFormat="1" ht="22" hidden="1" customHeight="1" spans="1:23">
      <c r="A666" s="144" t="s">
        <v>2478</v>
      </c>
      <c r="B666" s="174" t="s">
        <v>2234</v>
      </c>
      <c r="C666" s="175"/>
      <c r="D666" s="45" t="s">
        <v>31</v>
      </c>
      <c r="E666" s="45" t="s">
        <v>2386</v>
      </c>
      <c r="F666" s="81" t="str">
        <f>IFERROR(VLOOKUP(E666,客户!B:C,2,FALSE),"/")</f>
        <v>/</v>
      </c>
      <c r="G666" s="45" t="s">
        <v>36</v>
      </c>
      <c r="H666" s="45" t="s">
        <v>123</v>
      </c>
      <c r="I666" s="45" t="s">
        <v>1626</v>
      </c>
      <c r="J666" s="108">
        <v>43576</v>
      </c>
      <c r="K666" s="108">
        <v>43616</v>
      </c>
      <c r="L666" s="100">
        <v>43661</v>
      </c>
      <c r="M666" s="163" t="s">
        <v>2479</v>
      </c>
      <c r="N666" s="108" t="s">
        <v>2480</v>
      </c>
      <c r="O666" s="104"/>
      <c r="P666" s="102">
        <v>29763.09</v>
      </c>
      <c r="Q666" s="102">
        <v>3000</v>
      </c>
      <c r="R666" s="131">
        <v>0</v>
      </c>
      <c r="S666" s="132"/>
      <c r="T666" s="102">
        <v>26713</v>
      </c>
      <c r="U666" s="100">
        <v>43655</v>
      </c>
      <c r="V666" s="130"/>
      <c r="W666" s="210"/>
    </row>
    <row r="667" s="43" customFormat="1" ht="22" hidden="1" customHeight="1" spans="1:23">
      <c r="A667" s="144" t="s">
        <v>2481</v>
      </c>
      <c r="B667" s="174" t="s">
        <v>2234</v>
      </c>
      <c r="C667" s="175"/>
      <c r="D667" s="45" t="s">
        <v>31</v>
      </c>
      <c r="E667" s="229" t="s">
        <v>2482</v>
      </c>
      <c r="F667" s="81" t="str">
        <f>IFERROR(VLOOKUP(E667,客户!B:C,2,FALSE),"/")</f>
        <v>/</v>
      </c>
      <c r="G667" s="45" t="s">
        <v>43</v>
      </c>
      <c r="H667" s="45" t="s">
        <v>123</v>
      </c>
      <c r="I667" s="45" t="s">
        <v>1684</v>
      </c>
      <c r="J667" s="108">
        <v>43595</v>
      </c>
      <c r="K667" s="108">
        <v>43648</v>
      </c>
      <c r="L667" s="100">
        <v>43689</v>
      </c>
      <c r="M667" s="181" t="s">
        <v>2483</v>
      </c>
      <c r="N667" s="108" t="s">
        <v>2484</v>
      </c>
      <c r="O667" s="104"/>
      <c r="P667" s="102">
        <v>23602.8</v>
      </c>
      <c r="Q667" s="102">
        <v>13000</v>
      </c>
      <c r="R667" s="131">
        <v>0</v>
      </c>
      <c r="S667" s="132"/>
      <c r="T667" s="102">
        <v>17070</v>
      </c>
      <c r="U667" s="100">
        <v>43678</v>
      </c>
      <c r="V667" s="130"/>
      <c r="W667" s="210"/>
    </row>
    <row r="668" s="43" customFormat="1" ht="22" hidden="1" customHeight="1" spans="1:23">
      <c r="A668" s="144" t="s">
        <v>2485</v>
      </c>
      <c r="B668" s="273" t="s">
        <v>2234</v>
      </c>
      <c r="C668" s="274"/>
      <c r="D668" s="45" t="s">
        <v>31</v>
      </c>
      <c r="E668" s="45" t="s">
        <v>2486</v>
      </c>
      <c r="F668" s="81">
        <f>IFERROR(VLOOKUP(E668,客户!B:C,2,FALSE),"/")</f>
        <v>0</v>
      </c>
      <c r="G668" s="45" t="s">
        <v>2487</v>
      </c>
      <c r="H668" s="45" t="s">
        <v>186</v>
      </c>
      <c r="I668" s="45"/>
      <c r="J668" s="108">
        <v>43601</v>
      </c>
      <c r="K668" s="108"/>
      <c r="L668" s="100"/>
      <c r="M668" s="108"/>
      <c r="N668" s="108"/>
      <c r="O668" s="104"/>
      <c r="P668" s="102"/>
      <c r="Q668" s="102"/>
      <c r="R668" s="131"/>
      <c r="S668" s="132"/>
      <c r="T668" s="102"/>
      <c r="U668" s="100"/>
      <c r="V668" s="130"/>
      <c r="W668" s="210"/>
    </row>
    <row r="669" s="43" customFormat="1" ht="22" hidden="1" customHeight="1" spans="1:23">
      <c r="A669" s="144" t="s">
        <v>2488</v>
      </c>
      <c r="B669" s="174" t="s">
        <v>2234</v>
      </c>
      <c r="C669" s="175"/>
      <c r="D669" s="45" t="s">
        <v>31</v>
      </c>
      <c r="E669" s="45" t="s">
        <v>2395</v>
      </c>
      <c r="F669" s="81" t="str">
        <f>IFERROR(VLOOKUP(E669,客户!B:C,2,FALSE),"/")</f>
        <v>/</v>
      </c>
      <c r="G669" s="45" t="s">
        <v>2472</v>
      </c>
      <c r="H669" s="45" t="s">
        <v>123</v>
      </c>
      <c r="I669" s="45" t="s">
        <v>560</v>
      </c>
      <c r="J669" s="108">
        <v>43601</v>
      </c>
      <c r="K669" s="108">
        <v>43645</v>
      </c>
      <c r="L669" s="100">
        <v>43689</v>
      </c>
      <c r="M669" s="181" t="s">
        <v>2489</v>
      </c>
      <c r="N669" s="108" t="s">
        <v>2490</v>
      </c>
      <c r="O669" s="104"/>
      <c r="P669" s="102">
        <v>60361</v>
      </c>
      <c r="Q669" s="102">
        <v>20000</v>
      </c>
      <c r="R669" s="131"/>
      <c r="S669" s="132"/>
      <c r="T669" s="102">
        <v>40361</v>
      </c>
      <c r="U669" s="100"/>
      <c r="V669" s="130"/>
      <c r="W669" s="210"/>
    </row>
    <row r="670" s="43" customFormat="1" ht="22" hidden="1" customHeight="1" spans="1:23">
      <c r="A670" s="144" t="s">
        <v>2491</v>
      </c>
      <c r="B670" s="174" t="s">
        <v>2234</v>
      </c>
      <c r="C670" s="175"/>
      <c r="D670" s="45" t="s">
        <v>31</v>
      </c>
      <c r="E670" s="231" t="s">
        <v>2492</v>
      </c>
      <c r="F670" s="81" t="str">
        <f>IFERROR(VLOOKUP(E670,客户!B:C,2,FALSE),"/")</f>
        <v>/</v>
      </c>
      <c r="G670" s="45" t="s">
        <v>234</v>
      </c>
      <c r="H670" s="45" t="s">
        <v>123</v>
      </c>
      <c r="I670" s="45" t="s">
        <v>1684</v>
      </c>
      <c r="J670" s="108">
        <v>43601</v>
      </c>
      <c r="K670" s="159">
        <v>43683</v>
      </c>
      <c r="L670" s="100">
        <v>43728</v>
      </c>
      <c r="M670" s="181" t="s">
        <v>2493</v>
      </c>
      <c r="N670" s="108" t="s">
        <v>2494</v>
      </c>
      <c r="O670" s="104"/>
      <c r="P670" s="102"/>
      <c r="Q670" s="102"/>
      <c r="R670" s="131">
        <v>0</v>
      </c>
      <c r="S670" s="132"/>
      <c r="T670" s="102">
        <v>55581</v>
      </c>
      <c r="U670" s="100">
        <v>43724</v>
      </c>
      <c r="V670" s="130"/>
      <c r="W670" s="210"/>
    </row>
    <row r="671" s="43" customFormat="1" ht="22" hidden="1" customHeight="1" spans="1:23">
      <c r="A671" s="144" t="s">
        <v>2495</v>
      </c>
      <c r="B671" s="273" t="s">
        <v>2234</v>
      </c>
      <c r="C671" s="274"/>
      <c r="D671" s="45" t="s">
        <v>31</v>
      </c>
      <c r="E671" s="45" t="s">
        <v>2496</v>
      </c>
      <c r="F671" s="81">
        <f>IFERROR(VLOOKUP(E671,客户!B:C,2,FALSE),"/")</f>
        <v>0</v>
      </c>
      <c r="G671" s="45" t="s">
        <v>91</v>
      </c>
      <c r="H671" s="45" t="s">
        <v>186</v>
      </c>
      <c r="I671" s="45" t="s">
        <v>2497</v>
      </c>
      <c r="J671" s="108">
        <v>43602</v>
      </c>
      <c r="K671" s="100">
        <v>43612</v>
      </c>
      <c r="L671" s="100"/>
      <c r="M671" s="196" t="s">
        <v>2498</v>
      </c>
      <c r="N671" s="108" t="s">
        <v>2480</v>
      </c>
      <c r="O671" s="104"/>
      <c r="P671" s="102"/>
      <c r="Q671" s="139"/>
      <c r="R671" s="131"/>
      <c r="S671" s="132"/>
      <c r="T671" s="102"/>
      <c r="U671" s="100"/>
      <c r="V671" s="130"/>
      <c r="W671" s="210"/>
    </row>
    <row r="672" s="43" customFormat="1" ht="22" hidden="1" customHeight="1" spans="1:23">
      <c r="A672" s="144" t="s">
        <v>2499</v>
      </c>
      <c r="B672" s="273" t="s">
        <v>2234</v>
      </c>
      <c r="C672" s="274"/>
      <c r="D672" s="45" t="s">
        <v>31</v>
      </c>
      <c r="E672" s="45" t="s">
        <v>2349</v>
      </c>
      <c r="F672" s="81">
        <f>IFERROR(VLOOKUP(E672,客户!B:C,2,FALSE),"/")</f>
        <v>0</v>
      </c>
      <c r="G672" s="45" t="s">
        <v>91</v>
      </c>
      <c r="H672" s="45" t="s">
        <v>123</v>
      </c>
      <c r="I672" s="45" t="s">
        <v>2500</v>
      </c>
      <c r="J672" s="108">
        <v>43617</v>
      </c>
      <c r="K672" s="100">
        <v>43662</v>
      </c>
      <c r="L672" s="100"/>
      <c r="M672" s="196" t="s">
        <v>2501</v>
      </c>
      <c r="N672" s="108" t="s">
        <v>2502</v>
      </c>
      <c r="O672" s="104"/>
      <c r="P672" s="102">
        <v>21626.32</v>
      </c>
      <c r="Q672" s="102" t="s">
        <v>2503</v>
      </c>
      <c r="R672" s="131">
        <v>0</v>
      </c>
      <c r="S672" s="132"/>
      <c r="T672" s="102">
        <v>12696</v>
      </c>
      <c r="U672" s="100">
        <v>43658</v>
      </c>
      <c r="V672" s="130"/>
      <c r="W672" s="210"/>
    </row>
    <row r="673" s="43" customFormat="1" ht="22" hidden="1" customHeight="1" spans="1:23">
      <c r="A673" s="144" t="s">
        <v>2504</v>
      </c>
      <c r="B673" s="174" t="s">
        <v>2234</v>
      </c>
      <c r="C673" s="175"/>
      <c r="D673" s="45" t="s">
        <v>31</v>
      </c>
      <c r="E673" s="45" t="s">
        <v>2505</v>
      </c>
      <c r="F673" s="81" t="str">
        <f>IFERROR(VLOOKUP(E673,客户!B:C,2,FALSE),"/")</f>
        <v>/</v>
      </c>
      <c r="G673" s="45" t="s">
        <v>43</v>
      </c>
      <c r="H673" s="45" t="s">
        <v>123</v>
      </c>
      <c r="I673" s="45" t="s">
        <v>2506</v>
      </c>
      <c r="J673" s="108">
        <v>43619</v>
      </c>
      <c r="K673" s="100">
        <v>43651</v>
      </c>
      <c r="L673" s="100">
        <v>43701</v>
      </c>
      <c r="M673" s="181" t="s">
        <v>2507</v>
      </c>
      <c r="N673" s="108" t="s">
        <v>2508</v>
      </c>
      <c r="O673" s="104"/>
      <c r="P673" s="102">
        <v>26257.4</v>
      </c>
      <c r="Q673" s="102" t="s">
        <v>2509</v>
      </c>
      <c r="R673" s="131">
        <v>0</v>
      </c>
      <c r="S673" s="132"/>
      <c r="T673" s="102">
        <v>14195</v>
      </c>
      <c r="U673" s="100">
        <v>43725</v>
      </c>
      <c r="V673" s="130"/>
      <c r="W673" s="210"/>
    </row>
    <row r="674" s="43" customFormat="1" ht="22" hidden="1" customHeight="1" spans="1:23">
      <c r="A674" s="144" t="s">
        <v>2510</v>
      </c>
      <c r="B674" s="174" t="s">
        <v>2234</v>
      </c>
      <c r="C674" s="175"/>
      <c r="D674" s="45" t="s">
        <v>31</v>
      </c>
      <c r="E674" s="45" t="s">
        <v>2349</v>
      </c>
      <c r="F674" s="81">
        <f>IFERROR(VLOOKUP(E674,客户!B:C,2,FALSE),"/")</f>
        <v>0</v>
      </c>
      <c r="G674" s="45" t="s">
        <v>2511</v>
      </c>
      <c r="H674" s="45" t="s">
        <v>123</v>
      </c>
      <c r="I674" s="45" t="s">
        <v>2500</v>
      </c>
      <c r="J674" s="108">
        <v>43620</v>
      </c>
      <c r="K674" s="100">
        <v>43682</v>
      </c>
      <c r="L674" s="100"/>
      <c r="M674" s="108" t="s">
        <v>2512</v>
      </c>
      <c r="N674" s="108" t="s">
        <v>2480</v>
      </c>
      <c r="O674" s="104"/>
      <c r="P674" s="102">
        <v>19731</v>
      </c>
      <c r="Q674" s="102">
        <v>5000</v>
      </c>
      <c r="R674" s="131"/>
      <c r="S674" s="132"/>
      <c r="T674" s="102">
        <v>14698.5</v>
      </c>
      <c r="U674" s="100">
        <v>43686</v>
      </c>
      <c r="V674" s="130"/>
      <c r="W674" s="210"/>
    </row>
    <row r="675" s="43" customFormat="1" ht="22" hidden="1" customHeight="1" spans="1:23">
      <c r="A675" s="144" t="s">
        <v>2513</v>
      </c>
      <c r="B675" s="174" t="s">
        <v>2234</v>
      </c>
      <c r="C675" s="175"/>
      <c r="D675" s="45" t="s">
        <v>31</v>
      </c>
      <c r="E675" s="229" t="s">
        <v>2514</v>
      </c>
      <c r="F675" s="81">
        <f>IFERROR(VLOOKUP(E675,客户!B:C,2,FALSE),"/")</f>
        <v>0</v>
      </c>
      <c r="G675" s="45" t="s">
        <v>68</v>
      </c>
      <c r="H675" s="45" t="s">
        <v>127</v>
      </c>
      <c r="I675" s="45" t="s">
        <v>2515</v>
      </c>
      <c r="J675" s="108">
        <v>43686</v>
      </c>
      <c r="K675" s="100">
        <v>43749</v>
      </c>
      <c r="L675" s="100">
        <v>43813</v>
      </c>
      <c r="M675" s="177" t="s">
        <v>2516</v>
      </c>
      <c r="N675" s="108" t="s">
        <v>2517</v>
      </c>
      <c r="O675" s="104" t="s">
        <v>680</v>
      </c>
      <c r="P675" s="289">
        <v>49897.5</v>
      </c>
      <c r="Q675" s="102">
        <v>3000</v>
      </c>
      <c r="R675" s="131"/>
      <c r="S675" s="132"/>
      <c r="T675" s="102">
        <v>46897.5</v>
      </c>
      <c r="U675" s="100">
        <v>43829</v>
      </c>
      <c r="V675" s="130"/>
      <c r="W675" s="210"/>
    </row>
    <row r="676" s="43" customFormat="1" ht="22" hidden="1" customHeight="1" spans="1:23">
      <c r="A676" s="144" t="s">
        <v>2518</v>
      </c>
      <c r="B676" s="174" t="s">
        <v>2234</v>
      </c>
      <c r="C676" s="175"/>
      <c r="D676" s="45" t="s">
        <v>31</v>
      </c>
      <c r="E676" s="45" t="s">
        <v>2519</v>
      </c>
      <c r="F676" s="81">
        <f>IFERROR(VLOOKUP(E676,客户!B:C,2,FALSE),"/")</f>
        <v>0</v>
      </c>
      <c r="G676" s="45" t="s">
        <v>36</v>
      </c>
      <c r="H676" s="45" t="s">
        <v>123</v>
      </c>
      <c r="I676" s="45" t="s">
        <v>2520</v>
      </c>
      <c r="J676" s="108">
        <v>43627</v>
      </c>
      <c r="K676" s="100">
        <v>43688</v>
      </c>
      <c r="L676" s="100">
        <v>43734</v>
      </c>
      <c r="M676" s="196" t="s">
        <v>2521</v>
      </c>
      <c r="N676" s="108" t="s">
        <v>2522</v>
      </c>
      <c r="O676" s="104"/>
      <c r="P676" s="102">
        <v>19486</v>
      </c>
      <c r="Q676" s="102">
        <v>5125</v>
      </c>
      <c r="R676" s="131">
        <v>0</v>
      </c>
      <c r="S676" s="132"/>
      <c r="T676" s="102">
        <v>14195</v>
      </c>
      <c r="U676" s="100">
        <v>43726</v>
      </c>
      <c r="V676" s="130"/>
      <c r="W676" s="210"/>
    </row>
    <row r="677" s="43" customFormat="1" ht="22" hidden="1" customHeight="1" spans="1:23">
      <c r="A677" s="144" t="s">
        <v>2523</v>
      </c>
      <c r="B677" s="174" t="s">
        <v>2234</v>
      </c>
      <c r="C677" s="175"/>
      <c r="D677" s="45" t="s">
        <v>31</v>
      </c>
      <c r="E677" s="45" t="s">
        <v>2403</v>
      </c>
      <c r="F677" s="81" t="str">
        <f>IFERROR(VLOOKUP(E677,客户!B:C,2,FALSE),"/")</f>
        <v>/</v>
      </c>
      <c r="G677" s="45" t="s">
        <v>36</v>
      </c>
      <c r="H677" s="45" t="s">
        <v>123</v>
      </c>
      <c r="I677" s="45" t="s">
        <v>312</v>
      </c>
      <c r="J677" s="108">
        <v>43628</v>
      </c>
      <c r="K677" s="100">
        <v>43658</v>
      </c>
      <c r="L677" s="100">
        <v>43701</v>
      </c>
      <c r="M677" s="181" t="s">
        <v>2524</v>
      </c>
      <c r="N677" s="108" t="s">
        <v>2525</v>
      </c>
      <c r="O677" s="104"/>
      <c r="P677" s="102">
        <v>19740</v>
      </c>
      <c r="Q677" s="102">
        <v>10000</v>
      </c>
      <c r="R677" s="131">
        <v>0</v>
      </c>
      <c r="S677" s="132"/>
      <c r="T677" s="102">
        <v>9740</v>
      </c>
      <c r="U677" s="100">
        <v>43699</v>
      </c>
      <c r="V677" s="130"/>
      <c r="W677" s="210"/>
    </row>
    <row r="678" s="43" customFormat="1" ht="22" hidden="1" customHeight="1" spans="1:23">
      <c r="A678" s="190" t="s">
        <v>2526</v>
      </c>
      <c r="B678" s="174" t="s">
        <v>2234</v>
      </c>
      <c r="C678" s="175"/>
      <c r="D678" s="45" t="s">
        <v>31</v>
      </c>
      <c r="E678" s="45" t="s">
        <v>2403</v>
      </c>
      <c r="F678" s="81" t="str">
        <f>IFERROR(VLOOKUP(E678,客户!B:C,2,FALSE),"/")</f>
        <v>/</v>
      </c>
      <c r="G678" s="45" t="s">
        <v>91</v>
      </c>
      <c r="H678" s="45" t="s">
        <v>123</v>
      </c>
      <c r="I678" s="45" t="s">
        <v>312</v>
      </c>
      <c r="J678" s="108">
        <v>43628</v>
      </c>
      <c r="K678" s="100">
        <v>43703</v>
      </c>
      <c r="L678" s="100">
        <v>43740</v>
      </c>
      <c r="M678" s="206" t="s">
        <v>2527</v>
      </c>
      <c r="N678" s="108" t="s">
        <v>2528</v>
      </c>
      <c r="O678" s="104"/>
      <c r="P678" s="102">
        <v>16590.03</v>
      </c>
      <c r="Q678" s="102">
        <v>5000</v>
      </c>
      <c r="R678" s="131">
        <v>0</v>
      </c>
      <c r="S678" s="132"/>
      <c r="T678" s="207">
        <v>11552</v>
      </c>
      <c r="U678" s="205">
        <v>43734</v>
      </c>
      <c r="V678" s="130"/>
      <c r="W678" s="210"/>
    </row>
    <row r="679" s="43" customFormat="1" ht="22" hidden="1" customHeight="1" spans="1:23">
      <c r="A679" s="144" t="s">
        <v>2529</v>
      </c>
      <c r="B679" s="174" t="s">
        <v>2234</v>
      </c>
      <c r="C679" s="175"/>
      <c r="D679" s="45" t="s">
        <v>31</v>
      </c>
      <c r="E679" s="45" t="s">
        <v>2403</v>
      </c>
      <c r="F679" s="81" t="str">
        <f>IFERROR(VLOOKUP(E679,客户!B:C,2,FALSE),"/")</f>
        <v>/</v>
      </c>
      <c r="G679" s="45" t="s">
        <v>566</v>
      </c>
      <c r="H679" s="45" t="s">
        <v>123</v>
      </c>
      <c r="I679" s="45" t="s">
        <v>312</v>
      </c>
      <c r="J679" s="108">
        <v>43642</v>
      </c>
      <c r="K679" s="100">
        <v>43687</v>
      </c>
      <c r="L679" s="100">
        <v>43725</v>
      </c>
      <c r="M679" s="196" t="s">
        <v>2530</v>
      </c>
      <c r="N679" s="108" t="s">
        <v>2531</v>
      </c>
      <c r="O679" s="104"/>
      <c r="P679" s="102">
        <v>39343</v>
      </c>
      <c r="Q679" s="102">
        <v>11000</v>
      </c>
      <c r="R679" s="131">
        <v>0</v>
      </c>
      <c r="S679" s="132"/>
      <c r="T679" s="102">
        <v>28343</v>
      </c>
      <c r="U679" s="100">
        <v>43718</v>
      </c>
      <c r="V679" s="130"/>
      <c r="W679" s="210"/>
    </row>
    <row r="680" s="43" customFormat="1" ht="22" hidden="1" customHeight="1" spans="1:23">
      <c r="A680" s="144" t="s">
        <v>2532</v>
      </c>
      <c r="B680" s="174" t="s">
        <v>2234</v>
      </c>
      <c r="C680" s="175"/>
      <c r="D680" s="45" t="s">
        <v>31</v>
      </c>
      <c r="E680" s="45" t="s">
        <v>2296</v>
      </c>
      <c r="F680" s="81" t="str">
        <f>IFERROR(VLOOKUP(E680,客户!B:C,2,FALSE),"/")</f>
        <v>J4159还差USD265.65没付齐 J4220还有定金5674.3 账上剩5408.65</v>
      </c>
      <c r="G680" s="45" t="s">
        <v>36</v>
      </c>
      <c r="H680" s="45" t="s">
        <v>123</v>
      </c>
      <c r="I680" s="45" t="s">
        <v>1842</v>
      </c>
      <c r="J680" s="108">
        <v>43690</v>
      </c>
      <c r="K680" s="100">
        <v>43747</v>
      </c>
      <c r="L680" s="100"/>
      <c r="M680" s="108" t="s">
        <v>2533</v>
      </c>
      <c r="N680" s="108" t="s">
        <v>2534</v>
      </c>
      <c r="O680" s="104"/>
      <c r="P680" s="289">
        <v>22122.598</v>
      </c>
      <c r="Q680" s="102">
        <v>5000</v>
      </c>
      <c r="R680" s="131"/>
      <c r="S680" s="132"/>
      <c r="T680" s="102">
        <v>17125.6</v>
      </c>
      <c r="U680" s="100">
        <v>43762</v>
      </c>
      <c r="V680" s="130"/>
      <c r="W680" s="210"/>
    </row>
    <row r="681" s="43" customFormat="1" ht="22" hidden="1" customHeight="1" spans="1:23">
      <c r="A681" s="144" t="s">
        <v>2535</v>
      </c>
      <c r="B681" s="174" t="s">
        <v>2234</v>
      </c>
      <c r="C681" s="175"/>
      <c r="D681" s="45" t="s">
        <v>31</v>
      </c>
      <c r="E681" s="229" t="s">
        <v>2536</v>
      </c>
      <c r="F681" s="81" t="str">
        <f>IFERROR(VLOOKUP(E681,客户!B:C,2,FALSE),"/")</f>
        <v>/</v>
      </c>
      <c r="G681" s="45" t="s">
        <v>91</v>
      </c>
      <c r="H681" s="45" t="s">
        <v>123</v>
      </c>
      <c r="I681" s="45" t="s">
        <v>1626</v>
      </c>
      <c r="J681" s="108">
        <v>43690</v>
      </c>
      <c r="K681" s="100">
        <v>43752</v>
      </c>
      <c r="L681" s="100">
        <v>43797</v>
      </c>
      <c r="M681" s="182" t="s">
        <v>2537</v>
      </c>
      <c r="N681" s="198" t="s">
        <v>2538</v>
      </c>
      <c r="O681" s="104" t="s">
        <v>523</v>
      </c>
      <c r="P681" s="102">
        <v>20151</v>
      </c>
      <c r="Q681" s="102">
        <v>3000</v>
      </c>
      <c r="R681" s="131"/>
      <c r="S681" s="132"/>
      <c r="T681" s="102">
        <v>17120.5</v>
      </c>
      <c r="U681" s="100">
        <v>43788</v>
      </c>
      <c r="V681" s="130"/>
      <c r="W681" s="210"/>
    </row>
    <row r="682" s="43" customFormat="1" ht="22" hidden="1" customHeight="1" spans="1:23">
      <c r="A682" s="145" t="s">
        <v>2539</v>
      </c>
      <c r="B682" s="174" t="s">
        <v>2234</v>
      </c>
      <c r="C682" s="175"/>
      <c r="D682" s="45" t="s">
        <v>31</v>
      </c>
      <c r="E682" s="45" t="s">
        <v>2349</v>
      </c>
      <c r="F682" s="81">
        <f>IFERROR(VLOOKUP(E682,客户!B:C,2,FALSE),"/")</f>
        <v>0</v>
      </c>
      <c r="G682" s="45" t="s">
        <v>36</v>
      </c>
      <c r="H682" s="45" t="s">
        <v>123</v>
      </c>
      <c r="I682" s="45" t="s">
        <v>241</v>
      </c>
      <c r="J682" s="108">
        <v>43697</v>
      </c>
      <c r="K682" s="100">
        <v>43766</v>
      </c>
      <c r="L682" s="100">
        <v>43818</v>
      </c>
      <c r="M682" s="178" t="s">
        <v>2540</v>
      </c>
      <c r="N682" s="108" t="s">
        <v>2541</v>
      </c>
      <c r="O682" s="104" t="s">
        <v>523</v>
      </c>
      <c r="P682" s="102">
        <v>22807.4</v>
      </c>
      <c r="Q682" s="102">
        <v>5000</v>
      </c>
      <c r="R682" s="131"/>
      <c r="S682" s="132"/>
      <c r="T682" s="102">
        <v>17774.5</v>
      </c>
      <c r="U682" s="100">
        <v>43801</v>
      </c>
      <c r="V682" s="130"/>
      <c r="W682" s="210"/>
    </row>
    <row r="683" s="43" customFormat="1" ht="22" hidden="1" customHeight="1" spans="1:23">
      <c r="A683" s="144" t="s">
        <v>2542</v>
      </c>
      <c r="B683" s="174" t="s">
        <v>2234</v>
      </c>
      <c r="C683" s="175"/>
      <c r="D683" s="45" t="s">
        <v>31</v>
      </c>
      <c r="E683" s="45" t="s">
        <v>2349</v>
      </c>
      <c r="F683" s="81">
        <f>IFERROR(VLOOKUP(E683,客户!B:C,2,FALSE),"/")</f>
        <v>0</v>
      </c>
      <c r="G683" s="45" t="s">
        <v>91</v>
      </c>
      <c r="H683" s="45" t="s">
        <v>123</v>
      </c>
      <c r="I683" s="45" t="s">
        <v>241</v>
      </c>
      <c r="J683" s="108">
        <v>43700</v>
      </c>
      <c r="K683" s="100">
        <v>43766</v>
      </c>
      <c r="L683" s="100">
        <v>43818</v>
      </c>
      <c r="M683" s="178" t="s">
        <v>2543</v>
      </c>
      <c r="N683" s="108" t="s">
        <v>2544</v>
      </c>
      <c r="O683" s="104" t="s">
        <v>523</v>
      </c>
      <c r="P683" s="102">
        <v>20438.45</v>
      </c>
      <c r="Q683" s="102">
        <v>5000</v>
      </c>
      <c r="R683" s="131"/>
      <c r="S683" s="132"/>
      <c r="T683" s="102">
        <v>15405.5</v>
      </c>
      <c r="U683" s="100">
        <v>43802</v>
      </c>
      <c r="V683" s="130"/>
      <c r="W683" s="210"/>
    </row>
    <row r="684" s="43" customFormat="1" ht="22" hidden="1" customHeight="1" spans="1:23">
      <c r="A684" s="190" t="s">
        <v>2545</v>
      </c>
      <c r="B684" s="273" t="s">
        <v>2234</v>
      </c>
      <c r="C684" s="274"/>
      <c r="D684" s="45" t="s">
        <v>31</v>
      </c>
      <c r="E684" s="45" t="s">
        <v>2546</v>
      </c>
      <c r="F684" s="81" t="str">
        <f>IFERROR(VLOOKUP(E684,客户!B:C,2,FALSE),"/")</f>
        <v>/</v>
      </c>
      <c r="G684" s="45" t="s">
        <v>2547</v>
      </c>
      <c r="H684" s="45"/>
      <c r="I684" s="45" t="s">
        <v>2548</v>
      </c>
      <c r="J684" s="108">
        <v>43720</v>
      </c>
      <c r="K684" s="100">
        <v>43730</v>
      </c>
      <c r="L684" s="100"/>
      <c r="M684" s="108" t="s">
        <v>2549</v>
      </c>
      <c r="N684" s="108" t="s">
        <v>2550</v>
      </c>
      <c r="O684" s="104"/>
      <c r="P684" s="102" t="s">
        <v>2551</v>
      </c>
      <c r="Q684" s="102" t="s">
        <v>2552</v>
      </c>
      <c r="R684" s="131"/>
      <c r="S684" s="132"/>
      <c r="T684" s="102"/>
      <c r="U684" s="100"/>
      <c r="V684" s="130"/>
      <c r="W684" s="210"/>
    </row>
    <row r="685" s="43" customFormat="1" ht="22" hidden="1" customHeight="1" spans="1:23">
      <c r="A685" s="144" t="s">
        <v>2553</v>
      </c>
      <c r="B685" s="174" t="s">
        <v>2234</v>
      </c>
      <c r="C685" s="175"/>
      <c r="D685" s="45" t="s">
        <v>31</v>
      </c>
      <c r="E685" s="45" t="s">
        <v>2349</v>
      </c>
      <c r="F685" s="81">
        <f>IFERROR(VLOOKUP(E685,客户!B:C,2,FALSE),"/")</f>
        <v>0</v>
      </c>
      <c r="G685" s="45" t="s">
        <v>1771</v>
      </c>
      <c r="H685" s="45" t="s">
        <v>123</v>
      </c>
      <c r="I685" s="45" t="s">
        <v>241</v>
      </c>
      <c r="J685" s="108">
        <v>43731</v>
      </c>
      <c r="K685" s="100">
        <v>43791</v>
      </c>
      <c r="L685" s="100">
        <v>43823</v>
      </c>
      <c r="M685" s="159" t="s">
        <v>2554</v>
      </c>
      <c r="N685" s="108" t="s">
        <v>2555</v>
      </c>
      <c r="O685" s="104" t="s">
        <v>523</v>
      </c>
      <c r="P685" s="102">
        <v>23555.68</v>
      </c>
      <c r="Q685" s="102">
        <v>5000</v>
      </c>
      <c r="R685" s="131"/>
      <c r="S685" s="132"/>
      <c r="T685" s="102">
        <v>18522.5</v>
      </c>
      <c r="U685" s="100">
        <v>43817</v>
      </c>
      <c r="V685" s="130"/>
      <c r="W685" s="210"/>
    </row>
    <row r="686" s="43" customFormat="1" ht="22" hidden="1" customHeight="1" spans="1:23">
      <c r="A686" s="144" t="s">
        <v>2556</v>
      </c>
      <c r="B686" s="174" t="s">
        <v>2234</v>
      </c>
      <c r="C686" s="175"/>
      <c r="D686" s="45" t="s">
        <v>31</v>
      </c>
      <c r="E686" s="45" t="s">
        <v>2349</v>
      </c>
      <c r="F686" s="81">
        <f>IFERROR(VLOOKUP(E686,客户!B:C,2,FALSE),"/")</f>
        <v>0</v>
      </c>
      <c r="G686" s="45" t="s">
        <v>1771</v>
      </c>
      <c r="H686" s="45" t="s">
        <v>123</v>
      </c>
      <c r="I686" s="45" t="s">
        <v>241</v>
      </c>
      <c r="J686" s="108">
        <v>43731</v>
      </c>
      <c r="K686" s="100">
        <v>43784</v>
      </c>
      <c r="L686" s="100">
        <v>43823</v>
      </c>
      <c r="M686" s="178" t="s">
        <v>2557</v>
      </c>
      <c r="N686" s="108" t="s">
        <v>2555</v>
      </c>
      <c r="O686" s="104" t="s">
        <v>523</v>
      </c>
      <c r="P686" s="102">
        <v>21781</v>
      </c>
      <c r="Q686" s="102">
        <v>5000</v>
      </c>
      <c r="R686" s="131"/>
      <c r="S686" s="132"/>
      <c r="T686" s="102">
        <v>16748.5</v>
      </c>
      <c r="U686" s="100">
        <v>43817</v>
      </c>
      <c r="V686" s="130"/>
      <c r="W686" s="210"/>
    </row>
    <row r="687" s="43" customFormat="1" ht="22" hidden="1" customHeight="1" spans="1:23">
      <c r="A687" s="144" t="s">
        <v>2558</v>
      </c>
      <c r="B687" s="174" t="s">
        <v>2234</v>
      </c>
      <c r="C687" s="175"/>
      <c r="D687" s="45" t="s">
        <v>31</v>
      </c>
      <c r="E687" s="45" t="s">
        <v>2559</v>
      </c>
      <c r="F687" s="81" t="str">
        <f>IFERROR(VLOOKUP(E687,客户!B:C,2,FALSE),"/")</f>
        <v>/</v>
      </c>
      <c r="G687" s="45" t="s">
        <v>2560</v>
      </c>
      <c r="H687" s="45" t="s">
        <v>186</v>
      </c>
      <c r="I687" s="45"/>
      <c r="J687" s="108">
        <v>43756</v>
      </c>
      <c r="K687" s="100"/>
      <c r="L687" s="100"/>
      <c r="M687" s="108"/>
      <c r="N687" s="108"/>
      <c r="O687" s="104"/>
      <c r="P687" s="102" t="s">
        <v>2561</v>
      </c>
      <c r="Q687" s="102" t="s">
        <v>1059</v>
      </c>
      <c r="R687" s="284"/>
      <c r="S687" s="132"/>
      <c r="T687" s="240">
        <v>77500</v>
      </c>
      <c r="U687" s="100">
        <v>43784</v>
      </c>
      <c r="V687" s="130"/>
      <c r="W687" s="210"/>
    </row>
    <row r="688" s="43" customFormat="1" ht="22" hidden="1" customHeight="1" spans="1:23">
      <c r="A688" s="144" t="s">
        <v>2562</v>
      </c>
      <c r="B688" s="174" t="s">
        <v>2234</v>
      </c>
      <c r="C688" s="175"/>
      <c r="D688" s="45" t="s">
        <v>31</v>
      </c>
      <c r="E688" s="45" t="s">
        <v>2563</v>
      </c>
      <c r="F688" s="81" t="str">
        <f>IFERROR(VLOOKUP(E688,客户!B:C,2,FALSE),"/")</f>
        <v>/</v>
      </c>
      <c r="G688" s="45" t="s">
        <v>2564</v>
      </c>
      <c r="H688" s="45" t="s">
        <v>186</v>
      </c>
      <c r="I688" s="45"/>
      <c r="J688" s="108">
        <v>43759</v>
      </c>
      <c r="K688" s="100">
        <v>43785</v>
      </c>
      <c r="L688" s="100"/>
      <c r="M688" s="159" t="s">
        <v>2565</v>
      </c>
      <c r="N688" s="108"/>
      <c r="O688" s="104" t="s">
        <v>970</v>
      </c>
      <c r="P688" s="102" t="s">
        <v>2566</v>
      </c>
      <c r="Q688" s="102" t="s">
        <v>2567</v>
      </c>
      <c r="R688" s="131"/>
      <c r="S688" s="132"/>
      <c r="T688" s="102" t="s">
        <v>2568</v>
      </c>
      <c r="U688" s="100"/>
      <c r="V688" s="130"/>
      <c r="W688" s="210"/>
    </row>
    <row r="689" s="43" customFormat="1" ht="22" hidden="1" customHeight="1" spans="1:23">
      <c r="A689" s="144" t="s">
        <v>2569</v>
      </c>
      <c r="B689" s="174" t="s">
        <v>2234</v>
      </c>
      <c r="C689" s="175"/>
      <c r="D689" s="45" t="s">
        <v>31</v>
      </c>
      <c r="E689" s="229" t="s">
        <v>2460</v>
      </c>
      <c r="F689" s="81">
        <f>IFERROR(VLOOKUP(E689,客户!B:C,2,FALSE),"/")</f>
        <v>0</v>
      </c>
      <c r="G689" s="45" t="s">
        <v>2570</v>
      </c>
      <c r="H689" s="45" t="s">
        <v>123</v>
      </c>
      <c r="I689" s="45" t="s">
        <v>2571</v>
      </c>
      <c r="J689" s="108">
        <v>43761</v>
      </c>
      <c r="K689" s="100">
        <v>43793</v>
      </c>
      <c r="L689" s="100">
        <v>43823</v>
      </c>
      <c r="M689" s="159" t="s">
        <v>2572</v>
      </c>
      <c r="N689" s="108" t="s">
        <v>2573</v>
      </c>
      <c r="O689" s="104" t="s">
        <v>523</v>
      </c>
      <c r="P689" s="102">
        <v>18166.65</v>
      </c>
      <c r="Q689" s="102">
        <v>10000</v>
      </c>
      <c r="R689" s="131"/>
      <c r="S689" s="132"/>
      <c r="T689" s="102" t="s">
        <v>2574</v>
      </c>
      <c r="U689" s="100">
        <v>43815</v>
      </c>
      <c r="V689" s="130"/>
      <c r="W689" s="210"/>
    </row>
    <row r="690" s="43" customFormat="1" ht="22" hidden="1" customHeight="1" spans="1:23">
      <c r="A690" s="144" t="s">
        <v>2575</v>
      </c>
      <c r="B690" s="174" t="s">
        <v>2234</v>
      </c>
      <c r="C690" s="175"/>
      <c r="D690" s="45" t="s">
        <v>31</v>
      </c>
      <c r="E690" s="229" t="s">
        <v>2576</v>
      </c>
      <c r="F690" s="81" t="str">
        <f>IFERROR(VLOOKUP(E690,客户!B:C,2,FALSE),"/")</f>
        <v>J4159还差USD265.65没付齐 J4220还有定金5674.3 账上剩5408.65</v>
      </c>
      <c r="G690" s="45" t="s">
        <v>36</v>
      </c>
      <c r="H690" s="45" t="s">
        <v>123</v>
      </c>
      <c r="I690" s="45" t="s">
        <v>1842</v>
      </c>
      <c r="J690" s="108">
        <v>43762</v>
      </c>
      <c r="K690" s="100">
        <v>43797</v>
      </c>
      <c r="L690" s="100">
        <v>43831</v>
      </c>
      <c r="M690" s="181" t="s">
        <v>2577</v>
      </c>
      <c r="N690" s="108" t="s">
        <v>2578</v>
      </c>
      <c r="O690" s="104" t="s">
        <v>523</v>
      </c>
      <c r="P690" s="102">
        <v>22717.76</v>
      </c>
      <c r="Q690" s="102">
        <v>5000</v>
      </c>
      <c r="R690" s="131">
        <v>0</v>
      </c>
      <c r="S690" s="132"/>
      <c r="T690" s="102">
        <v>17717.76</v>
      </c>
      <c r="U690" s="100">
        <v>43796</v>
      </c>
      <c r="V690" s="130"/>
      <c r="W690" s="210"/>
    </row>
    <row r="691" s="43" customFormat="1" ht="22" hidden="1" customHeight="1" spans="1:23">
      <c r="A691" s="144" t="s">
        <v>2579</v>
      </c>
      <c r="B691" s="174" t="s">
        <v>2234</v>
      </c>
      <c r="C691" s="175"/>
      <c r="D691" s="45" t="s">
        <v>31</v>
      </c>
      <c r="E691" s="229" t="s">
        <v>2580</v>
      </c>
      <c r="F691" s="81" t="str">
        <f>IFERROR(VLOOKUP(E691,客户!B:C,2,FALSE),"/")</f>
        <v>/</v>
      </c>
      <c r="G691" s="45" t="s">
        <v>2581</v>
      </c>
      <c r="H691" s="45" t="s">
        <v>123</v>
      </c>
      <c r="I691" s="45" t="s">
        <v>2582</v>
      </c>
      <c r="J691" s="108">
        <v>43770</v>
      </c>
      <c r="K691" s="100">
        <v>43806</v>
      </c>
      <c r="L691" s="100">
        <v>43844</v>
      </c>
      <c r="M691" s="159" t="s">
        <v>2583</v>
      </c>
      <c r="N691" s="108" t="s">
        <v>2584</v>
      </c>
      <c r="O691" s="104" t="s">
        <v>523</v>
      </c>
      <c r="P691" s="102">
        <v>54093.7</v>
      </c>
      <c r="Q691" s="102">
        <v>27000</v>
      </c>
      <c r="R691" s="131"/>
      <c r="S691" s="132"/>
      <c r="T691" s="102">
        <v>27093.7</v>
      </c>
      <c r="U691" s="100">
        <v>43839</v>
      </c>
      <c r="V691" s="130"/>
      <c r="W691" s="210"/>
    </row>
    <row r="692" s="43" customFormat="1" ht="22" hidden="1" customHeight="1" spans="1:23">
      <c r="A692" s="144" t="s">
        <v>2585</v>
      </c>
      <c r="B692" s="174" t="s">
        <v>2234</v>
      </c>
      <c r="C692" s="175"/>
      <c r="D692" s="45" t="s">
        <v>31</v>
      </c>
      <c r="E692" s="229" t="s">
        <v>2586</v>
      </c>
      <c r="F692" s="81">
        <f>IFERROR(VLOOKUP(E692,客户!B:C,2,FALSE),"/")</f>
        <v>0</v>
      </c>
      <c r="G692" s="45" t="s">
        <v>2587</v>
      </c>
      <c r="H692" s="45" t="s">
        <v>147</v>
      </c>
      <c r="I692" s="45" t="s">
        <v>947</v>
      </c>
      <c r="J692" s="108">
        <v>43790</v>
      </c>
      <c r="K692" s="100">
        <v>43820</v>
      </c>
      <c r="L692" s="100">
        <v>43836</v>
      </c>
      <c r="M692" s="108" t="s">
        <v>2588</v>
      </c>
      <c r="N692" s="108" t="s">
        <v>2589</v>
      </c>
      <c r="O692" s="104" t="s">
        <v>523</v>
      </c>
      <c r="P692" s="102">
        <v>20020.58</v>
      </c>
      <c r="Q692" s="102">
        <f>P692-R692</f>
        <v>20020.58</v>
      </c>
      <c r="R692" s="131"/>
      <c r="S692" s="132"/>
      <c r="T692" s="102">
        <v>13993.08</v>
      </c>
      <c r="U692" s="100">
        <v>43829</v>
      </c>
      <c r="V692" s="130"/>
      <c r="W692" s="210"/>
    </row>
    <row r="693" s="43" customFormat="1" ht="22" hidden="1" customHeight="1" spans="1:23">
      <c r="A693" s="144" t="s">
        <v>2590</v>
      </c>
      <c r="B693" s="174" t="s">
        <v>2234</v>
      </c>
      <c r="C693" s="175"/>
      <c r="D693" s="45" t="s">
        <v>31</v>
      </c>
      <c r="E693" s="45" t="s">
        <v>2320</v>
      </c>
      <c r="F693" s="81" t="str">
        <f>IFERROR(VLOOKUP(E693,客户!B:C,2,FALSE),"/")</f>
        <v>/</v>
      </c>
      <c r="G693" s="45" t="s">
        <v>2591</v>
      </c>
      <c r="H693" s="45" t="s">
        <v>123</v>
      </c>
      <c r="I693" s="45" t="s">
        <v>2592</v>
      </c>
      <c r="J693" s="108">
        <v>43790</v>
      </c>
      <c r="K693" s="100">
        <v>43813</v>
      </c>
      <c r="L693" s="100">
        <v>43844</v>
      </c>
      <c r="M693" s="159" t="s">
        <v>2593</v>
      </c>
      <c r="N693" s="108" t="s">
        <v>2594</v>
      </c>
      <c r="O693" s="104" t="s">
        <v>523</v>
      </c>
      <c r="P693" s="102">
        <v>38063.28</v>
      </c>
      <c r="Q693" s="102">
        <v>10000</v>
      </c>
      <c r="R693" s="131"/>
      <c r="S693" s="132"/>
      <c r="T693" s="102">
        <v>28063.28</v>
      </c>
      <c r="U693" s="100">
        <v>43839</v>
      </c>
      <c r="V693" s="130"/>
      <c r="W693" s="210"/>
    </row>
    <row r="694" s="43" customFormat="1" ht="22" hidden="1" customHeight="1" spans="1:23">
      <c r="A694" s="144" t="s">
        <v>2595</v>
      </c>
      <c r="B694" s="174" t="s">
        <v>2234</v>
      </c>
      <c r="C694" s="175"/>
      <c r="D694" s="45" t="s">
        <v>31</v>
      </c>
      <c r="E694" s="45" t="s">
        <v>2596</v>
      </c>
      <c r="F694" s="81" t="str">
        <f>IFERROR(VLOOKUP(E694,客户!B:C,2,FALSE),"/")</f>
        <v>/</v>
      </c>
      <c r="G694" s="45" t="s">
        <v>2597</v>
      </c>
      <c r="H694" s="45" t="s">
        <v>186</v>
      </c>
      <c r="I694" s="45"/>
      <c r="J694" s="108">
        <v>43791</v>
      </c>
      <c r="K694" s="100">
        <v>43804</v>
      </c>
      <c r="L694" s="100"/>
      <c r="M694" s="108" t="s">
        <v>2598</v>
      </c>
      <c r="N694" s="108"/>
      <c r="O694" s="104" t="s">
        <v>970</v>
      </c>
      <c r="P694" s="102" t="s">
        <v>2599</v>
      </c>
      <c r="Q694" s="102" t="s">
        <v>2600</v>
      </c>
      <c r="R694" s="131"/>
      <c r="S694" s="132"/>
      <c r="T694" s="102" t="s">
        <v>2601</v>
      </c>
      <c r="U694" s="100">
        <v>43804</v>
      </c>
      <c r="V694" s="130"/>
      <c r="W694" s="210"/>
    </row>
    <row r="695" s="43" customFormat="1" ht="22" hidden="1" customHeight="1" spans="1:23">
      <c r="A695" s="144" t="s">
        <v>2602</v>
      </c>
      <c r="B695" s="174" t="s">
        <v>2234</v>
      </c>
      <c r="C695" s="175"/>
      <c r="D695" s="45" t="s">
        <v>31</v>
      </c>
      <c r="E695" s="45" t="s">
        <v>2296</v>
      </c>
      <c r="F695" s="81" t="str">
        <f>IFERROR(VLOOKUP(E695,客户!B:C,2,FALSE),"/")</f>
        <v>J4159还差USD265.65没付齐 J4220还有定金5674.3 账上剩5408.65</v>
      </c>
      <c r="G695" s="45" t="s">
        <v>36</v>
      </c>
      <c r="H695" s="45" t="s">
        <v>123</v>
      </c>
      <c r="I695" s="45" t="s">
        <v>1842</v>
      </c>
      <c r="J695" s="108">
        <v>43795</v>
      </c>
      <c r="K695" s="100">
        <v>43831</v>
      </c>
      <c r="L695" s="100">
        <v>43866</v>
      </c>
      <c r="M695" s="108" t="s">
        <v>2603</v>
      </c>
      <c r="N695" s="108" t="s">
        <v>2604</v>
      </c>
      <c r="O695" s="104" t="s">
        <v>523</v>
      </c>
      <c r="P695" s="102">
        <v>22763.71</v>
      </c>
      <c r="Q695" s="102">
        <v>7000</v>
      </c>
      <c r="R695" s="131"/>
      <c r="S695" s="132"/>
      <c r="T695" s="102">
        <v>15753.71</v>
      </c>
      <c r="U695" s="100">
        <v>43840</v>
      </c>
      <c r="V695" s="130"/>
      <c r="W695" s="210"/>
    </row>
    <row r="696" s="43" customFormat="1" ht="22" hidden="1" customHeight="1" spans="1:23">
      <c r="A696" s="144" t="s">
        <v>2605</v>
      </c>
      <c r="B696" s="174" t="s">
        <v>2234</v>
      </c>
      <c r="C696" s="175"/>
      <c r="D696" s="45" t="s">
        <v>31</v>
      </c>
      <c r="E696" s="45" t="s">
        <v>2606</v>
      </c>
      <c r="F696" s="81" t="str">
        <f>IFERROR(VLOOKUP(E696,客户!B:C,2,FALSE),"/")</f>
        <v>/</v>
      </c>
      <c r="G696" s="45" t="s">
        <v>2607</v>
      </c>
      <c r="H696" s="45" t="s">
        <v>123</v>
      </c>
      <c r="I696" s="45" t="s">
        <v>241</v>
      </c>
      <c r="J696" s="108">
        <v>43808</v>
      </c>
      <c r="K696" s="100">
        <v>43855</v>
      </c>
      <c r="L696" s="100">
        <v>43916</v>
      </c>
      <c r="M696" s="108" t="s">
        <v>2608</v>
      </c>
      <c r="N696" s="198" t="s">
        <v>2609</v>
      </c>
      <c r="O696" s="104" t="s">
        <v>523</v>
      </c>
      <c r="P696" s="102">
        <v>41064</v>
      </c>
      <c r="Q696" s="102">
        <v>7700</v>
      </c>
      <c r="R696" s="131"/>
      <c r="S696" s="132"/>
      <c r="T696" s="102">
        <v>33314.17</v>
      </c>
      <c r="U696" s="100">
        <v>43896</v>
      </c>
      <c r="V696" s="130"/>
      <c r="W696" s="210"/>
    </row>
    <row r="697" s="43" customFormat="1" ht="22" hidden="1" customHeight="1" spans="1:23">
      <c r="A697" s="144" t="s">
        <v>2610</v>
      </c>
      <c r="B697" s="174" t="s">
        <v>2234</v>
      </c>
      <c r="C697" s="175"/>
      <c r="D697" s="45" t="s">
        <v>31</v>
      </c>
      <c r="E697" s="82" t="s">
        <v>1508</v>
      </c>
      <c r="F697" s="81">
        <f>IFERROR(VLOOKUP(E697,客户!B:C,2,FALSE),"/")</f>
        <v>0</v>
      </c>
      <c r="G697" s="45" t="s">
        <v>941</v>
      </c>
      <c r="H697" s="45" t="s">
        <v>123</v>
      </c>
      <c r="I697" s="45" t="s">
        <v>2611</v>
      </c>
      <c r="J697" s="108">
        <v>43839</v>
      </c>
      <c r="K697" s="100">
        <v>43931</v>
      </c>
      <c r="L697" s="100">
        <v>43974</v>
      </c>
      <c r="M697" s="165" t="s">
        <v>2612</v>
      </c>
      <c r="N697" s="198" t="s">
        <v>2613</v>
      </c>
      <c r="O697" s="104" t="s">
        <v>523</v>
      </c>
      <c r="P697" s="102">
        <v>21593.725</v>
      </c>
      <c r="Q697" s="102">
        <v>5000</v>
      </c>
      <c r="R697" s="131"/>
      <c r="S697" s="132"/>
      <c r="T697" s="102">
        <v>16593.73</v>
      </c>
      <c r="U697" s="100"/>
      <c r="V697" s="219" t="s">
        <v>2614</v>
      </c>
      <c r="W697" s="210"/>
    </row>
    <row r="698" s="43" customFormat="1" ht="22" hidden="1" customHeight="1" spans="1:23">
      <c r="A698" s="144" t="s">
        <v>2615</v>
      </c>
      <c r="B698" s="174" t="s">
        <v>2234</v>
      </c>
      <c r="C698" s="175"/>
      <c r="D698" s="45" t="s">
        <v>31</v>
      </c>
      <c r="E698" s="82" t="s">
        <v>2616</v>
      </c>
      <c r="F698" s="81">
        <f>IFERROR(VLOOKUP(E698,客户!B:C,2,FALSE),"/")</f>
        <v>0</v>
      </c>
      <c r="G698" s="45" t="s">
        <v>2617</v>
      </c>
      <c r="H698" s="229" t="s">
        <v>970</v>
      </c>
      <c r="I698" s="45"/>
      <c r="J698" s="108">
        <v>43850</v>
      </c>
      <c r="K698" s="100">
        <v>44009</v>
      </c>
      <c r="L698" s="100"/>
      <c r="M698" s="165" t="s">
        <v>2618</v>
      </c>
      <c r="N698" s="198" t="s">
        <v>2619</v>
      </c>
      <c r="O698" s="104" t="s">
        <v>970</v>
      </c>
      <c r="P698" s="240">
        <v>177701.48</v>
      </c>
      <c r="Q698" s="240">
        <v>45000</v>
      </c>
      <c r="R698" s="131"/>
      <c r="S698" s="132"/>
      <c r="T698" s="240">
        <f>50000+82701</f>
        <v>132701</v>
      </c>
      <c r="U698" s="100"/>
      <c r="V698" s="130"/>
      <c r="W698" s="210"/>
    </row>
    <row r="699" s="43" customFormat="1" ht="22" hidden="1" customHeight="1" spans="1:23">
      <c r="A699" s="144" t="s">
        <v>2620</v>
      </c>
      <c r="B699" s="174" t="s">
        <v>2234</v>
      </c>
      <c r="C699" s="175"/>
      <c r="D699" s="45" t="s">
        <v>31</v>
      </c>
      <c r="E699" s="229" t="s">
        <v>2576</v>
      </c>
      <c r="F699" s="81" t="str">
        <f>IFERROR(VLOOKUP(E699,客户!B:C,2,FALSE),"/")</f>
        <v>J4159还差USD265.65没付齐 J4220还有定金5674.3 账上剩5408.65</v>
      </c>
      <c r="G699" s="45" t="s">
        <v>36</v>
      </c>
      <c r="H699" s="45" t="s">
        <v>154</v>
      </c>
      <c r="I699" s="45" t="s">
        <v>1346</v>
      </c>
      <c r="J699" s="108">
        <v>43867</v>
      </c>
      <c r="K699" s="100">
        <v>43915</v>
      </c>
      <c r="L699" s="100">
        <v>43950</v>
      </c>
      <c r="M699" s="165" t="s">
        <v>2621</v>
      </c>
      <c r="N699" s="108" t="s">
        <v>1844</v>
      </c>
      <c r="O699" s="104" t="s">
        <v>523</v>
      </c>
      <c r="P699" s="102">
        <v>20156.83</v>
      </c>
      <c r="Q699" s="102">
        <v>3000</v>
      </c>
      <c r="R699" s="131"/>
      <c r="S699" s="132"/>
      <c r="T699" s="102">
        <f>3000+14146.83</f>
        <v>17146.83</v>
      </c>
      <c r="U699" s="100"/>
      <c r="V699" s="246" t="s">
        <v>2622</v>
      </c>
      <c r="W699" s="210"/>
    </row>
    <row r="700" s="43" customFormat="1" ht="22" hidden="1" customHeight="1" spans="1:23">
      <c r="A700" s="144" t="s">
        <v>2623</v>
      </c>
      <c r="B700" s="174" t="s">
        <v>2234</v>
      </c>
      <c r="C700" s="175"/>
      <c r="D700" s="45" t="s">
        <v>31</v>
      </c>
      <c r="E700" s="82" t="s">
        <v>1508</v>
      </c>
      <c r="F700" s="81">
        <f>IFERROR(VLOOKUP(E700,客户!B:C,2,FALSE),"/")</f>
        <v>0</v>
      </c>
      <c r="G700" s="45" t="s">
        <v>2624</v>
      </c>
      <c r="H700" s="45" t="s">
        <v>123</v>
      </c>
      <c r="I700" s="45" t="s">
        <v>2625</v>
      </c>
      <c r="J700" s="108">
        <v>43871</v>
      </c>
      <c r="K700" s="100">
        <v>43945</v>
      </c>
      <c r="L700" s="100">
        <v>43986</v>
      </c>
      <c r="M700" s="165" t="s">
        <v>2626</v>
      </c>
      <c r="N700" s="198" t="s">
        <v>2627</v>
      </c>
      <c r="O700" s="104" t="s">
        <v>523</v>
      </c>
      <c r="P700" s="102">
        <v>57975</v>
      </c>
      <c r="Q700" s="102">
        <v>16000</v>
      </c>
      <c r="R700" s="131"/>
      <c r="S700" s="132"/>
      <c r="T700" s="102">
        <v>41943</v>
      </c>
      <c r="U700" s="100"/>
      <c r="V700" s="243" t="s">
        <v>2628</v>
      </c>
      <c r="W700" s="210"/>
    </row>
    <row r="701" s="43" customFormat="1" ht="22" hidden="1" customHeight="1" spans="1:23">
      <c r="A701" s="144" t="s">
        <v>2629</v>
      </c>
      <c r="B701" s="174" t="s">
        <v>2234</v>
      </c>
      <c r="C701" s="175"/>
      <c r="D701" s="45" t="s">
        <v>31</v>
      </c>
      <c r="E701" s="82" t="s">
        <v>2630</v>
      </c>
      <c r="F701" s="81">
        <f>IFERROR(VLOOKUP(E701,客户!B:C,2,FALSE),"/")</f>
        <v>0</v>
      </c>
      <c r="G701" s="45" t="s">
        <v>2631</v>
      </c>
      <c r="H701" s="45" t="s">
        <v>123</v>
      </c>
      <c r="I701" s="45" t="s">
        <v>2632</v>
      </c>
      <c r="J701" s="108">
        <v>43884</v>
      </c>
      <c r="K701" s="100">
        <v>43962</v>
      </c>
      <c r="L701" s="100">
        <v>43997</v>
      </c>
      <c r="M701" s="165" t="s">
        <v>2633</v>
      </c>
      <c r="N701" s="198" t="s">
        <v>2634</v>
      </c>
      <c r="O701" s="104" t="s">
        <v>523</v>
      </c>
      <c r="P701" s="102">
        <v>22826</v>
      </c>
      <c r="Q701" s="102">
        <v>3000</v>
      </c>
      <c r="R701" s="131"/>
      <c r="S701" s="132"/>
      <c r="T701" s="102">
        <v>19795.5</v>
      </c>
      <c r="U701" s="100"/>
      <c r="V701" s="243" t="s">
        <v>2635</v>
      </c>
      <c r="W701" s="210"/>
    </row>
    <row r="702" s="43" customFormat="1" ht="22" hidden="1" customHeight="1" spans="1:23">
      <c r="A702" s="144" t="s">
        <v>2636</v>
      </c>
      <c r="B702" s="174" t="s">
        <v>2234</v>
      </c>
      <c r="C702" s="175"/>
      <c r="D702" s="45" t="s">
        <v>31</v>
      </c>
      <c r="E702" s="82" t="s">
        <v>2630</v>
      </c>
      <c r="F702" s="81">
        <f>IFERROR(VLOOKUP(E702,客户!B:C,2,FALSE),"/")</f>
        <v>0</v>
      </c>
      <c r="G702" s="45" t="s">
        <v>2637</v>
      </c>
      <c r="H702" s="45" t="s">
        <v>123</v>
      </c>
      <c r="I702" s="45" t="s">
        <v>2638</v>
      </c>
      <c r="J702" s="108">
        <v>43884</v>
      </c>
      <c r="K702" s="100">
        <v>43981</v>
      </c>
      <c r="L702" s="100">
        <v>44011</v>
      </c>
      <c r="M702" s="198" t="s">
        <v>2639</v>
      </c>
      <c r="N702" s="198" t="s">
        <v>2640</v>
      </c>
      <c r="O702" s="104" t="s">
        <v>523</v>
      </c>
      <c r="P702" s="102">
        <v>15277.72</v>
      </c>
      <c r="Q702" s="102">
        <v>3000</v>
      </c>
      <c r="R702" s="131"/>
      <c r="S702" s="132"/>
      <c r="T702" s="102">
        <v>12239.72</v>
      </c>
      <c r="U702" s="100"/>
      <c r="V702" s="243" t="s">
        <v>2641</v>
      </c>
      <c r="W702" s="210"/>
    </row>
    <row r="703" s="43" customFormat="1" ht="22" hidden="1" customHeight="1" spans="1:23">
      <c r="A703" s="144" t="s">
        <v>2642</v>
      </c>
      <c r="B703" s="174" t="s">
        <v>2234</v>
      </c>
      <c r="C703" s="175"/>
      <c r="D703" s="45" t="s">
        <v>31</v>
      </c>
      <c r="E703" s="82" t="s">
        <v>2643</v>
      </c>
      <c r="F703" s="81">
        <f>IFERROR(VLOOKUP(E703,客户!B:C,2,FALSE),"/")</f>
        <v>0</v>
      </c>
      <c r="G703" s="229" t="s">
        <v>2644</v>
      </c>
      <c r="H703" s="45" t="s">
        <v>123</v>
      </c>
      <c r="I703" s="45" t="s">
        <v>2408</v>
      </c>
      <c r="J703" s="108">
        <v>43884</v>
      </c>
      <c r="K703" s="100">
        <v>43947</v>
      </c>
      <c r="L703" s="100">
        <v>43985</v>
      </c>
      <c r="M703" s="198" t="s">
        <v>2645</v>
      </c>
      <c r="N703" s="198" t="s">
        <v>2646</v>
      </c>
      <c r="O703" s="104" t="s">
        <v>523</v>
      </c>
      <c r="P703" s="102">
        <v>7138.8</v>
      </c>
      <c r="Q703" s="102">
        <v>4000</v>
      </c>
      <c r="R703" s="131"/>
      <c r="S703" s="132"/>
      <c r="T703" s="102">
        <v>3128.8</v>
      </c>
      <c r="U703" s="100"/>
      <c r="V703" s="246" t="s">
        <v>2647</v>
      </c>
      <c r="W703" s="210"/>
    </row>
    <row r="704" s="43" customFormat="1" ht="22" hidden="1" customHeight="1" spans="1:23">
      <c r="A704" s="220" t="s">
        <v>2648</v>
      </c>
      <c r="B704" s="174" t="s">
        <v>2234</v>
      </c>
      <c r="C704" s="175"/>
      <c r="D704" s="45" t="s">
        <v>31</v>
      </c>
      <c r="E704" s="82" t="s">
        <v>2649</v>
      </c>
      <c r="F704" s="81">
        <f>IFERROR(VLOOKUP(E704,客户!B:C,2,FALSE),"/")</f>
        <v>0</v>
      </c>
      <c r="G704" s="45" t="s">
        <v>2650</v>
      </c>
      <c r="H704" s="45" t="s">
        <v>147</v>
      </c>
      <c r="I704" s="45" t="s">
        <v>2651</v>
      </c>
      <c r="J704" s="108">
        <v>43885</v>
      </c>
      <c r="K704" s="100">
        <v>44058</v>
      </c>
      <c r="L704" s="100">
        <v>44074</v>
      </c>
      <c r="M704" s="165" t="s">
        <v>2652</v>
      </c>
      <c r="N704" s="198" t="s">
        <v>2653</v>
      </c>
      <c r="O704" s="104" t="s">
        <v>523</v>
      </c>
      <c r="P704" s="102">
        <v>20069.6</v>
      </c>
      <c r="Q704" s="102">
        <v>6000</v>
      </c>
      <c r="R704" s="131"/>
      <c r="S704" s="132"/>
      <c r="T704" s="102">
        <v>14069.6</v>
      </c>
      <c r="U704" s="100"/>
      <c r="V704" s="130"/>
      <c r="W704" s="210"/>
    </row>
    <row r="705" s="43" customFormat="1" ht="23" hidden="1" customHeight="1" spans="1:23">
      <c r="A705" s="220" t="s">
        <v>2654</v>
      </c>
      <c r="B705" s="174" t="s">
        <v>2234</v>
      </c>
      <c r="C705" s="175"/>
      <c r="D705" s="45" t="s">
        <v>31</v>
      </c>
      <c r="E705" s="83" t="s">
        <v>2655</v>
      </c>
      <c r="F705" s="81">
        <f>IFERROR(VLOOKUP(E705,客户!B:C,2,FALSE),"/")</f>
        <v>0</v>
      </c>
      <c r="G705" s="45" t="s">
        <v>2656</v>
      </c>
      <c r="H705" s="45" t="s">
        <v>123</v>
      </c>
      <c r="I705" s="45" t="s">
        <v>2571</v>
      </c>
      <c r="J705" s="108">
        <v>43892</v>
      </c>
      <c r="K705" s="100">
        <v>43994</v>
      </c>
      <c r="L705" s="100">
        <v>44040</v>
      </c>
      <c r="M705" s="198" t="s">
        <v>2657</v>
      </c>
      <c r="N705" s="198" t="s">
        <v>2658</v>
      </c>
      <c r="O705" s="104" t="s">
        <v>523</v>
      </c>
      <c r="P705" s="102">
        <v>19449.85</v>
      </c>
      <c r="Q705" s="102">
        <f>4000+5000+5000+1833</f>
        <v>15833</v>
      </c>
      <c r="R705" s="131"/>
      <c r="S705" s="132"/>
      <c r="T705" s="102">
        <v>3616.9</v>
      </c>
      <c r="U705" s="100"/>
      <c r="V705" s="243" t="s">
        <v>2659</v>
      </c>
      <c r="W705" s="210"/>
    </row>
    <row r="706" s="43" customFormat="1" ht="22" hidden="1" customHeight="1" spans="1:23">
      <c r="A706" s="144" t="s">
        <v>2660</v>
      </c>
      <c r="B706" s="174" t="s">
        <v>2234</v>
      </c>
      <c r="C706" s="175"/>
      <c r="D706" s="45" t="s">
        <v>31</v>
      </c>
      <c r="E706" s="82" t="s">
        <v>2514</v>
      </c>
      <c r="F706" s="81">
        <f>IFERROR(VLOOKUP(E706,客户!B:C,2,FALSE),"/")</f>
        <v>0</v>
      </c>
      <c r="G706" s="45" t="s">
        <v>2661</v>
      </c>
      <c r="H706" s="45" t="s">
        <v>127</v>
      </c>
      <c r="I706" s="45" t="s">
        <v>2662</v>
      </c>
      <c r="J706" s="108">
        <v>43896</v>
      </c>
      <c r="K706" s="100">
        <v>43981</v>
      </c>
      <c r="L706" s="100">
        <v>44043</v>
      </c>
      <c r="M706" s="198" t="s">
        <v>2663</v>
      </c>
      <c r="N706" s="198" t="s">
        <v>2664</v>
      </c>
      <c r="O706" s="104" t="s">
        <v>523</v>
      </c>
      <c r="P706" s="102">
        <v>76895.73</v>
      </c>
      <c r="Q706" s="102"/>
      <c r="R706" s="131"/>
      <c r="S706" s="132"/>
      <c r="T706" s="102">
        <v>76895.73</v>
      </c>
      <c r="U706" s="100"/>
      <c r="V706" s="219" t="s">
        <v>2665</v>
      </c>
      <c r="W706" s="210"/>
    </row>
    <row r="707" s="43" customFormat="1" ht="22" hidden="1" customHeight="1" spans="1:23">
      <c r="A707" s="144" t="s">
        <v>2666</v>
      </c>
      <c r="B707" s="174" t="s">
        <v>2234</v>
      </c>
      <c r="C707" s="175"/>
      <c r="D707" s="45" t="s">
        <v>31</v>
      </c>
      <c r="E707" s="82" t="s">
        <v>1508</v>
      </c>
      <c r="F707" s="81">
        <f>IFERROR(VLOOKUP(E707,客户!B:C,2,FALSE),"/")</f>
        <v>0</v>
      </c>
      <c r="G707" s="45" t="s">
        <v>43</v>
      </c>
      <c r="H707" s="45" t="s">
        <v>123</v>
      </c>
      <c r="I707" s="45" t="s">
        <v>2360</v>
      </c>
      <c r="J707" s="108">
        <v>43907</v>
      </c>
      <c r="K707" s="100">
        <v>43946</v>
      </c>
      <c r="L707" s="100">
        <v>43982</v>
      </c>
      <c r="M707" s="164" t="s">
        <v>2667</v>
      </c>
      <c r="N707" s="198" t="s">
        <v>2668</v>
      </c>
      <c r="O707" s="104" t="s">
        <v>523</v>
      </c>
      <c r="P707" s="102">
        <v>21372.2</v>
      </c>
      <c r="Q707" s="102">
        <v>5000</v>
      </c>
      <c r="R707" s="131"/>
      <c r="S707" s="132"/>
      <c r="T707" s="102">
        <v>16340</v>
      </c>
      <c r="U707" s="100"/>
      <c r="V707" s="243" t="s">
        <v>2669</v>
      </c>
      <c r="W707" s="210"/>
    </row>
    <row r="708" s="43" customFormat="1" ht="22" hidden="1" customHeight="1" spans="1:23">
      <c r="A708" s="144" t="s">
        <v>2670</v>
      </c>
      <c r="B708" s="174" t="s">
        <v>2234</v>
      </c>
      <c r="C708" s="175"/>
      <c r="D708" s="45" t="s">
        <v>31</v>
      </c>
      <c r="E708" s="82" t="s">
        <v>1508</v>
      </c>
      <c r="F708" s="81">
        <f>IFERROR(VLOOKUP(E708,客户!B:C,2,FALSE),"/")</f>
        <v>0</v>
      </c>
      <c r="G708" s="45" t="s">
        <v>2671</v>
      </c>
      <c r="H708" s="45" t="s">
        <v>123</v>
      </c>
      <c r="I708" s="45" t="s">
        <v>2672</v>
      </c>
      <c r="J708" s="108">
        <v>43927</v>
      </c>
      <c r="K708" s="100">
        <v>43995</v>
      </c>
      <c r="L708" s="100">
        <v>44027</v>
      </c>
      <c r="M708" s="165" t="s">
        <v>2673</v>
      </c>
      <c r="N708" s="198" t="s">
        <v>2674</v>
      </c>
      <c r="O708" s="104" t="s">
        <v>523</v>
      </c>
      <c r="P708" s="102">
        <v>39270.4</v>
      </c>
      <c r="Q708" s="102">
        <v>8550</v>
      </c>
      <c r="R708" s="131"/>
      <c r="S708" s="132"/>
      <c r="T708" s="102">
        <v>30679</v>
      </c>
      <c r="U708" s="100"/>
      <c r="V708" s="243" t="s">
        <v>2675</v>
      </c>
      <c r="W708" s="210"/>
    </row>
    <row r="709" s="43" customFormat="1" ht="22" hidden="1" customHeight="1" spans="1:23">
      <c r="A709" s="144" t="s">
        <v>2676</v>
      </c>
      <c r="B709" s="174" t="s">
        <v>2234</v>
      </c>
      <c r="C709" s="175"/>
      <c r="D709" s="45" t="s">
        <v>31</v>
      </c>
      <c r="E709" s="82" t="s">
        <v>1508</v>
      </c>
      <c r="F709" s="81">
        <f>IFERROR(VLOOKUP(E709,客户!B:C,2,FALSE),"/")</f>
        <v>0</v>
      </c>
      <c r="G709" s="45" t="s">
        <v>2671</v>
      </c>
      <c r="H709" s="45" t="s">
        <v>123</v>
      </c>
      <c r="I709" s="45" t="s">
        <v>2672</v>
      </c>
      <c r="J709" s="108">
        <v>43927</v>
      </c>
      <c r="K709" s="100">
        <v>44002</v>
      </c>
      <c r="L709" s="100">
        <v>44034</v>
      </c>
      <c r="M709" s="165" t="s">
        <v>2677</v>
      </c>
      <c r="N709" s="198" t="s">
        <v>2678</v>
      </c>
      <c r="O709" s="104" t="s">
        <v>523</v>
      </c>
      <c r="P709" s="102">
        <v>39260.35</v>
      </c>
      <c r="Q709" s="102">
        <v>8550</v>
      </c>
      <c r="R709" s="131"/>
      <c r="S709" s="132"/>
      <c r="T709" s="102">
        <v>30669</v>
      </c>
      <c r="U709" s="100"/>
      <c r="V709" s="246" t="s">
        <v>2679</v>
      </c>
      <c r="W709" s="210"/>
    </row>
    <row r="710" s="43" customFormat="1" ht="22" hidden="1" customHeight="1" spans="1:23">
      <c r="A710" s="145" t="s">
        <v>2680</v>
      </c>
      <c r="B710" s="174" t="s">
        <v>2234</v>
      </c>
      <c r="C710" s="175"/>
      <c r="D710" s="45" t="s">
        <v>31</v>
      </c>
      <c r="E710" s="82" t="s">
        <v>1508</v>
      </c>
      <c r="F710" s="81">
        <f>IFERROR(VLOOKUP(E710,客户!B:C,2,FALSE),"/")</f>
        <v>0</v>
      </c>
      <c r="G710" s="45" t="s">
        <v>1759</v>
      </c>
      <c r="H710" s="45" t="s">
        <v>123</v>
      </c>
      <c r="I710" s="45" t="s">
        <v>2681</v>
      </c>
      <c r="J710" s="108">
        <v>43927</v>
      </c>
      <c r="K710" s="100">
        <v>43991</v>
      </c>
      <c r="L710" s="100">
        <v>44027</v>
      </c>
      <c r="M710" s="165" t="s">
        <v>2682</v>
      </c>
      <c r="N710" s="198" t="s">
        <v>2683</v>
      </c>
      <c r="O710" s="104" t="s">
        <v>523</v>
      </c>
      <c r="P710" s="102">
        <v>16120</v>
      </c>
      <c r="Q710" s="102">
        <v>4300</v>
      </c>
      <c r="R710" s="131"/>
      <c r="S710" s="132"/>
      <c r="T710" s="102">
        <v>11820</v>
      </c>
      <c r="U710" s="100"/>
      <c r="V710" s="299" t="s">
        <v>2684</v>
      </c>
      <c r="W710" s="210"/>
    </row>
    <row r="711" s="43" customFormat="1" ht="22" hidden="1" customHeight="1" spans="1:23">
      <c r="A711" s="144" t="s">
        <v>2685</v>
      </c>
      <c r="B711" s="174" t="s">
        <v>2234</v>
      </c>
      <c r="C711" s="175"/>
      <c r="D711" s="45" t="s">
        <v>31</v>
      </c>
      <c r="E711" s="82" t="s">
        <v>1508</v>
      </c>
      <c r="F711" s="81"/>
      <c r="G711" s="45" t="s">
        <v>1455</v>
      </c>
      <c r="H711" s="45" t="s">
        <v>123</v>
      </c>
      <c r="I711" s="45" t="s">
        <v>2686</v>
      </c>
      <c r="J711" s="108">
        <v>43927</v>
      </c>
      <c r="K711" s="100">
        <v>43967</v>
      </c>
      <c r="L711" s="100">
        <v>44007</v>
      </c>
      <c r="M711" s="165" t="s">
        <v>2687</v>
      </c>
      <c r="N711" s="198" t="s">
        <v>2688</v>
      </c>
      <c r="O711" s="104" t="s">
        <v>523</v>
      </c>
      <c r="P711" s="102">
        <v>38353.6</v>
      </c>
      <c r="Q711" s="102">
        <v>8600</v>
      </c>
      <c r="R711" s="131"/>
      <c r="S711" s="132"/>
      <c r="T711" s="102">
        <v>29712</v>
      </c>
      <c r="U711" s="100"/>
      <c r="V711" s="243" t="s">
        <v>2689</v>
      </c>
      <c r="W711" s="210"/>
    </row>
    <row r="712" s="43" customFormat="1" ht="22" hidden="1" customHeight="1" spans="1:23">
      <c r="A712" s="144" t="s">
        <v>2690</v>
      </c>
      <c r="B712" s="174" t="s">
        <v>2234</v>
      </c>
      <c r="C712" s="175"/>
      <c r="D712" s="45" t="s">
        <v>31</v>
      </c>
      <c r="E712" s="82" t="s">
        <v>2691</v>
      </c>
      <c r="F712" s="81">
        <f>IFERROR(VLOOKUP(E712,客户!B:C,2,FALSE),"/")</f>
        <v>0</v>
      </c>
      <c r="G712" s="45" t="s">
        <v>2692</v>
      </c>
      <c r="H712" s="45"/>
      <c r="I712" s="45"/>
      <c r="J712" s="108">
        <v>43929</v>
      </c>
      <c r="K712" s="100">
        <v>43946</v>
      </c>
      <c r="L712" s="100"/>
      <c r="M712" s="198" t="s">
        <v>2693</v>
      </c>
      <c r="N712" s="108"/>
      <c r="O712" s="104" t="s">
        <v>970</v>
      </c>
      <c r="P712" s="297">
        <v>17214.25</v>
      </c>
      <c r="Q712" s="102"/>
      <c r="R712" s="131"/>
      <c r="S712" s="132"/>
      <c r="T712" s="102"/>
      <c r="U712" s="100"/>
      <c r="V712" s="130"/>
      <c r="W712" s="210"/>
    </row>
    <row r="713" s="43" customFormat="1" ht="22" hidden="1" customHeight="1" spans="1:23">
      <c r="A713" s="144" t="s">
        <v>2694</v>
      </c>
      <c r="B713" s="174" t="s">
        <v>2234</v>
      </c>
      <c r="C713" s="175"/>
      <c r="D713" s="45" t="s">
        <v>31</v>
      </c>
      <c r="E713" s="82" t="s">
        <v>1901</v>
      </c>
      <c r="F713" s="81">
        <f>IFERROR(VLOOKUP(E713,客户!B:C,2,FALSE),"/")</f>
        <v>0</v>
      </c>
      <c r="G713" s="45" t="s">
        <v>2695</v>
      </c>
      <c r="H713" s="45" t="s">
        <v>123</v>
      </c>
      <c r="I713" s="45" t="s">
        <v>2696</v>
      </c>
      <c r="J713" s="108">
        <v>43930</v>
      </c>
      <c r="K713" s="100">
        <v>43953</v>
      </c>
      <c r="L713" s="100">
        <v>43992</v>
      </c>
      <c r="M713" s="165" t="s">
        <v>2697</v>
      </c>
      <c r="N713" s="198" t="s">
        <v>2698</v>
      </c>
      <c r="O713" s="104" t="s">
        <v>523</v>
      </c>
      <c r="P713" s="102">
        <v>34783</v>
      </c>
      <c r="Q713" s="102">
        <v>10000</v>
      </c>
      <c r="R713" s="131"/>
      <c r="S713" s="132"/>
      <c r="T713" s="102">
        <v>24745.5</v>
      </c>
      <c r="U713" s="100"/>
      <c r="V713" s="243" t="s">
        <v>2699</v>
      </c>
      <c r="W713" s="210"/>
    </row>
    <row r="714" s="43" customFormat="1" ht="22" hidden="1" customHeight="1" spans="1:23">
      <c r="A714" s="144" t="s">
        <v>2700</v>
      </c>
      <c r="B714" s="174" t="s">
        <v>2234</v>
      </c>
      <c r="C714" s="175"/>
      <c r="D714" s="45" t="s">
        <v>31</v>
      </c>
      <c r="E714" s="82" t="s">
        <v>1508</v>
      </c>
      <c r="F714" s="81">
        <f>IFERROR(VLOOKUP(E714,客户!B:C,2,FALSE),"/")</f>
        <v>0</v>
      </c>
      <c r="G714" s="45" t="s">
        <v>2701</v>
      </c>
      <c r="H714" s="45" t="s">
        <v>123</v>
      </c>
      <c r="I714" s="45" t="s">
        <v>1335</v>
      </c>
      <c r="J714" s="108">
        <v>43937</v>
      </c>
      <c r="K714" s="100">
        <v>43960</v>
      </c>
      <c r="L714" s="100">
        <v>43992</v>
      </c>
      <c r="M714" s="165" t="s">
        <v>2702</v>
      </c>
      <c r="N714" s="198" t="s">
        <v>2703</v>
      </c>
      <c r="O714" s="104" t="s">
        <v>523</v>
      </c>
      <c r="P714" s="102">
        <v>55765.65</v>
      </c>
      <c r="Q714" s="102">
        <v>18000</v>
      </c>
      <c r="R714" s="131"/>
      <c r="S714" s="132"/>
      <c r="T714" s="102">
        <v>37724</v>
      </c>
      <c r="U714" s="100"/>
      <c r="V714" s="243" t="s">
        <v>2704</v>
      </c>
      <c r="W714" s="210"/>
    </row>
    <row r="715" s="43" customFormat="1" ht="22" hidden="1" customHeight="1" spans="1:23">
      <c r="A715" s="220" t="s">
        <v>2705</v>
      </c>
      <c r="B715" s="174" t="s">
        <v>2234</v>
      </c>
      <c r="C715" s="175"/>
      <c r="D715" s="45" t="s">
        <v>31</v>
      </c>
      <c r="E715" s="82" t="s">
        <v>1345</v>
      </c>
      <c r="F715" s="81" t="str">
        <f>IFERROR(VLOOKUP(E715,客户!B:C,2,FALSE),"/")</f>
        <v>J4159还差USD265.65没付齐 J4220还有定金5674.3 账上剩5408.65</v>
      </c>
      <c r="G715" s="45" t="s">
        <v>2706</v>
      </c>
      <c r="H715" s="45" t="s">
        <v>123</v>
      </c>
      <c r="I715" s="45" t="s">
        <v>1346</v>
      </c>
      <c r="J715" s="108">
        <v>43944</v>
      </c>
      <c r="K715" s="100">
        <v>43978</v>
      </c>
      <c r="L715" s="100">
        <v>44015</v>
      </c>
      <c r="M715" s="165" t="s">
        <v>2707</v>
      </c>
      <c r="N715" s="198" t="s">
        <v>1844</v>
      </c>
      <c r="O715" s="104" t="s">
        <v>523</v>
      </c>
      <c r="P715" s="102">
        <v>20320.06</v>
      </c>
      <c r="Q715" s="102">
        <v>6257</v>
      </c>
      <c r="R715" s="131"/>
      <c r="S715" s="132"/>
      <c r="T715" s="102">
        <v>14063.06</v>
      </c>
      <c r="U715" s="100"/>
      <c r="V715" s="243" t="s">
        <v>2708</v>
      </c>
      <c r="W715" s="210"/>
    </row>
    <row r="716" s="43" customFormat="1" ht="22" hidden="1" customHeight="1" spans="1:23">
      <c r="A716" s="220" t="s">
        <v>2709</v>
      </c>
      <c r="B716" s="174" t="s">
        <v>2234</v>
      </c>
      <c r="C716" s="175"/>
      <c r="D716" s="45" t="s">
        <v>31</v>
      </c>
      <c r="E716" s="82" t="s">
        <v>2710</v>
      </c>
      <c r="F716" s="81">
        <f>IFERROR(VLOOKUP(E716,客户!B:C,2,FALSE),"/")</f>
        <v>0</v>
      </c>
      <c r="G716" s="45" t="s">
        <v>2711</v>
      </c>
      <c r="H716" s="229" t="s">
        <v>970</v>
      </c>
      <c r="I716" s="45"/>
      <c r="J716" s="108">
        <v>43966</v>
      </c>
      <c r="K716" s="100">
        <v>44020</v>
      </c>
      <c r="L716" s="100"/>
      <c r="M716" s="198" t="s">
        <v>2712</v>
      </c>
      <c r="N716" s="198"/>
      <c r="O716" s="104" t="s">
        <v>970</v>
      </c>
      <c r="P716" s="240">
        <v>101430</v>
      </c>
      <c r="Q716" s="240">
        <f>30429+50000</f>
        <v>80429</v>
      </c>
      <c r="R716" s="131"/>
      <c r="S716" s="132"/>
      <c r="T716" s="240">
        <v>21001</v>
      </c>
      <c r="U716" s="100"/>
      <c r="V716" s="130"/>
      <c r="W716" s="210"/>
    </row>
    <row r="717" s="43" customFormat="1" ht="22" hidden="1" customHeight="1" spans="1:23">
      <c r="A717" s="144" t="s">
        <v>2713</v>
      </c>
      <c r="B717" s="174" t="s">
        <v>2234</v>
      </c>
      <c r="C717" s="175"/>
      <c r="D717" s="45" t="s">
        <v>31</v>
      </c>
      <c r="E717" s="82" t="s">
        <v>2576</v>
      </c>
      <c r="F717" s="81" t="str">
        <f>IFERROR(VLOOKUP(E717,客户!B:C,2,FALSE),"/")</f>
        <v>J4159还差USD265.65没付齐 J4220还有定金5674.3 账上剩5408.65</v>
      </c>
      <c r="G717" s="45" t="s">
        <v>2714</v>
      </c>
      <c r="H717" s="45" t="s">
        <v>123</v>
      </c>
      <c r="I717" s="45" t="s">
        <v>1346</v>
      </c>
      <c r="J717" s="108">
        <v>43983</v>
      </c>
      <c r="K717" s="100">
        <v>44013</v>
      </c>
      <c r="L717" s="100">
        <v>44050</v>
      </c>
      <c r="M717" s="165" t="s">
        <v>2715</v>
      </c>
      <c r="N717" s="198" t="s">
        <v>2716</v>
      </c>
      <c r="O717" s="104" t="s">
        <v>523</v>
      </c>
      <c r="P717" s="102">
        <v>21539.1</v>
      </c>
      <c r="Q717" s="102">
        <v>6381.74</v>
      </c>
      <c r="R717" s="131"/>
      <c r="S717" s="132"/>
      <c r="T717" s="102">
        <v>15157.36</v>
      </c>
      <c r="U717" s="100"/>
      <c r="V717" s="243" t="s">
        <v>2717</v>
      </c>
      <c r="W717" s="210"/>
    </row>
    <row r="718" s="43" customFormat="1" ht="22" hidden="1" customHeight="1" spans="1:23">
      <c r="A718" s="144" t="s">
        <v>2718</v>
      </c>
      <c r="B718" s="174" t="s">
        <v>2234</v>
      </c>
      <c r="C718" s="175"/>
      <c r="D718" s="45" t="s">
        <v>31</v>
      </c>
      <c r="E718" s="82" t="s">
        <v>1508</v>
      </c>
      <c r="F718" s="81"/>
      <c r="G718" s="45" t="s">
        <v>2719</v>
      </c>
      <c r="H718" s="45" t="s">
        <v>123</v>
      </c>
      <c r="I718" s="45" t="s">
        <v>1546</v>
      </c>
      <c r="J718" s="108">
        <v>44011</v>
      </c>
      <c r="K718" s="100">
        <v>44036</v>
      </c>
      <c r="L718" s="197">
        <v>44067</v>
      </c>
      <c r="M718" s="165" t="s">
        <v>2720</v>
      </c>
      <c r="N718" s="198" t="s">
        <v>2721</v>
      </c>
      <c r="O718" s="104" t="s">
        <v>523</v>
      </c>
      <c r="P718" s="102">
        <v>20808.4</v>
      </c>
      <c r="Q718" s="102">
        <v>6000</v>
      </c>
      <c r="R718" s="131"/>
      <c r="S718" s="132"/>
      <c r="T718" s="102">
        <v>14808.4</v>
      </c>
      <c r="U718" s="100"/>
      <c r="V718" s="130"/>
      <c r="W718" s="210"/>
    </row>
    <row r="719" s="43" customFormat="1" ht="22" hidden="1" customHeight="1" spans="1:23">
      <c r="A719" s="144" t="s">
        <v>2722</v>
      </c>
      <c r="B719" s="174" t="s">
        <v>2234</v>
      </c>
      <c r="C719" s="175"/>
      <c r="D719" s="45" t="s">
        <v>31</v>
      </c>
      <c r="E719" s="82" t="s">
        <v>1508</v>
      </c>
      <c r="F719" s="81"/>
      <c r="G719" s="45" t="s">
        <v>2719</v>
      </c>
      <c r="H719" s="45" t="s">
        <v>123</v>
      </c>
      <c r="I719" s="45" t="s">
        <v>1546</v>
      </c>
      <c r="J719" s="108">
        <v>44011</v>
      </c>
      <c r="K719" s="100">
        <v>44076</v>
      </c>
      <c r="L719" s="100">
        <v>44110</v>
      </c>
      <c r="M719" s="165" t="s">
        <v>2723</v>
      </c>
      <c r="N719" s="198" t="s">
        <v>2724</v>
      </c>
      <c r="O719" s="104" t="s">
        <v>523</v>
      </c>
      <c r="P719" s="102">
        <v>20928.4</v>
      </c>
      <c r="Q719" s="102">
        <v>6000</v>
      </c>
      <c r="R719" s="131"/>
      <c r="S719" s="132"/>
      <c r="T719" s="102">
        <v>14908</v>
      </c>
      <c r="U719" s="100"/>
      <c r="V719" s="245" t="s">
        <v>2725</v>
      </c>
      <c r="W719" s="210"/>
    </row>
    <row r="720" s="43" customFormat="1" ht="22" hidden="1" customHeight="1" spans="1:23">
      <c r="A720" s="144" t="s">
        <v>2726</v>
      </c>
      <c r="B720" s="174" t="s">
        <v>2234</v>
      </c>
      <c r="C720" s="175"/>
      <c r="D720" s="45" t="s">
        <v>31</v>
      </c>
      <c r="E720" s="82" t="s">
        <v>2727</v>
      </c>
      <c r="F720" s="81">
        <f>IFERROR(VLOOKUP(E720,客户!B:C,2,FALSE),"/")</f>
        <v>0</v>
      </c>
      <c r="G720" s="45" t="s">
        <v>2728</v>
      </c>
      <c r="H720" s="229" t="s">
        <v>970</v>
      </c>
      <c r="I720" s="45"/>
      <c r="J720" s="108">
        <v>44014</v>
      </c>
      <c r="K720" s="100">
        <v>44035</v>
      </c>
      <c r="L720" s="100"/>
      <c r="M720" s="198" t="s">
        <v>2729</v>
      </c>
      <c r="N720" s="198"/>
      <c r="O720" s="104" t="s">
        <v>970</v>
      </c>
      <c r="P720" s="240">
        <v>28490</v>
      </c>
      <c r="Q720" s="240">
        <v>8000</v>
      </c>
      <c r="R720" s="131"/>
      <c r="S720" s="132"/>
      <c r="T720" s="240">
        <v>20490</v>
      </c>
      <c r="U720" s="100"/>
      <c r="V720" s="130"/>
      <c r="W720" s="210"/>
    </row>
    <row r="721" s="43" customFormat="1" ht="22" hidden="1" customHeight="1" spans="1:23">
      <c r="A721" s="144" t="s">
        <v>2730</v>
      </c>
      <c r="B721" s="174" t="s">
        <v>2234</v>
      </c>
      <c r="C721" s="175"/>
      <c r="D721" s="45" t="s">
        <v>31</v>
      </c>
      <c r="E721" s="82" t="s">
        <v>2731</v>
      </c>
      <c r="F721" s="81">
        <f>IFERROR(VLOOKUP(E721,客户!B:C,2,FALSE),"/")</f>
        <v>0</v>
      </c>
      <c r="G721" s="45" t="s">
        <v>2732</v>
      </c>
      <c r="H721" s="229" t="s">
        <v>970</v>
      </c>
      <c r="I721" s="45"/>
      <c r="J721" s="108">
        <v>44019</v>
      </c>
      <c r="K721" s="100">
        <v>44267</v>
      </c>
      <c r="L721" s="100"/>
      <c r="M721" s="198" t="s">
        <v>2733</v>
      </c>
      <c r="N721" s="198"/>
      <c r="O721" s="104" t="s">
        <v>970</v>
      </c>
      <c r="P721" s="240">
        <f>196900+1350+630</f>
        <v>198880</v>
      </c>
      <c r="Q721" s="240">
        <v>17550</v>
      </c>
      <c r="R721" s="131"/>
      <c r="S721" s="132"/>
      <c r="T721" s="300">
        <v>42300</v>
      </c>
      <c r="U721" s="300">
        <f>20000+64400+54630</f>
        <v>139030</v>
      </c>
      <c r="V721" s="130"/>
      <c r="W721" s="210"/>
    </row>
    <row r="722" s="43" customFormat="1" ht="22" hidden="1" customHeight="1" spans="1:23">
      <c r="A722" s="144" t="s">
        <v>2734</v>
      </c>
      <c r="B722" s="174" t="s">
        <v>2234</v>
      </c>
      <c r="C722" s="175"/>
      <c r="D722" s="45" t="s">
        <v>31</v>
      </c>
      <c r="E722" s="82" t="s">
        <v>1901</v>
      </c>
      <c r="F722" s="81">
        <f>IFERROR(VLOOKUP(E722,客户!B:C,2,FALSE),"/")</f>
        <v>0</v>
      </c>
      <c r="G722" s="45" t="s">
        <v>2735</v>
      </c>
      <c r="H722" s="229" t="s">
        <v>123</v>
      </c>
      <c r="I722" s="45" t="s">
        <v>1903</v>
      </c>
      <c r="J722" s="108">
        <v>44025</v>
      </c>
      <c r="K722" s="100">
        <v>44051</v>
      </c>
      <c r="L722" s="100">
        <v>44081</v>
      </c>
      <c r="M722" s="165" t="s">
        <v>2736</v>
      </c>
      <c r="N722" s="198" t="s">
        <v>2737</v>
      </c>
      <c r="O722" s="104" t="s">
        <v>523</v>
      </c>
      <c r="P722" s="102">
        <v>36720</v>
      </c>
      <c r="Q722" s="102"/>
      <c r="R722" s="131"/>
      <c r="S722" s="132"/>
      <c r="T722" s="102">
        <v>36720</v>
      </c>
      <c r="U722" s="100"/>
      <c r="V722" s="130"/>
      <c r="W722" s="210"/>
    </row>
    <row r="723" s="43" customFormat="1" ht="22" hidden="1" customHeight="1" spans="1:23">
      <c r="A723" s="144" t="s">
        <v>2738</v>
      </c>
      <c r="B723" s="174" t="s">
        <v>2234</v>
      </c>
      <c r="C723" s="175"/>
      <c r="D723" s="45" t="s">
        <v>31</v>
      </c>
      <c r="E723" s="82" t="s">
        <v>2739</v>
      </c>
      <c r="F723" s="81">
        <f>IFERROR(VLOOKUP(E723,客户!B:C,2,FALSE),"/")</f>
        <v>0</v>
      </c>
      <c r="G723" s="45" t="s">
        <v>2740</v>
      </c>
      <c r="H723" s="229" t="s">
        <v>186</v>
      </c>
      <c r="I723" s="45"/>
      <c r="J723" s="108">
        <v>44035</v>
      </c>
      <c r="K723" s="100">
        <v>44064</v>
      </c>
      <c r="L723" s="100"/>
      <c r="M723" s="198" t="s">
        <v>2741</v>
      </c>
      <c r="N723" s="198"/>
      <c r="O723" s="104" t="s">
        <v>970</v>
      </c>
      <c r="P723" s="102">
        <v>934.48</v>
      </c>
      <c r="Q723" s="102"/>
      <c r="R723" s="131"/>
      <c r="S723" s="132"/>
      <c r="T723" s="102">
        <v>1035</v>
      </c>
      <c r="U723" s="100"/>
      <c r="V723" s="219" t="s">
        <v>2742</v>
      </c>
      <c r="W723" s="210"/>
    </row>
    <row r="724" s="43" customFormat="1" ht="21" hidden="1" customHeight="1" spans="1:23">
      <c r="A724" s="144" t="s">
        <v>2743</v>
      </c>
      <c r="B724" s="174" t="s">
        <v>2234</v>
      </c>
      <c r="C724" s="175"/>
      <c r="D724" s="45" t="s">
        <v>31</v>
      </c>
      <c r="E724" s="82" t="s">
        <v>1901</v>
      </c>
      <c r="F724" s="81">
        <f>IFERROR(VLOOKUP(E724,客户!B:C,2,FALSE),"/")</f>
        <v>0</v>
      </c>
      <c r="G724" s="45" t="s">
        <v>2695</v>
      </c>
      <c r="H724" s="229" t="s">
        <v>123</v>
      </c>
      <c r="I724" s="45" t="s">
        <v>1903</v>
      </c>
      <c r="J724" s="108">
        <v>44053</v>
      </c>
      <c r="K724" s="100">
        <v>44111</v>
      </c>
      <c r="L724" s="100">
        <v>44143</v>
      </c>
      <c r="M724" s="165" t="s">
        <v>2744</v>
      </c>
      <c r="N724" s="198" t="s">
        <v>2745</v>
      </c>
      <c r="O724" s="104" t="s">
        <v>523</v>
      </c>
      <c r="P724" s="102">
        <v>37734.5</v>
      </c>
      <c r="Q724" s="102">
        <v>11500</v>
      </c>
      <c r="R724" s="131"/>
      <c r="S724" s="132"/>
      <c r="T724" s="102">
        <v>26234.5</v>
      </c>
      <c r="U724" s="100"/>
      <c r="V724" s="219"/>
      <c r="W724" s="210"/>
    </row>
    <row r="725" s="43" customFormat="1" ht="22" hidden="1" customHeight="1" spans="1:23">
      <c r="A725" s="144" t="s">
        <v>2746</v>
      </c>
      <c r="B725" s="174" t="s">
        <v>2234</v>
      </c>
      <c r="C725" s="175"/>
      <c r="D725" s="45" t="s">
        <v>31</v>
      </c>
      <c r="E725" s="82" t="s">
        <v>1429</v>
      </c>
      <c r="F725" s="81">
        <f>IFERROR(VLOOKUP(E725,客户!B:C,2,FALSE),"/")</f>
        <v>0</v>
      </c>
      <c r="G725" s="45" t="s">
        <v>2747</v>
      </c>
      <c r="H725" s="229" t="s">
        <v>127</v>
      </c>
      <c r="I725" s="45" t="s">
        <v>1431</v>
      </c>
      <c r="J725" s="108">
        <v>44075</v>
      </c>
      <c r="K725" s="100">
        <v>44131</v>
      </c>
      <c r="L725" s="100">
        <v>44193</v>
      </c>
      <c r="M725" s="198" t="s">
        <v>2748</v>
      </c>
      <c r="N725" s="198" t="s">
        <v>2749</v>
      </c>
      <c r="O725" s="104" t="s">
        <v>523</v>
      </c>
      <c r="P725" s="102">
        <v>76954.45</v>
      </c>
      <c r="Q725" s="102"/>
      <c r="R725" s="131"/>
      <c r="S725" s="132"/>
      <c r="T725" s="102">
        <v>76954.45</v>
      </c>
      <c r="U725" s="100"/>
      <c r="V725" s="219"/>
      <c r="W725" s="210"/>
    </row>
    <row r="726" s="43" customFormat="1" ht="22" hidden="1" customHeight="1" spans="1:23">
      <c r="A726" s="144" t="s">
        <v>2750</v>
      </c>
      <c r="B726" s="174" t="s">
        <v>2234</v>
      </c>
      <c r="C726" s="175"/>
      <c r="D726" s="45" t="s">
        <v>31</v>
      </c>
      <c r="E726" s="82" t="s">
        <v>1377</v>
      </c>
      <c r="F726" s="81">
        <f>IFERROR(VLOOKUP(E726,客户!B:C,2,FALSE),"/")</f>
        <v>0</v>
      </c>
      <c r="G726" s="45" t="s">
        <v>2751</v>
      </c>
      <c r="H726" s="229" t="s">
        <v>123</v>
      </c>
      <c r="I726" s="45" t="s">
        <v>2752</v>
      </c>
      <c r="J726" s="108">
        <v>44090</v>
      </c>
      <c r="K726" s="100">
        <v>44133</v>
      </c>
      <c r="L726" s="100">
        <v>44168</v>
      </c>
      <c r="M726" s="165" t="s">
        <v>2753</v>
      </c>
      <c r="N726" s="198" t="s">
        <v>2754</v>
      </c>
      <c r="O726" s="104" t="s">
        <v>523</v>
      </c>
      <c r="P726" s="102">
        <v>21546.52</v>
      </c>
      <c r="Q726" s="102">
        <v>6057</v>
      </c>
      <c r="R726" s="131"/>
      <c r="S726" s="132"/>
      <c r="T726" s="102">
        <v>15489.52</v>
      </c>
      <c r="U726" s="100"/>
      <c r="V726" s="219"/>
      <c r="W726" s="210"/>
    </row>
    <row r="727" s="43" customFormat="1" ht="20" hidden="1" customHeight="1" spans="1:23">
      <c r="A727" s="144" t="s">
        <v>2755</v>
      </c>
      <c r="B727" s="174" t="s">
        <v>2234</v>
      </c>
      <c r="C727" s="175"/>
      <c r="D727" s="45" t="s">
        <v>31</v>
      </c>
      <c r="E727" s="82" t="s">
        <v>1901</v>
      </c>
      <c r="F727" s="81">
        <f>IFERROR(VLOOKUP(E727,客户!B:C,2,FALSE),"/")</f>
        <v>0</v>
      </c>
      <c r="G727" s="45" t="s">
        <v>40</v>
      </c>
      <c r="H727" s="229" t="s">
        <v>123</v>
      </c>
      <c r="I727" s="45" t="s">
        <v>2756</v>
      </c>
      <c r="J727" s="108">
        <v>44091</v>
      </c>
      <c r="K727" s="100">
        <v>44180</v>
      </c>
      <c r="L727" s="100">
        <v>44221</v>
      </c>
      <c r="M727" s="165" t="s">
        <v>2757</v>
      </c>
      <c r="N727" s="198" t="s">
        <v>2758</v>
      </c>
      <c r="O727" s="104" t="s">
        <v>523</v>
      </c>
      <c r="P727" s="102">
        <v>40721</v>
      </c>
      <c r="Q727" s="102">
        <v>11500</v>
      </c>
      <c r="R727" s="131"/>
      <c r="S727" s="132"/>
      <c r="T727" s="102">
        <v>29221</v>
      </c>
      <c r="U727" s="100"/>
      <c r="V727" s="219"/>
      <c r="W727" s="210"/>
    </row>
    <row r="728" s="43" customFormat="1" ht="22" hidden="1" customHeight="1" spans="1:23">
      <c r="A728" s="144" t="s">
        <v>2759</v>
      </c>
      <c r="B728" s="174" t="s">
        <v>2234</v>
      </c>
      <c r="C728" s="175"/>
      <c r="D728" s="45" t="s">
        <v>31</v>
      </c>
      <c r="E728" s="82" t="s">
        <v>2760</v>
      </c>
      <c r="F728" s="81">
        <f>IFERROR(VLOOKUP(E728,客户!B:C,2,FALSE),"/")</f>
        <v>0</v>
      </c>
      <c r="G728" s="45" t="s">
        <v>941</v>
      </c>
      <c r="H728" s="229" t="s">
        <v>123</v>
      </c>
      <c r="I728" s="45" t="s">
        <v>2761</v>
      </c>
      <c r="J728" s="108">
        <v>44096</v>
      </c>
      <c r="K728" s="100">
        <v>44161</v>
      </c>
      <c r="L728" s="100">
        <v>44211</v>
      </c>
      <c r="M728" s="165" t="s">
        <v>2762</v>
      </c>
      <c r="N728" s="198" t="s">
        <v>2763</v>
      </c>
      <c r="O728" s="104" t="s">
        <v>523</v>
      </c>
      <c r="P728" s="102">
        <v>22210.25</v>
      </c>
      <c r="Q728" s="102">
        <v>4750</v>
      </c>
      <c r="R728" s="131"/>
      <c r="S728" s="132"/>
      <c r="T728" s="102">
        <v>17460.25</v>
      </c>
      <c r="U728" s="100"/>
      <c r="V728" s="219"/>
      <c r="W728" s="210"/>
    </row>
    <row r="729" s="43" customFormat="1" ht="22" hidden="1" customHeight="1" spans="1:23">
      <c r="A729" s="144" t="s">
        <v>2764</v>
      </c>
      <c r="B729" s="174" t="s">
        <v>2234</v>
      </c>
      <c r="C729" s="175"/>
      <c r="D729" s="45" t="s">
        <v>31</v>
      </c>
      <c r="E729" s="82" t="s">
        <v>2765</v>
      </c>
      <c r="F729" s="81">
        <f>IFERROR(VLOOKUP(E729,客户!B:C,2,FALSE),"/")</f>
        <v>0</v>
      </c>
      <c r="G729" s="45" t="s">
        <v>941</v>
      </c>
      <c r="H729" s="229" t="s">
        <v>123</v>
      </c>
      <c r="I729" s="45" t="s">
        <v>2761</v>
      </c>
      <c r="J729" s="108">
        <v>44096</v>
      </c>
      <c r="K729" s="100">
        <v>44147</v>
      </c>
      <c r="L729" s="100">
        <v>44204</v>
      </c>
      <c r="M729" s="198" t="s">
        <v>2766</v>
      </c>
      <c r="N729" s="198" t="s">
        <v>2767</v>
      </c>
      <c r="O729" s="104" t="s">
        <v>523</v>
      </c>
      <c r="P729" s="102">
        <v>22260.88</v>
      </c>
      <c r="Q729" s="102">
        <v>4750</v>
      </c>
      <c r="R729" s="131"/>
      <c r="S729" s="132"/>
      <c r="T729" s="102">
        <v>17510.88</v>
      </c>
      <c r="U729" s="100"/>
      <c r="V729" s="130"/>
      <c r="W729" s="210"/>
    </row>
    <row r="730" s="43" customFormat="1" ht="22" hidden="1" customHeight="1" spans="1:23">
      <c r="A730" s="144" t="s">
        <v>2768</v>
      </c>
      <c r="B730" s="174" t="s">
        <v>2234</v>
      </c>
      <c r="C730" s="175"/>
      <c r="D730" s="45" t="s">
        <v>31</v>
      </c>
      <c r="E730" s="82" t="s">
        <v>2760</v>
      </c>
      <c r="F730" s="81">
        <f>IFERROR(VLOOKUP(E730,客户!B:C,2,FALSE),"/")</f>
        <v>0</v>
      </c>
      <c r="G730" s="45" t="s">
        <v>979</v>
      </c>
      <c r="H730" s="229" t="s">
        <v>123</v>
      </c>
      <c r="I730" s="45" t="s">
        <v>2769</v>
      </c>
      <c r="J730" s="108">
        <v>44103</v>
      </c>
      <c r="K730" s="100">
        <v>44160</v>
      </c>
      <c r="L730" s="100">
        <v>44196</v>
      </c>
      <c r="M730" s="165" t="s">
        <v>2770</v>
      </c>
      <c r="N730" s="198" t="s">
        <v>2771</v>
      </c>
      <c r="O730" s="104" t="s">
        <v>523</v>
      </c>
      <c r="P730" s="102">
        <v>44528</v>
      </c>
      <c r="Q730" s="102">
        <v>10000</v>
      </c>
      <c r="R730" s="131"/>
      <c r="S730" s="132"/>
      <c r="T730" s="102">
        <v>34528</v>
      </c>
      <c r="U730" s="100"/>
      <c r="V730" s="130"/>
      <c r="W730" s="210"/>
    </row>
    <row r="731" s="43" customFormat="1" ht="22" hidden="1" customHeight="1" spans="1:23">
      <c r="A731" s="144" t="s">
        <v>2772</v>
      </c>
      <c r="B731" s="174" t="s">
        <v>2234</v>
      </c>
      <c r="C731" s="175"/>
      <c r="D731" s="45" t="s">
        <v>31</v>
      </c>
      <c r="E731" s="82" t="s">
        <v>2773</v>
      </c>
      <c r="F731" s="81">
        <f>IFERROR(VLOOKUP(E731,客户!B:C,2,FALSE),"/")</f>
        <v>0</v>
      </c>
      <c r="G731" s="45" t="s">
        <v>2774</v>
      </c>
      <c r="H731" s="229" t="s">
        <v>186</v>
      </c>
      <c r="I731" s="45"/>
      <c r="J731" s="108">
        <v>44126</v>
      </c>
      <c r="K731" s="100">
        <v>44137</v>
      </c>
      <c r="L731" s="100"/>
      <c r="M731" s="198"/>
      <c r="N731" s="108"/>
      <c r="O731" s="104" t="s">
        <v>970</v>
      </c>
      <c r="P731" s="240">
        <v>22072.5</v>
      </c>
      <c r="Q731" s="240">
        <v>6600</v>
      </c>
      <c r="R731" s="131"/>
      <c r="S731" s="132"/>
      <c r="T731" s="240">
        <v>15472.5</v>
      </c>
      <c r="U731" s="100"/>
      <c r="V731" s="130"/>
      <c r="W731" s="210"/>
    </row>
    <row r="732" s="43" customFormat="1" ht="22" hidden="1" customHeight="1" spans="1:23">
      <c r="A732" s="144" t="s">
        <v>2775</v>
      </c>
      <c r="B732" s="174" t="s">
        <v>2234</v>
      </c>
      <c r="C732" s="175"/>
      <c r="D732" s="45" t="s">
        <v>31</v>
      </c>
      <c r="E732" s="82" t="s">
        <v>2776</v>
      </c>
      <c r="F732" s="81">
        <f>IFERROR(VLOOKUP(E732,客户!B:C,2,FALSE),"/")</f>
        <v>0</v>
      </c>
      <c r="G732" s="45" t="s">
        <v>2777</v>
      </c>
      <c r="H732" s="229" t="s">
        <v>123</v>
      </c>
      <c r="I732" s="45" t="s">
        <v>2778</v>
      </c>
      <c r="J732" s="108">
        <v>44133</v>
      </c>
      <c r="K732" s="100">
        <v>44231</v>
      </c>
      <c r="L732" s="100">
        <v>44271</v>
      </c>
      <c r="M732" s="198" t="s">
        <v>2779</v>
      </c>
      <c r="N732" s="198" t="s">
        <v>2780</v>
      </c>
      <c r="O732" s="104" t="s">
        <v>523</v>
      </c>
      <c r="P732" s="102">
        <v>19962.5</v>
      </c>
      <c r="Q732" s="102">
        <v>5000</v>
      </c>
      <c r="R732" s="131"/>
      <c r="S732" s="132"/>
      <c r="T732" s="102">
        <f>5000+5000</f>
        <v>10000</v>
      </c>
      <c r="U732" s="102">
        <v>4962</v>
      </c>
      <c r="V732" s="130"/>
      <c r="W732" s="210"/>
    </row>
    <row r="733" s="43" customFormat="1" ht="22" hidden="1" customHeight="1" spans="1:23">
      <c r="A733" s="255"/>
      <c r="B733" s="174"/>
      <c r="C733" s="175"/>
      <c r="D733" s="45"/>
      <c r="E733" s="80"/>
      <c r="F733" s="81" t="str">
        <f>IFERROR(VLOOKUP(E733,客户!B:C,2,FALSE),"/")</f>
        <v>/</v>
      </c>
      <c r="G733" s="45"/>
      <c r="H733" s="45"/>
      <c r="I733" s="45"/>
      <c r="J733" s="108"/>
      <c r="K733" s="100"/>
      <c r="L733" s="100"/>
      <c r="M733" s="108"/>
      <c r="N733" s="108"/>
      <c r="O733" s="104"/>
      <c r="P733" s="102"/>
      <c r="Q733" s="102"/>
      <c r="R733" s="131"/>
      <c r="S733" s="132"/>
      <c r="T733" s="102"/>
      <c r="U733" s="100"/>
      <c r="V733" s="130"/>
      <c r="W733" s="210"/>
    </row>
    <row r="734" s="43" customFormat="1" ht="22" hidden="1" customHeight="1" spans="1:23">
      <c r="A734" s="45" t="s">
        <v>2781</v>
      </c>
      <c r="B734" s="174" t="s">
        <v>2234</v>
      </c>
      <c r="C734" s="175"/>
      <c r="D734" s="45" t="s">
        <v>31</v>
      </c>
      <c r="E734" s="83" t="s">
        <v>2782</v>
      </c>
      <c r="F734" s="81">
        <f>IFERROR(VLOOKUP(E734,客户!B:C,2,FALSE),"/")</f>
        <v>0</v>
      </c>
      <c r="G734" s="45" t="s">
        <v>2023</v>
      </c>
      <c r="H734" s="45" t="s">
        <v>127</v>
      </c>
      <c r="I734" s="45" t="s">
        <v>89</v>
      </c>
      <c r="J734" s="108"/>
      <c r="K734" s="100"/>
      <c r="L734" s="100"/>
      <c r="M734" s="108"/>
      <c r="N734" s="108"/>
      <c r="O734" s="104"/>
      <c r="P734" s="102">
        <v>13101.2608</v>
      </c>
      <c r="Q734" s="102">
        <v>7000</v>
      </c>
      <c r="R734" s="131"/>
      <c r="S734" s="132"/>
      <c r="T734" s="102">
        <f>P734-R734</f>
        <v>13101.2608</v>
      </c>
      <c r="U734" s="100"/>
      <c r="V734" s="102"/>
      <c r="W734" s="285"/>
    </row>
    <row r="735" s="43" customFormat="1" ht="22" hidden="1" customHeight="1" spans="1:23">
      <c r="A735" s="143" t="s">
        <v>2783</v>
      </c>
      <c r="B735" s="174" t="s">
        <v>2234</v>
      </c>
      <c r="C735" s="175"/>
      <c r="D735" s="45" t="s">
        <v>31</v>
      </c>
      <c r="E735" s="45" t="s">
        <v>2281</v>
      </c>
      <c r="F735" s="81" t="str">
        <f>IFERROR(VLOOKUP(E735,客户!B:C,2,FALSE),"/")</f>
        <v>/</v>
      </c>
      <c r="G735" s="45" t="s">
        <v>2784</v>
      </c>
      <c r="H735" s="45" t="s">
        <v>123</v>
      </c>
      <c r="I735" s="45"/>
      <c r="J735" s="108">
        <v>43368</v>
      </c>
      <c r="K735" s="100"/>
      <c r="L735" s="100"/>
      <c r="M735" s="162" t="s">
        <v>2785</v>
      </c>
      <c r="N735" s="162" t="s">
        <v>2786</v>
      </c>
      <c r="O735" s="104"/>
      <c r="P735" s="102"/>
      <c r="Q735" s="102">
        <v>4500</v>
      </c>
      <c r="R735" s="131"/>
      <c r="S735" s="132"/>
      <c r="T735" s="102"/>
      <c r="U735" s="100"/>
      <c r="V735" s="130"/>
      <c r="W735" s="285"/>
    </row>
    <row r="736" s="43" customFormat="1" ht="22" hidden="1" customHeight="1" spans="1:23">
      <c r="A736" s="115" t="s">
        <v>2787</v>
      </c>
      <c r="B736" s="174" t="s">
        <v>2234</v>
      </c>
      <c r="C736" s="175"/>
      <c r="D736" s="45" t="s">
        <v>31</v>
      </c>
      <c r="E736" s="83" t="s">
        <v>2782</v>
      </c>
      <c r="F736" s="81">
        <f>IFERROR(VLOOKUP(E736,客户!B:C,2,FALSE),"/")</f>
        <v>0</v>
      </c>
      <c r="G736" s="45" t="s">
        <v>2788</v>
      </c>
      <c r="H736" s="45" t="s">
        <v>123</v>
      </c>
      <c r="I736" s="45"/>
      <c r="J736" s="108">
        <v>43362</v>
      </c>
      <c r="K736" s="100"/>
      <c r="L736" s="100"/>
      <c r="M736" s="162" t="s">
        <v>2789</v>
      </c>
      <c r="N736" s="108" t="s">
        <v>2790</v>
      </c>
      <c r="O736" s="104"/>
      <c r="P736" s="102">
        <v>34298</v>
      </c>
      <c r="Q736" s="102">
        <v>19000</v>
      </c>
      <c r="R736" s="131"/>
      <c r="S736" s="132"/>
      <c r="T736" s="102">
        <v>15298</v>
      </c>
      <c r="U736" s="100"/>
      <c r="V736" s="128"/>
      <c r="W736" s="285"/>
    </row>
    <row r="737" s="43" customFormat="1" ht="22" hidden="1" customHeight="1" spans="1:23">
      <c r="A737" s="144" t="s">
        <v>2791</v>
      </c>
      <c r="B737" s="174" t="s">
        <v>2234</v>
      </c>
      <c r="C737" s="175"/>
      <c r="D737" s="45" t="s">
        <v>31</v>
      </c>
      <c r="E737" s="80" t="s">
        <v>2792</v>
      </c>
      <c r="F737" s="81">
        <f>IFERROR(VLOOKUP(E737,客户!B:C,2,FALSE),"/")</f>
        <v>0</v>
      </c>
      <c r="G737" s="45" t="s">
        <v>2793</v>
      </c>
      <c r="H737" s="45"/>
      <c r="I737" s="45" t="s">
        <v>2794</v>
      </c>
      <c r="J737" s="108">
        <v>43392</v>
      </c>
      <c r="K737" s="100">
        <v>43461</v>
      </c>
      <c r="L737" s="100">
        <v>43514</v>
      </c>
      <c r="M737" s="159" t="s">
        <v>2795</v>
      </c>
      <c r="N737" s="108" t="s">
        <v>620</v>
      </c>
      <c r="O737" s="104"/>
      <c r="P737" s="102">
        <v>13801.26</v>
      </c>
      <c r="Q737" s="102">
        <v>6000</v>
      </c>
      <c r="R737" s="131">
        <v>0</v>
      </c>
      <c r="S737" s="132"/>
      <c r="T737" s="102">
        <v>7778.83</v>
      </c>
      <c r="U737" s="100">
        <v>43510</v>
      </c>
      <c r="V737" s="130"/>
      <c r="W737" s="285"/>
    </row>
    <row r="738" s="43" customFormat="1" ht="22" hidden="1" customHeight="1" spans="1:23">
      <c r="A738" s="144" t="s">
        <v>2796</v>
      </c>
      <c r="B738" s="174" t="s">
        <v>2234</v>
      </c>
      <c r="C738" s="175"/>
      <c r="D738" s="45" t="s">
        <v>31</v>
      </c>
      <c r="E738" s="80" t="s">
        <v>2792</v>
      </c>
      <c r="F738" s="81">
        <f>IFERROR(VLOOKUP(E738,客户!B:C,2,FALSE),"/")</f>
        <v>0</v>
      </c>
      <c r="G738" s="45" t="s">
        <v>2797</v>
      </c>
      <c r="H738" s="144" t="s">
        <v>127</v>
      </c>
      <c r="I738" s="45" t="s">
        <v>2798</v>
      </c>
      <c r="J738" s="108">
        <v>43481</v>
      </c>
      <c r="K738" s="100">
        <v>43522</v>
      </c>
      <c r="L738" s="100">
        <v>43574</v>
      </c>
      <c r="M738" s="159" t="s">
        <v>2799</v>
      </c>
      <c r="N738" s="108" t="s">
        <v>2800</v>
      </c>
      <c r="O738" s="104"/>
      <c r="P738" s="102">
        <v>22106.55</v>
      </c>
      <c r="Q738" s="102">
        <v>7000</v>
      </c>
      <c r="R738" s="131">
        <v>0</v>
      </c>
      <c r="S738" s="132"/>
      <c r="T738" s="102" t="s">
        <v>2801</v>
      </c>
      <c r="U738" s="100">
        <v>43546</v>
      </c>
      <c r="V738" s="130"/>
      <c r="W738" s="285"/>
    </row>
    <row r="739" s="43" customFormat="1" ht="22" hidden="1" customHeight="1" spans="1:23">
      <c r="A739" s="144" t="s">
        <v>2802</v>
      </c>
      <c r="B739" s="174" t="s">
        <v>2234</v>
      </c>
      <c r="C739" s="175"/>
      <c r="D739" s="45" t="s">
        <v>31</v>
      </c>
      <c r="E739" s="80" t="s">
        <v>2792</v>
      </c>
      <c r="F739" s="81">
        <f>IFERROR(VLOOKUP(E739,客户!B:C,2,FALSE),"/")</f>
        <v>0</v>
      </c>
      <c r="G739" s="45" t="s">
        <v>2803</v>
      </c>
      <c r="H739" s="144" t="s">
        <v>127</v>
      </c>
      <c r="I739" s="45" t="s">
        <v>2798</v>
      </c>
      <c r="J739" s="108">
        <v>43518</v>
      </c>
      <c r="K739" s="100">
        <v>43536</v>
      </c>
      <c r="L739" s="100">
        <v>43599</v>
      </c>
      <c r="M739" s="159" t="s">
        <v>2804</v>
      </c>
      <c r="N739" s="108"/>
      <c r="O739" s="104"/>
      <c r="P739" s="102">
        <v>33718.18</v>
      </c>
      <c r="Q739" s="102">
        <v>7500</v>
      </c>
      <c r="R739" s="131">
        <v>0</v>
      </c>
      <c r="S739" s="132"/>
      <c r="T739" s="102" t="s">
        <v>2805</v>
      </c>
      <c r="U739" s="100">
        <v>43593</v>
      </c>
      <c r="V739" s="130"/>
      <c r="W739" s="285"/>
    </row>
    <row r="740" s="43" customFormat="1" ht="22" hidden="1" customHeight="1" spans="1:23">
      <c r="A740" s="144" t="s">
        <v>2806</v>
      </c>
      <c r="B740" s="174" t="s">
        <v>2234</v>
      </c>
      <c r="C740" s="175"/>
      <c r="D740" s="45" t="s">
        <v>31</v>
      </c>
      <c r="E740" s="80" t="s">
        <v>2792</v>
      </c>
      <c r="F740" s="81">
        <f>IFERROR(VLOOKUP(E740,客户!B:C,2,FALSE),"/")</f>
        <v>0</v>
      </c>
      <c r="G740" s="45" t="s">
        <v>2807</v>
      </c>
      <c r="H740" s="144" t="s">
        <v>127</v>
      </c>
      <c r="I740" s="45" t="s">
        <v>2798</v>
      </c>
      <c r="J740" s="108">
        <v>43628</v>
      </c>
      <c r="K740" s="100">
        <v>43638</v>
      </c>
      <c r="L740" s="100">
        <v>43684</v>
      </c>
      <c r="M740" s="181" t="s">
        <v>2808</v>
      </c>
      <c r="N740" s="108" t="s">
        <v>2809</v>
      </c>
      <c r="O740" s="104"/>
      <c r="P740" s="102">
        <v>35972.5</v>
      </c>
      <c r="Q740" s="102" t="s">
        <v>2810</v>
      </c>
      <c r="R740" s="131">
        <v>0</v>
      </c>
      <c r="S740" s="132"/>
      <c r="T740" s="102">
        <v>20792</v>
      </c>
      <c r="U740" s="100">
        <v>43700</v>
      </c>
      <c r="V740" s="130"/>
      <c r="W740" s="285"/>
    </row>
    <row r="741" s="43" customFormat="1" ht="22" hidden="1" customHeight="1" spans="1:23">
      <c r="A741" s="190" t="s">
        <v>2811</v>
      </c>
      <c r="B741" s="174" t="s">
        <v>2234</v>
      </c>
      <c r="C741" s="175"/>
      <c r="D741" s="45" t="s">
        <v>31</v>
      </c>
      <c r="E741" s="80" t="s">
        <v>2812</v>
      </c>
      <c r="F741" s="81">
        <f>IFERROR(VLOOKUP(E741,客户!B:C,2,FALSE),"/")</f>
        <v>0</v>
      </c>
      <c r="G741" s="45" t="s">
        <v>2813</v>
      </c>
      <c r="H741" s="45" t="s">
        <v>123</v>
      </c>
      <c r="I741" s="45" t="s">
        <v>2814</v>
      </c>
      <c r="J741" s="108">
        <v>43634</v>
      </c>
      <c r="K741" s="100">
        <v>43665</v>
      </c>
      <c r="L741" s="100"/>
      <c r="M741" s="159" t="s">
        <v>2815</v>
      </c>
      <c r="N741" s="108" t="s">
        <v>2816</v>
      </c>
      <c r="O741" s="104"/>
      <c r="P741" s="102">
        <v>27400</v>
      </c>
      <c r="Q741" s="102">
        <v>5000</v>
      </c>
      <c r="R741" s="131"/>
      <c r="S741" s="132"/>
      <c r="T741" s="102">
        <v>22400</v>
      </c>
      <c r="U741" s="100"/>
      <c r="V741" s="130"/>
      <c r="W741" s="285"/>
    </row>
    <row r="742" s="43" customFormat="1" ht="22" hidden="1" customHeight="1" spans="1:23">
      <c r="A742" s="261" t="s">
        <v>2817</v>
      </c>
      <c r="B742" s="174" t="s">
        <v>2234</v>
      </c>
      <c r="C742" s="175"/>
      <c r="D742" s="45" t="s">
        <v>31</v>
      </c>
      <c r="E742" s="80" t="s">
        <v>2792</v>
      </c>
      <c r="F742" s="81">
        <f>IFERROR(VLOOKUP(E742,客户!B:C,2,FALSE),"/")</f>
        <v>0</v>
      </c>
      <c r="G742" s="291" t="s">
        <v>2818</v>
      </c>
      <c r="H742" s="45" t="s">
        <v>127</v>
      </c>
      <c r="I742" s="45" t="s">
        <v>2819</v>
      </c>
      <c r="J742" s="108">
        <v>43749</v>
      </c>
      <c r="K742" s="100">
        <v>43391</v>
      </c>
      <c r="L742" s="100">
        <v>43796</v>
      </c>
      <c r="M742" s="178" t="s">
        <v>2820</v>
      </c>
      <c r="N742" s="108" t="s">
        <v>2821</v>
      </c>
      <c r="O742" s="104"/>
      <c r="P742" s="102">
        <v>34706.45</v>
      </c>
      <c r="Q742" s="102">
        <v>10000</v>
      </c>
      <c r="R742" s="131"/>
      <c r="S742" s="132"/>
      <c r="T742" s="102" t="s">
        <v>2822</v>
      </c>
      <c r="U742" s="100">
        <v>43773</v>
      </c>
      <c r="V742" s="130"/>
      <c r="W742" s="285"/>
    </row>
    <row r="743" s="43" customFormat="1" ht="22" hidden="1" customHeight="1" spans="1:23">
      <c r="A743" s="292" t="s">
        <v>2823</v>
      </c>
      <c r="B743" s="174" t="s">
        <v>2234</v>
      </c>
      <c r="C743" s="175"/>
      <c r="D743" s="45" t="s">
        <v>31</v>
      </c>
      <c r="E743" s="80" t="s">
        <v>2792</v>
      </c>
      <c r="F743" s="81">
        <f>IFERROR(VLOOKUP(E743,客户!B:C,2,FALSE),"/")</f>
        <v>0</v>
      </c>
      <c r="G743" s="291" t="s">
        <v>2824</v>
      </c>
      <c r="H743" s="45" t="s">
        <v>127</v>
      </c>
      <c r="I743" s="45" t="s">
        <v>2825</v>
      </c>
      <c r="J743" s="108">
        <v>43760</v>
      </c>
      <c r="K743" s="100">
        <v>43777</v>
      </c>
      <c r="L743" s="100">
        <v>43817</v>
      </c>
      <c r="M743" s="159" t="s">
        <v>2826</v>
      </c>
      <c r="N743" s="108" t="s">
        <v>2827</v>
      </c>
      <c r="O743" s="104" t="s">
        <v>523</v>
      </c>
      <c r="P743" s="102">
        <v>16518.85</v>
      </c>
      <c r="Q743" s="102">
        <v>7000</v>
      </c>
      <c r="R743" s="131"/>
      <c r="S743" s="132"/>
      <c r="T743" s="102">
        <v>9950.5</v>
      </c>
      <c r="U743" s="100">
        <v>43837</v>
      </c>
      <c r="V743" s="130"/>
      <c r="W743" s="285"/>
    </row>
    <row r="744" s="43" customFormat="1" ht="22" hidden="1" customHeight="1" spans="1:23">
      <c r="A744" s="261" t="s">
        <v>2828</v>
      </c>
      <c r="B744" s="174" t="s">
        <v>2234</v>
      </c>
      <c r="C744" s="175"/>
      <c r="D744" s="45" t="s">
        <v>31</v>
      </c>
      <c r="E744" s="80" t="s">
        <v>2792</v>
      </c>
      <c r="F744" s="81">
        <f>IFERROR(VLOOKUP(E744,客户!B:C,2,FALSE),"/")</f>
        <v>0</v>
      </c>
      <c r="G744" s="291" t="s">
        <v>2829</v>
      </c>
      <c r="H744" s="45" t="s">
        <v>127</v>
      </c>
      <c r="I744" s="45" t="s">
        <v>2825</v>
      </c>
      <c r="J744" s="108">
        <v>43789</v>
      </c>
      <c r="K744" s="100">
        <v>43805</v>
      </c>
      <c r="L744" s="100">
        <v>43852</v>
      </c>
      <c r="M744" s="159" t="s">
        <v>2830</v>
      </c>
      <c r="N744" s="108" t="s">
        <v>2831</v>
      </c>
      <c r="O744" s="104" t="s">
        <v>523</v>
      </c>
      <c r="P744" s="102">
        <v>11517.9</v>
      </c>
      <c r="Q744" s="102">
        <v>5000</v>
      </c>
      <c r="R744" s="131"/>
      <c r="S744" s="132"/>
      <c r="T744" s="102">
        <v>5986.5</v>
      </c>
      <c r="U744" s="100">
        <v>43840</v>
      </c>
      <c r="V744" s="130"/>
      <c r="W744" s="285"/>
    </row>
    <row r="745" s="43" customFormat="1" ht="22" hidden="1" customHeight="1" spans="1:23">
      <c r="A745" s="261" t="s">
        <v>2832</v>
      </c>
      <c r="B745" s="174" t="s">
        <v>2234</v>
      </c>
      <c r="C745" s="175"/>
      <c r="D745" s="45" t="s">
        <v>31</v>
      </c>
      <c r="E745" s="82" t="s">
        <v>2833</v>
      </c>
      <c r="F745" s="81">
        <f>IFERROR(VLOOKUP(E745,客户!B:C,2,FALSE),"/")</f>
        <v>0</v>
      </c>
      <c r="G745" s="291" t="s">
        <v>2834</v>
      </c>
      <c r="H745" s="45" t="s">
        <v>127</v>
      </c>
      <c r="I745" s="45" t="s">
        <v>2835</v>
      </c>
      <c r="J745" s="108">
        <v>43812</v>
      </c>
      <c r="K745" s="100">
        <v>43821</v>
      </c>
      <c r="L745" s="100"/>
      <c r="M745" s="159" t="s">
        <v>2836</v>
      </c>
      <c r="N745" s="108" t="s">
        <v>2837</v>
      </c>
      <c r="O745" s="104" t="s">
        <v>970</v>
      </c>
      <c r="P745" s="102">
        <v>3859.2</v>
      </c>
      <c r="Q745" s="102"/>
      <c r="R745" s="131"/>
      <c r="S745" s="132"/>
      <c r="T745" s="102">
        <v>3859.2</v>
      </c>
      <c r="U745" s="100">
        <v>43809</v>
      </c>
      <c r="V745" s="130"/>
      <c r="W745" s="285"/>
    </row>
    <row r="746" s="43" customFormat="1" ht="22" hidden="1" customHeight="1" spans="1:23">
      <c r="A746" s="261" t="s">
        <v>2838</v>
      </c>
      <c r="B746" s="174" t="s">
        <v>2234</v>
      </c>
      <c r="C746" s="175"/>
      <c r="D746" s="45" t="s">
        <v>31</v>
      </c>
      <c r="E746" s="82" t="s">
        <v>2839</v>
      </c>
      <c r="F746" s="81">
        <f>IFERROR(VLOOKUP(E746,客户!B:C,2,FALSE),"/")</f>
        <v>0</v>
      </c>
      <c r="G746" s="291" t="s">
        <v>2840</v>
      </c>
      <c r="H746" s="45" t="s">
        <v>127</v>
      </c>
      <c r="I746" s="45" t="s">
        <v>2841</v>
      </c>
      <c r="J746" s="108">
        <v>43874</v>
      </c>
      <c r="K746" s="100">
        <v>43938</v>
      </c>
      <c r="L746" s="100">
        <v>43995</v>
      </c>
      <c r="M746" s="165" t="s">
        <v>2842</v>
      </c>
      <c r="N746" s="198" t="s">
        <v>2843</v>
      </c>
      <c r="O746" s="104" t="s">
        <v>523</v>
      </c>
      <c r="P746" s="102">
        <v>33027.98</v>
      </c>
      <c r="Q746" s="102">
        <v>11628.8</v>
      </c>
      <c r="R746" s="131"/>
      <c r="S746" s="132"/>
      <c r="T746" s="102">
        <v>10000</v>
      </c>
      <c r="U746" s="102">
        <f>10000+1400</f>
        <v>11400</v>
      </c>
      <c r="V746" s="243" t="s">
        <v>2844</v>
      </c>
      <c r="W746" s="285"/>
    </row>
    <row r="747" s="43" customFormat="1" ht="22" hidden="1" customHeight="1" spans="1:23">
      <c r="A747" s="261" t="s">
        <v>2845</v>
      </c>
      <c r="B747" s="174" t="s">
        <v>2234</v>
      </c>
      <c r="C747" s="175"/>
      <c r="D747" s="45" t="s">
        <v>31</v>
      </c>
      <c r="E747" s="83" t="s">
        <v>2846</v>
      </c>
      <c r="F747" s="81">
        <f>IFERROR(VLOOKUP(E747,客户!B:C,2,FALSE),"/")</f>
        <v>0</v>
      </c>
      <c r="G747" s="291" t="s">
        <v>2847</v>
      </c>
      <c r="H747" s="45" t="s">
        <v>127</v>
      </c>
      <c r="I747" s="45" t="s">
        <v>2848</v>
      </c>
      <c r="J747" s="108">
        <v>43887</v>
      </c>
      <c r="K747" s="100">
        <v>43900</v>
      </c>
      <c r="L747" s="100">
        <v>43941</v>
      </c>
      <c r="M747" s="165" t="s">
        <v>2849</v>
      </c>
      <c r="N747" s="108" t="s">
        <v>2850</v>
      </c>
      <c r="O747" s="104" t="s">
        <v>523</v>
      </c>
      <c r="P747" s="102">
        <v>8394.6</v>
      </c>
      <c r="Q747" s="102">
        <v>4049</v>
      </c>
      <c r="R747" s="131"/>
      <c r="S747" s="132"/>
      <c r="T747" s="102">
        <v>4345.6</v>
      </c>
      <c r="U747" s="100">
        <v>43892</v>
      </c>
      <c r="V747" s="130"/>
      <c r="W747" s="285"/>
    </row>
    <row r="748" s="43" customFormat="1" ht="22" hidden="1" customHeight="1" spans="1:23">
      <c r="A748" s="261" t="s">
        <v>2851</v>
      </c>
      <c r="B748" s="174" t="s">
        <v>2234</v>
      </c>
      <c r="C748" s="175"/>
      <c r="D748" s="45" t="s">
        <v>31</v>
      </c>
      <c r="E748" s="82" t="s">
        <v>2852</v>
      </c>
      <c r="F748" s="81">
        <f>IFERROR(VLOOKUP(E748,客户!B:C,2,FALSE),"/")</f>
        <v>0</v>
      </c>
      <c r="G748" s="291" t="s">
        <v>2853</v>
      </c>
      <c r="H748" s="45" t="s">
        <v>123</v>
      </c>
      <c r="I748" s="45" t="s">
        <v>2854</v>
      </c>
      <c r="J748" s="108">
        <v>44014</v>
      </c>
      <c r="K748" s="100">
        <v>44028</v>
      </c>
      <c r="L748" s="100">
        <v>44061</v>
      </c>
      <c r="M748" s="165" t="s">
        <v>2855</v>
      </c>
      <c r="N748" s="198" t="s">
        <v>2856</v>
      </c>
      <c r="O748" s="104" t="s">
        <v>970</v>
      </c>
      <c r="P748" s="102">
        <v>2119.68</v>
      </c>
      <c r="Q748" s="102"/>
      <c r="R748" s="131"/>
      <c r="S748" s="132"/>
      <c r="T748" s="102">
        <v>2095.68</v>
      </c>
      <c r="U748" s="100"/>
      <c r="V748" s="130"/>
      <c r="W748" s="285"/>
    </row>
    <row r="749" s="43" customFormat="1" ht="22" hidden="1" customHeight="1" spans="1:23">
      <c r="A749" s="261" t="s">
        <v>2857</v>
      </c>
      <c r="B749" s="174" t="s">
        <v>2234</v>
      </c>
      <c r="C749" s="175"/>
      <c r="D749" s="45" t="s">
        <v>31</v>
      </c>
      <c r="E749" s="82" t="s">
        <v>2839</v>
      </c>
      <c r="F749" s="81"/>
      <c r="G749" s="291" t="s">
        <v>2858</v>
      </c>
      <c r="H749" s="45" t="s">
        <v>127</v>
      </c>
      <c r="I749" s="45" t="s">
        <v>2191</v>
      </c>
      <c r="J749" s="108">
        <v>44069</v>
      </c>
      <c r="K749" s="100">
        <v>44086</v>
      </c>
      <c r="L749" s="100">
        <v>44139</v>
      </c>
      <c r="M749" s="165" t="s">
        <v>2859</v>
      </c>
      <c r="N749" s="198" t="s">
        <v>2860</v>
      </c>
      <c r="O749" s="104" t="s">
        <v>523</v>
      </c>
      <c r="P749" s="102">
        <v>12766.75</v>
      </c>
      <c r="Q749" s="102">
        <v>5000</v>
      </c>
      <c r="R749" s="131"/>
      <c r="S749" s="132"/>
      <c r="T749" s="102">
        <v>7766.75</v>
      </c>
      <c r="U749" s="100"/>
      <c r="V749" s="130"/>
      <c r="W749" s="285"/>
    </row>
    <row r="750" s="43" customFormat="1" ht="22" hidden="1" customHeight="1" spans="1:23">
      <c r="A750" s="293"/>
      <c r="B750" s="174"/>
      <c r="C750" s="175"/>
      <c r="D750" s="45"/>
      <c r="E750" s="80"/>
      <c r="F750" s="81"/>
      <c r="G750" s="291"/>
      <c r="H750" s="45"/>
      <c r="I750" s="45"/>
      <c r="J750" s="108"/>
      <c r="K750" s="100"/>
      <c r="L750" s="100"/>
      <c r="M750" s="159"/>
      <c r="N750" s="108"/>
      <c r="O750" s="104"/>
      <c r="P750" s="102"/>
      <c r="Q750" s="102"/>
      <c r="R750" s="131"/>
      <c r="S750" s="132"/>
      <c r="T750" s="102"/>
      <c r="U750" s="100"/>
      <c r="V750" s="130"/>
      <c r="W750" s="285"/>
    </row>
    <row r="751" s="43" customFormat="1" ht="22" hidden="1" customHeight="1" spans="1:23">
      <c r="A751" s="293"/>
      <c r="B751" s="174"/>
      <c r="C751" s="175"/>
      <c r="D751" s="45"/>
      <c r="E751" s="80"/>
      <c r="F751" s="81"/>
      <c r="G751" s="291"/>
      <c r="H751" s="45"/>
      <c r="I751" s="45"/>
      <c r="J751" s="108"/>
      <c r="K751" s="100"/>
      <c r="L751" s="100"/>
      <c r="M751" s="159"/>
      <c r="N751" s="108"/>
      <c r="O751" s="104"/>
      <c r="P751" s="102"/>
      <c r="Q751" s="102"/>
      <c r="R751" s="131"/>
      <c r="S751" s="132"/>
      <c r="T751" s="102"/>
      <c r="U751" s="100"/>
      <c r="V751" s="130"/>
      <c r="W751" s="285"/>
    </row>
    <row r="752" s="43" customFormat="1" ht="22" hidden="1" customHeight="1" spans="1:23">
      <c r="A752" s="256"/>
      <c r="B752" s="174"/>
      <c r="C752" s="175"/>
      <c r="D752" s="45"/>
      <c r="E752" s="80"/>
      <c r="F752" s="81" t="str">
        <f>IFERROR(VLOOKUP(E752,客户!B:C,2,FALSE),"/")</f>
        <v>/</v>
      </c>
      <c r="G752" s="45"/>
      <c r="H752" s="45"/>
      <c r="I752" s="45"/>
      <c r="J752" s="108"/>
      <c r="K752" s="100"/>
      <c r="L752" s="100"/>
      <c r="M752" s="178"/>
      <c r="N752" s="108"/>
      <c r="O752" s="104"/>
      <c r="P752" s="102"/>
      <c r="Q752" s="102"/>
      <c r="R752" s="131"/>
      <c r="S752" s="132"/>
      <c r="T752" s="102"/>
      <c r="U752" s="100"/>
      <c r="V752" s="130"/>
      <c r="W752" s="285"/>
    </row>
    <row r="753" s="43" customFormat="1" ht="22" hidden="1" customHeight="1" spans="1:23">
      <c r="A753" s="144" t="s">
        <v>2861</v>
      </c>
      <c r="B753" s="174"/>
      <c r="C753" s="175"/>
      <c r="D753" s="45"/>
      <c r="E753" s="80"/>
      <c r="F753" s="81" t="str">
        <f>IFERROR(VLOOKUP(E753,客户!B:C,2,FALSE),"/")</f>
        <v>/</v>
      </c>
      <c r="G753" s="294"/>
      <c r="H753" s="143"/>
      <c r="I753" s="294"/>
      <c r="J753" s="108"/>
      <c r="K753" s="100"/>
      <c r="L753" s="100"/>
      <c r="M753" s="108"/>
      <c r="N753" s="108"/>
      <c r="O753" s="104"/>
      <c r="P753" s="102"/>
      <c r="Q753" s="294"/>
      <c r="R753" s="131"/>
      <c r="S753" s="132"/>
      <c r="T753" s="102"/>
      <c r="U753" s="100"/>
      <c r="V753" s="130"/>
      <c r="W753" s="285"/>
    </row>
    <row r="754" s="43" customFormat="1" ht="22" hidden="1" customHeight="1" spans="1:23">
      <c r="A754" s="158" t="s">
        <v>2862</v>
      </c>
      <c r="B754" s="295" t="s">
        <v>2863</v>
      </c>
      <c r="C754" s="296"/>
      <c r="D754" s="45" t="s">
        <v>31</v>
      </c>
      <c r="E754" s="45" t="s">
        <v>2864</v>
      </c>
      <c r="F754" s="81">
        <f>IFERROR(VLOOKUP(E754,客户!B:C,2,FALSE),"/")</f>
        <v>0</v>
      </c>
      <c r="G754" s="45" t="s">
        <v>2865</v>
      </c>
      <c r="H754" s="45" t="s">
        <v>123</v>
      </c>
      <c r="I754" s="45"/>
      <c r="J754" s="108"/>
      <c r="K754" s="100"/>
      <c r="L754" s="100"/>
      <c r="M754" s="108"/>
      <c r="N754" s="162" t="s">
        <v>2866</v>
      </c>
      <c r="O754" s="104"/>
      <c r="P754" s="102">
        <v>16410.23</v>
      </c>
      <c r="Q754" s="230">
        <v>4832.86</v>
      </c>
      <c r="R754" s="131"/>
      <c r="S754" s="132"/>
      <c r="T754" s="102">
        <v>11577</v>
      </c>
      <c r="U754" s="100"/>
      <c r="V754" s="128"/>
      <c r="W754" s="285"/>
    </row>
    <row r="755" s="45" customFormat="1" ht="22" hidden="1" customHeight="1" spans="1:23">
      <c r="A755" s="158" t="s">
        <v>2867</v>
      </c>
      <c r="B755" s="295" t="s">
        <v>2863</v>
      </c>
      <c r="C755" s="296"/>
      <c r="D755" s="45" t="s">
        <v>31</v>
      </c>
      <c r="E755" s="45" t="s">
        <v>2868</v>
      </c>
      <c r="F755" s="81" t="str">
        <f>IFERROR(VLOOKUP(E755,客户!B:C,2,FALSE),"/")</f>
        <v>/</v>
      </c>
      <c r="G755" s="45" t="s">
        <v>2869</v>
      </c>
      <c r="H755" s="45" t="s">
        <v>123</v>
      </c>
      <c r="J755" s="159">
        <v>43353</v>
      </c>
      <c r="K755" s="100"/>
      <c r="L755" s="100"/>
      <c r="M755" s="108"/>
      <c r="N755" s="159" t="s">
        <v>2870</v>
      </c>
      <c r="O755" s="104"/>
      <c r="P755" s="102">
        <v>25975.21</v>
      </c>
      <c r="Q755" s="230"/>
      <c r="R755" s="131"/>
      <c r="S755" s="132"/>
      <c r="T755" s="102"/>
      <c r="U755" s="100"/>
      <c r="V755" s="128"/>
      <c r="W755" s="210"/>
    </row>
    <row r="756" s="45" customFormat="1" ht="22" hidden="1" customHeight="1" spans="1:23">
      <c r="A756" s="45" t="s">
        <v>2871</v>
      </c>
      <c r="B756" s="295" t="s">
        <v>2863</v>
      </c>
      <c r="C756" s="296"/>
      <c r="D756" s="45" t="s">
        <v>31</v>
      </c>
      <c r="E756" s="45" t="s">
        <v>2872</v>
      </c>
      <c r="F756" s="81" t="str">
        <f>IFERROR(VLOOKUP(E756,客户!B:C,2,FALSE),"/")</f>
        <v>/</v>
      </c>
      <c r="G756" s="45" t="s">
        <v>2873</v>
      </c>
      <c r="H756" s="45" t="s">
        <v>123</v>
      </c>
      <c r="J756" s="159"/>
      <c r="K756" s="100"/>
      <c r="L756" s="100"/>
      <c r="M756" s="108"/>
      <c r="N756" s="159" t="s">
        <v>2874</v>
      </c>
      <c r="O756" s="104"/>
      <c r="P756" s="102">
        <v>22230</v>
      </c>
      <c r="Q756" s="230">
        <v>6726.34</v>
      </c>
      <c r="R756" s="131"/>
      <c r="S756" s="132"/>
      <c r="T756" s="102"/>
      <c r="U756" s="100"/>
      <c r="V756" s="128"/>
      <c r="W756" s="210"/>
    </row>
    <row r="757" s="45" customFormat="1" ht="22" hidden="1" customHeight="1" spans="1:23">
      <c r="A757" s="45" t="s">
        <v>2875</v>
      </c>
      <c r="B757" s="295" t="s">
        <v>2863</v>
      </c>
      <c r="C757" s="296"/>
      <c r="D757" s="45" t="s">
        <v>31</v>
      </c>
      <c r="E757" s="45" t="s">
        <v>2876</v>
      </c>
      <c r="F757" s="81" t="str">
        <f>IFERROR(VLOOKUP(E757,客户!B:C,2,FALSE),"/")</f>
        <v>/</v>
      </c>
      <c r="G757" s="45" t="s">
        <v>2877</v>
      </c>
      <c r="H757" s="45" t="s">
        <v>123</v>
      </c>
      <c r="J757" s="159">
        <v>43300</v>
      </c>
      <c r="K757" s="100"/>
      <c r="L757" s="100"/>
      <c r="M757" s="108"/>
      <c r="N757" s="165" t="s">
        <v>2878</v>
      </c>
      <c r="O757" s="104"/>
      <c r="P757" s="144"/>
      <c r="Q757" s="230">
        <v>4700</v>
      </c>
      <c r="R757" s="131"/>
      <c r="S757" s="132"/>
      <c r="T757" s="102"/>
      <c r="U757" s="100"/>
      <c r="V757" s="128"/>
      <c r="W757" s="210"/>
    </row>
    <row r="758" s="43" customFormat="1" ht="22" hidden="1" customHeight="1" spans="1:23">
      <c r="A758" s="45" t="s">
        <v>2879</v>
      </c>
      <c r="B758" s="295" t="s">
        <v>2863</v>
      </c>
      <c r="C758" s="296"/>
      <c r="D758" s="45" t="s">
        <v>31</v>
      </c>
      <c r="E758" s="45" t="s">
        <v>2880</v>
      </c>
      <c r="F758" s="81">
        <f>IFERROR(VLOOKUP(E758,客户!B:C,2,FALSE),"/")</f>
        <v>0</v>
      </c>
      <c r="G758" s="45" t="s">
        <v>2881</v>
      </c>
      <c r="H758" s="143" t="s">
        <v>123</v>
      </c>
      <c r="I758" s="143"/>
      <c r="J758" s="108"/>
      <c r="K758" s="100"/>
      <c r="L758" s="100"/>
      <c r="M758" s="108"/>
      <c r="N758" s="162" t="s">
        <v>2882</v>
      </c>
      <c r="O758" s="104"/>
      <c r="P758" s="102">
        <v>47001</v>
      </c>
      <c r="Q758" s="230">
        <v>16100</v>
      </c>
      <c r="R758" s="131"/>
      <c r="S758" s="132"/>
      <c r="T758" s="102">
        <v>30879</v>
      </c>
      <c r="U758" s="100"/>
      <c r="V758" s="128"/>
      <c r="W758" s="285"/>
    </row>
    <row r="759" s="45" customFormat="1" ht="22" hidden="1" customHeight="1" spans="1:23">
      <c r="A759" s="45" t="s">
        <v>2883</v>
      </c>
      <c r="B759" s="295" t="s">
        <v>2863</v>
      </c>
      <c r="C759" s="296"/>
      <c r="D759" s="45" t="s">
        <v>31</v>
      </c>
      <c r="E759" s="45" t="s">
        <v>2868</v>
      </c>
      <c r="F759" s="81" t="str">
        <f>IFERROR(VLOOKUP(E759,客户!B:C,2,FALSE),"/")</f>
        <v>/</v>
      </c>
      <c r="G759" s="45" t="s">
        <v>222</v>
      </c>
      <c r="H759" s="45" t="s">
        <v>123</v>
      </c>
      <c r="J759" s="159">
        <v>43351</v>
      </c>
      <c r="K759" s="100"/>
      <c r="L759" s="100"/>
      <c r="M759" s="108"/>
      <c r="N759" s="165" t="s">
        <v>2884</v>
      </c>
      <c r="O759" s="104"/>
      <c r="P759" s="102">
        <v>26607.9</v>
      </c>
      <c r="Q759" s="230"/>
      <c r="R759" s="131"/>
      <c r="S759" s="132"/>
      <c r="T759" s="102"/>
      <c r="U759" s="100"/>
      <c r="V759" s="128"/>
      <c r="W759" s="210"/>
    </row>
    <row r="760" s="43" customFormat="1" ht="22" hidden="1" customHeight="1" spans="1:23">
      <c r="A760" s="144" t="s">
        <v>2885</v>
      </c>
      <c r="B760" s="295" t="s">
        <v>2863</v>
      </c>
      <c r="C760" s="296"/>
      <c r="D760" s="45" t="s">
        <v>31</v>
      </c>
      <c r="E760" s="45" t="s">
        <v>2886</v>
      </c>
      <c r="F760" s="81">
        <f>IFERROR(VLOOKUP(E760,客户!B:C,2,FALSE),"/")</f>
        <v>0</v>
      </c>
      <c r="G760" s="45" t="s">
        <v>2887</v>
      </c>
      <c r="H760" s="143" t="s">
        <v>147</v>
      </c>
      <c r="I760" s="143"/>
      <c r="J760" s="108"/>
      <c r="K760" s="100"/>
      <c r="L760" s="100"/>
      <c r="M760" s="108"/>
      <c r="N760" s="159" t="s">
        <v>2888</v>
      </c>
      <c r="O760" s="104"/>
      <c r="P760" s="102">
        <v>22255.8</v>
      </c>
      <c r="Q760" s="230">
        <v>4452</v>
      </c>
      <c r="R760" s="284"/>
      <c r="S760" s="132"/>
      <c r="T760" s="102"/>
      <c r="U760" s="100"/>
      <c r="V760" s="128"/>
      <c r="W760" s="210"/>
    </row>
    <row r="761" s="43" customFormat="1" ht="22" hidden="1" customHeight="1" spans="1:23">
      <c r="A761" s="144" t="s">
        <v>2889</v>
      </c>
      <c r="B761" s="295" t="s">
        <v>2863</v>
      </c>
      <c r="C761" s="296"/>
      <c r="D761" s="45" t="s">
        <v>31</v>
      </c>
      <c r="E761" s="45" t="s">
        <v>2890</v>
      </c>
      <c r="F761" s="81" t="str">
        <f>IFERROR(VLOOKUP(E761,客户!B:C,2,FALSE),"/")</f>
        <v>/</v>
      </c>
      <c r="G761" s="45" t="s">
        <v>2891</v>
      </c>
      <c r="H761" s="143"/>
      <c r="I761" s="143"/>
      <c r="J761" s="108">
        <v>43371</v>
      </c>
      <c r="K761" s="100"/>
      <c r="L761" s="100"/>
      <c r="M761" s="108"/>
      <c r="N761" s="162" t="s">
        <v>2892</v>
      </c>
      <c r="O761" s="104"/>
      <c r="P761" s="102">
        <v>49281.2</v>
      </c>
      <c r="Q761" s="230">
        <v>14253</v>
      </c>
      <c r="R761" s="131"/>
      <c r="S761" s="132"/>
      <c r="T761" s="102"/>
      <c r="U761" s="100"/>
      <c r="V761" s="130"/>
      <c r="W761" s="210"/>
    </row>
    <row r="762" s="43" customFormat="1" ht="22" hidden="1" customHeight="1" spans="1:23">
      <c r="A762" s="144" t="s">
        <v>2893</v>
      </c>
      <c r="B762" s="295" t="s">
        <v>2863</v>
      </c>
      <c r="C762" s="296"/>
      <c r="D762" s="45" t="s">
        <v>31</v>
      </c>
      <c r="E762" s="45" t="s">
        <v>2894</v>
      </c>
      <c r="F762" s="81" t="str">
        <f>IFERROR(VLOOKUP(E762,客户!B:C,2,FALSE),"/")</f>
        <v>/</v>
      </c>
      <c r="G762" s="45" t="s">
        <v>2895</v>
      </c>
      <c r="H762" s="143"/>
      <c r="I762" s="143"/>
      <c r="J762" s="108">
        <v>43384</v>
      </c>
      <c r="K762" s="100"/>
      <c r="L762" s="100"/>
      <c r="M762" s="108"/>
      <c r="N762" s="162" t="s">
        <v>2896</v>
      </c>
      <c r="O762" s="104"/>
      <c r="P762" s="102">
        <v>38250.37</v>
      </c>
      <c r="Q762" s="230">
        <v>12064</v>
      </c>
      <c r="R762" s="131"/>
      <c r="S762" s="132"/>
      <c r="T762" s="102"/>
      <c r="U762" s="100"/>
      <c r="V762" s="128"/>
      <c r="W762" s="285"/>
    </row>
    <row r="763" s="43" customFormat="1" ht="22" hidden="1" customHeight="1" spans="1:23">
      <c r="A763" s="144" t="s">
        <v>2897</v>
      </c>
      <c r="B763" s="295" t="s">
        <v>2863</v>
      </c>
      <c r="C763" s="296"/>
      <c r="D763" s="45" t="s">
        <v>31</v>
      </c>
      <c r="E763" s="45" t="s">
        <v>2898</v>
      </c>
      <c r="F763" s="81" t="str">
        <f>IFERROR(VLOOKUP(E763,客户!B:C,2,FALSE),"/")</f>
        <v>/</v>
      </c>
      <c r="G763" s="45" t="s">
        <v>2899</v>
      </c>
      <c r="H763" s="143"/>
      <c r="I763" s="143" t="s">
        <v>2900</v>
      </c>
      <c r="J763" s="108">
        <v>43389</v>
      </c>
      <c r="K763" s="100">
        <v>43427</v>
      </c>
      <c r="L763" s="100">
        <v>43456</v>
      </c>
      <c r="M763" s="108"/>
      <c r="N763" s="108" t="s">
        <v>2901</v>
      </c>
      <c r="O763" s="104"/>
      <c r="P763" s="102">
        <v>22153.1</v>
      </c>
      <c r="Q763" s="230">
        <v>6400</v>
      </c>
      <c r="R763" s="131"/>
      <c r="S763" s="132"/>
      <c r="T763" s="102">
        <v>15744</v>
      </c>
      <c r="U763" s="100"/>
      <c r="V763" s="102"/>
      <c r="W763" s="210"/>
    </row>
    <row r="764" s="43" customFormat="1" ht="22" hidden="1" customHeight="1" spans="1:23">
      <c r="A764" s="144" t="s">
        <v>2902</v>
      </c>
      <c r="B764" s="295" t="s">
        <v>2863</v>
      </c>
      <c r="C764" s="296"/>
      <c r="D764" s="45" t="s">
        <v>31</v>
      </c>
      <c r="E764" s="45" t="s">
        <v>2903</v>
      </c>
      <c r="F764" s="81" t="str">
        <f>IFERROR(VLOOKUP(E764,客户!B:C,2,FALSE),"/")</f>
        <v>/</v>
      </c>
      <c r="G764" s="45" t="s">
        <v>2904</v>
      </c>
      <c r="H764" s="143" t="s">
        <v>123</v>
      </c>
      <c r="I764" s="143" t="s">
        <v>2905</v>
      </c>
      <c r="J764" s="108">
        <v>43427</v>
      </c>
      <c r="K764" s="100">
        <v>43444</v>
      </c>
      <c r="L764" s="100">
        <v>43486</v>
      </c>
      <c r="M764" s="203"/>
      <c r="N764" s="162" t="s">
        <v>2906</v>
      </c>
      <c r="O764" s="104"/>
      <c r="P764" s="102">
        <v>9626.75</v>
      </c>
      <c r="Q764" s="230">
        <v>2706.2</v>
      </c>
      <c r="R764" s="131">
        <v>0</v>
      </c>
      <c r="S764" s="132"/>
      <c r="T764" s="102">
        <v>6911.73</v>
      </c>
      <c r="U764" s="100"/>
      <c r="V764" s="130"/>
      <c r="W764" s="210"/>
    </row>
    <row r="765" s="43" customFormat="1" ht="22" hidden="1" customHeight="1" spans="1:23">
      <c r="A765" s="144" t="s">
        <v>2907</v>
      </c>
      <c r="B765" s="295" t="s">
        <v>2863</v>
      </c>
      <c r="C765" s="296"/>
      <c r="D765" s="45" t="s">
        <v>31</v>
      </c>
      <c r="E765" s="45" t="s">
        <v>2908</v>
      </c>
      <c r="F765" s="81" t="str">
        <f>IFERROR(VLOOKUP(E765,客户!B:C,2,FALSE),"/")</f>
        <v>/</v>
      </c>
      <c r="G765" s="45" t="s">
        <v>2909</v>
      </c>
      <c r="H765" s="143" t="s">
        <v>123</v>
      </c>
      <c r="I765" s="143" t="s">
        <v>2900</v>
      </c>
      <c r="J765" s="108">
        <v>43426</v>
      </c>
      <c r="K765" s="100">
        <v>43466</v>
      </c>
      <c r="L765" s="100">
        <v>43505</v>
      </c>
      <c r="M765" s="298"/>
      <c r="N765" s="108" t="s">
        <v>2910</v>
      </c>
      <c r="O765" s="104"/>
      <c r="P765" s="102">
        <v>48551.5</v>
      </c>
      <c r="Q765" s="230">
        <v>16266.8</v>
      </c>
      <c r="R765" s="131">
        <v>0</v>
      </c>
      <c r="S765" s="132"/>
      <c r="T765" s="102">
        <v>32263</v>
      </c>
      <c r="U765" s="100">
        <v>43494</v>
      </c>
      <c r="V765" s="189"/>
      <c r="W765" s="210"/>
    </row>
    <row r="766" s="43" customFormat="1" ht="22" hidden="1" customHeight="1" spans="1:23">
      <c r="A766" s="144" t="s">
        <v>2911</v>
      </c>
      <c r="B766" s="295" t="s">
        <v>2863</v>
      </c>
      <c r="C766" s="296"/>
      <c r="D766" s="45" t="s">
        <v>31</v>
      </c>
      <c r="E766" s="45" t="s">
        <v>2912</v>
      </c>
      <c r="F766" s="81">
        <f>IFERROR(VLOOKUP(E766,客户!B:C,2,FALSE),"/")</f>
        <v>0</v>
      </c>
      <c r="G766" s="45" t="s">
        <v>2913</v>
      </c>
      <c r="H766" s="143" t="s">
        <v>123</v>
      </c>
      <c r="I766" s="143" t="s">
        <v>2900</v>
      </c>
      <c r="J766" s="108">
        <v>43436</v>
      </c>
      <c r="K766" s="100">
        <v>43476</v>
      </c>
      <c r="L766" s="100">
        <v>43512</v>
      </c>
      <c r="M766" s="298"/>
      <c r="N766" s="108" t="s">
        <v>2914</v>
      </c>
      <c r="O766" s="104"/>
      <c r="P766" s="102">
        <v>71307.2</v>
      </c>
      <c r="Q766" s="301">
        <v>39414.45</v>
      </c>
      <c r="R766" s="131">
        <v>0</v>
      </c>
      <c r="S766" s="132"/>
      <c r="T766" s="102">
        <v>99266</v>
      </c>
      <c r="U766" s="100">
        <v>43490</v>
      </c>
      <c r="V766" s="130"/>
      <c r="W766" s="210"/>
    </row>
    <row r="767" s="43" customFormat="1" ht="22" hidden="1" customHeight="1" spans="1:23">
      <c r="A767" s="144" t="s">
        <v>2915</v>
      </c>
      <c r="B767" s="295" t="s">
        <v>2863</v>
      </c>
      <c r="C767" s="296"/>
      <c r="D767" s="45" t="s">
        <v>31</v>
      </c>
      <c r="E767" s="45" t="s">
        <v>2912</v>
      </c>
      <c r="F767" s="81">
        <f>IFERROR(VLOOKUP(E767,客户!B:C,2,FALSE),"/")</f>
        <v>0</v>
      </c>
      <c r="G767" s="45" t="s">
        <v>2916</v>
      </c>
      <c r="H767" s="143" t="s">
        <v>123</v>
      </c>
      <c r="I767" s="143" t="s">
        <v>2900</v>
      </c>
      <c r="J767" s="108"/>
      <c r="K767" s="100">
        <v>43480</v>
      </c>
      <c r="L767" s="100">
        <v>43519</v>
      </c>
      <c r="M767" s="298"/>
      <c r="N767" s="108" t="s">
        <v>2917</v>
      </c>
      <c r="O767" s="104"/>
      <c r="P767" s="102">
        <v>67391.02</v>
      </c>
      <c r="Q767" s="301"/>
      <c r="R767" s="131"/>
      <c r="S767" s="132"/>
      <c r="T767" s="102"/>
      <c r="U767" s="100">
        <v>43490</v>
      </c>
      <c r="V767" s="130"/>
      <c r="W767" s="210"/>
    </row>
    <row r="768" s="43" customFormat="1" ht="22" hidden="1" customHeight="1" spans="1:23">
      <c r="A768" s="144" t="s">
        <v>2918</v>
      </c>
      <c r="B768" s="295" t="s">
        <v>2863</v>
      </c>
      <c r="C768" s="296"/>
      <c r="D768" s="45" t="s">
        <v>31</v>
      </c>
      <c r="E768" s="45" t="s">
        <v>2886</v>
      </c>
      <c r="F768" s="81">
        <f>IFERROR(VLOOKUP(E768,客户!B:C,2,FALSE),"/")</f>
        <v>0</v>
      </c>
      <c r="G768" s="45" t="s">
        <v>2919</v>
      </c>
      <c r="H768" s="190" t="s">
        <v>147</v>
      </c>
      <c r="I768" s="143" t="s">
        <v>2900</v>
      </c>
      <c r="J768" s="108">
        <v>43446</v>
      </c>
      <c r="K768" s="100">
        <v>43487</v>
      </c>
      <c r="L768" s="100">
        <v>43527</v>
      </c>
      <c r="M768" s="203" t="s">
        <v>2920</v>
      </c>
      <c r="N768" s="108" t="s">
        <v>2921</v>
      </c>
      <c r="O768" s="104"/>
      <c r="P768" s="102">
        <v>39950.9</v>
      </c>
      <c r="Q768" s="230">
        <v>2987.53</v>
      </c>
      <c r="R768" s="131">
        <v>0</v>
      </c>
      <c r="S768" s="132"/>
      <c r="T768" s="211">
        <v>33914</v>
      </c>
      <c r="U768" s="100">
        <v>43511</v>
      </c>
      <c r="V768" s="130"/>
      <c r="W768" s="210"/>
    </row>
    <row r="769" s="43" customFormat="1" ht="22" hidden="1" customHeight="1" spans="1:23">
      <c r="A769" s="144" t="s">
        <v>2922</v>
      </c>
      <c r="B769" s="295" t="s">
        <v>2863</v>
      </c>
      <c r="C769" s="296"/>
      <c r="D769" s="45" t="s">
        <v>31</v>
      </c>
      <c r="E769" s="45" t="s">
        <v>2886</v>
      </c>
      <c r="F769" s="81">
        <f>IFERROR(VLOOKUP(E769,客户!B:C,2,FALSE),"/")</f>
        <v>0</v>
      </c>
      <c r="G769" s="45" t="s">
        <v>2923</v>
      </c>
      <c r="H769" s="190" t="s">
        <v>147</v>
      </c>
      <c r="I769" s="143" t="s">
        <v>2900</v>
      </c>
      <c r="J769" s="108">
        <v>43451</v>
      </c>
      <c r="K769" s="100">
        <v>43487</v>
      </c>
      <c r="L769" s="100">
        <v>43527</v>
      </c>
      <c r="M769" s="203" t="s">
        <v>2920</v>
      </c>
      <c r="N769" s="108" t="s">
        <v>2921</v>
      </c>
      <c r="O769" s="104"/>
      <c r="P769" s="102"/>
      <c r="Q769" s="230">
        <v>3005.1</v>
      </c>
      <c r="R769" s="131"/>
      <c r="S769" s="132"/>
      <c r="T769" s="211"/>
      <c r="U769" s="100">
        <v>43511</v>
      </c>
      <c r="V769" s="130"/>
      <c r="W769" s="210"/>
    </row>
    <row r="770" s="43" customFormat="1" ht="22" hidden="1" customHeight="1" spans="1:23">
      <c r="A770" s="144" t="s">
        <v>2924</v>
      </c>
      <c r="B770" s="295" t="s">
        <v>2863</v>
      </c>
      <c r="C770" s="296"/>
      <c r="D770" s="45" t="s">
        <v>31</v>
      </c>
      <c r="E770" s="45" t="s">
        <v>2925</v>
      </c>
      <c r="F770" s="81" t="str">
        <f>IFERROR(VLOOKUP(E770,客户!B:C,2,FALSE),"/")</f>
        <v>/</v>
      </c>
      <c r="G770" s="45" t="s">
        <v>93</v>
      </c>
      <c r="H770" s="143" t="s">
        <v>123</v>
      </c>
      <c r="I770" s="143" t="s">
        <v>2303</v>
      </c>
      <c r="J770" s="108">
        <v>43454</v>
      </c>
      <c r="K770" s="100">
        <v>43485</v>
      </c>
      <c r="L770" s="100">
        <v>43519</v>
      </c>
      <c r="M770" s="298"/>
      <c r="N770" s="108" t="s">
        <v>2926</v>
      </c>
      <c r="O770" s="104"/>
      <c r="P770" s="102">
        <v>20392.44</v>
      </c>
      <c r="Q770" s="230" t="s">
        <v>2927</v>
      </c>
      <c r="R770" s="131">
        <v>0</v>
      </c>
      <c r="S770" s="132"/>
      <c r="T770" s="102" t="s">
        <v>2928</v>
      </c>
      <c r="U770" s="100">
        <v>43483</v>
      </c>
      <c r="V770" s="130"/>
      <c r="W770" s="210"/>
    </row>
    <row r="771" s="43" customFormat="1" ht="22" hidden="1" customHeight="1" spans="1:23">
      <c r="A771" s="144" t="s">
        <v>2929</v>
      </c>
      <c r="B771" s="295" t="s">
        <v>2863</v>
      </c>
      <c r="C771" s="296"/>
      <c r="D771" s="45" t="s">
        <v>31</v>
      </c>
      <c r="E771" s="45" t="s">
        <v>2886</v>
      </c>
      <c r="F771" s="81">
        <f>IFERROR(VLOOKUP(E771,客户!B:C,2,FALSE),"/")</f>
        <v>0</v>
      </c>
      <c r="G771" s="45" t="s">
        <v>93</v>
      </c>
      <c r="H771" s="190" t="s">
        <v>147</v>
      </c>
      <c r="I771" s="143" t="s">
        <v>1877</v>
      </c>
      <c r="J771" s="108">
        <v>43465</v>
      </c>
      <c r="K771" s="100">
        <v>43496</v>
      </c>
      <c r="L771" s="100">
        <v>43540</v>
      </c>
      <c r="M771" s="203" t="s">
        <v>2930</v>
      </c>
      <c r="N771" s="108" t="s">
        <v>2931</v>
      </c>
      <c r="O771" s="104"/>
      <c r="P771" s="102">
        <v>36100.3</v>
      </c>
      <c r="Q771" s="102">
        <v>3046</v>
      </c>
      <c r="R771" s="131">
        <v>0</v>
      </c>
      <c r="S771" s="132"/>
      <c r="T771" s="211">
        <v>30641</v>
      </c>
      <c r="U771" s="100">
        <v>43538</v>
      </c>
      <c r="V771" s="102"/>
      <c r="W771" s="210"/>
    </row>
    <row r="772" s="43" customFormat="1" ht="22" hidden="1" customHeight="1" spans="1:23">
      <c r="A772" s="144" t="s">
        <v>2932</v>
      </c>
      <c r="B772" s="295" t="s">
        <v>2863</v>
      </c>
      <c r="C772" s="296"/>
      <c r="D772" s="45" t="s">
        <v>31</v>
      </c>
      <c r="E772" s="45" t="s">
        <v>2886</v>
      </c>
      <c r="F772" s="81">
        <f>IFERROR(VLOOKUP(E772,客户!B:C,2,FALSE),"/")</f>
        <v>0</v>
      </c>
      <c r="G772" s="45" t="s">
        <v>1599</v>
      </c>
      <c r="H772" s="190" t="s">
        <v>147</v>
      </c>
      <c r="I772" s="143" t="s">
        <v>1877</v>
      </c>
      <c r="J772" s="108">
        <v>43465</v>
      </c>
      <c r="K772" s="100">
        <v>43496</v>
      </c>
      <c r="L772" s="100">
        <v>43540</v>
      </c>
      <c r="M772" s="203" t="s">
        <v>2930</v>
      </c>
      <c r="N772" s="108" t="s">
        <v>2933</v>
      </c>
      <c r="O772" s="104"/>
      <c r="P772" s="102"/>
      <c r="Q772" s="102">
        <v>2369</v>
      </c>
      <c r="R772" s="131"/>
      <c r="S772" s="132"/>
      <c r="T772" s="211"/>
      <c r="U772" s="100">
        <v>43538</v>
      </c>
      <c r="V772" s="102"/>
      <c r="W772" s="210"/>
    </row>
    <row r="773" s="43" customFormat="1" ht="22" hidden="1" customHeight="1" spans="1:23">
      <c r="A773" s="144" t="s">
        <v>2934</v>
      </c>
      <c r="B773" s="295" t="s">
        <v>2863</v>
      </c>
      <c r="C773" s="296"/>
      <c r="D773" s="45" t="s">
        <v>31</v>
      </c>
      <c r="E773" s="45" t="s">
        <v>2935</v>
      </c>
      <c r="F773" s="81" t="str">
        <f>IFERROR(VLOOKUP(E773,客户!B:C,2,FALSE),"/")</f>
        <v>/</v>
      </c>
      <c r="G773" s="45" t="s">
        <v>2936</v>
      </c>
      <c r="H773" s="143" t="s">
        <v>123</v>
      </c>
      <c r="I773" s="143" t="s">
        <v>1877</v>
      </c>
      <c r="J773" s="108">
        <v>43465</v>
      </c>
      <c r="K773" s="100">
        <v>43496</v>
      </c>
      <c r="L773" s="100">
        <v>43540</v>
      </c>
      <c r="M773" s="203" t="s">
        <v>2937</v>
      </c>
      <c r="N773" s="108" t="s">
        <v>620</v>
      </c>
      <c r="O773" s="104"/>
      <c r="P773" s="102">
        <v>40615.9</v>
      </c>
      <c r="Q773" s="230">
        <v>7633</v>
      </c>
      <c r="R773" s="131">
        <v>0</v>
      </c>
      <c r="S773" s="132"/>
      <c r="T773" s="102">
        <v>32960</v>
      </c>
      <c r="U773" s="100">
        <v>43535</v>
      </c>
      <c r="V773" s="139"/>
      <c r="W773" s="210"/>
    </row>
    <row r="774" s="43" customFormat="1" ht="22" hidden="1" customHeight="1" spans="1:23">
      <c r="A774" s="144" t="s">
        <v>2938</v>
      </c>
      <c r="B774" s="295" t="s">
        <v>2863</v>
      </c>
      <c r="C774" s="296"/>
      <c r="D774" s="45" t="s">
        <v>31</v>
      </c>
      <c r="E774" s="45" t="s">
        <v>2880</v>
      </c>
      <c r="F774" s="81">
        <f>IFERROR(VLOOKUP(E774,客户!B:C,2,FALSE),"/")</f>
        <v>0</v>
      </c>
      <c r="G774" s="45" t="s">
        <v>93</v>
      </c>
      <c r="H774" s="143" t="s">
        <v>123</v>
      </c>
      <c r="I774" s="143" t="s">
        <v>1877</v>
      </c>
      <c r="J774" s="108">
        <v>43469</v>
      </c>
      <c r="K774" s="100">
        <v>43496</v>
      </c>
      <c r="L774" s="100">
        <v>43519</v>
      </c>
      <c r="M774" s="203" t="s">
        <v>2939</v>
      </c>
      <c r="N774" s="108" t="s">
        <v>2940</v>
      </c>
      <c r="O774" s="104"/>
      <c r="P774" s="102">
        <v>20313.7</v>
      </c>
      <c r="Q774" s="230">
        <v>3817</v>
      </c>
      <c r="R774" s="131">
        <v>0</v>
      </c>
      <c r="S774" s="132"/>
      <c r="T774" s="102">
        <v>16474</v>
      </c>
      <c r="U774" s="100">
        <v>43514</v>
      </c>
      <c r="V774" s="139"/>
      <c r="W774" s="210"/>
    </row>
    <row r="775" s="43" customFormat="1" ht="22" hidden="1" customHeight="1" spans="1:23">
      <c r="A775" s="144" t="s">
        <v>2941</v>
      </c>
      <c r="B775" s="295" t="s">
        <v>2863</v>
      </c>
      <c r="C775" s="296"/>
      <c r="D775" s="45" t="s">
        <v>31</v>
      </c>
      <c r="E775" s="45" t="s">
        <v>2942</v>
      </c>
      <c r="F775" s="81" t="str">
        <f>IFERROR(VLOOKUP(E775,客户!B:C,2,FALSE),"/")</f>
        <v>/</v>
      </c>
      <c r="G775" s="45" t="s">
        <v>2429</v>
      </c>
      <c r="H775" s="190" t="s">
        <v>147</v>
      </c>
      <c r="I775" s="143" t="s">
        <v>1877</v>
      </c>
      <c r="J775" s="108">
        <v>43472</v>
      </c>
      <c r="K775" s="100">
        <v>43537</v>
      </c>
      <c r="L775" s="100">
        <v>43582</v>
      </c>
      <c r="M775" s="203" t="s">
        <v>2943</v>
      </c>
      <c r="N775" s="108" t="s">
        <v>2944</v>
      </c>
      <c r="O775" s="104"/>
      <c r="P775" s="102">
        <v>38793</v>
      </c>
      <c r="Q775" s="230">
        <v>7758.6</v>
      </c>
      <c r="R775" s="131">
        <v>0</v>
      </c>
      <c r="S775" s="132"/>
      <c r="T775" s="102">
        <v>30963</v>
      </c>
      <c r="U775" s="100">
        <v>43588</v>
      </c>
      <c r="V775" s="102"/>
      <c r="W775" s="210"/>
    </row>
    <row r="776" s="43" customFormat="1" ht="22" hidden="1" customHeight="1" spans="1:23">
      <c r="A776" s="144" t="s">
        <v>2945</v>
      </c>
      <c r="B776" s="295" t="s">
        <v>2863</v>
      </c>
      <c r="C776" s="296"/>
      <c r="D776" s="45" t="s">
        <v>31</v>
      </c>
      <c r="E776" s="45" t="s">
        <v>2946</v>
      </c>
      <c r="F776" s="81" t="str">
        <f>IFERROR(VLOOKUP(E776,客户!B:C,2,FALSE),"/")</f>
        <v>/</v>
      </c>
      <c r="G776" s="45" t="s">
        <v>91</v>
      </c>
      <c r="H776" s="190" t="s">
        <v>147</v>
      </c>
      <c r="I776" s="143" t="s">
        <v>2947</v>
      </c>
      <c r="J776" s="108">
        <v>43489</v>
      </c>
      <c r="K776" s="100">
        <v>43551</v>
      </c>
      <c r="L776" s="100">
        <v>43564</v>
      </c>
      <c r="M776" s="309" t="s">
        <v>2948</v>
      </c>
      <c r="N776" s="108" t="s">
        <v>2949</v>
      </c>
      <c r="O776" s="104"/>
      <c r="P776" s="102">
        <v>23739.2</v>
      </c>
      <c r="Q776" s="230">
        <v>7103</v>
      </c>
      <c r="R776" s="131">
        <v>0</v>
      </c>
      <c r="S776" s="132"/>
      <c r="T776" s="102">
        <v>16627</v>
      </c>
      <c r="U776" s="100">
        <v>43558</v>
      </c>
      <c r="V776" s="102"/>
      <c r="W776" s="210"/>
    </row>
    <row r="777" s="43" customFormat="1" ht="22" hidden="1" customHeight="1" spans="1:23">
      <c r="A777" s="144" t="s">
        <v>2950</v>
      </c>
      <c r="B777" s="295" t="s">
        <v>2863</v>
      </c>
      <c r="C777" s="296"/>
      <c r="D777" s="45" t="s">
        <v>31</v>
      </c>
      <c r="E777" s="45" t="s">
        <v>2951</v>
      </c>
      <c r="F777" s="81" t="str">
        <f>IFERROR(VLOOKUP(E777,客户!B:C,2,FALSE),"/")</f>
        <v>/</v>
      </c>
      <c r="G777" s="45" t="s">
        <v>2952</v>
      </c>
      <c r="H777" s="143" t="s">
        <v>123</v>
      </c>
      <c r="I777" s="143" t="s">
        <v>2953</v>
      </c>
      <c r="J777" s="108">
        <v>43509</v>
      </c>
      <c r="K777" s="100">
        <v>43545</v>
      </c>
      <c r="L777" s="100" t="s">
        <v>2954</v>
      </c>
      <c r="M777" s="189"/>
      <c r="N777" s="108"/>
      <c r="O777" s="104"/>
      <c r="P777" s="102">
        <v>19496.35</v>
      </c>
      <c r="Q777" s="230" t="s">
        <v>2955</v>
      </c>
      <c r="R777" s="131">
        <v>0</v>
      </c>
      <c r="S777" s="132"/>
      <c r="T777" s="102">
        <v>11670</v>
      </c>
      <c r="U777" s="100">
        <v>43543</v>
      </c>
      <c r="V777" s="102"/>
      <c r="W777" s="210"/>
    </row>
    <row r="778" s="43" customFormat="1" ht="22" hidden="1" customHeight="1" spans="1:23">
      <c r="A778" s="144" t="s">
        <v>2956</v>
      </c>
      <c r="B778" s="295" t="s">
        <v>2863</v>
      </c>
      <c r="C778" s="296"/>
      <c r="D778" s="45" t="s">
        <v>31</v>
      </c>
      <c r="E778" s="45" t="s">
        <v>2957</v>
      </c>
      <c r="F778" s="81">
        <f>IFERROR(VLOOKUP(E778,客户!B:C,2,FALSE),"/")</f>
        <v>0</v>
      </c>
      <c r="G778" s="45" t="s">
        <v>36</v>
      </c>
      <c r="H778" s="143" t="s">
        <v>123</v>
      </c>
      <c r="I778" s="143" t="s">
        <v>1684</v>
      </c>
      <c r="J778" s="108">
        <v>43510</v>
      </c>
      <c r="K778" s="100">
        <v>43546</v>
      </c>
      <c r="L778" s="100">
        <v>43584</v>
      </c>
      <c r="M778" s="203" t="s">
        <v>2958</v>
      </c>
      <c r="N778" s="108" t="s">
        <v>2959</v>
      </c>
      <c r="O778" s="104"/>
      <c r="P778" s="102">
        <v>16301.6</v>
      </c>
      <c r="Q778" s="230">
        <v>5000</v>
      </c>
      <c r="R778" s="131">
        <v>0</v>
      </c>
      <c r="S778" s="132"/>
      <c r="T778" s="102">
        <v>11245</v>
      </c>
      <c r="U778" s="100">
        <v>43585</v>
      </c>
      <c r="V778" s="102"/>
      <c r="W778" s="210"/>
    </row>
    <row r="779" s="43" customFormat="1" ht="22" hidden="1" customHeight="1" spans="1:23">
      <c r="A779" s="144" t="s">
        <v>2960</v>
      </c>
      <c r="B779" s="295" t="s">
        <v>2863</v>
      </c>
      <c r="C779" s="296"/>
      <c r="D779" s="45" t="s">
        <v>31</v>
      </c>
      <c r="E779" s="45" t="s">
        <v>2961</v>
      </c>
      <c r="F779" s="81">
        <f>IFERROR(VLOOKUP(E779,客户!B:C,2,FALSE),"/")</f>
        <v>0</v>
      </c>
      <c r="G779" s="45" t="s">
        <v>2962</v>
      </c>
      <c r="H779" s="190" t="s">
        <v>147</v>
      </c>
      <c r="I779" s="108" t="s">
        <v>2947</v>
      </c>
      <c r="J779" s="108">
        <v>43525</v>
      </c>
      <c r="K779" s="100">
        <v>43561</v>
      </c>
      <c r="L779" s="100">
        <v>43578</v>
      </c>
      <c r="M779" s="162" t="s">
        <v>2963</v>
      </c>
      <c r="N779" s="102" t="s">
        <v>2964</v>
      </c>
      <c r="O779" s="104"/>
      <c r="P779" s="230">
        <v>24790.42</v>
      </c>
      <c r="Q779" s="230">
        <v>7508</v>
      </c>
      <c r="R779" s="131"/>
      <c r="S779" s="132"/>
      <c r="T779" s="102">
        <v>17282.42</v>
      </c>
      <c r="U779" s="100"/>
      <c r="V779" s="102"/>
      <c r="W779" s="210"/>
    </row>
    <row r="780" s="43" customFormat="1" ht="22" hidden="1" customHeight="1" spans="1:23">
      <c r="A780" s="144" t="s">
        <v>2965</v>
      </c>
      <c r="B780" s="295" t="s">
        <v>2863</v>
      </c>
      <c r="C780" s="296"/>
      <c r="D780" s="45" t="s">
        <v>31</v>
      </c>
      <c r="E780" s="45" t="s">
        <v>2912</v>
      </c>
      <c r="F780" s="81">
        <f>IFERROR(VLOOKUP(E780,客户!B:C,2,FALSE),"/")</f>
        <v>0</v>
      </c>
      <c r="G780" s="45" t="s">
        <v>61</v>
      </c>
      <c r="H780" s="143" t="s">
        <v>123</v>
      </c>
      <c r="I780" s="108" t="s">
        <v>1877</v>
      </c>
      <c r="J780" s="108">
        <v>43535</v>
      </c>
      <c r="K780" s="100">
        <v>43578</v>
      </c>
      <c r="L780" s="100">
        <v>43624</v>
      </c>
      <c r="M780" s="159" t="s">
        <v>2966</v>
      </c>
      <c r="N780" s="102" t="s">
        <v>2967</v>
      </c>
      <c r="O780" s="104"/>
      <c r="P780" s="230">
        <v>103129.44</v>
      </c>
      <c r="Q780" s="230">
        <v>48076</v>
      </c>
      <c r="R780" s="131">
        <v>0</v>
      </c>
      <c r="S780" s="132"/>
      <c r="T780" s="102">
        <v>55010</v>
      </c>
      <c r="U780" s="100">
        <v>43600</v>
      </c>
      <c r="V780" s="102"/>
      <c r="W780" s="210"/>
    </row>
    <row r="781" s="43" customFormat="1" ht="22" hidden="1" customHeight="1" spans="1:23">
      <c r="A781" s="144" t="s">
        <v>2968</v>
      </c>
      <c r="B781" s="295" t="s">
        <v>2863</v>
      </c>
      <c r="C781" s="296"/>
      <c r="D781" s="45" t="s">
        <v>31</v>
      </c>
      <c r="E781" s="45" t="s">
        <v>2969</v>
      </c>
      <c r="F781" s="81" t="str">
        <f>IFERROR(VLOOKUP(E781,客户!B:C,2,FALSE),"/")</f>
        <v>/</v>
      </c>
      <c r="G781" s="45" t="s">
        <v>2970</v>
      </c>
      <c r="H781" s="143" t="s">
        <v>123</v>
      </c>
      <c r="I781" s="108" t="s">
        <v>2971</v>
      </c>
      <c r="J781" s="108">
        <v>43539</v>
      </c>
      <c r="K781" s="100">
        <v>43583</v>
      </c>
      <c r="L781" s="100"/>
      <c r="M781" s="182"/>
      <c r="N781" s="102" t="s">
        <v>2972</v>
      </c>
      <c r="O781" s="104"/>
      <c r="P781" s="230">
        <v>19848.8</v>
      </c>
      <c r="Q781" s="230">
        <v>5955</v>
      </c>
      <c r="R781" s="131">
        <v>0</v>
      </c>
      <c r="S781" s="132"/>
      <c r="T781" s="102">
        <v>13855</v>
      </c>
      <c r="U781" s="100">
        <v>43577</v>
      </c>
      <c r="V781" s="102"/>
      <c r="W781" s="210"/>
    </row>
    <row r="782" s="43" customFormat="1" ht="22" hidden="1" customHeight="1" spans="1:23">
      <c r="A782" s="144" t="s">
        <v>2973</v>
      </c>
      <c r="B782" s="295" t="s">
        <v>2863</v>
      </c>
      <c r="C782" s="296"/>
      <c r="D782" s="45" t="s">
        <v>31</v>
      </c>
      <c r="E782" s="45" t="s">
        <v>2880</v>
      </c>
      <c r="F782" s="81">
        <f>IFERROR(VLOOKUP(E782,客户!B:C,2,FALSE),"/")</f>
        <v>0</v>
      </c>
      <c r="G782" s="45" t="s">
        <v>2974</v>
      </c>
      <c r="H782" s="143" t="s">
        <v>123</v>
      </c>
      <c r="I782" s="108" t="s">
        <v>1877</v>
      </c>
      <c r="J782" s="108">
        <v>43550</v>
      </c>
      <c r="K782" s="100">
        <v>43587</v>
      </c>
      <c r="L782" s="100">
        <v>43624</v>
      </c>
      <c r="M782" s="181" t="s">
        <v>2975</v>
      </c>
      <c r="N782" s="102" t="s">
        <v>2976</v>
      </c>
      <c r="O782" s="104"/>
      <c r="P782" s="230">
        <v>43105.1</v>
      </c>
      <c r="Q782" s="230">
        <v>12152</v>
      </c>
      <c r="R782" s="131">
        <v>0</v>
      </c>
      <c r="S782" s="132"/>
      <c r="T782" s="102">
        <v>30931</v>
      </c>
      <c r="U782" s="100">
        <v>43620</v>
      </c>
      <c r="V782" s="102"/>
      <c r="W782" s="210"/>
    </row>
    <row r="783" s="43" customFormat="1" ht="22" hidden="1" customHeight="1" spans="1:23">
      <c r="A783" s="144" t="s">
        <v>2977</v>
      </c>
      <c r="B783" s="295" t="s">
        <v>2863</v>
      </c>
      <c r="C783" s="296"/>
      <c r="D783" s="45" t="s">
        <v>31</v>
      </c>
      <c r="E783" s="45" t="s">
        <v>2942</v>
      </c>
      <c r="F783" s="81" t="str">
        <f>IFERROR(VLOOKUP(E783,客户!B:C,2,FALSE),"/")</f>
        <v>/</v>
      </c>
      <c r="G783" s="45" t="s">
        <v>36</v>
      </c>
      <c r="H783" s="190" t="s">
        <v>147</v>
      </c>
      <c r="I783" s="108" t="s">
        <v>1877</v>
      </c>
      <c r="J783" s="108">
        <v>43556</v>
      </c>
      <c r="K783" s="100">
        <v>43601</v>
      </c>
      <c r="L783" s="100">
        <v>43638</v>
      </c>
      <c r="M783" s="181" t="s">
        <v>2978</v>
      </c>
      <c r="N783" s="102" t="s">
        <v>2979</v>
      </c>
      <c r="O783" s="104"/>
      <c r="P783" s="230">
        <v>22430.2</v>
      </c>
      <c r="Q783" s="230">
        <v>4223.6</v>
      </c>
      <c r="R783" s="131">
        <v>0</v>
      </c>
      <c r="S783" s="132"/>
      <c r="T783" s="102">
        <v>18145</v>
      </c>
      <c r="U783" s="100">
        <v>43642</v>
      </c>
      <c r="V783" s="102"/>
      <c r="W783" s="210"/>
    </row>
    <row r="784" s="43" customFormat="1" ht="22" hidden="1" customHeight="1" spans="1:23">
      <c r="A784" s="144" t="s">
        <v>2980</v>
      </c>
      <c r="B784" s="295" t="s">
        <v>2863</v>
      </c>
      <c r="C784" s="296"/>
      <c r="D784" s="45" t="s">
        <v>31</v>
      </c>
      <c r="E784" s="45" t="s">
        <v>2969</v>
      </c>
      <c r="F784" s="81" t="str">
        <f>IFERROR(VLOOKUP(E784,客户!B:C,2,FALSE),"/")</f>
        <v>/</v>
      </c>
      <c r="G784" s="45" t="s">
        <v>2952</v>
      </c>
      <c r="H784" s="143" t="s">
        <v>123</v>
      </c>
      <c r="I784" s="108" t="s">
        <v>2981</v>
      </c>
      <c r="J784" s="108">
        <v>43556</v>
      </c>
      <c r="K784" s="100">
        <v>43586</v>
      </c>
      <c r="L784" s="100"/>
      <c r="M784" s="181" t="s">
        <v>2982</v>
      </c>
      <c r="N784" s="102" t="s">
        <v>2983</v>
      </c>
      <c r="O784" s="104"/>
      <c r="P784" s="230">
        <v>11861.85</v>
      </c>
      <c r="Q784" s="230">
        <v>3559</v>
      </c>
      <c r="R784" s="131">
        <v>0</v>
      </c>
      <c r="S784" s="132"/>
      <c r="T784" s="102">
        <v>8263</v>
      </c>
      <c r="U784" s="100">
        <v>43585</v>
      </c>
      <c r="V784" s="102"/>
      <c r="W784" s="210"/>
    </row>
    <row r="785" s="43" customFormat="1" ht="22" hidden="1" customHeight="1" spans="1:23">
      <c r="A785" s="144" t="s">
        <v>2984</v>
      </c>
      <c r="B785" s="295" t="s">
        <v>2863</v>
      </c>
      <c r="C785" s="296"/>
      <c r="D785" s="45" t="s">
        <v>31</v>
      </c>
      <c r="E785" s="45" t="s">
        <v>2961</v>
      </c>
      <c r="F785" s="81">
        <f>IFERROR(VLOOKUP(E785,客户!B:C,2,FALSE),"/")</f>
        <v>0</v>
      </c>
      <c r="G785" s="45" t="s">
        <v>2985</v>
      </c>
      <c r="H785" s="190" t="s">
        <v>147</v>
      </c>
      <c r="I785" s="108" t="s">
        <v>2947</v>
      </c>
      <c r="J785" s="108">
        <v>43557</v>
      </c>
      <c r="K785" s="100">
        <v>43596</v>
      </c>
      <c r="L785" s="100">
        <v>43614</v>
      </c>
      <c r="M785" s="181"/>
      <c r="N785" s="102" t="s">
        <v>2986</v>
      </c>
      <c r="O785" s="104"/>
      <c r="P785" s="230">
        <v>23448.08</v>
      </c>
      <c r="Q785" s="230">
        <v>7098</v>
      </c>
      <c r="R785" s="131">
        <v>0</v>
      </c>
      <c r="S785" s="132"/>
      <c r="T785" s="102">
        <v>16341</v>
      </c>
      <c r="U785" s="100">
        <v>43599</v>
      </c>
      <c r="V785" s="102"/>
      <c r="W785" s="210"/>
    </row>
    <row r="786" s="43" customFormat="1" ht="22" hidden="1" customHeight="1" spans="1:23">
      <c r="A786" s="144" t="s">
        <v>2987</v>
      </c>
      <c r="B786" s="295" t="s">
        <v>2863</v>
      </c>
      <c r="C786" s="296"/>
      <c r="D786" s="45" t="s">
        <v>31</v>
      </c>
      <c r="E786" s="45" t="s">
        <v>2886</v>
      </c>
      <c r="F786" s="81">
        <f>IFERROR(VLOOKUP(E786,客户!B:C,2,FALSE),"/")</f>
        <v>0</v>
      </c>
      <c r="G786" s="45" t="s">
        <v>36</v>
      </c>
      <c r="H786" s="190" t="s">
        <v>147</v>
      </c>
      <c r="I786" s="108" t="s">
        <v>1877</v>
      </c>
      <c r="J786" s="108">
        <v>43578</v>
      </c>
      <c r="K786" s="100">
        <v>43609</v>
      </c>
      <c r="L786" s="100">
        <v>43652</v>
      </c>
      <c r="M786" s="181" t="s">
        <v>2988</v>
      </c>
      <c r="N786" s="102" t="s">
        <v>2480</v>
      </c>
      <c r="O786" s="104"/>
      <c r="P786" s="230">
        <v>21192.5</v>
      </c>
      <c r="Q786" s="230">
        <v>3180</v>
      </c>
      <c r="R786" s="131">
        <v>0</v>
      </c>
      <c r="S786" s="132"/>
      <c r="T786" s="102">
        <v>18012</v>
      </c>
      <c r="U786" s="100">
        <v>43643</v>
      </c>
      <c r="V786" s="102"/>
      <c r="W786" s="210"/>
    </row>
    <row r="787" s="43" customFormat="1" ht="22" hidden="1" customHeight="1" spans="1:23">
      <c r="A787" s="144" t="s">
        <v>2989</v>
      </c>
      <c r="B787" s="295" t="s">
        <v>2863</v>
      </c>
      <c r="C787" s="296"/>
      <c r="D787" s="45" t="s">
        <v>31</v>
      </c>
      <c r="E787" s="45" t="s">
        <v>2912</v>
      </c>
      <c r="F787" s="81">
        <f>IFERROR(VLOOKUP(E787,客户!B:C,2,FALSE),"/")</f>
        <v>0</v>
      </c>
      <c r="G787" s="45" t="s">
        <v>513</v>
      </c>
      <c r="H787" s="143" t="s">
        <v>123</v>
      </c>
      <c r="I787" s="108" t="s">
        <v>1877</v>
      </c>
      <c r="J787" s="108">
        <v>43584</v>
      </c>
      <c r="K787" s="100">
        <v>43621</v>
      </c>
      <c r="L787" s="100"/>
      <c r="M787" s="159" t="s">
        <v>2990</v>
      </c>
      <c r="N787" s="102" t="s">
        <v>620</v>
      </c>
      <c r="O787" s="104"/>
      <c r="P787" s="230">
        <v>83331.08</v>
      </c>
      <c r="Q787" s="230">
        <v>68598</v>
      </c>
      <c r="R787" s="131">
        <v>0</v>
      </c>
      <c r="S787" s="132"/>
      <c r="T787" s="102">
        <v>59699</v>
      </c>
      <c r="U787" s="100">
        <v>43635</v>
      </c>
      <c r="V787" s="102"/>
      <c r="W787" s="210"/>
    </row>
    <row r="788" s="43" customFormat="1" ht="22" hidden="1" customHeight="1" spans="1:23">
      <c r="A788" s="144" t="s">
        <v>2991</v>
      </c>
      <c r="B788" s="295" t="s">
        <v>2863</v>
      </c>
      <c r="C788" s="296"/>
      <c r="D788" s="45" t="s">
        <v>31</v>
      </c>
      <c r="E788" s="45" t="s">
        <v>2912</v>
      </c>
      <c r="F788" s="81">
        <f>IFERROR(VLOOKUP(E788,客户!B:C,2,FALSE),"/")</f>
        <v>0</v>
      </c>
      <c r="G788" s="45" t="s">
        <v>2992</v>
      </c>
      <c r="H788" s="143" t="s">
        <v>123</v>
      </c>
      <c r="I788" s="108" t="s">
        <v>1877</v>
      </c>
      <c r="J788" s="108">
        <v>43584</v>
      </c>
      <c r="K788" s="100">
        <v>43634</v>
      </c>
      <c r="L788" s="100">
        <v>43673</v>
      </c>
      <c r="M788" s="181" t="s">
        <v>2993</v>
      </c>
      <c r="N788" s="102" t="s">
        <v>2994</v>
      </c>
      <c r="O788" s="104"/>
      <c r="P788" s="230">
        <v>49051.62</v>
      </c>
      <c r="Q788" s="230"/>
      <c r="R788" s="131"/>
      <c r="S788" s="132"/>
      <c r="T788" s="102"/>
      <c r="U788" s="100"/>
      <c r="V788" s="102"/>
      <c r="W788" s="210"/>
    </row>
    <row r="789" s="43" customFormat="1" ht="22" hidden="1" customHeight="1" spans="1:23">
      <c r="A789" s="144" t="s">
        <v>2995</v>
      </c>
      <c r="B789" s="174" t="s">
        <v>2863</v>
      </c>
      <c r="C789" s="175"/>
      <c r="D789" s="45" t="s">
        <v>31</v>
      </c>
      <c r="E789" s="45" t="s">
        <v>2912</v>
      </c>
      <c r="F789" s="81">
        <f>IFERROR(VLOOKUP(E789,客户!B:C,2,FALSE),"/")</f>
        <v>0</v>
      </c>
      <c r="G789" s="45" t="s">
        <v>234</v>
      </c>
      <c r="H789" s="143" t="s">
        <v>123</v>
      </c>
      <c r="I789" s="108" t="s">
        <v>1877</v>
      </c>
      <c r="J789" s="108">
        <v>43584</v>
      </c>
      <c r="K789" s="100">
        <v>43641</v>
      </c>
      <c r="L789" s="100">
        <v>43687</v>
      </c>
      <c r="M789" s="181" t="s">
        <v>2996</v>
      </c>
      <c r="N789" s="102" t="s">
        <v>2997</v>
      </c>
      <c r="O789" s="104"/>
      <c r="P789" s="230">
        <v>65502.6</v>
      </c>
      <c r="Q789" s="230"/>
      <c r="R789" s="131"/>
      <c r="S789" s="132"/>
      <c r="T789" s="102"/>
      <c r="U789" s="100"/>
      <c r="V789" s="102"/>
      <c r="W789" s="210"/>
    </row>
    <row r="790" s="43" customFormat="1" ht="22" hidden="1" customHeight="1" spans="1:23">
      <c r="A790" s="144" t="s">
        <v>2998</v>
      </c>
      <c r="B790" s="174" t="s">
        <v>2863</v>
      </c>
      <c r="C790" s="175"/>
      <c r="D790" s="45" t="s">
        <v>31</v>
      </c>
      <c r="E790" s="45" t="s">
        <v>2912</v>
      </c>
      <c r="F790" s="81">
        <f>IFERROR(VLOOKUP(E790,客户!B:C,2,FALSE),"/")</f>
        <v>0</v>
      </c>
      <c r="G790" s="45" t="s">
        <v>2999</v>
      </c>
      <c r="H790" s="143" t="s">
        <v>123</v>
      </c>
      <c r="I790" s="108" t="s">
        <v>1877</v>
      </c>
      <c r="J790" s="108">
        <v>43584</v>
      </c>
      <c r="K790" s="100">
        <v>43678</v>
      </c>
      <c r="L790" s="100">
        <v>43728</v>
      </c>
      <c r="M790" s="196" t="s">
        <v>643</v>
      </c>
      <c r="N790" s="102" t="s">
        <v>3000</v>
      </c>
      <c r="O790" s="104"/>
      <c r="P790" s="230">
        <v>41096.6</v>
      </c>
      <c r="Q790" s="230"/>
      <c r="R790" s="131"/>
      <c r="S790" s="132"/>
      <c r="T790" s="102">
        <v>29413</v>
      </c>
      <c r="U790" s="100">
        <v>43718</v>
      </c>
      <c r="V790" s="102"/>
      <c r="W790" s="210"/>
    </row>
    <row r="791" s="43" customFormat="1" ht="22" hidden="1" customHeight="1" spans="1:23">
      <c r="A791" s="144" t="s">
        <v>3001</v>
      </c>
      <c r="B791" s="295" t="s">
        <v>2863</v>
      </c>
      <c r="C791" s="296"/>
      <c r="D791" s="45" t="s">
        <v>31</v>
      </c>
      <c r="E791" s="229" t="s">
        <v>3002</v>
      </c>
      <c r="F791" s="81" t="str">
        <f>IFERROR(VLOOKUP(E791,客户!B:C,2,FALSE),"/")</f>
        <v>安哥拉门及配件给清单  灯的清单和照片 如果HScode是九十五章  提前和报关货代说
2021.3.4收¥55000(汇率6.46，折合美金$8512.93)
冻结中</v>
      </c>
      <c r="G791" s="45" t="s">
        <v>57</v>
      </c>
      <c r="H791" s="143" t="s">
        <v>123</v>
      </c>
      <c r="I791" s="108" t="s">
        <v>3003</v>
      </c>
      <c r="J791" s="108">
        <v>43589</v>
      </c>
      <c r="K791" s="100">
        <v>43614</v>
      </c>
      <c r="L791" s="100">
        <v>43660</v>
      </c>
      <c r="M791" s="182"/>
      <c r="N791" s="102" t="s">
        <v>3004</v>
      </c>
      <c r="O791" s="104"/>
      <c r="P791" s="230">
        <v>20726.08</v>
      </c>
      <c r="Q791" s="230">
        <v>5412.4</v>
      </c>
      <c r="R791" s="131">
        <v>0</v>
      </c>
      <c r="S791" s="132"/>
      <c r="T791" s="317">
        <v>142000</v>
      </c>
      <c r="U791" s="100">
        <v>43650</v>
      </c>
      <c r="V791" s="102"/>
      <c r="W791" s="210"/>
    </row>
    <row r="792" s="43" customFormat="1" ht="22" hidden="1" customHeight="1" spans="1:23">
      <c r="A792" s="144" t="s">
        <v>3005</v>
      </c>
      <c r="B792" s="174" t="s">
        <v>2863</v>
      </c>
      <c r="C792" s="175"/>
      <c r="D792" s="45" t="s">
        <v>31</v>
      </c>
      <c r="E792" s="45" t="s">
        <v>2880</v>
      </c>
      <c r="F792" s="81">
        <f>IFERROR(VLOOKUP(E792,客户!B:C,2,FALSE),"/")</f>
        <v>0</v>
      </c>
      <c r="G792" s="45" t="s">
        <v>3006</v>
      </c>
      <c r="H792" s="143" t="s">
        <v>123</v>
      </c>
      <c r="I792" s="108" t="s">
        <v>1877</v>
      </c>
      <c r="J792" s="108">
        <v>43608</v>
      </c>
      <c r="K792" s="100">
        <v>43655</v>
      </c>
      <c r="L792" s="100">
        <v>43693</v>
      </c>
      <c r="M792" s="181" t="s">
        <v>3007</v>
      </c>
      <c r="N792" s="102" t="s">
        <v>3008</v>
      </c>
      <c r="O792" s="104"/>
      <c r="P792" s="230">
        <v>49639.5</v>
      </c>
      <c r="Q792" s="230">
        <v>16526</v>
      </c>
      <c r="R792" s="131"/>
      <c r="S792" s="132"/>
      <c r="T792" s="102">
        <v>33113</v>
      </c>
      <c r="U792" s="100" t="s">
        <v>3009</v>
      </c>
      <c r="V792" s="102"/>
      <c r="W792" s="210"/>
    </row>
    <row r="793" s="43" customFormat="1" ht="22" hidden="1" customHeight="1" spans="1:23">
      <c r="A793" s="144" t="s">
        <v>3010</v>
      </c>
      <c r="B793" s="295" t="s">
        <v>2863</v>
      </c>
      <c r="C793" s="296"/>
      <c r="D793" s="45" t="s">
        <v>31</v>
      </c>
      <c r="E793" s="45" t="s">
        <v>3011</v>
      </c>
      <c r="F793" s="81" t="str">
        <f>IFERROR(VLOOKUP(E793,客户!B:C,2,FALSE),"/")</f>
        <v>/</v>
      </c>
      <c r="G793" s="45"/>
      <c r="H793" s="143" t="s">
        <v>970</v>
      </c>
      <c r="I793" s="108"/>
      <c r="J793" s="108"/>
      <c r="K793" s="100"/>
      <c r="L793" s="100"/>
      <c r="M793" s="181"/>
      <c r="N793" s="102"/>
      <c r="O793" s="104"/>
      <c r="P793" s="230"/>
      <c r="Q793" s="230"/>
      <c r="R793" s="131"/>
      <c r="S793" s="132"/>
      <c r="T793" s="102" t="s">
        <v>3012</v>
      </c>
      <c r="U793" s="100"/>
      <c r="V793" s="102"/>
      <c r="W793" s="210"/>
    </row>
    <row r="794" s="43" customFormat="1" ht="22" hidden="1" customHeight="1" spans="1:23">
      <c r="A794" s="144" t="s">
        <v>3013</v>
      </c>
      <c r="B794" s="174" t="s">
        <v>2863</v>
      </c>
      <c r="C794" s="175"/>
      <c r="D794" s="45" t="s">
        <v>31</v>
      </c>
      <c r="E794" s="45" t="s">
        <v>2942</v>
      </c>
      <c r="F794" s="81" t="str">
        <f>IFERROR(VLOOKUP(E794,客户!B:C,2,FALSE),"/")</f>
        <v>/</v>
      </c>
      <c r="G794" s="45" t="s">
        <v>3014</v>
      </c>
      <c r="H794" s="190" t="s">
        <v>147</v>
      </c>
      <c r="I794" s="108" t="s">
        <v>1877</v>
      </c>
      <c r="J794" s="108">
        <v>43613</v>
      </c>
      <c r="K794" s="100">
        <v>43655</v>
      </c>
      <c r="L794" s="100">
        <v>43693</v>
      </c>
      <c r="M794" s="181" t="s">
        <v>3015</v>
      </c>
      <c r="N794" s="102" t="s">
        <v>3016</v>
      </c>
      <c r="O794" s="104"/>
      <c r="P794" s="230">
        <v>21688.2</v>
      </c>
      <c r="Q794" s="230" t="s">
        <v>3017</v>
      </c>
      <c r="R794" s="131"/>
      <c r="S794" s="132"/>
      <c r="T794" s="102">
        <v>15534</v>
      </c>
      <c r="U794" s="100">
        <v>43692</v>
      </c>
      <c r="V794" s="102"/>
      <c r="W794" s="210"/>
    </row>
    <row r="795" s="43" customFormat="1" ht="22" hidden="1" customHeight="1" spans="1:23">
      <c r="A795" s="144" t="s">
        <v>3018</v>
      </c>
      <c r="B795" s="174" t="s">
        <v>2863</v>
      </c>
      <c r="C795" s="175"/>
      <c r="D795" s="45" t="s">
        <v>31</v>
      </c>
      <c r="E795" s="45" t="s">
        <v>3019</v>
      </c>
      <c r="F795" s="81">
        <f>IFERROR(VLOOKUP(E795,客户!B:C,2,FALSE),"/")</f>
        <v>0</v>
      </c>
      <c r="G795" s="45" t="s">
        <v>36</v>
      </c>
      <c r="H795" s="143" t="s">
        <v>123</v>
      </c>
      <c r="I795" s="108" t="s">
        <v>3020</v>
      </c>
      <c r="J795" s="108">
        <v>43597</v>
      </c>
      <c r="K795" s="100">
        <v>43729</v>
      </c>
      <c r="L795" s="100">
        <v>43751</v>
      </c>
      <c r="M795" s="182"/>
      <c r="N795" s="102" t="s">
        <v>3021</v>
      </c>
      <c r="O795" s="104"/>
      <c r="P795" s="230">
        <v>19020.76</v>
      </c>
      <c r="Q795" s="230">
        <v>2000</v>
      </c>
      <c r="R795" s="131">
        <v>0</v>
      </c>
      <c r="S795" s="132"/>
      <c r="T795" s="213">
        <v>16998</v>
      </c>
      <c r="U795" s="212">
        <v>43746</v>
      </c>
      <c r="V795" s="102"/>
      <c r="W795" s="210"/>
    </row>
    <row r="796" s="43" customFormat="1" ht="22" hidden="1" customHeight="1" spans="1:23">
      <c r="A796" s="144" t="s">
        <v>3022</v>
      </c>
      <c r="B796" s="174" t="s">
        <v>2863</v>
      </c>
      <c r="C796" s="175"/>
      <c r="D796" s="45" t="s">
        <v>31</v>
      </c>
      <c r="E796" s="45" t="s">
        <v>3019</v>
      </c>
      <c r="F796" s="81">
        <f>IFERROR(VLOOKUP(E796,客户!B:C,2,FALSE),"/")</f>
        <v>0</v>
      </c>
      <c r="G796" s="45" t="s">
        <v>3023</v>
      </c>
      <c r="H796" s="143" t="s">
        <v>123</v>
      </c>
      <c r="I796" s="108" t="s">
        <v>3020</v>
      </c>
      <c r="J796" s="108">
        <v>43597</v>
      </c>
      <c r="K796" s="100">
        <v>43729</v>
      </c>
      <c r="L796" s="100">
        <v>43765</v>
      </c>
      <c r="M796" s="181" t="s">
        <v>3024</v>
      </c>
      <c r="N796" s="102" t="s">
        <v>3021</v>
      </c>
      <c r="O796" s="104"/>
      <c r="P796" s="230">
        <v>19427.8</v>
      </c>
      <c r="Q796" s="318" t="s">
        <v>3025</v>
      </c>
      <c r="R796" s="131">
        <v>0</v>
      </c>
      <c r="S796" s="132"/>
      <c r="T796" s="102">
        <v>19417.8</v>
      </c>
      <c r="U796" s="100">
        <v>43763</v>
      </c>
      <c r="V796" s="102"/>
      <c r="W796" s="210"/>
    </row>
    <row r="797" s="43" customFormat="1" ht="22" hidden="1" customHeight="1" spans="1:23">
      <c r="A797" s="144" t="s">
        <v>3026</v>
      </c>
      <c r="B797" s="174" t="s">
        <v>2863</v>
      </c>
      <c r="C797" s="175"/>
      <c r="D797" s="45" t="s">
        <v>31</v>
      </c>
      <c r="E797" s="45" t="s">
        <v>3027</v>
      </c>
      <c r="F797" s="81" t="str">
        <f>IFERROR(VLOOKUP(E797,客户!B:C,2,FALSE),"/")</f>
        <v>/</v>
      </c>
      <c r="G797" s="45" t="s">
        <v>566</v>
      </c>
      <c r="H797" s="143" t="s">
        <v>123</v>
      </c>
      <c r="I797" s="108" t="s">
        <v>1877</v>
      </c>
      <c r="J797" s="108">
        <v>43640</v>
      </c>
      <c r="K797" s="100">
        <v>43691</v>
      </c>
      <c r="L797" s="100">
        <v>43729</v>
      </c>
      <c r="M797" s="196" t="s">
        <v>3028</v>
      </c>
      <c r="N797" s="102" t="s">
        <v>3029</v>
      </c>
      <c r="O797" s="104"/>
      <c r="P797" s="230">
        <v>41440</v>
      </c>
      <c r="Q797" s="230">
        <v>8091</v>
      </c>
      <c r="R797" s="131"/>
      <c r="S797" s="132"/>
      <c r="T797" s="102">
        <v>33276</v>
      </c>
      <c r="U797" s="100">
        <v>43724</v>
      </c>
      <c r="V797" s="102"/>
      <c r="W797" s="210"/>
    </row>
    <row r="798" s="43" customFormat="1" ht="22" hidden="1" customHeight="1" spans="1:23">
      <c r="A798" s="144" t="s">
        <v>3030</v>
      </c>
      <c r="B798" s="174" t="s">
        <v>2863</v>
      </c>
      <c r="C798" s="175"/>
      <c r="D798" s="45" t="s">
        <v>31</v>
      </c>
      <c r="E798" s="45" t="s">
        <v>2886</v>
      </c>
      <c r="F798" s="81">
        <f>IFERROR(VLOOKUP(E798,客户!B:C,2,FALSE),"/")</f>
        <v>0</v>
      </c>
      <c r="G798" s="45" t="s">
        <v>3031</v>
      </c>
      <c r="H798" s="190" t="s">
        <v>147</v>
      </c>
      <c r="I798" s="108" t="s">
        <v>3032</v>
      </c>
      <c r="J798" s="108">
        <v>43641</v>
      </c>
      <c r="K798" s="100">
        <v>43699</v>
      </c>
      <c r="L798" s="100">
        <v>43735</v>
      </c>
      <c r="M798" s="181" t="s">
        <v>3033</v>
      </c>
      <c r="N798" s="102" t="s">
        <v>3034</v>
      </c>
      <c r="O798" s="104"/>
      <c r="P798" s="230">
        <v>43020</v>
      </c>
      <c r="Q798" s="230"/>
      <c r="R798" s="131"/>
      <c r="S798" s="132"/>
      <c r="T798" s="102">
        <v>36109</v>
      </c>
      <c r="U798" s="100">
        <v>43726</v>
      </c>
      <c r="V798" s="102"/>
      <c r="W798" s="210"/>
    </row>
    <row r="799" s="43" customFormat="1" ht="22" hidden="1" customHeight="1" spans="1:23">
      <c r="A799" s="191" t="s">
        <v>3035</v>
      </c>
      <c r="B799" s="258" t="s">
        <v>2863</v>
      </c>
      <c r="C799" s="259"/>
      <c r="D799" s="45" t="s">
        <v>31</v>
      </c>
      <c r="E799" s="192" t="s">
        <v>3019</v>
      </c>
      <c r="F799" s="81">
        <f>IFERROR(VLOOKUP(E799,客户!B:C,2,FALSE),"/")</f>
        <v>0</v>
      </c>
      <c r="G799" s="192" t="s">
        <v>36</v>
      </c>
      <c r="H799" s="302" t="s">
        <v>123</v>
      </c>
      <c r="I799" s="104" t="s">
        <v>3020</v>
      </c>
      <c r="J799" s="104">
        <v>43597</v>
      </c>
      <c r="K799" s="205">
        <v>43750</v>
      </c>
      <c r="L799" s="100">
        <v>43786</v>
      </c>
      <c r="M799" s="182" t="s">
        <v>3036</v>
      </c>
      <c r="N799" s="207" t="s">
        <v>3021</v>
      </c>
      <c r="O799" s="104" t="s">
        <v>523</v>
      </c>
      <c r="P799" s="213">
        <v>19190.36</v>
      </c>
      <c r="Q799" s="230"/>
      <c r="R799" s="131">
        <v>0</v>
      </c>
      <c r="S799" s="132"/>
      <c r="T799" s="102">
        <v>19180.36</v>
      </c>
      <c r="U799" s="100">
        <v>43784</v>
      </c>
      <c r="V799" s="102"/>
      <c r="W799" s="210"/>
    </row>
    <row r="800" s="43" customFormat="1" ht="22" hidden="1" customHeight="1" spans="1:23">
      <c r="A800" s="257" t="s">
        <v>3037</v>
      </c>
      <c r="B800" s="258" t="s">
        <v>2863</v>
      </c>
      <c r="C800" s="259"/>
      <c r="D800" s="45" t="s">
        <v>31</v>
      </c>
      <c r="E800" s="192" t="s">
        <v>3019</v>
      </c>
      <c r="F800" s="81">
        <f>IFERROR(VLOOKUP(E800,客户!B:C,2,FALSE),"/")</f>
        <v>0</v>
      </c>
      <c r="G800" s="192" t="s">
        <v>36</v>
      </c>
      <c r="H800" s="302" t="s">
        <v>123</v>
      </c>
      <c r="I800" s="104" t="s">
        <v>3020</v>
      </c>
      <c r="J800" s="104">
        <v>43597</v>
      </c>
      <c r="K800" s="100">
        <v>43764</v>
      </c>
      <c r="L800" s="100">
        <v>43800</v>
      </c>
      <c r="M800" s="159" t="s">
        <v>3038</v>
      </c>
      <c r="N800" s="102" t="s">
        <v>3039</v>
      </c>
      <c r="O800" s="104" t="s">
        <v>523</v>
      </c>
      <c r="P800" s="230">
        <v>18350.5</v>
      </c>
      <c r="Q800" s="230"/>
      <c r="R800" s="131">
        <v>0</v>
      </c>
      <c r="S800" s="132"/>
      <c r="T800" s="102">
        <v>18340.5</v>
      </c>
      <c r="U800" s="100">
        <v>43797</v>
      </c>
      <c r="V800" s="102"/>
      <c r="W800" s="210"/>
    </row>
    <row r="801" s="43" customFormat="1" ht="22" hidden="1" customHeight="1" spans="1:23">
      <c r="A801" s="191" t="s">
        <v>3040</v>
      </c>
      <c r="B801" s="258" t="s">
        <v>2863</v>
      </c>
      <c r="C801" s="259"/>
      <c r="D801" s="45" t="s">
        <v>31</v>
      </c>
      <c r="E801" s="192" t="s">
        <v>3019</v>
      </c>
      <c r="F801" s="81">
        <f>IFERROR(VLOOKUP(E801,客户!B:C,2,FALSE),"/")</f>
        <v>0</v>
      </c>
      <c r="G801" s="192" t="s">
        <v>36</v>
      </c>
      <c r="H801" s="302" t="s">
        <v>123</v>
      </c>
      <c r="I801" s="104" t="s">
        <v>3020</v>
      </c>
      <c r="J801" s="104">
        <v>43597</v>
      </c>
      <c r="K801" s="100">
        <v>43799</v>
      </c>
      <c r="L801" s="100">
        <v>43835</v>
      </c>
      <c r="M801" s="181" t="s">
        <v>3041</v>
      </c>
      <c r="N801" s="102" t="s">
        <v>3039</v>
      </c>
      <c r="O801" s="104" t="s">
        <v>523</v>
      </c>
      <c r="P801" s="230">
        <v>18781.51</v>
      </c>
      <c r="Q801" s="230"/>
      <c r="R801" s="131"/>
      <c r="S801" s="132"/>
      <c r="T801" s="102">
        <v>18781.51</v>
      </c>
      <c r="U801" s="100"/>
      <c r="V801" s="102"/>
      <c r="W801" s="210"/>
    </row>
    <row r="802" s="43" customFormat="1" ht="22" hidden="1" customHeight="1" spans="1:23">
      <c r="A802" s="144" t="s">
        <v>3042</v>
      </c>
      <c r="B802" s="174" t="s">
        <v>2863</v>
      </c>
      <c r="C802" s="175"/>
      <c r="D802" s="45" t="s">
        <v>31</v>
      </c>
      <c r="E802" s="45" t="s">
        <v>2886</v>
      </c>
      <c r="F802" s="81">
        <f>IFERROR(VLOOKUP(E802,客户!B:C,2,FALSE),"/")</f>
        <v>0</v>
      </c>
      <c r="G802" s="45" t="s">
        <v>3031</v>
      </c>
      <c r="H802" s="190" t="s">
        <v>147</v>
      </c>
      <c r="I802" s="108" t="s">
        <v>3032</v>
      </c>
      <c r="J802" s="108">
        <v>43641</v>
      </c>
      <c r="K802" s="100">
        <v>43700</v>
      </c>
      <c r="L802" s="100">
        <v>43745</v>
      </c>
      <c r="M802" s="178" t="s">
        <v>3043</v>
      </c>
      <c r="N802" s="102" t="s">
        <v>3044</v>
      </c>
      <c r="O802" s="104"/>
      <c r="P802" s="230">
        <v>43066</v>
      </c>
      <c r="Q802" s="230">
        <v>13721.25</v>
      </c>
      <c r="R802" s="131">
        <v>0</v>
      </c>
      <c r="S802" s="132"/>
      <c r="T802" s="213">
        <v>36200</v>
      </c>
      <c r="U802" s="212">
        <v>43738</v>
      </c>
      <c r="V802" s="102"/>
      <c r="W802" s="210"/>
    </row>
    <row r="803" s="43" customFormat="1" ht="22" hidden="1" customHeight="1" spans="1:23">
      <c r="A803" s="144" t="s">
        <v>3045</v>
      </c>
      <c r="B803" s="174" t="s">
        <v>2863</v>
      </c>
      <c r="C803" s="175"/>
      <c r="D803" s="45" t="s">
        <v>31</v>
      </c>
      <c r="E803" s="45" t="s">
        <v>2894</v>
      </c>
      <c r="F803" s="81" t="str">
        <f>IFERROR(VLOOKUP(E803,客户!B:C,2,FALSE),"/")</f>
        <v>/</v>
      </c>
      <c r="G803" s="45" t="s">
        <v>3046</v>
      </c>
      <c r="H803" s="143" t="s">
        <v>123</v>
      </c>
      <c r="I803" s="108" t="s">
        <v>3047</v>
      </c>
      <c r="J803" s="108">
        <v>43647</v>
      </c>
      <c r="K803" s="100">
        <v>43675</v>
      </c>
      <c r="L803" s="197"/>
      <c r="M803" s="181"/>
      <c r="N803" s="102" t="s">
        <v>3048</v>
      </c>
      <c r="O803" s="104"/>
      <c r="P803" s="230">
        <v>18856.78</v>
      </c>
      <c r="Q803" s="230">
        <v>5682</v>
      </c>
      <c r="R803" s="131"/>
      <c r="S803" s="132"/>
      <c r="T803" s="102">
        <v>13174</v>
      </c>
      <c r="U803" s="100">
        <v>43690</v>
      </c>
      <c r="V803" s="102"/>
      <c r="W803" s="210"/>
    </row>
    <row r="804" s="43" customFormat="1" ht="22" hidden="1" customHeight="1" spans="1:23">
      <c r="A804" s="144" t="s">
        <v>3049</v>
      </c>
      <c r="B804" s="174" t="s">
        <v>2863</v>
      </c>
      <c r="C804" s="175"/>
      <c r="D804" s="45" t="s">
        <v>31</v>
      </c>
      <c r="E804" s="45" t="s">
        <v>3050</v>
      </c>
      <c r="F804" s="81" t="str">
        <f>IFERROR(VLOOKUP(E804,客户!B:C,2,FALSE),"/")</f>
        <v>/</v>
      </c>
      <c r="G804" s="45" t="s">
        <v>2936</v>
      </c>
      <c r="H804" s="143" t="s">
        <v>123</v>
      </c>
      <c r="I804" s="108" t="s">
        <v>3032</v>
      </c>
      <c r="J804" s="108">
        <v>43675</v>
      </c>
      <c r="K804" s="100">
        <v>43731</v>
      </c>
      <c r="L804" s="100">
        <v>43777</v>
      </c>
      <c r="M804" s="178" t="s">
        <v>3051</v>
      </c>
      <c r="N804" s="102" t="s">
        <v>3052</v>
      </c>
      <c r="O804" s="104"/>
      <c r="P804" s="230">
        <v>41479.04</v>
      </c>
      <c r="Q804" s="230">
        <v>13854</v>
      </c>
      <c r="R804" s="131"/>
      <c r="S804" s="132"/>
      <c r="T804" s="102">
        <v>27534.5</v>
      </c>
      <c r="U804" s="100">
        <v>43773</v>
      </c>
      <c r="V804" s="102"/>
      <c r="W804" s="210"/>
    </row>
    <row r="805" s="43" customFormat="1" ht="22" hidden="1" customHeight="1" spans="1:23">
      <c r="A805" s="145" t="s">
        <v>3053</v>
      </c>
      <c r="B805" s="174" t="s">
        <v>2863</v>
      </c>
      <c r="C805" s="175"/>
      <c r="D805" s="45" t="s">
        <v>31</v>
      </c>
      <c r="E805" s="82" t="s">
        <v>3054</v>
      </c>
      <c r="F805" s="81">
        <f>IFERROR(VLOOKUP(E805,客户!B:C,2,FALSE),"/")</f>
        <v>0</v>
      </c>
      <c r="G805" s="80" t="s">
        <v>598</v>
      </c>
      <c r="H805" s="303" t="s">
        <v>147</v>
      </c>
      <c r="I805" s="108" t="s">
        <v>3032</v>
      </c>
      <c r="J805" s="108">
        <v>43700</v>
      </c>
      <c r="K805" s="100">
        <v>43761</v>
      </c>
      <c r="L805" s="232">
        <v>43798</v>
      </c>
      <c r="M805" s="178" t="s">
        <v>3055</v>
      </c>
      <c r="N805" s="102" t="s">
        <v>3056</v>
      </c>
      <c r="O805" s="104" t="s">
        <v>523</v>
      </c>
      <c r="P805" s="230">
        <v>20001.14</v>
      </c>
      <c r="Q805" s="230">
        <v>4117</v>
      </c>
      <c r="R805" s="131"/>
      <c r="S805" s="132"/>
      <c r="T805" s="102">
        <v>15851.64</v>
      </c>
      <c r="U805" s="100">
        <v>43795</v>
      </c>
      <c r="V805" s="102"/>
      <c r="W805" s="210"/>
    </row>
    <row r="806" s="43" customFormat="1" ht="22" hidden="1" customHeight="1" spans="1:23">
      <c r="A806" s="145" t="s">
        <v>3057</v>
      </c>
      <c r="B806" s="174" t="s">
        <v>2863</v>
      </c>
      <c r="C806" s="175"/>
      <c r="D806" s="45" t="s">
        <v>31</v>
      </c>
      <c r="E806" s="80" t="s">
        <v>2886</v>
      </c>
      <c r="F806" s="81">
        <f>IFERROR(VLOOKUP(E806,客户!B:C,2,FALSE),"/")</f>
        <v>0</v>
      </c>
      <c r="G806" s="80" t="s">
        <v>3058</v>
      </c>
      <c r="H806" s="303" t="s">
        <v>147</v>
      </c>
      <c r="I806" s="108" t="s">
        <v>1877</v>
      </c>
      <c r="J806" s="108">
        <v>43714</v>
      </c>
      <c r="K806" s="100">
        <v>43767</v>
      </c>
      <c r="L806" s="100">
        <v>43812</v>
      </c>
      <c r="M806" s="159" t="s">
        <v>3059</v>
      </c>
      <c r="N806" s="102" t="s">
        <v>3060</v>
      </c>
      <c r="O806" s="104" t="s">
        <v>523</v>
      </c>
      <c r="P806" s="230">
        <v>36002</v>
      </c>
      <c r="Q806" s="230">
        <v>4998.33</v>
      </c>
      <c r="R806" s="131"/>
      <c r="S806" s="132"/>
      <c r="T806" s="102">
        <v>31003.67</v>
      </c>
      <c r="U806" s="100">
        <v>43784</v>
      </c>
      <c r="V806" s="102"/>
      <c r="W806" s="210"/>
    </row>
    <row r="807" s="43" customFormat="1" ht="22" hidden="1" customHeight="1" spans="1:23">
      <c r="A807" s="144" t="s">
        <v>3061</v>
      </c>
      <c r="B807" s="295" t="s">
        <v>2863</v>
      </c>
      <c r="C807" s="296"/>
      <c r="D807" s="45" t="s">
        <v>31</v>
      </c>
      <c r="E807" s="80" t="s">
        <v>3062</v>
      </c>
      <c r="F807" s="81" t="str">
        <f>IFERROR(VLOOKUP(E807,客户!B:C,2,FALSE),"/")</f>
        <v>/</v>
      </c>
      <c r="G807" s="80" t="s">
        <v>3063</v>
      </c>
      <c r="H807" s="303" t="s">
        <v>147</v>
      </c>
      <c r="I807" s="108" t="s">
        <v>3064</v>
      </c>
      <c r="J807" s="108">
        <v>43714</v>
      </c>
      <c r="K807" s="100">
        <v>43766</v>
      </c>
      <c r="L807" s="100">
        <v>43810</v>
      </c>
      <c r="M807" s="178" t="s">
        <v>3065</v>
      </c>
      <c r="N807" s="102" t="s">
        <v>3066</v>
      </c>
      <c r="O807" s="104"/>
      <c r="P807" s="230">
        <v>24798.64</v>
      </c>
      <c r="Q807" s="230">
        <v>8200</v>
      </c>
      <c r="R807" s="131"/>
      <c r="S807" s="132"/>
      <c r="T807" s="102">
        <v>16598.64</v>
      </c>
      <c r="U807" s="100">
        <v>43781</v>
      </c>
      <c r="V807" s="102"/>
      <c r="W807" s="210"/>
    </row>
    <row r="808" s="43" customFormat="1" ht="22" hidden="1" customHeight="1" spans="1:23">
      <c r="A808" s="191" t="s">
        <v>3067</v>
      </c>
      <c r="B808" s="258" t="s">
        <v>2863</v>
      </c>
      <c r="C808" s="259"/>
      <c r="D808" s="45" t="s">
        <v>31</v>
      </c>
      <c r="E808" s="193" t="s">
        <v>3002</v>
      </c>
      <c r="F808" s="81" t="str">
        <f>IFERROR(VLOOKUP(E808,客户!B:C,2,FALSE),"/")</f>
        <v>安哥拉门及配件给清单  灯的清单和照片 如果HScode是九十五章  提前和报关货代说
2021.3.4收¥55000(汇率6.46，折合美金$8512.93)
冻结中</v>
      </c>
      <c r="G808" s="304" t="s">
        <v>3068</v>
      </c>
      <c r="H808" s="305" t="s">
        <v>123</v>
      </c>
      <c r="I808" s="104" t="s">
        <v>3069</v>
      </c>
      <c r="J808" s="104">
        <v>43731</v>
      </c>
      <c r="K808" s="205">
        <v>43775</v>
      </c>
      <c r="L808" s="205">
        <v>43825</v>
      </c>
      <c r="M808" s="310" t="s">
        <v>3070</v>
      </c>
      <c r="N808" s="207" t="s">
        <v>3071</v>
      </c>
      <c r="O808" s="104" t="s">
        <v>523</v>
      </c>
      <c r="P808" s="311">
        <v>25305.09</v>
      </c>
      <c r="Q808" s="311">
        <v>9302</v>
      </c>
      <c r="R808" s="241"/>
      <c r="S808" s="242"/>
      <c r="T808" s="207">
        <v>16003.09</v>
      </c>
      <c r="U808" s="205">
        <v>43824</v>
      </c>
      <c r="V808" s="207"/>
      <c r="W808" s="319"/>
    </row>
    <row r="809" s="43" customFormat="1" ht="22" hidden="1" customHeight="1" spans="1:23">
      <c r="A809" s="191" t="s">
        <v>3072</v>
      </c>
      <c r="B809" s="258" t="s">
        <v>2863</v>
      </c>
      <c r="C809" s="259"/>
      <c r="D809" s="45" t="s">
        <v>31</v>
      </c>
      <c r="E809" s="193" t="s">
        <v>3002</v>
      </c>
      <c r="F809" s="81" t="str">
        <f>IFERROR(VLOOKUP(E809,客户!B:C,2,FALSE),"/")</f>
        <v>安哥拉门及配件给清单  灯的清单和照片 如果HScode是九十五章  提前和报关货代说
2021.3.4收¥55000(汇率6.46，折合美金$8512.93)
冻结中</v>
      </c>
      <c r="G809" s="304" t="s">
        <v>3073</v>
      </c>
      <c r="H809" s="305" t="s">
        <v>123</v>
      </c>
      <c r="I809" s="104" t="s">
        <v>3069</v>
      </c>
      <c r="J809" s="104">
        <v>43731</v>
      </c>
      <c r="K809" s="205">
        <v>43796</v>
      </c>
      <c r="L809" s="205">
        <v>43843</v>
      </c>
      <c r="M809" s="312" t="s">
        <v>3074</v>
      </c>
      <c r="N809" s="207" t="s">
        <v>3071</v>
      </c>
      <c r="O809" s="104" t="s">
        <v>523</v>
      </c>
      <c r="P809" s="311">
        <v>23534.48</v>
      </c>
      <c r="Q809" s="311">
        <v>4570.39</v>
      </c>
      <c r="R809" s="241"/>
      <c r="S809" s="242"/>
      <c r="T809" s="207">
        <v>18930.64</v>
      </c>
      <c r="U809" s="205">
        <v>43840</v>
      </c>
      <c r="V809" s="207"/>
      <c r="W809" s="319"/>
    </row>
    <row r="810" s="43" customFormat="1" ht="22" hidden="1" customHeight="1" spans="1:23">
      <c r="A810" s="144" t="s">
        <v>3075</v>
      </c>
      <c r="B810" s="174" t="s">
        <v>2863</v>
      </c>
      <c r="C810" s="175"/>
      <c r="D810" s="45" t="s">
        <v>31</v>
      </c>
      <c r="E810" s="82" t="s">
        <v>3076</v>
      </c>
      <c r="F810" s="81" t="str">
        <f>IFERROR(VLOOKUP(E810,客户!B:C,2,FALSE),"/")</f>
        <v>/</v>
      </c>
      <c r="G810" s="84" t="s">
        <v>3077</v>
      </c>
      <c r="H810" s="142" t="s">
        <v>123</v>
      </c>
      <c r="I810" s="108" t="s">
        <v>3032</v>
      </c>
      <c r="J810" s="108">
        <v>43735</v>
      </c>
      <c r="K810" s="100">
        <v>43792</v>
      </c>
      <c r="L810" s="100">
        <v>43833</v>
      </c>
      <c r="M810" s="159" t="s">
        <v>3078</v>
      </c>
      <c r="N810" s="102" t="s">
        <v>3079</v>
      </c>
      <c r="O810" s="104" t="s">
        <v>523</v>
      </c>
      <c r="P810" s="230">
        <v>44822.5</v>
      </c>
      <c r="Q810" s="230">
        <v>14903</v>
      </c>
      <c r="R810" s="131"/>
      <c r="S810" s="132"/>
      <c r="T810" s="102">
        <v>29919</v>
      </c>
      <c r="U810" s="100">
        <v>43825</v>
      </c>
      <c r="V810" s="102"/>
      <c r="W810" s="210"/>
    </row>
    <row r="811" s="43" customFormat="1" ht="22" hidden="1" customHeight="1" spans="1:23">
      <c r="A811" s="261" t="s">
        <v>3080</v>
      </c>
      <c r="B811" s="174" t="s">
        <v>2863</v>
      </c>
      <c r="C811" s="175"/>
      <c r="D811" s="45" t="s">
        <v>31</v>
      </c>
      <c r="E811" s="306" t="s">
        <v>3081</v>
      </c>
      <c r="F811" s="81" t="str">
        <f>IFERROR(VLOOKUP(E811,客户!B:C,2,FALSE),"/")</f>
        <v>/</v>
      </c>
      <c r="G811" s="306" t="s">
        <v>3082</v>
      </c>
      <c r="H811" s="142" t="s">
        <v>123</v>
      </c>
      <c r="I811" s="108" t="s">
        <v>3047</v>
      </c>
      <c r="J811" s="108">
        <v>43746</v>
      </c>
      <c r="K811" s="100">
        <v>43784</v>
      </c>
      <c r="L811" s="100">
        <v>43818</v>
      </c>
      <c r="M811" s="181" t="s">
        <v>3083</v>
      </c>
      <c r="N811" s="102" t="s">
        <v>3084</v>
      </c>
      <c r="O811" s="104" t="s">
        <v>523</v>
      </c>
      <c r="P811" s="230">
        <v>20515</v>
      </c>
      <c r="Q811" s="230">
        <v>6155</v>
      </c>
      <c r="R811" s="131"/>
      <c r="S811" s="132"/>
      <c r="T811" s="102">
        <v>14325.5</v>
      </c>
      <c r="U811" s="100">
        <v>43782</v>
      </c>
      <c r="V811" s="102"/>
      <c r="W811" s="210"/>
    </row>
    <row r="812" s="43" customFormat="1" ht="22" hidden="1" customHeight="1" spans="1:23">
      <c r="A812" s="261" t="s">
        <v>3085</v>
      </c>
      <c r="B812" s="174" t="s">
        <v>2863</v>
      </c>
      <c r="C812" s="175"/>
      <c r="D812" s="45" t="s">
        <v>31</v>
      </c>
      <c r="E812" s="306" t="s">
        <v>3086</v>
      </c>
      <c r="F812" s="81">
        <f>IFERROR(VLOOKUP(E812,客户!B:C,2,FALSE),"/")</f>
        <v>0</v>
      </c>
      <c r="G812" s="306" t="s">
        <v>3087</v>
      </c>
      <c r="H812" s="142" t="s">
        <v>147</v>
      </c>
      <c r="I812" s="108" t="s">
        <v>2900</v>
      </c>
      <c r="J812" s="108">
        <v>43752</v>
      </c>
      <c r="K812" s="100">
        <v>43793</v>
      </c>
      <c r="L812" s="100">
        <v>43835</v>
      </c>
      <c r="M812" s="159" t="s">
        <v>3088</v>
      </c>
      <c r="N812" s="102" t="s">
        <v>3089</v>
      </c>
      <c r="O812" s="104" t="s">
        <v>523</v>
      </c>
      <c r="P812" s="230">
        <v>20357.88</v>
      </c>
      <c r="Q812" s="230">
        <v>2862</v>
      </c>
      <c r="R812" s="131"/>
      <c r="S812" s="132"/>
      <c r="T812" s="102">
        <v>17495.88</v>
      </c>
      <c r="U812" s="100">
        <v>43829</v>
      </c>
      <c r="V812" s="102"/>
      <c r="W812" s="210"/>
    </row>
    <row r="813" s="43" customFormat="1" ht="22" hidden="1" customHeight="1" spans="1:23">
      <c r="A813" s="292" t="s">
        <v>3090</v>
      </c>
      <c r="B813" s="174" t="s">
        <v>2863</v>
      </c>
      <c r="C813" s="175"/>
      <c r="D813" s="45" t="s">
        <v>31</v>
      </c>
      <c r="E813" s="307" t="s">
        <v>3091</v>
      </c>
      <c r="F813" s="81" t="str">
        <f>IFERROR(VLOOKUP(E813,客户!B:C,2,FALSE),"/")</f>
        <v>/</v>
      </c>
      <c r="G813" s="306" t="s">
        <v>3087</v>
      </c>
      <c r="H813" s="142" t="s">
        <v>147</v>
      </c>
      <c r="I813" s="108" t="s">
        <v>2947</v>
      </c>
      <c r="J813" s="108">
        <v>43755</v>
      </c>
      <c r="K813" s="100">
        <v>43778</v>
      </c>
      <c r="L813" s="100">
        <v>43804</v>
      </c>
      <c r="M813" s="196" t="s">
        <v>3092</v>
      </c>
      <c r="N813" s="102" t="s">
        <v>3093</v>
      </c>
      <c r="O813" s="104" t="s">
        <v>523</v>
      </c>
      <c r="P813" s="230">
        <v>22590</v>
      </c>
      <c r="Q813" s="230">
        <v>6763.59</v>
      </c>
      <c r="R813" s="131"/>
      <c r="S813" s="132"/>
      <c r="T813" s="102">
        <v>15799.56</v>
      </c>
      <c r="U813" s="100">
        <v>43790</v>
      </c>
      <c r="V813" s="102"/>
      <c r="W813" s="210"/>
    </row>
    <row r="814" s="43" customFormat="1" ht="22" hidden="1" customHeight="1" spans="1:23">
      <c r="A814" s="261" t="s">
        <v>3094</v>
      </c>
      <c r="B814" s="174" t="s">
        <v>2863</v>
      </c>
      <c r="C814" s="175"/>
      <c r="D814" s="45" t="s">
        <v>31</v>
      </c>
      <c r="E814" s="306" t="s">
        <v>3086</v>
      </c>
      <c r="F814" s="81">
        <f>IFERROR(VLOOKUP(E814,客户!B:C,2,FALSE),"/")</f>
        <v>0</v>
      </c>
      <c r="G814" s="306" t="s">
        <v>3095</v>
      </c>
      <c r="H814" s="142" t="s">
        <v>147</v>
      </c>
      <c r="I814" s="108" t="s">
        <v>1877</v>
      </c>
      <c r="J814" s="108">
        <v>43762</v>
      </c>
      <c r="K814" s="100">
        <v>43793</v>
      </c>
      <c r="L814" s="100">
        <v>43835</v>
      </c>
      <c r="M814" s="313" t="s">
        <v>3096</v>
      </c>
      <c r="N814" s="102" t="s">
        <v>3097</v>
      </c>
      <c r="O814" s="104" t="s">
        <v>523</v>
      </c>
      <c r="P814" s="230">
        <v>19816.77</v>
      </c>
      <c r="Q814" s="230">
        <v>3163</v>
      </c>
      <c r="R814" s="320">
        <v>136.98</v>
      </c>
      <c r="S814" s="321"/>
      <c r="T814" s="102">
        <v>16515.79</v>
      </c>
      <c r="U814" s="100">
        <v>43829</v>
      </c>
      <c r="V814" s="102"/>
      <c r="W814" s="210"/>
    </row>
    <row r="815" s="43" customFormat="1" ht="22" hidden="1" customHeight="1" spans="1:23">
      <c r="A815" s="261" t="s">
        <v>3098</v>
      </c>
      <c r="B815" s="174" t="s">
        <v>2863</v>
      </c>
      <c r="C815" s="175"/>
      <c r="D815" s="45" t="s">
        <v>31</v>
      </c>
      <c r="E815" s="80" t="s">
        <v>2886</v>
      </c>
      <c r="F815" s="81">
        <f>IFERROR(VLOOKUP(E815,客户!B:C,2,FALSE),"/")</f>
        <v>0</v>
      </c>
      <c r="G815" s="306" t="s">
        <v>3099</v>
      </c>
      <c r="H815" s="142" t="s">
        <v>147</v>
      </c>
      <c r="I815" s="108" t="s">
        <v>1877</v>
      </c>
      <c r="J815" s="108">
        <v>43782</v>
      </c>
      <c r="K815" s="100">
        <v>43830</v>
      </c>
      <c r="L815" s="100">
        <v>43868</v>
      </c>
      <c r="M815" s="313" t="s">
        <v>3100</v>
      </c>
      <c r="N815" s="102" t="s">
        <v>3101</v>
      </c>
      <c r="O815" s="104" t="s">
        <v>523</v>
      </c>
      <c r="P815" s="230">
        <v>60720</v>
      </c>
      <c r="Q815" s="230">
        <v>9108.2</v>
      </c>
      <c r="R815" s="131"/>
      <c r="S815" s="132"/>
      <c r="T815" s="102">
        <v>51584.5</v>
      </c>
      <c r="U815" s="100">
        <v>43846</v>
      </c>
      <c r="V815" s="102"/>
      <c r="W815" s="210"/>
    </row>
    <row r="816" s="43" customFormat="1" ht="22" hidden="1" customHeight="1" spans="1:23">
      <c r="A816" s="261" t="s">
        <v>3102</v>
      </c>
      <c r="B816" s="174" t="s">
        <v>2863</v>
      </c>
      <c r="C816" s="175"/>
      <c r="D816" s="45" t="s">
        <v>31</v>
      </c>
      <c r="E816" s="307" t="s">
        <v>3103</v>
      </c>
      <c r="F816" s="81">
        <f>IFERROR(VLOOKUP(E816,客户!B:C,2,FALSE),"/")</f>
        <v>0</v>
      </c>
      <c r="G816" s="306" t="s">
        <v>3104</v>
      </c>
      <c r="H816" s="142" t="s">
        <v>147</v>
      </c>
      <c r="I816" s="108" t="s">
        <v>1877</v>
      </c>
      <c r="J816" s="108">
        <v>43788</v>
      </c>
      <c r="K816" s="100">
        <v>43833</v>
      </c>
      <c r="L816" s="100">
        <v>43877</v>
      </c>
      <c r="M816" s="314" t="s">
        <v>3105</v>
      </c>
      <c r="N816" s="102" t="s">
        <v>3106</v>
      </c>
      <c r="O816" s="104" t="s">
        <v>523</v>
      </c>
      <c r="P816" s="230">
        <v>22223.4</v>
      </c>
      <c r="Q816" s="230">
        <v>4353.28</v>
      </c>
      <c r="R816" s="131"/>
      <c r="S816" s="132"/>
      <c r="T816" s="102">
        <v>17987.62</v>
      </c>
      <c r="U816" s="100">
        <v>43871</v>
      </c>
      <c r="V816" s="102"/>
      <c r="W816" s="210"/>
    </row>
    <row r="817" s="43" customFormat="1" ht="22" hidden="1" customHeight="1" spans="1:23">
      <c r="A817" s="261" t="s">
        <v>3107</v>
      </c>
      <c r="B817" s="174" t="s">
        <v>2863</v>
      </c>
      <c r="C817" s="175"/>
      <c r="D817" s="45" t="s">
        <v>31</v>
      </c>
      <c r="E817" s="306" t="s">
        <v>3108</v>
      </c>
      <c r="F817" s="81" t="str">
        <f>IFERROR(VLOOKUP(E817,客户!B:C,2,FALSE),"/")</f>
        <v>/</v>
      </c>
      <c r="G817" s="306" t="s">
        <v>3109</v>
      </c>
      <c r="H817" s="142" t="s">
        <v>123</v>
      </c>
      <c r="I817" s="108" t="s">
        <v>3047</v>
      </c>
      <c r="J817" s="108">
        <v>43794</v>
      </c>
      <c r="K817" s="100">
        <v>43820</v>
      </c>
      <c r="L817" s="100"/>
      <c r="M817" s="313" t="s">
        <v>3110</v>
      </c>
      <c r="N817" s="102" t="s">
        <v>3111</v>
      </c>
      <c r="O817" s="104" t="s">
        <v>970</v>
      </c>
      <c r="P817" s="230">
        <v>19815.08</v>
      </c>
      <c r="Q817" s="230">
        <v>5945</v>
      </c>
      <c r="R817" s="131"/>
      <c r="S817" s="132"/>
      <c r="T817" s="102">
        <v>13870.08</v>
      </c>
      <c r="U817" s="100">
        <v>43815</v>
      </c>
      <c r="V817" s="102"/>
      <c r="W817" s="210"/>
    </row>
    <row r="818" s="43" customFormat="1" ht="22" hidden="1" customHeight="1" spans="1:23">
      <c r="A818" s="261" t="s">
        <v>3112</v>
      </c>
      <c r="B818" s="174" t="s">
        <v>2863</v>
      </c>
      <c r="C818" s="175"/>
      <c r="D818" s="45" t="s">
        <v>31</v>
      </c>
      <c r="E818" s="306" t="s">
        <v>3108</v>
      </c>
      <c r="F818" s="81" t="str">
        <f>IFERROR(VLOOKUP(E818,客户!B:C,2,FALSE),"/")</f>
        <v>/</v>
      </c>
      <c r="G818" s="306" t="s">
        <v>3113</v>
      </c>
      <c r="H818" s="142" t="s">
        <v>123</v>
      </c>
      <c r="I818" s="108" t="s">
        <v>3047</v>
      </c>
      <c r="J818" s="108">
        <v>43800</v>
      </c>
      <c r="K818" s="100">
        <v>43826</v>
      </c>
      <c r="L818" s="100"/>
      <c r="M818" s="313" t="s">
        <v>3114</v>
      </c>
      <c r="N818" s="102" t="s">
        <v>2972</v>
      </c>
      <c r="O818" s="104" t="s">
        <v>970</v>
      </c>
      <c r="P818" s="230">
        <v>19335.62</v>
      </c>
      <c r="Q818" s="230">
        <v>5763.5</v>
      </c>
      <c r="R818" s="131"/>
      <c r="S818" s="132"/>
      <c r="T818" s="102">
        <v>13572.12</v>
      </c>
      <c r="U818" s="100">
        <v>43823</v>
      </c>
      <c r="V818" s="102"/>
      <c r="W818" s="210"/>
    </row>
    <row r="819" s="43" customFormat="1" ht="22" hidden="1" customHeight="1" spans="1:23">
      <c r="A819" s="261" t="s">
        <v>3115</v>
      </c>
      <c r="B819" s="174" t="s">
        <v>2863</v>
      </c>
      <c r="C819" s="175"/>
      <c r="D819" s="45" t="s">
        <v>31</v>
      </c>
      <c r="E819" s="306" t="s">
        <v>3116</v>
      </c>
      <c r="F819" s="81" t="str">
        <f>IFERROR(VLOOKUP(E819,客户!B:C,2,FALSE),"/")</f>
        <v>/</v>
      </c>
      <c r="G819" s="306" t="s">
        <v>3117</v>
      </c>
      <c r="H819" s="142" t="s">
        <v>123</v>
      </c>
      <c r="I819" s="108" t="s">
        <v>1877</v>
      </c>
      <c r="J819" s="108">
        <v>43805</v>
      </c>
      <c r="K819" s="100">
        <v>43867</v>
      </c>
      <c r="L819" s="100">
        <v>43910</v>
      </c>
      <c r="M819" s="313" t="s">
        <v>3118</v>
      </c>
      <c r="N819" s="102" t="s">
        <v>3119</v>
      </c>
      <c r="O819" s="104" t="s">
        <v>523</v>
      </c>
      <c r="P819" s="230">
        <v>81505.8</v>
      </c>
      <c r="Q819" s="230">
        <v>22507.74</v>
      </c>
      <c r="R819" s="131"/>
      <c r="S819" s="132"/>
      <c r="T819" s="102">
        <v>58965.5</v>
      </c>
      <c r="U819" s="100">
        <v>43900</v>
      </c>
      <c r="V819" s="102"/>
      <c r="W819" s="210"/>
    </row>
    <row r="820" s="43" customFormat="1" ht="22" hidden="1" customHeight="1" spans="1:23">
      <c r="A820" s="261" t="s">
        <v>3120</v>
      </c>
      <c r="B820" s="174" t="s">
        <v>2863</v>
      </c>
      <c r="C820" s="175"/>
      <c r="D820" s="45" t="s">
        <v>31</v>
      </c>
      <c r="E820" s="80" t="s">
        <v>3121</v>
      </c>
      <c r="F820" s="81">
        <f>IFERROR(VLOOKUP(E820,客户!B:C,2,FALSE),"/")</f>
        <v>0</v>
      </c>
      <c r="G820" s="306" t="s">
        <v>3104</v>
      </c>
      <c r="H820" s="142" t="s">
        <v>123</v>
      </c>
      <c r="I820" s="108" t="s">
        <v>3122</v>
      </c>
      <c r="J820" s="108">
        <v>43805</v>
      </c>
      <c r="K820" s="100">
        <v>43894</v>
      </c>
      <c r="L820" s="100">
        <v>43941</v>
      </c>
      <c r="M820" s="315" t="s">
        <v>3123</v>
      </c>
      <c r="N820" s="102" t="s">
        <v>3124</v>
      </c>
      <c r="O820" s="104" t="s">
        <v>523</v>
      </c>
      <c r="P820" s="230">
        <v>17074.6</v>
      </c>
      <c r="Q820" s="230">
        <v>5122</v>
      </c>
      <c r="R820" s="131"/>
      <c r="S820" s="132"/>
      <c r="T820" s="102">
        <v>11952.6</v>
      </c>
      <c r="U820" s="100">
        <v>43823</v>
      </c>
      <c r="V820" s="102"/>
      <c r="W820" s="210"/>
    </row>
    <row r="821" s="43" customFormat="1" ht="22" hidden="1" customHeight="1" spans="1:23">
      <c r="A821" s="261" t="s">
        <v>3125</v>
      </c>
      <c r="B821" s="174" t="s">
        <v>2863</v>
      </c>
      <c r="C821" s="175"/>
      <c r="D821" s="45" t="s">
        <v>31</v>
      </c>
      <c r="E821" s="306" t="s">
        <v>3126</v>
      </c>
      <c r="F821" s="81">
        <f>IFERROR(VLOOKUP(E821,客户!B:C,2,FALSE),"/")</f>
        <v>0</v>
      </c>
      <c r="G821" s="306" t="s">
        <v>3127</v>
      </c>
      <c r="H821" s="142" t="s">
        <v>123</v>
      </c>
      <c r="I821" s="108" t="s">
        <v>3032</v>
      </c>
      <c r="J821" s="108">
        <v>43812</v>
      </c>
      <c r="K821" s="100">
        <v>43848</v>
      </c>
      <c r="L821" s="100">
        <v>43883</v>
      </c>
      <c r="M821" s="316" t="s">
        <v>3128</v>
      </c>
      <c r="N821" s="102" t="s">
        <v>3129</v>
      </c>
      <c r="O821" s="104" t="s">
        <v>523</v>
      </c>
      <c r="P821" s="230">
        <v>41740.4</v>
      </c>
      <c r="Q821" s="230">
        <v>21474</v>
      </c>
      <c r="R821" s="131"/>
      <c r="S821" s="132"/>
      <c r="T821" s="102">
        <v>19901</v>
      </c>
      <c r="U821" s="100">
        <v>43873</v>
      </c>
      <c r="V821" s="102" t="s">
        <v>3130</v>
      </c>
      <c r="W821" s="210"/>
    </row>
    <row r="822" s="43" customFormat="1" ht="22" hidden="1" customHeight="1" spans="1:23">
      <c r="A822" s="261" t="s">
        <v>3131</v>
      </c>
      <c r="B822" s="174" t="s">
        <v>2863</v>
      </c>
      <c r="C822" s="175"/>
      <c r="D822" s="45" t="s">
        <v>31</v>
      </c>
      <c r="E822" s="306" t="s">
        <v>3126</v>
      </c>
      <c r="F822" s="81">
        <f>IFERROR(VLOOKUP(E822,客户!B:C,2,FALSE),"/")</f>
        <v>0</v>
      </c>
      <c r="G822" s="306" t="s">
        <v>3132</v>
      </c>
      <c r="H822" s="142" t="s">
        <v>123</v>
      </c>
      <c r="I822" s="108" t="s">
        <v>3032</v>
      </c>
      <c r="J822" s="108">
        <v>43812</v>
      </c>
      <c r="K822" s="100">
        <v>43856</v>
      </c>
      <c r="L822" s="100">
        <v>43896</v>
      </c>
      <c r="M822" s="313" t="s">
        <v>3133</v>
      </c>
      <c r="N822" s="102" t="s">
        <v>3134</v>
      </c>
      <c r="O822" s="104" t="s">
        <v>523</v>
      </c>
      <c r="P822" s="230">
        <v>23099.12</v>
      </c>
      <c r="Q822" s="230"/>
      <c r="R822" s="131"/>
      <c r="S822" s="132"/>
      <c r="T822" s="102">
        <v>23099</v>
      </c>
      <c r="U822" s="100">
        <v>43873</v>
      </c>
      <c r="V822" s="102"/>
      <c r="W822" s="210"/>
    </row>
    <row r="823" s="43" customFormat="1" ht="22" hidden="1" customHeight="1" spans="1:23">
      <c r="A823" s="261" t="s">
        <v>3135</v>
      </c>
      <c r="B823" s="174" t="s">
        <v>2863</v>
      </c>
      <c r="C823" s="175"/>
      <c r="D823" s="45" t="s">
        <v>31</v>
      </c>
      <c r="E823" s="80" t="s">
        <v>3136</v>
      </c>
      <c r="F823" s="81">
        <f>IFERROR(VLOOKUP(E823,客户!B:C,2,FALSE),"/")</f>
        <v>0</v>
      </c>
      <c r="G823" s="306" t="s">
        <v>3137</v>
      </c>
      <c r="H823" s="142" t="s">
        <v>123</v>
      </c>
      <c r="I823" s="108" t="s">
        <v>3138</v>
      </c>
      <c r="J823" s="108">
        <v>43839</v>
      </c>
      <c r="K823" s="100">
        <v>43966</v>
      </c>
      <c r="L823" s="100"/>
      <c r="M823" s="315" t="s">
        <v>3139</v>
      </c>
      <c r="N823" s="246" t="s">
        <v>3140</v>
      </c>
      <c r="O823" s="104" t="s">
        <v>970</v>
      </c>
      <c r="P823" s="230">
        <v>10653.93</v>
      </c>
      <c r="Q823" s="230">
        <v>3200</v>
      </c>
      <c r="R823" s="131"/>
      <c r="S823" s="132"/>
      <c r="T823" s="102">
        <v>6979.61</v>
      </c>
      <c r="U823" s="102">
        <f>288+143.35</f>
        <v>431.35</v>
      </c>
      <c r="V823" s="246" t="s">
        <v>3141</v>
      </c>
      <c r="W823" s="210"/>
    </row>
    <row r="824" s="43" customFormat="1" ht="22" hidden="1" customHeight="1" spans="1:23">
      <c r="A824" s="308" t="s">
        <v>3142</v>
      </c>
      <c r="B824" s="174" t="s">
        <v>2863</v>
      </c>
      <c r="C824" s="175"/>
      <c r="D824" s="45" t="s">
        <v>31</v>
      </c>
      <c r="E824" s="82" t="s">
        <v>3143</v>
      </c>
      <c r="F824" s="81">
        <f>IFERROR(VLOOKUP(E824,客户!B:C,2,FALSE),"/")</f>
        <v>0</v>
      </c>
      <c r="G824" s="306" t="s">
        <v>3144</v>
      </c>
      <c r="H824" s="142" t="s">
        <v>147</v>
      </c>
      <c r="I824" s="108" t="s">
        <v>1877</v>
      </c>
      <c r="J824" s="108">
        <v>43843</v>
      </c>
      <c r="K824" s="100">
        <v>43981</v>
      </c>
      <c r="L824" s="100">
        <v>44011</v>
      </c>
      <c r="M824" s="315" t="s">
        <v>3145</v>
      </c>
      <c r="N824" s="246" t="s">
        <v>3146</v>
      </c>
      <c r="O824" s="104" t="s">
        <v>523</v>
      </c>
      <c r="P824" s="230">
        <v>64960.5</v>
      </c>
      <c r="Q824" s="230">
        <v>10911</v>
      </c>
      <c r="R824" s="131"/>
      <c r="S824" s="132"/>
      <c r="T824" s="102">
        <v>29948</v>
      </c>
      <c r="U824" s="322">
        <v>24002.5</v>
      </c>
      <c r="V824" s="246" t="s">
        <v>3147</v>
      </c>
      <c r="W824" s="210"/>
    </row>
    <row r="825" s="43" customFormat="1" ht="22" hidden="1" customHeight="1" spans="1:23">
      <c r="A825" s="261" t="s">
        <v>3148</v>
      </c>
      <c r="B825" s="174" t="s">
        <v>2863</v>
      </c>
      <c r="C825" s="175"/>
      <c r="D825" s="45" t="s">
        <v>31</v>
      </c>
      <c r="E825" s="82" t="s">
        <v>3143</v>
      </c>
      <c r="F825" s="81">
        <f>IFERROR(VLOOKUP(E825,客户!B:C,2,FALSE),"/")</f>
        <v>0</v>
      </c>
      <c r="G825" s="306" t="s">
        <v>3149</v>
      </c>
      <c r="H825" s="142" t="s">
        <v>147</v>
      </c>
      <c r="I825" s="108" t="s">
        <v>1877</v>
      </c>
      <c r="J825" s="108">
        <v>43843</v>
      </c>
      <c r="K825" s="100">
        <v>43911</v>
      </c>
      <c r="L825" s="100">
        <v>43945</v>
      </c>
      <c r="M825" s="315" t="s">
        <v>3150</v>
      </c>
      <c r="N825" s="246" t="s">
        <v>3151</v>
      </c>
      <c r="O825" s="104" t="s">
        <v>523</v>
      </c>
      <c r="P825" s="230">
        <v>20590.14</v>
      </c>
      <c r="Q825" s="230">
        <v>3088</v>
      </c>
      <c r="R825" s="131"/>
      <c r="S825" s="132"/>
      <c r="T825" s="102">
        <v>17481.16</v>
      </c>
      <c r="U825" s="100"/>
      <c r="V825" s="246" t="s">
        <v>3152</v>
      </c>
      <c r="W825" s="210"/>
    </row>
    <row r="826" s="43" customFormat="1" ht="22" hidden="1" customHeight="1" spans="1:23">
      <c r="A826" s="308" t="s">
        <v>3153</v>
      </c>
      <c r="B826" s="174" t="s">
        <v>2863</v>
      </c>
      <c r="C826" s="175"/>
      <c r="D826" s="45" t="s">
        <v>31</v>
      </c>
      <c r="E826" s="82" t="s">
        <v>3143</v>
      </c>
      <c r="F826" s="81">
        <f>IFERROR(VLOOKUP(E826,客户!B:C,2,FALSE),"/")</f>
        <v>0</v>
      </c>
      <c r="G826" s="306" t="s">
        <v>3154</v>
      </c>
      <c r="H826" s="142" t="s">
        <v>147</v>
      </c>
      <c r="I826" s="108" t="s">
        <v>1877</v>
      </c>
      <c r="J826" s="108">
        <v>43843</v>
      </c>
      <c r="K826" s="100">
        <v>43976</v>
      </c>
      <c r="L826" s="100">
        <v>44015</v>
      </c>
      <c r="M826" s="315" t="s">
        <v>3155</v>
      </c>
      <c r="N826" s="246" t="s">
        <v>3156</v>
      </c>
      <c r="O826" s="104" t="s">
        <v>523</v>
      </c>
      <c r="P826" s="230">
        <v>41395.26</v>
      </c>
      <c r="Q826" s="230">
        <v>6209</v>
      </c>
      <c r="R826" s="131"/>
      <c r="S826" s="132"/>
      <c r="T826" s="102">
        <v>35134.26</v>
      </c>
      <c r="U826" s="100"/>
      <c r="V826" s="246" t="s">
        <v>3157</v>
      </c>
      <c r="W826" s="210"/>
    </row>
    <row r="827" s="43" customFormat="1" ht="22" hidden="1" customHeight="1" spans="1:23">
      <c r="A827" s="261" t="s">
        <v>3158</v>
      </c>
      <c r="B827" s="174" t="s">
        <v>2863</v>
      </c>
      <c r="C827" s="175"/>
      <c r="D827" s="45" t="s">
        <v>31</v>
      </c>
      <c r="E827" s="82" t="s">
        <v>3159</v>
      </c>
      <c r="F827" s="81">
        <f>IFERROR(VLOOKUP(E827,客户!B:C,2,FALSE),"/")</f>
        <v>0</v>
      </c>
      <c r="G827" s="306" t="s">
        <v>3160</v>
      </c>
      <c r="H827" s="142" t="s">
        <v>147</v>
      </c>
      <c r="I827" s="108" t="s">
        <v>2947</v>
      </c>
      <c r="J827" s="108">
        <v>43850</v>
      </c>
      <c r="K827" s="100">
        <v>43947</v>
      </c>
      <c r="L827" s="100">
        <v>43970</v>
      </c>
      <c r="M827" s="313" t="s">
        <v>3161</v>
      </c>
      <c r="N827" s="246" t="s">
        <v>3162</v>
      </c>
      <c r="O827" s="104" t="s">
        <v>523</v>
      </c>
      <c r="P827" s="230">
        <v>23745</v>
      </c>
      <c r="Q827" s="230">
        <v>7123</v>
      </c>
      <c r="R827" s="131"/>
      <c r="S827" s="132"/>
      <c r="T827" s="102">
        <v>16594.5</v>
      </c>
      <c r="U827" s="100"/>
      <c r="V827" s="246" t="s">
        <v>3163</v>
      </c>
      <c r="W827" s="210"/>
    </row>
    <row r="828" s="43" customFormat="1" ht="22" hidden="1" customHeight="1" spans="1:23">
      <c r="A828" s="261" t="s">
        <v>3164</v>
      </c>
      <c r="B828" s="174" t="s">
        <v>2863</v>
      </c>
      <c r="C828" s="175"/>
      <c r="D828" s="45" t="s">
        <v>31</v>
      </c>
      <c r="E828" s="80" t="s">
        <v>3121</v>
      </c>
      <c r="F828" s="81">
        <f>IFERROR(VLOOKUP(E828,客户!B:C,2,FALSE),"/")</f>
        <v>0</v>
      </c>
      <c r="G828" s="306" t="s">
        <v>3165</v>
      </c>
      <c r="H828" s="142" t="s">
        <v>123</v>
      </c>
      <c r="I828" s="108" t="s">
        <v>3166</v>
      </c>
      <c r="J828" s="108">
        <v>43859</v>
      </c>
      <c r="K828" s="100">
        <v>43929</v>
      </c>
      <c r="L828" s="100">
        <v>43959</v>
      </c>
      <c r="M828" s="315" t="s">
        <v>3167</v>
      </c>
      <c r="N828" s="246" t="s">
        <v>3168</v>
      </c>
      <c r="O828" s="104" t="s">
        <v>523</v>
      </c>
      <c r="P828" s="230">
        <v>20216.12</v>
      </c>
      <c r="Q828" s="230">
        <v>6030.5</v>
      </c>
      <c r="R828" s="131"/>
      <c r="S828" s="132"/>
      <c r="T828" s="102">
        <v>14116.62</v>
      </c>
      <c r="U828" s="100"/>
      <c r="V828" s="246" t="s">
        <v>3169</v>
      </c>
      <c r="W828" s="210"/>
    </row>
    <row r="829" s="43" customFormat="1" ht="22" hidden="1" customHeight="1" spans="1:23">
      <c r="A829" s="308" t="s">
        <v>3170</v>
      </c>
      <c r="B829" s="174" t="s">
        <v>2863</v>
      </c>
      <c r="C829" s="175"/>
      <c r="D829" s="45" t="s">
        <v>31</v>
      </c>
      <c r="E829" s="80" t="s">
        <v>3019</v>
      </c>
      <c r="F829" s="81">
        <f>IFERROR(VLOOKUP(E829,客户!B:C,2,FALSE),"/")</f>
        <v>0</v>
      </c>
      <c r="G829" s="306" t="s">
        <v>3104</v>
      </c>
      <c r="H829" s="142" t="s">
        <v>123</v>
      </c>
      <c r="I829" s="108" t="s">
        <v>3020</v>
      </c>
      <c r="J829" s="108">
        <v>43867</v>
      </c>
      <c r="K829" s="100">
        <v>44016</v>
      </c>
      <c r="L829" s="100">
        <v>44053</v>
      </c>
      <c r="M829" s="315" t="s">
        <v>3171</v>
      </c>
      <c r="N829" s="102" t="s">
        <v>3039</v>
      </c>
      <c r="O829" s="104" t="s">
        <v>523</v>
      </c>
      <c r="P829" s="230">
        <v>17254.81</v>
      </c>
      <c r="Q829" s="230">
        <v>5428.24</v>
      </c>
      <c r="R829" s="131"/>
      <c r="S829" s="132"/>
      <c r="T829" s="102">
        <v>11826.57</v>
      </c>
      <c r="U829" s="100"/>
      <c r="V829" s="102" t="s">
        <v>3172</v>
      </c>
      <c r="W829" s="210"/>
    </row>
    <row r="830" s="43" customFormat="1" ht="22" hidden="1" customHeight="1" spans="1:23">
      <c r="A830" s="261" t="s">
        <v>3173</v>
      </c>
      <c r="B830" s="174" t="s">
        <v>2863</v>
      </c>
      <c r="C830" s="175"/>
      <c r="D830" s="45" t="s">
        <v>31</v>
      </c>
      <c r="E830" s="80" t="s">
        <v>3019</v>
      </c>
      <c r="F830" s="81">
        <f>IFERROR(VLOOKUP(E830,客户!B:C,2,FALSE),"/")</f>
        <v>0</v>
      </c>
      <c r="G830" s="306" t="s">
        <v>3104</v>
      </c>
      <c r="H830" s="142" t="s">
        <v>123</v>
      </c>
      <c r="I830" s="108" t="s">
        <v>3020</v>
      </c>
      <c r="J830" s="108">
        <v>43867</v>
      </c>
      <c r="K830" s="100">
        <v>43939</v>
      </c>
      <c r="L830" s="100">
        <v>44000</v>
      </c>
      <c r="M830" s="315" t="s">
        <v>3174</v>
      </c>
      <c r="N830" s="246" t="s">
        <v>3039</v>
      </c>
      <c r="O830" s="104" t="s">
        <v>523</v>
      </c>
      <c r="P830" s="230">
        <v>17654.19</v>
      </c>
      <c r="Q830" s="230">
        <v>5428</v>
      </c>
      <c r="R830" s="131"/>
      <c r="S830" s="132"/>
      <c r="T830" s="102">
        <v>12216.11</v>
      </c>
      <c r="U830" s="100"/>
      <c r="V830" s="246" t="s">
        <v>3175</v>
      </c>
      <c r="W830" s="210"/>
    </row>
    <row r="831" s="43" customFormat="1" ht="22" hidden="1" customHeight="1" spans="1:23">
      <c r="A831" s="308" t="s">
        <v>3176</v>
      </c>
      <c r="B831" s="174" t="s">
        <v>2863</v>
      </c>
      <c r="C831" s="175"/>
      <c r="D831" s="45" t="s">
        <v>31</v>
      </c>
      <c r="E831" s="80" t="s">
        <v>3019</v>
      </c>
      <c r="F831" s="81">
        <f>IFERROR(VLOOKUP(E831,客户!B:C,2,FALSE),"/")</f>
        <v>0</v>
      </c>
      <c r="G831" s="306" t="s">
        <v>3104</v>
      </c>
      <c r="H831" s="142" t="s">
        <v>123</v>
      </c>
      <c r="I831" s="108" t="s">
        <v>3020</v>
      </c>
      <c r="J831" s="108">
        <v>43867</v>
      </c>
      <c r="K831" s="100">
        <v>43995</v>
      </c>
      <c r="L831" s="100">
        <v>44030</v>
      </c>
      <c r="M831" s="315" t="s">
        <v>3177</v>
      </c>
      <c r="N831" s="246" t="s">
        <v>3178</v>
      </c>
      <c r="O831" s="104" t="s">
        <v>523</v>
      </c>
      <c r="P831" s="230">
        <v>17359.91</v>
      </c>
      <c r="Q831" s="230">
        <v>5428</v>
      </c>
      <c r="R831" s="131"/>
      <c r="S831" s="132"/>
      <c r="T831" s="102">
        <v>11921.83</v>
      </c>
      <c r="U831" s="100"/>
      <c r="V831" s="246" t="s">
        <v>3179</v>
      </c>
      <c r="W831" s="210"/>
    </row>
    <row r="832" s="43" customFormat="1" ht="22" hidden="1" customHeight="1" spans="1:23">
      <c r="A832" s="261" t="s">
        <v>3180</v>
      </c>
      <c r="B832" s="174" t="s">
        <v>2863</v>
      </c>
      <c r="C832" s="175"/>
      <c r="D832" s="45" t="s">
        <v>31</v>
      </c>
      <c r="E832" s="82" t="s">
        <v>3181</v>
      </c>
      <c r="F832" s="81">
        <f>IFERROR(VLOOKUP(E832,客户!B:C,2,FALSE),"/")</f>
        <v>0</v>
      </c>
      <c r="G832" s="306" t="s">
        <v>3182</v>
      </c>
      <c r="H832" s="142" t="s">
        <v>123</v>
      </c>
      <c r="I832" s="108" t="s">
        <v>3183</v>
      </c>
      <c r="J832" s="108">
        <v>43874</v>
      </c>
      <c r="K832" s="100">
        <v>43946</v>
      </c>
      <c r="L832" s="100">
        <v>43994</v>
      </c>
      <c r="M832" s="315" t="s">
        <v>3184</v>
      </c>
      <c r="N832" s="246" t="s">
        <v>3185</v>
      </c>
      <c r="O832" s="104" t="s">
        <v>523</v>
      </c>
      <c r="P832" s="230">
        <v>22915.65</v>
      </c>
      <c r="Q832" s="230">
        <v>8150</v>
      </c>
      <c r="R832" s="131"/>
      <c r="S832" s="132"/>
      <c r="T832" s="102">
        <v>14732.5</v>
      </c>
      <c r="U832" s="100"/>
      <c r="V832" s="246" t="s">
        <v>3186</v>
      </c>
      <c r="W832" s="210"/>
    </row>
    <row r="833" s="43" customFormat="1" ht="22" hidden="1" customHeight="1" spans="1:23">
      <c r="A833" s="261" t="s">
        <v>3187</v>
      </c>
      <c r="B833" s="174" t="s">
        <v>2863</v>
      </c>
      <c r="C833" s="175"/>
      <c r="D833" s="45" t="s">
        <v>31</v>
      </c>
      <c r="E833" s="82" t="s">
        <v>3181</v>
      </c>
      <c r="F833" s="81"/>
      <c r="G833" s="306" t="s">
        <v>3188</v>
      </c>
      <c r="H833" s="142" t="s">
        <v>123</v>
      </c>
      <c r="I833" s="108" t="s">
        <v>3183</v>
      </c>
      <c r="J833" s="108">
        <v>43874</v>
      </c>
      <c r="K833" s="100">
        <v>43938</v>
      </c>
      <c r="L833" s="100">
        <v>43974</v>
      </c>
      <c r="M833" s="315" t="s">
        <v>3189</v>
      </c>
      <c r="N833" s="246" t="s">
        <v>3190</v>
      </c>
      <c r="O833" s="104" t="s">
        <v>523</v>
      </c>
      <c r="P833" s="230">
        <v>20116</v>
      </c>
      <c r="Q833" s="230">
        <v>6000</v>
      </c>
      <c r="R833" s="131"/>
      <c r="S833" s="132"/>
      <c r="T833" s="102">
        <v>14116</v>
      </c>
      <c r="U833" s="100"/>
      <c r="V833" s="246" t="s">
        <v>3191</v>
      </c>
      <c r="W833" s="210"/>
    </row>
    <row r="834" s="43" customFormat="1" ht="22" hidden="1" customHeight="1" spans="1:23">
      <c r="A834" s="261" t="s">
        <v>3192</v>
      </c>
      <c r="B834" s="174" t="s">
        <v>2863</v>
      </c>
      <c r="C834" s="175"/>
      <c r="D834" s="45" t="s">
        <v>31</v>
      </c>
      <c r="E834" s="82" t="s">
        <v>3054</v>
      </c>
      <c r="F834" s="81">
        <f>IFERROR(VLOOKUP(E834,客户!B:C,2,FALSE),"/")</f>
        <v>0</v>
      </c>
      <c r="G834" s="306" t="s">
        <v>3193</v>
      </c>
      <c r="H834" s="142" t="s">
        <v>147</v>
      </c>
      <c r="I834" s="108" t="s">
        <v>3183</v>
      </c>
      <c r="J834" s="108">
        <v>43874</v>
      </c>
      <c r="K834" s="100">
        <v>43947</v>
      </c>
      <c r="L834" s="100">
        <v>43988</v>
      </c>
      <c r="M834" s="315" t="s">
        <v>3194</v>
      </c>
      <c r="N834" s="246" t="s">
        <v>3195</v>
      </c>
      <c r="O834" s="104" t="s">
        <v>523</v>
      </c>
      <c r="P834" s="230">
        <v>21956</v>
      </c>
      <c r="Q834" s="230">
        <v>4391.2</v>
      </c>
      <c r="R834" s="131"/>
      <c r="S834" s="132"/>
      <c r="T834" s="102">
        <v>17532.3</v>
      </c>
      <c r="U834" s="100"/>
      <c r="V834" s="246" t="s">
        <v>3196</v>
      </c>
      <c r="W834" s="210"/>
    </row>
    <row r="835" s="43" customFormat="1" ht="22" hidden="1" customHeight="1" spans="1:23">
      <c r="A835" s="308" t="s">
        <v>3197</v>
      </c>
      <c r="B835" s="174" t="s">
        <v>2863</v>
      </c>
      <c r="C835" s="175"/>
      <c r="D835" s="45" t="s">
        <v>31</v>
      </c>
      <c r="E835" s="80" t="s">
        <v>3121</v>
      </c>
      <c r="F835" s="81">
        <f>IFERROR(VLOOKUP(E835,客户!B:C,2,FALSE),"/")</f>
        <v>0</v>
      </c>
      <c r="G835" s="306" t="s">
        <v>3104</v>
      </c>
      <c r="H835" s="142" t="s">
        <v>123</v>
      </c>
      <c r="I835" s="108" t="s">
        <v>3122</v>
      </c>
      <c r="J835" s="108">
        <v>43897</v>
      </c>
      <c r="K835" s="100">
        <v>43953</v>
      </c>
      <c r="L835" s="100">
        <v>43997</v>
      </c>
      <c r="M835" s="315" t="s">
        <v>3198</v>
      </c>
      <c r="N835" s="246" t="s">
        <v>3199</v>
      </c>
      <c r="O835" s="104" t="s">
        <v>970</v>
      </c>
      <c r="P835" s="230">
        <v>17687.6</v>
      </c>
      <c r="Q835" s="230">
        <v>5301</v>
      </c>
      <c r="R835" s="131"/>
      <c r="S835" s="132"/>
      <c r="T835" s="102">
        <v>12335.5</v>
      </c>
      <c r="U835" s="100"/>
      <c r="V835" s="246" t="s">
        <v>3200</v>
      </c>
      <c r="W835" s="210"/>
    </row>
    <row r="836" s="43" customFormat="1" ht="22" hidden="1" customHeight="1" spans="1:23">
      <c r="A836" s="261" t="s">
        <v>3201</v>
      </c>
      <c r="B836" s="174" t="s">
        <v>2863</v>
      </c>
      <c r="C836" s="175"/>
      <c r="D836" s="45" t="s">
        <v>31</v>
      </c>
      <c r="E836" s="82" t="s">
        <v>3002</v>
      </c>
      <c r="F836" s="81" t="str">
        <f>IFERROR(VLOOKUP(E836,客户!B:C,2,FALSE),"/")</f>
        <v>安哥拉门及配件给清单  灯的清单和照片 如果HScode是九十五章  提前和报关货代说
2021.3.4收¥55000(汇率6.46，折合美金$8512.93)
冻结中</v>
      </c>
      <c r="G836" s="306" t="s">
        <v>3202</v>
      </c>
      <c r="H836" s="142" t="s">
        <v>123</v>
      </c>
      <c r="I836" s="108" t="s">
        <v>3203</v>
      </c>
      <c r="J836" s="108">
        <v>43916</v>
      </c>
      <c r="K836" s="100">
        <v>44023</v>
      </c>
      <c r="L836" s="100">
        <v>44082</v>
      </c>
      <c r="M836" s="315" t="s">
        <v>3204</v>
      </c>
      <c r="N836" s="246" t="s">
        <v>3205</v>
      </c>
      <c r="O836" s="104" t="s">
        <v>523</v>
      </c>
      <c r="P836" s="230">
        <v>47634.09</v>
      </c>
      <c r="Q836" s="230">
        <v>4799</v>
      </c>
      <c r="R836" s="131"/>
      <c r="S836" s="132"/>
      <c r="T836" s="102">
        <f>236000/6.87</f>
        <v>34352.2561863173</v>
      </c>
      <c r="U836" s="102">
        <f>58000/6.8</f>
        <v>8529.41176470588</v>
      </c>
      <c r="V836" s="102"/>
      <c r="W836" s="210"/>
    </row>
    <row r="837" s="43" customFormat="1" ht="22" hidden="1" customHeight="1" spans="1:23">
      <c r="A837" s="323" t="s">
        <v>3206</v>
      </c>
      <c r="B837" s="174" t="s">
        <v>2863</v>
      </c>
      <c r="C837" s="175"/>
      <c r="D837" s="45" t="s">
        <v>31</v>
      </c>
      <c r="E837" s="82" t="s">
        <v>3207</v>
      </c>
      <c r="F837" s="81">
        <f>IFERROR(VLOOKUP(E837,客户!B:C,2,FALSE),"/")</f>
        <v>0</v>
      </c>
      <c r="G837" s="306" t="s">
        <v>3208</v>
      </c>
      <c r="H837" s="142" t="s">
        <v>123</v>
      </c>
      <c r="I837" s="108" t="s">
        <v>2900</v>
      </c>
      <c r="J837" s="108">
        <v>43944</v>
      </c>
      <c r="K837" s="100">
        <v>43966</v>
      </c>
      <c r="L837" s="100">
        <v>44002</v>
      </c>
      <c r="M837" s="315" t="s">
        <v>3209</v>
      </c>
      <c r="N837" s="246" t="s">
        <v>3210</v>
      </c>
      <c r="O837" s="104" t="s">
        <v>523</v>
      </c>
      <c r="P837" s="230">
        <v>38198.5</v>
      </c>
      <c r="Q837" s="230">
        <v>17481</v>
      </c>
      <c r="R837" s="131"/>
      <c r="S837" s="132"/>
      <c r="T837" s="102">
        <v>20235</v>
      </c>
      <c r="U837" s="100"/>
      <c r="V837" s="246" t="s">
        <v>3211</v>
      </c>
      <c r="W837" s="210"/>
    </row>
    <row r="838" s="43" customFormat="1" ht="22" hidden="1" customHeight="1" spans="1:23">
      <c r="A838" s="323" t="s">
        <v>3212</v>
      </c>
      <c r="B838" s="174" t="s">
        <v>2863</v>
      </c>
      <c r="C838" s="175"/>
      <c r="D838" s="45" t="s">
        <v>31</v>
      </c>
      <c r="E838" s="80" t="s">
        <v>3213</v>
      </c>
      <c r="F838" s="81"/>
      <c r="G838" s="306" t="s">
        <v>3214</v>
      </c>
      <c r="H838" s="142" t="s">
        <v>123</v>
      </c>
      <c r="I838" s="108" t="s">
        <v>2900</v>
      </c>
      <c r="J838" s="108">
        <v>43944</v>
      </c>
      <c r="K838" s="100">
        <v>43956</v>
      </c>
      <c r="L838" s="100">
        <v>43994</v>
      </c>
      <c r="M838" s="315" t="s">
        <v>3215</v>
      </c>
      <c r="N838" s="246" t="s">
        <v>3216</v>
      </c>
      <c r="O838" s="104" t="s">
        <v>523</v>
      </c>
      <c r="P838" s="230">
        <v>19180</v>
      </c>
      <c r="Q838" s="230">
        <v>9590</v>
      </c>
      <c r="R838" s="131"/>
      <c r="S838" s="132"/>
      <c r="T838" s="102">
        <v>10015.5</v>
      </c>
      <c r="U838" s="100"/>
      <c r="V838" s="246" t="s">
        <v>3217</v>
      </c>
      <c r="W838" s="210"/>
    </row>
    <row r="839" s="43" customFormat="1" ht="22" hidden="1" customHeight="1" spans="1:23">
      <c r="A839" s="323" t="s">
        <v>3218</v>
      </c>
      <c r="B839" s="174" t="s">
        <v>2863</v>
      </c>
      <c r="C839" s="175"/>
      <c r="D839" s="45" t="s">
        <v>31</v>
      </c>
      <c r="E839" s="82" t="s">
        <v>3054</v>
      </c>
      <c r="F839" s="81">
        <f>IFERROR(VLOOKUP(E839,客户!B:C,2,FALSE),"/")</f>
        <v>0</v>
      </c>
      <c r="G839" s="306" t="s">
        <v>3104</v>
      </c>
      <c r="H839" s="142" t="s">
        <v>147</v>
      </c>
      <c r="I839" s="108" t="s">
        <v>2625</v>
      </c>
      <c r="J839" s="108">
        <v>43950</v>
      </c>
      <c r="K839" s="100">
        <v>44008</v>
      </c>
      <c r="L839" s="100">
        <v>44052</v>
      </c>
      <c r="M839" s="315" t="s">
        <v>3219</v>
      </c>
      <c r="N839" s="246" t="s">
        <v>3220</v>
      </c>
      <c r="O839" s="104" t="s">
        <v>523</v>
      </c>
      <c r="P839" s="230">
        <v>19825.3</v>
      </c>
      <c r="Q839" s="230">
        <v>3961.1</v>
      </c>
      <c r="R839" s="131"/>
      <c r="S839" s="132"/>
      <c r="T839" s="102">
        <v>15864.2</v>
      </c>
      <c r="U839" s="100"/>
      <c r="V839" s="102"/>
      <c r="W839" s="210"/>
    </row>
    <row r="840" s="43" customFormat="1" ht="22" hidden="1" customHeight="1" spans="1:23">
      <c r="A840" s="261" t="s">
        <v>3221</v>
      </c>
      <c r="B840" s="174" t="s">
        <v>2863</v>
      </c>
      <c r="C840" s="175"/>
      <c r="D840" s="45" t="s">
        <v>31</v>
      </c>
      <c r="E840" s="80" t="s">
        <v>3222</v>
      </c>
      <c r="F840" s="81">
        <f>IFERROR(VLOOKUP(E840,客户!B:C,2,FALSE),"/")</f>
        <v>0</v>
      </c>
      <c r="G840" s="306" t="s">
        <v>3104</v>
      </c>
      <c r="H840" s="142" t="s">
        <v>123</v>
      </c>
      <c r="I840" s="108" t="s">
        <v>3122</v>
      </c>
      <c r="J840" s="108">
        <v>43957</v>
      </c>
      <c r="K840" s="100">
        <v>43997</v>
      </c>
      <c r="L840" s="100"/>
      <c r="M840" s="315" t="s">
        <v>3223</v>
      </c>
      <c r="N840" s="246" t="s">
        <v>3224</v>
      </c>
      <c r="O840" s="104" t="s">
        <v>970</v>
      </c>
      <c r="P840" s="230">
        <v>17129.6</v>
      </c>
      <c r="Q840" s="230">
        <v>5139</v>
      </c>
      <c r="R840" s="131"/>
      <c r="S840" s="132"/>
      <c r="T840" s="102">
        <v>11956.1</v>
      </c>
      <c r="U840" s="100"/>
      <c r="V840" s="246" t="s">
        <v>3225</v>
      </c>
      <c r="W840" s="210"/>
    </row>
    <row r="841" s="43" customFormat="1" ht="22" hidden="1" customHeight="1" spans="1:23">
      <c r="A841" s="261" t="s">
        <v>3226</v>
      </c>
      <c r="B841" s="174" t="s">
        <v>2863</v>
      </c>
      <c r="C841" s="175"/>
      <c r="D841" s="45" t="s">
        <v>31</v>
      </c>
      <c r="E841" s="82" t="s">
        <v>3181</v>
      </c>
      <c r="F841" s="81">
        <f>IFERROR(VLOOKUP(E841,客户!B:C,2,FALSE),"/")</f>
        <v>0</v>
      </c>
      <c r="G841" s="306" t="s">
        <v>3227</v>
      </c>
      <c r="H841" s="142" t="s">
        <v>154</v>
      </c>
      <c r="I841" s="108" t="s">
        <v>1877</v>
      </c>
      <c r="J841" s="108">
        <v>43957</v>
      </c>
      <c r="K841" s="100">
        <v>44029</v>
      </c>
      <c r="L841" s="100">
        <v>44066</v>
      </c>
      <c r="M841" s="315" t="s">
        <v>3228</v>
      </c>
      <c r="N841" s="246" t="s">
        <v>3229</v>
      </c>
      <c r="O841" s="104" t="s">
        <v>523</v>
      </c>
      <c r="P841" s="230">
        <v>69427</v>
      </c>
      <c r="Q841" s="230">
        <f>23000-1160</f>
        <v>21840</v>
      </c>
      <c r="R841" s="131"/>
      <c r="S841" s="132"/>
      <c r="T841" s="102">
        <v>47587</v>
      </c>
      <c r="U841" s="100"/>
      <c r="V841" s="102"/>
      <c r="W841" s="210"/>
    </row>
    <row r="842" s="43" customFormat="1" ht="22" hidden="1" customHeight="1" spans="1:23">
      <c r="A842" s="261" t="s">
        <v>3230</v>
      </c>
      <c r="B842" s="174" t="s">
        <v>2863</v>
      </c>
      <c r="C842" s="175"/>
      <c r="D842" s="45" t="s">
        <v>31</v>
      </c>
      <c r="E842" s="82" t="s">
        <v>3231</v>
      </c>
      <c r="F842" s="81">
        <f>IFERROR(VLOOKUP(E842,客户!B:C,2,FALSE),"/")</f>
        <v>0</v>
      </c>
      <c r="G842" s="306" t="s">
        <v>3232</v>
      </c>
      <c r="H842" s="142" t="s">
        <v>123</v>
      </c>
      <c r="I842" s="108" t="s">
        <v>3233</v>
      </c>
      <c r="J842" s="108">
        <v>43967</v>
      </c>
      <c r="K842" s="100">
        <v>43997</v>
      </c>
      <c r="L842" s="100"/>
      <c r="M842" s="315" t="s">
        <v>3234</v>
      </c>
      <c r="N842" s="246" t="s">
        <v>3235</v>
      </c>
      <c r="O842" s="104" t="s">
        <v>970</v>
      </c>
      <c r="P842" s="230">
        <v>16338</v>
      </c>
      <c r="Q842" s="230">
        <v>4901</v>
      </c>
      <c r="R842" s="131"/>
      <c r="S842" s="132"/>
      <c r="T842" s="102">
        <v>11405</v>
      </c>
      <c r="U842" s="100"/>
      <c r="V842" s="246" t="s">
        <v>3236</v>
      </c>
      <c r="W842" s="210"/>
    </row>
    <row r="843" s="43" customFormat="1" ht="22" hidden="1" customHeight="1" spans="1:23">
      <c r="A843" s="261" t="s">
        <v>3237</v>
      </c>
      <c r="B843" s="174" t="s">
        <v>2863</v>
      </c>
      <c r="C843" s="175"/>
      <c r="D843" s="45" t="s">
        <v>31</v>
      </c>
      <c r="E843" s="82" t="s">
        <v>3222</v>
      </c>
      <c r="F843" s="81">
        <f>IFERROR(VLOOKUP(E843,客户!B:C,2,FALSE),"/")</f>
        <v>0</v>
      </c>
      <c r="G843" s="306" t="s">
        <v>3238</v>
      </c>
      <c r="H843" s="142" t="s">
        <v>123</v>
      </c>
      <c r="I843" s="108" t="s">
        <v>3047</v>
      </c>
      <c r="J843" s="108">
        <v>43980</v>
      </c>
      <c r="K843" s="100">
        <v>44028</v>
      </c>
      <c r="L843" s="100"/>
      <c r="M843" s="315" t="s">
        <v>3239</v>
      </c>
      <c r="N843" s="246" t="s">
        <v>3240</v>
      </c>
      <c r="O843" s="104" t="s">
        <v>970</v>
      </c>
      <c r="P843" s="230">
        <v>21237.5</v>
      </c>
      <c r="Q843" s="230">
        <v>6371</v>
      </c>
      <c r="R843" s="131"/>
      <c r="S843" s="132"/>
      <c r="T843" s="102">
        <v>14834.5</v>
      </c>
      <c r="U843" s="100"/>
      <c r="V843" s="102"/>
      <c r="W843" s="210"/>
    </row>
    <row r="844" s="43" customFormat="1" ht="22" hidden="1" customHeight="1" spans="1:23">
      <c r="A844" s="261" t="s">
        <v>3241</v>
      </c>
      <c r="B844" s="174" t="s">
        <v>2863</v>
      </c>
      <c r="C844" s="175"/>
      <c r="D844" s="45" t="s">
        <v>31</v>
      </c>
      <c r="E844" s="82" t="s">
        <v>3242</v>
      </c>
      <c r="F844" s="81">
        <f>IFERROR(VLOOKUP(E844,客户!B:C,2,FALSE),"/")</f>
        <v>0</v>
      </c>
      <c r="G844" s="306" t="s">
        <v>3243</v>
      </c>
      <c r="H844" s="142" t="s">
        <v>147</v>
      </c>
      <c r="I844" s="108" t="s">
        <v>2769</v>
      </c>
      <c r="J844" s="108">
        <v>44006</v>
      </c>
      <c r="K844" s="100">
        <v>44037</v>
      </c>
      <c r="L844" s="232">
        <v>44074</v>
      </c>
      <c r="M844" s="325" t="s">
        <v>3244</v>
      </c>
      <c r="N844" s="246" t="s">
        <v>3245</v>
      </c>
      <c r="O844" s="104" t="s">
        <v>523</v>
      </c>
      <c r="P844" s="230">
        <v>39125.5</v>
      </c>
      <c r="Q844" s="230">
        <v>7825.1</v>
      </c>
      <c r="R844" s="131"/>
      <c r="S844" s="132"/>
      <c r="T844" s="102">
        <v>31300</v>
      </c>
      <c r="U844" s="100"/>
      <c r="V844" s="102"/>
      <c r="W844" s="210"/>
    </row>
    <row r="845" s="43" customFormat="1" ht="22" hidden="1" customHeight="1" spans="1:23">
      <c r="A845" s="261" t="s">
        <v>3246</v>
      </c>
      <c r="B845" s="174" t="s">
        <v>2863</v>
      </c>
      <c r="C845" s="175"/>
      <c r="D845" s="45" t="s">
        <v>31</v>
      </c>
      <c r="E845" s="82" t="s">
        <v>3247</v>
      </c>
      <c r="F845" s="81">
        <f>IFERROR(VLOOKUP(E845,客户!B:C,2,FALSE),"/")</f>
        <v>0</v>
      </c>
      <c r="G845" s="306" t="s">
        <v>3248</v>
      </c>
      <c r="H845" s="142" t="s">
        <v>154</v>
      </c>
      <c r="I845" s="108" t="s">
        <v>1877</v>
      </c>
      <c r="J845" s="108">
        <v>44019</v>
      </c>
      <c r="K845" s="100">
        <v>44053</v>
      </c>
      <c r="L845" s="100">
        <v>44092</v>
      </c>
      <c r="M845" s="315" t="s">
        <v>3249</v>
      </c>
      <c r="N845" s="246" t="s">
        <v>3250</v>
      </c>
      <c r="O845" s="104" t="s">
        <v>523</v>
      </c>
      <c r="P845" s="230">
        <v>61527.3</v>
      </c>
      <c r="Q845" s="230">
        <v>20920</v>
      </c>
      <c r="R845" s="131"/>
      <c r="S845" s="132"/>
      <c r="T845" s="102">
        <v>40607.3</v>
      </c>
      <c r="U845" s="100"/>
      <c r="V845" s="102"/>
      <c r="W845" s="210"/>
    </row>
    <row r="846" s="43" customFormat="1" ht="22" hidden="1" customHeight="1" spans="1:23">
      <c r="A846" s="261" t="s">
        <v>3251</v>
      </c>
      <c r="B846" s="174" t="s">
        <v>2863</v>
      </c>
      <c r="C846" s="175"/>
      <c r="D846" s="45" t="s">
        <v>31</v>
      </c>
      <c r="E846" s="82" t="s">
        <v>3247</v>
      </c>
      <c r="F846" s="81">
        <f>IFERROR(VLOOKUP(E846,客户!B:C,2,FALSE),"/")</f>
        <v>0</v>
      </c>
      <c r="G846" s="306" t="s">
        <v>3252</v>
      </c>
      <c r="H846" s="142" t="s">
        <v>154</v>
      </c>
      <c r="I846" s="108" t="s">
        <v>1877</v>
      </c>
      <c r="J846" s="108">
        <v>44019</v>
      </c>
      <c r="K846" s="100">
        <v>44062</v>
      </c>
      <c r="L846" s="100">
        <v>44099</v>
      </c>
      <c r="M846" s="315" t="s">
        <v>3253</v>
      </c>
      <c r="N846" s="246" t="s">
        <v>3254</v>
      </c>
      <c r="O846" s="104" t="s">
        <v>523</v>
      </c>
      <c r="P846" s="230">
        <v>27520.8</v>
      </c>
      <c r="Q846" s="230">
        <v>8820</v>
      </c>
      <c r="R846" s="131"/>
      <c r="S846" s="132"/>
      <c r="T846" s="102">
        <v>18700.8</v>
      </c>
      <c r="U846" s="100"/>
      <c r="V846" s="102"/>
      <c r="W846" s="210"/>
    </row>
    <row r="847" s="43" customFormat="1" ht="22" hidden="1" customHeight="1" spans="1:23">
      <c r="A847" s="261" t="s">
        <v>3255</v>
      </c>
      <c r="B847" s="174" t="s">
        <v>2863</v>
      </c>
      <c r="C847" s="175"/>
      <c r="D847" s="45" t="s">
        <v>31</v>
      </c>
      <c r="E847" s="82" t="s">
        <v>3231</v>
      </c>
      <c r="F847" s="81">
        <f>IFERROR(VLOOKUP(E847,客户!B:C,2,FALSE),"/")</f>
        <v>0</v>
      </c>
      <c r="G847" s="306" t="s">
        <v>3256</v>
      </c>
      <c r="H847" s="142" t="s">
        <v>154</v>
      </c>
      <c r="I847" s="108" t="s">
        <v>3047</v>
      </c>
      <c r="J847" s="108">
        <v>44021</v>
      </c>
      <c r="K847" s="100">
        <v>44055</v>
      </c>
      <c r="L847" s="100">
        <v>44086</v>
      </c>
      <c r="M847" s="315" t="s">
        <v>3257</v>
      </c>
      <c r="N847" s="246" t="s">
        <v>3258</v>
      </c>
      <c r="O847" s="104" t="s">
        <v>970</v>
      </c>
      <c r="P847" s="230">
        <v>20611.55</v>
      </c>
      <c r="Q847" s="230">
        <v>6194</v>
      </c>
      <c r="R847" s="131"/>
      <c r="S847" s="132"/>
      <c r="T847" s="102">
        <v>14452.95</v>
      </c>
      <c r="U847" s="100"/>
      <c r="V847" s="246" t="s">
        <v>3259</v>
      </c>
      <c r="W847" s="210"/>
    </row>
    <row r="848" s="43" customFormat="1" ht="22" hidden="1" customHeight="1" spans="1:23">
      <c r="A848" s="261" t="s">
        <v>3260</v>
      </c>
      <c r="B848" s="174" t="s">
        <v>2863</v>
      </c>
      <c r="C848" s="175"/>
      <c r="D848" s="45" t="s">
        <v>31</v>
      </c>
      <c r="E848" s="82" t="s">
        <v>3261</v>
      </c>
      <c r="F848" s="81">
        <f>IFERROR(VLOOKUP(E848,客户!B:C,2,FALSE),"/")</f>
        <v>0</v>
      </c>
      <c r="G848" s="306" t="s">
        <v>3104</v>
      </c>
      <c r="H848" s="142" t="s">
        <v>154</v>
      </c>
      <c r="I848" s="108" t="s">
        <v>1230</v>
      </c>
      <c r="J848" s="108">
        <v>44042</v>
      </c>
      <c r="K848" s="100">
        <v>44096</v>
      </c>
      <c r="L848" s="100">
        <v>44132</v>
      </c>
      <c r="M848" s="315" t="s">
        <v>3262</v>
      </c>
      <c r="N848" s="246" t="s">
        <v>3263</v>
      </c>
      <c r="O848" s="104" t="s">
        <v>970</v>
      </c>
      <c r="P848" s="230">
        <v>21476</v>
      </c>
      <c r="Q848" s="230">
        <f>42728.47/6.99</f>
        <v>6112.79971387697</v>
      </c>
      <c r="R848" s="131"/>
      <c r="S848" s="132"/>
      <c r="T848" s="102">
        <f>95885.38/6.82</f>
        <v>14059.4398826979</v>
      </c>
      <c r="U848" s="102">
        <f>7590/6.9</f>
        <v>1100</v>
      </c>
      <c r="V848" s="102" t="s">
        <v>3264</v>
      </c>
      <c r="W848" s="210"/>
    </row>
    <row r="849" s="43" customFormat="1" ht="22" hidden="1" customHeight="1" spans="1:23">
      <c r="A849" s="261" t="s">
        <v>3265</v>
      </c>
      <c r="B849" s="174" t="s">
        <v>2863</v>
      </c>
      <c r="C849" s="175"/>
      <c r="D849" s="45" t="s">
        <v>31</v>
      </c>
      <c r="E849" s="82" t="s">
        <v>3222</v>
      </c>
      <c r="F849" s="81"/>
      <c r="G849" s="306" t="s">
        <v>3266</v>
      </c>
      <c r="H849" s="142" t="s">
        <v>154</v>
      </c>
      <c r="I849" s="108" t="s">
        <v>3047</v>
      </c>
      <c r="J849" s="108">
        <v>44046</v>
      </c>
      <c r="K849" s="100">
        <v>44079</v>
      </c>
      <c r="L849" s="100"/>
      <c r="M849" s="315" t="s">
        <v>3267</v>
      </c>
      <c r="N849" s="246" t="s">
        <v>3224</v>
      </c>
      <c r="O849" s="104" t="s">
        <v>970</v>
      </c>
      <c r="P849" s="230">
        <v>28379.3</v>
      </c>
      <c r="Q849" s="230">
        <f>35.4+8514</f>
        <v>8549.4</v>
      </c>
      <c r="R849" s="131"/>
      <c r="S849" s="132"/>
      <c r="T849" s="102">
        <v>19829.9</v>
      </c>
      <c r="U849" s="100"/>
      <c r="V849" s="102"/>
      <c r="W849" s="210"/>
    </row>
    <row r="850" s="43" customFormat="1" ht="22" hidden="1" customHeight="1" spans="1:23">
      <c r="A850" s="261" t="s">
        <v>3268</v>
      </c>
      <c r="B850" s="174" t="s">
        <v>2863</v>
      </c>
      <c r="C850" s="175"/>
      <c r="D850" s="45" t="s">
        <v>31</v>
      </c>
      <c r="E850" s="82" t="s">
        <v>3222</v>
      </c>
      <c r="F850" s="81">
        <f>IFERROR(VLOOKUP(E850,客户!B:C,2,FALSE),"/")</f>
        <v>0</v>
      </c>
      <c r="G850" s="306" t="s">
        <v>3269</v>
      </c>
      <c r="H850" s="142" t="s">
        <v>154</v>
      </c>
      <c r="I850" s="108" t="s">
        <v>3047</v>
      </c>
      <c r="J850" s="108">
        <v>44065</v>
      </c>
      <c r="K850" s="100">
        <v>44100</v>
      </c>
      <c r="L850" s="100"/>
      <c r="M850" s="315" t="s">
        <v>3270</v>
      </c>
      <c r="N850" s="246" t="s">
        <v>3258</v>
      </c>
      <c r="O850" s="104" t="s">
        <v>970</v>
      </c>
      <c r="P850" s="230">
        <v>18696.25</v>
      </c>
      <c r="Q850" s="230">
        <v>5609</v>
      </c>
      <c r="R850" s="131"/>
      <c r="S850" s="132"/>
      <c r="T850" s="102">
        <v>13087.25</v>
      </c>
      <c r="U850" s="100"/>
      <c r="V850" s="102"/>
      <c r="W850" s="210"/>
    </row>
    <row r="851" s="43" customFormat="1" ht="22" hidden="1" customHeight="1" spans="1:23">
      <c r="A851" s="261" t="s">
        <v>3271</v>
      </c>
      <c r="B851" s="174" t="s">
        <v>2863</v>
      </c>
      <c r="C851" s="175"/>
      <c r="D851" s="45" t="s">
        <v>31</v>
      </c>
      <c r="E851" s="82" t="s">
        <v>3272</v>
      </c>
      <c r="F851" s="81">
        <f>IFERROR(VLOOKUP(E851,客户!B:C,2,FALSE),"/")</f>
        <v>0</v>
      </c>
      <c r="G851" s="306" t="s">
        <v>3154</v>
      </c>
      <c r="H851" s="142" t="s">
        <v>147</v>
      </c>
      <c r="I851" s="108" t="s">
        <v>1877</v>
      </c>
      <c r="J851" s="108">
        <v>44075</v>
      </c>
      <c r="K851" s="100">
        <v>44118</v>
      </c>
      <c r="L851" s="100">
        <v>44162</v>
      </c>
      <c r="M851" s="315" t="s">
        <v>3273</v>
      </c>
      <c r="N851" s="246" t="s">
        <v>3274</v>
      </c>
      <c r="O851" s="104" t="s">
        <v>523</v>
      </c>
      <c r="P851" s="230">
        <v>38182</v>
      </c>
      <c r="Q851" s="230">
        <v>5727</v>
      </c>
      <c r="R851" s="131"/>
      <c r="S851" s="132"/>
      <c r="T851" s="102">
        <v>31558.45</v>
      </c>
      <c r="U851" s="100"/>
      <c r="V851" s="102"/>
      <c r="W851" s="210"/>
    </row>
    <row r="852" s="43" customFormat="1" ht="20" hidden="1" customHeight="1" spans="1:23">
      <c r="A852" s="261" t="s">
        <v>3275</v>
      </c>
      <c r="B852" s="174" t="s">
        <v>2863</v>
      </c>
      <c r="C852" s="175"/>
      <c r="D852" s="45" t="s">
        <v>31</v>
      </c>
      <c r="E852" s="82" t="s">
        <v>3272</v>
      </c>
      <c r="F852" s="81">
        <f>IFERROR(VLOOKUP(E852,客户!B:C,2,FALSE),"/")</f>
        <v>0</v>
      </c>
      <c r="G852" s="306" t="s">
        <v>3276</v>
      </c>
      <c r="H852" s="142" t="s">
        <v>147</v>
      </c>
      <c r="I852" s="108" t="s">
        <v>1877</v>
      </c>
      <c r="J852" s="108">
        <v>44075</v>
      </c>
      <c r="K852" s="100">
        <v>44133</v>
      </c>
      <c r="L852" s="100">
        <v>44171</v>
      </c>
      <c r="M852" s="315" t="s">
        <v>3277</v>
      </c>
      <c r="N852" s="246" t="s">
        <v>3278</v>
      </c>
      <c r="O852" s="104" t="s">
        <v>523</v>
      </c>
      <c r="P852" s="230">
        <v>42084.8</v>
      </c>
      <c r="Q852" s="230">
        <f>13164.3-5727</f>
        <v>7437.3</v>
      </c>
      <c r="R852" s="131"/>
      <c r="S852" s="132"/>
      <c r="T852" s="102">
        <v>20000</v>
      </c>
      <c r="U852" s="102">
        <v>14647.5</v>
      </c>
      <c r="V852" s="102"/>
      <c r="W852" s="210"/>
    </row>
    <row r="853" s="43" customFormat="1" ht="22" hidden="1" customHeight="1" spans="1:23">
      <c r="A853" s="261" t="s">
        <v>3279</v>
      </c>
      <c r="B853" s="174" t="s">
        <v>2863</v>
      </c>
      <c r="C853" s="175"/>
      <c r="D853" s="45" t="s">
        <v>31</v>
      </c>
      <c r="E853" s="82" t="s">
        <v>3247</v>
      </c>
      <c r="F853" s="81">
        <f>IFERROR(VLOOKUP(E853,客户!B:C,2,FALSE),"/")</f>
        <v>0</v>
      </c>
      <c r="G853" s="306" t="s">
        <v>3280</v>
      </c>
      <c r="H853" s="142" t="s">
        <v>123</v>
      </c>
      <c r="I853" s="108" t="s">
        <v>1877</v>
      </c>
      <c r="J853" s="108">
        <v>44076</v>
      </c>
      <c r="K853" s="100">
        <v>44106</v>
      </c>
      <c r="L853" s="100">
        <v>44145</v>
      </c>
      <c r="M853" s="315" t="s">
        <v>3281</v>
      </c>
      <c r="N853" s="246" t="s">
        <v>3282</v>
      </c>
      <c r="O853" s="104" t="s">
        <v>523</v>
      </c>
      <c r="P853" s="230">
        <v>42732.2</v>
      </c>
      <c r="Q853" s="230">
        <v>13000</v>
      </c>
      <c r="R853" s="131"/>
      <c r="S853" s="132"/>
      <c r="T853" s="102">
        <v>29732.2</v>
      </c>
      <c r="U853" s="100"/>
      <c r="V853" s="102"/>
      <c r="W853" s="210"/>
    </row>
    <row r="854" s="43" customFormat="1" ht="22" hidden="1" customHeight="1" spans="1:23">
      <c r="A854" s="261" t="s">
        <v>3283</v>
      </c>
      <c r="B854" s="174" t="s">
        <v>2863</v>
      </c>
      <c r="C854" s="175"/>
      <c r="D854" s="45" t="s">
        <v>31</v>
      </c>
      <c r="E854" s="82" t="s">
        <v>3247</v>
      </c>
      <c r="F854" s="81">
        <f>IFERROR(VLOOKUP(E854,客户!B:C,2,FALSE),"/")</f>
        <v>0</v>
      </c>
      <c r="G854" s="306" t="s">
        <v>3284</v>
      </c>
      <c r="H854" s="142" t="s">
        <v>123</v>
      </c>
      <c r="I854" s="108" t="s">
        <v>1877</v>
      </c>
      <c r="J854" s="108">
        <v>44076</v>
      </c>
      <c r="K854" s="100">
        <v>44125</v>
      </c>
      <c r="L854" s="100">
        <v>44161</v>
      </c>
      <c r="M854" s="315" t="s">
        <v>3285</v>
      </c>
      <c r="N854" s="246" t="s">
        <v>3286</v>
      </c>
      <c r="O854" s="104" t="s">
        <v>523</v>
      </c>
      <c r="P854" s="230">
        <v>51496.3</v>
      </c>
      <c r="Q854" s="230">
        <f>31210-13000</f>
        <v>18210</v>
      </c>
      <c r="R854" s="131"/>
      <c r="S854" s="132"/>
      <c r="T854" s="102">
        <v>33286</v>
      </c>
      <c r="U854" s="100"/>
      <c r="V854" s="102"/>
      <c r="W854" s="210"/>
    </row>
    <row r="855" s="43" customFormat="1" ht="22" hidden="1" customHeight="1" spans="1:23">
      <c r="A855" s="261" t="s">
        <v>3287</v>
      </c>
      <c r="B855" s="174" t="s">
        <v>2863</v>
      </c>
      <c r="C855" s="175"/>
      <c r="D855" s="45" t="s">
        <v>31</v>
      </c>
      <c r="E855" s="82" t="s">
        <v>3288</v>
      </c>
      <c r="F855" s="81" t="str">
        <f>IFERROR(VLOOKUP(E855,客户!B:C,2,FALSE),"/")</f>
        <v>安哥拉门及配件给清单  灯的清单和照片 如果HScode是九十五章  提前和报关货代说
2021.3.4收¥55000(汇率6.46，折合美金$8512.93)
冻结中</v>
      </c>
      <c r="G855" s="306" t="s">
        <v>3289</v>
      </c>
      <c r="H855" s="142" t="s">
        <v>123</v>
      </c>
      <c r="I855" s="108" t="s">
        <v>3003</v>
      </c>
      <c r="J855" s="108">
        <v>44081</v>
      </c>
      <c r="K855" s="100">
        <v>44137</v>
      </c>
      <c r="L855" s="100">
        <v>44189</v>
      </c>
      <c r="M855" s="315" t="s">
        <v>3290</v>
      </c>
      <c r="N855" s="246" t="s">
        <v>3291</v>
      </c>
      <c r="O855" s="104" t="s">
        <v>523</v>
      </c>
      <c r="P855" s="230">
        <v>41937.5</v>
      </c>
      <c r="Q855" s="230">
        <f>45000/6.82</f>
        <v>6598.24046920821</v>
      </c>
      <c r="R855" s="131"/>
      <c r="S855" s="132"/>
      <c r="T855" s="102">
        <f>190000/6.5337</f>
        <v>29080.0006122105</v>
      </c>
      <c r="U855" s="102">
        <f>40896/6.5337</f>
        <v>6259.24055282612</v>
      </c>
      <c r="V855" s="102"/>
      <c r="W855" s="210"/>
    </row>
    <row r="856" s="43" customFormat="1" ht="22" hidden="1" customHeight="1" spans="1:23">
      <c r="A856" s="261" t="s">
        <v>3292</v>
      </c>
      <c r="B856" s="174" t="s">
        <v>2863</v>
      </c>
      <c r="C856" s="175"/>
      <c r="D856" s="45" t="s">
        <v>31</v>
      </c>
      <c r="E856" s="82" t="s">
        <v>3293</v>
      </c>
      <c r="F856" s="81">
        <f>IFERROR(VLOOKUP(E856,客户!B:C,2,FALSE),"/")</f>
        <v>0</v>
      </c>
      <c r="G856" s="306" t="s">
        <v>3294</v>
      </c>
      <c r="H856" s="142" t="s">
        <v>123</v>
      </c>
      <c r="I856" s="108" t="s">
        <v>3295</v>
      </c>
      <c r="J856" s="108">
        <v>44088</v>
      </c>
      <c r="K856" s="111">
        <v>44284</v>
      </c>
      <c r="L856" s="100">
        <v>44331</v>
      </c>
      <c r="M856" s="315" t="s">
        <v>3296</v>
      </c>
      <c r="N856" s="246" t="s">
        <v>3297</v>
      </c>
      <c r="O856" s="104" t="s">
        <v>970</v>
      </c>
      <c r="P856" s="230">
        <v>21828.65</v>
      </c>
      <c r="Q856" s="230">
        <v>8200</v>
      </c>
      <c r="R856" s="131"/>
      <c r="S856" s="132"/>
      <c r="T856" s="102">
        <v>13628.65</v>
      </c>
      <c r="U856" s="100"/>
      <c r="V856" s="102"/>
      <c r="W856" s="210"/>
    </row>
    <row r="857" s="43" customFormat="1" ht="22" hidden="1" customHeight="1" spans="1:23">
      <c r="A857" s="261" t="s">
        <v>3298</v>
      </c>
      <c r="B857" s="174" t="s">
        <v>2863</v>
      </c>
      <c r="C857" s="175"/>
      <c r="D857" s="45" t="s">
        <v>31</v>
      </c>
      <c r="E857" s="82" t="s">
        <v>3299</v>
      </c>
      <c r="F857" s="81">
        <f>IFERROR(VLOOKUP(E857,客户!B:C,2,FALSE),"/")</f>
        <v>0</v>
      </c>
      <c r="G857" s="306" t="s">
        <v>3300</v>
      </c>
      <c r="H857" s="142" t="s">
        <v>147</v>
      </c>
      <c r="I857" s="108" t="s">
        <v>2947</v>
      </c>
      <c r="J857" s="108">
        <v>44096</v>
      </c>
      <c r="K857" s="100">
        <v>44164</v>
      </c>
      <c r="L857" s="100">
        <v>44175</v>
      </c>
      <c r="M857" s="315" t="s">
        <v>3301</v>
      </c>
      <c r="N857" s="246" t="s">
        <v>3302</v>
      </c>
      <c r="O857" s="104" t="s">
        <v>523</v>
      </c>
      <c r="P857" s="230">
        <v>25239.1</v>
      </c>
      <c r="Q857" s="230">
        <v>7618</v>
      </c>
      <c r="R857" s="131"/>
      <c r="S857" s="132"/>
      <c r="T857" s="102">
        <v>17621.1</v>
      </c>
      <c r="U857" s="100"/>
      <c r="V857" s="102"/>
      <c r="W857" s="210"/>
    </row>
    <row r="858" s="43" customFormat="1" ht="22" hidden="1" customHeight="1" spans="1:23">
      <c r="A858" s="261" t="s">
        <v>3303</v>
      </c>
      <c r="B858" s="174" t="s">
        <v>2863</v>
      </c>
      <c r="C858" s="175"/>
      <c r="D858" s="45" t="s">
        <v>31</v>
      </c>
      <c r="E858" s="82" t="s">
        <v>3304</v>
      </c>
      <c r="F858" s="81">
        <f>IFERROR(VLOOKUP(E858,客户!B:C,2,FALSE),"/")</f>
        <v>0</v>
      </c>
      <c r="G858" s="306" t="s">
        <v>3305</v>
      </c>
      <c r="H858" s="142" t="s">
        <v>123</v>
      </c>
      <c r="I858" s="108" t="s">
        <v>3003</v>
      </c>
      <c r="J858" s="108">
        <v>44104</v>
      </c>
      <c r="K858" s="100">
        <v>44142</v>
      </c>
      <c r="L858" s="100"/>
      <c r="M858" s="315" t="s">
        <v>3306</v>
      </c>
      <c r="N858" s="246" t="s">
        <v>3307</v>
      </c>
      <c r="O858" s="104" t="s">
        <v>970</v>
      </c>
      <c r="P858" s="230">
        <v>22173</v>
      </c>
      <c r="Q858" s="230">
        <v>6000</v>
      </c>
      <c r="R858" s="131"/>
      <c r="S858" s="132"/>
      <c r="T858" s="102">
        <v>16173</v>
      </c>
      <c r="U858" s="100"/>
      <c r="V858" s="102"/>
      <c r="W858" s="210"/>
    </row>
    <row r="859" s="43" customFormat="1" ht="22" hidden="1" customHeight="1" spans="1:23">
      <c r="A859" s="261" t="s">
        <v>3308</v>
      </c>
      <c r="B859" s="174" t="s">
        <v>2863</v>
      </c>
      <c r="C859" s="175"/>
      <c r="D859" s="45" t="s">
        <v>31</v>
      </c>
      <c r="E859" s="82" t="s">
        <v>3242</v>
      </c>
      <c r="F859" s="81">
        <f>IFERROR(VLOOKUP(E859,客户!B:C,2,FALSE),"/")</f>
        <v>0</v>
      </c>
      <c r="G859" s="306" t="s">
        <v>3309</v>
      </c>
      <c r="H859" s="142" t="s">
        <v>147</v>
      </c>
      <c r="I859" s="108" t="s">
        <v>1546</v>
      </c>
      <c r="J859" s="108">
        <v>44117</v>
      </c>
      <c r="K859" s="100">
        <v>44154</v>
      </c>
      <c r="L859" s="100">
        <v>44190</v>
      </c>
      <c r="M859" s="315" t="s">
        <v>3310</v>
      </c>
      <c r="N859" s="246" t="s">
        <v>3311</v>
      </c>
      <c r="O859" s="104" t="s">
        <v>523</v>
      </c>
      <c r="P859" s="230">
        <v>22310</v>
      </c>
      <c r="Q859" s="230">
        <v>4398</v>
      </c>
      <c r="R859" s="131"/>
      <c r="S859" s="132"/>
      <c r="T859" s="102">
        <v>17912</v>
      </c>
      <c r="U859" s="100"/>
      <c r="V859" s="102"/>
      <c r="W859" s="210"/>
    </row>
    <row r="860" s="43" customFormat="1" ht="20" hidden="1" customHeight="1" spans="1:23">
      <c r="A860" s="261" t="s">
        <v>3312</v>
      </c>
      <c r="B860" s="174" t="s">
        <v>2863</v>
      </c>
      <c r="C860" s="175"/>
      <c r="D860" s="45" t="s">
        <v>31</v>
      </c>
      <c r="E860" s="82" t="s">
        <v>3242</v>
      </c>
      <c r="F860" s="81">
        <f>IFERROR(VLOOKUP(E860,客户!B:C,2,FALSE),"/")</f>
        <v>0</v>
      </c>
      <c r="G860" s="306" t="s">
        <v>3313</v>
      </c>
      <c r="H860" s="142" t="s">
        <v>147</v>
      </c>
      <c r="I860" s="108" t="s">
        <v>1546</v>
      </c>
      <c r="J860" s="108">
        <v>44119</v>
      </c>
      <c r="K860" s="100">
        <v>44162</v>
      </c>
      <c r="L860" s="100">
        <v>44205</v>
      </c>
      <c r="M860" s="326" t="s">
        <v>3314</v>
      </c>
      <c r="N860" s="246" t="s">
        <v>3315</v>
      </c>
      <c r="O860" s="104" t="s">
        <v>523</v>
      </c>
      <c r="P860" s="230">
        <v>47268.37</v>
      </c>
      <c r="Q860" s="230">
        <v>9132.28</v>
      </c>
      <c r="R860" s="131"/>
      <c r="S860" s="132"/>
      <c r="T860" s="102">
        <v>38136.09</v>
      </c>
      <c r="U860" s="100"/>
      <c r="V860" s="102"/>
      <c r="W860" s="210"/>
    </row>
    <row r="861" s="43" customFormat="1" ht="22" hidden="1" customHeight="1" spans="1:23">
      <c r="A861" s="292" t="s">
        <v>3316</v>
      </c>
      <c r="B861" s="174" t="s">
        <v>2863</v>
      </c>
      <c r="C861" s="175"/>
      <c r="D861" s="45" t="s">
        <v>31</v>
      </c>
      <c r="E861" s="82" t="s">
        <v>3272</v>
      </c>
      <c r="F861" s="81">
        <f>IFERROR(VLOOKUP(E861,客户!B:C,2,FALSE),"/")</f>
        <v>0</v>
      </c>
      <c r="G861" s="306" t="s">
        <v>3317</v>
      </c>
      <c r="H861" s="142" t="s">
        <v>147</v>
      </c>
      <c r="I861" s="108" t="s">
        <v>1546</v>
      </c>
      <c r="J861" s="108">
        <v>44139</v>
      </c>
      <c r="K861" s="100">
        <v>44176</v>
      </c>
      <c r="L861" s="200">
        <v>44212</v>
      </c>
      <c r="M861" s="315" t="s">
        <v>3318</v>
      </c>
      <c r="N861" s="246" t="s">
        <v>3319</v>
      </c>
      <c r="O861" s="104" t="s">
        <v>523</v>
      </c>
      <c r="P861" s="230">
        <v>44253.2</v>
      </c>
      <c r="Q861" s="230">
        <v>6634.5</v>
      </c>
      <c r="R861" s="131"/>
      <c r="S861" s="132"/>
      <c r="T861" s="102">
        <v>17618.7</v>
      </c>
      <c r="U861" s="102">
        <v>20000</v>
      </c>
      <c r="V861" s="102"/>
      <c r="W861" s="210"/>
    </row>
    <row r="862" s="43" customFormat="1" ht="22" hidden="1" customHeight="1" spans="1:23">
      <c r="A862" s="261" t="s">
        <v>3320</v>
      </c>
      <c r="B862" s="174" t="s">
        <v>2863</v>
      </c>
      <c r="C862" s="175"/>
      <c r="D862" s="45" t="s">
        <v>31</v>
      </c>
      <c r="E862" s="82" t="s">
        <v>3272</v>
      </c>
      <c r="F862" s="81">
        <f>IFERROR(VLOOKUP(E862,客户!B:C,2,FALSE),"/")</f>
        <v>0</v>
      </c>
      <c r="G862" s="306" t="s">
        <v>3317</v>
      </c>
      <c r="H862" s="142" t="s">
        <v>147</v>
      </c>
      <c r="I862" s="108" t="s">
        <v>1546</v>
      </c>
      <c r="J862" s="108">
        <v>44139</v>
      </c>
      <c r="K862" s="100">
        <v>44184</v>
      </c>
      <c r="L862" s="200">
        <v>44223</v>
      </c>
      <c r="M862" s="315" t="s">
        <v>3321</v>
      </c>
      <c r="N862" s="246" t="s">
        <v>3322</v>
      </c>
      <c r="O862" s="104" t="s">
        <v>523</v>
      </c>
      <c r="P862" s="230">
        <v>44908.8</v>
      </c>
      <c r="Q862" s="230">
        <v>6634.5</v>
      </c>
      <c r="R862" s="131"/>
      <c r="S862" s="132"/>
      <c r="T862" s="102">
        <v>2000</v>
      </c>
      <c r="U862" s="230">
        <v>18274.3</v>
      </c>
      <c r="V862" s="102"/>
      <c r="W862" s="210"/>
    </row>
    <row r="863" s="43" customFormat="1" ht="22" hidden="1" customHeight="1" spans="1:23">
      <c r="A863" s="292" t="s">
        <v>3323</v>
      </c>
      <c r="B863" s="174" t="s">
        <v>2863</v>
      </c>
      <c r="C863" s="175"/>
      <c r="D863" s="45" t="s">
        <v>31</v>
      </c>
      <c r="E863" s="82" t="s">
        <v>3222</v>
      </c>
      <c r="F863" s="81">
        <f>IFERROR(VLOOKUP(E863,客户!B:C,2,FALSE),"/")</f>
        <v>0</v>
      </c>
      <c r="G863" s="306" t="s">
        <v>3324</v>
      </c>
      <c r="H863" s="142" t="s">
        <v>123</v>
      </c>
      <c r="I863" s="108" t="s">
        <v>3122</v>
      </c>
      <c r="J863" s="108">
        <v>44146</v>
      </c>
      <c r="K863" s="100">
        <v>44231</v>
      </c>
      <c r="L863" s="100"/>
      <c r="M863" s="315" t="s">
        <v>3325</v>
      </c>
      <c r="N863" s="246" t="s">
        <v>3326</v>
      </c>
      <c r="O863" s="104" t="s">
        <v>970</v>
      </c>
      <c r="P863" s="230">
        <v>21703.58</v>
      </c>
      <c r="Q863" s="230">
        <v>6777</v>
      </c>
      <c r="R863" s="131"/>
      <c r="S863" s="132"/>
      <c r="T863" s="102">
        <v>14926.58</v>
      </c>
      <c r="U863" s="100"/>
      <c r="V863" s="102"/>
      <c r="W863" s="210"/>
    </row>
    <row r="864" s="43" customFormat="1" ht="22" hidden="1" customHeight="1" spans="1:23">
      <c r="A864" s="261" t="s">
        <v>3327</v>
      </c>
      <c r="B864" s="174" t="s">
        <v>2863</v>
      </c>
      <c r="C864" s="175"/>
      <c r="D864" s="45" t="s">
        <v>31</v>
      </c>
      <c r="E864" s="82" t="s">
        <v>3222</v>
      </c>
      <c r="F864" s="81">
        <f>IFERROR(VLOOKUP(E864,客户!B:C,2,FALSE),"/")</f>
        <v>0</v>
      </c>
      <c r="G864" s="306" t="s">
        <v>3328</v>
      </c>
      <c r="H864" s="142" t="s">
        <v>123</v>
      </c>
      <c r="I864" s="108" t="s">
        <v>3047</v>
      </c>
      <c r="J864" s="108">
        <v>44146</v>
      </c>
      <c r="K864" s="100">
        <v>44190</v>
      </c>
      <c r="L864" s="100"/>
      <c r="M864" s="315" t="s">
        <v>3329</v>
      </c>
      <c r="N864" s="246" t="s">
        <v>3235</v>
      </c>
      <c r="O864" s="104" t="s">
        <v>970</v>
      </c>
      <c r="P864" s="230">
        <v>18955</v>
      </c>
      <c r="Q864" s="230">
        <v>5687</v>
      </c>
      <c r="R864" s="131"/>
      <c r="S864" s="132"/>
      <c r="T864" s="102">
        <v>13268</v>
      </c>
      <c r="U864" s="100"/>
      <c r="V864" s="102"/>
      <c r="W864" s="210"/>
    </row>
    <row r="865" s="43" customFormat="1" ht="22" hidden="1" customHeight="1" spans="1:23">
      <c r="A865" s="292" t="s">
        <v>3330</v>
      </c>
      <c r="B865" s="174" t="s">
        <v>2863</v>
      </c>
      <c r="C865" s="175"/>
      <c r="D865" s="45" t="s">
        <v>31</v>
      </c>
      <c r="E865" s="82" t="s">
        <v>3222</v>
      </c>
      <c r="F865" s="81">
        <f>IFERROR(VLOOKUP(E865,客户!B:C,2,FALSE),"/")</f>
        <v>0</v>
      </c>
      <c r="G865" s="306" t="s">
        <v>3331</v>
      </c>
      <c r="H865" s="142" t="s">
        <v>123</v>
      </c>
      <c r="I865" s="108" t="s">
        <v>3122</v>
      </c>
      <c r="J865" s="108">
        <v>44148</v>
      </c>
      <c r="K865" s="100">
        <v>44231</v>
      </c>
      <c r="L865" s="100"/>
      <c r="M865" s="315" t="s">
        <v>3332</v>
      </c>
      <c r="N865" s="246" t="s">
        <v>3333</v>
      </c>
      <c r="O865" s="104" t="s">
        <v>970</v>
      </c>
      <c r="P865" s="230">
        <v>17452.75</v>
      </c>
      <c r="Q865" s="230">
        <v>5301</v>
      </c>
      <c r="R865" s="131"/>
      <c r="S865" s="132"/>
      <c r="T865" s="102">
        <v>12151.75</v>
      </c>
      <c r="U865" s="100"/>
      <c r="V865" s="102"/>
      <c r="W865" s="210"/>
    </row>
    <row r="866" s="43" customFormat="1" ht="22" hidden="1" customHeight="1" spans="1:23">
      <c r="A866" s="261" t="s">
        <v>3334</v>
      </c>
      <c r="B866" s="174" t="s">
        <v>2863</v>
      </c>
      <c r="C866" s="175"/>
      <c r="D866" s="229" t="s">
        <v>31</v>
      </c>
      <c r="E866" s="82" t="s">
        <v>3335</v>
      </c>
      <c r="F866" s="81">
        <f>IFERROR(VLOOKUP(E866,客户!B:C,2,FALSE),"/")</f>
        <v>0</v>
      </c>
      <c r="G866" s="306" t="s">
        <v>3336</v>
      </c>
      <c r="H866" s="142" t="s">
        <v>123</v>
      </c>
      <c r="I866" s="108" t="s">
        <v>2461</v>
      </c>
      <c r="J866" s="108">
        <v>44158</v>
      </c>
      <c r="K866" s="100">
        <v>44354</v>
      </c>
      <c r="L866" s="100"/>
      <c r="M866" s="315" t="s">
        <v>3337</v>
      </c>
      <c r="N866" s="246"/>
      <c r="O866" s="104" t="s">
        <v>970</v>
      </c>
      <c r="P866" s="230">
        <v>14170.3</v>
      </c>
      <c r="Q866" s="230">
        <v>5000</v>
      </c>
      <c r="R866" s="131"/>
      <c r="S866" s="132"/>
      <c r="T866" s="102">
        <v>9170.3</v>
      </c>
      <c r="U866" s="100"/>
      <c r="V866" s="102"/>
      <c r="W866" s="210"/>
    </row>
    <row r="867" s="43" customFormat="1" ht="22" hidden="1" customHeight="1" spans="1:23">
      <c r="A867" s="261" t="s">
        <v>3338</v>
      </c>
      <c r="B867" s="174" t="s">
        <v>2863</v>
      </c>
      <c r="C867" s="175"/>
      <c r="D867" s="45" t="s">
        <v>31</v>
      </c>
      <c r="E867" s="82" t="s">
        <v>3288</v>
      </c>
      <c r="F867" s="81" t="str">
        <f>IFERROR(VLOOKUP(E867,客户!B:C,2,FALSE),"/")</f>
        <v>安哥拉门及配件给清单  灯的清单和照片 如果HScode是九十五章  提前和报关货代说
2021.3.4收¥55000(汇率6.46，折合美金$8512.93)
冻结中</v>
      </c>
      <c r="G867" s="306" t="s">
        <v>3339</v>
      </c>
      <c r="H867" s="142" t="s">
        <v>123</v>
      </c>
      <c r="I867" s="199" t="s">
        <v>3340</v>
      </c>
      <c r="J867" s="108">
        <v>44158</v>
      </c>
      <c r="K867" s="100">
        <v>44227</v>
      </c>
      <c r="L867" s="100">
        <v>44298</v>
      </c>
      <c r="M867" s="315" t="s">
        <v>3341</v>
      </c>
      <c r="N867" s="246" t="s">
        <v>3342</v>
      </c>
      <c r="O867" s="104" t="s">
        <v>523</v>
      </c>
      <c r="P867" s="230">
        <v>45189.44</v>
      </c>
      <c r="Q867" s="230">
        <f>43993/6.5522</f>
        <v>6714.23338725924</v>
      </c>
      <c r="R867" s="131">
        <v>125.21</v>
      </c>
      <c r="S867" s="132"/>
      <c r="T867" s="102">
        <v>38350</v>
      </c>
      <c r="U867" s="100"/>
      <c r="V867" s="246" t="s">
        <v>3343</v>
      </c>
      <c r="W867" s="210"/>
    </row>
    <row r="868" s="43" customFormat="1" ht="22" hidden="1" customHeight="1" spans="1:23">
      <c r="A868" s="261" t="s">
        <v>3344</v>
      </c>
      <c r="B868" s="174" t="s">
        <v>2863</v>
      </c>
      <c r="C868" s="175"/>
      <c r="D868" s="45" t="s">
        <v>31</v>
      </c>
      <c r="E868" s="82" t="s">
        <v>3222</v>
      </c>
      <c r="F868" s="81">
        <f>IFERROR(VLOOKUP(E868,客户!B:C,2,FALSE),"/")</f>
        <v>0</v>
      </c>
      <c r="G868" s="306" t="s">
        <v>3345</v>
      </c>
      <c r="H868" s="142" t="s">
        <v>123</v>
      </c>
      <c r="I868" s="159" t="s">
        <v>3047</v>
      </c>
      <c r="J868" s="108">
        <v>44202</v>
      </c>
      <c r="K868" s="100">
        <v>44305</v>
      </c>
      <c r="L868" s="100"/>
      <c r="M868" s="315" t="s">
        <v>3346</v>
      </c>
      <c r="N868" s="246" t="s">
        <v>3347</v>
      </c>
      <c r="O868" s="104" t="s">
        <v>970</v>
      </c>
      <c r="P868" s="230">
        <v>21073</v>
      </c>
      <c r="Q868" s="230">
        <f>6322+514.28</f>
        <v>6836.28</v>
      </c>
      <c r="R868" s="131"/>
      <c r="S868" s="132"/>
      <c r="T868" s="102">
        <v>14236.72</v>
      </c>
      <c r="U868" s="100"/>
      <c r="V868" s="102"/>
      <c r="W868" s="210"/>
    </row>
    <row r="869" s="43" customFormat="1" ht="22" hidden="1" customHeight="1" spans="1:23">
      <c r="A869" s="261" t="s">
        <v>3348</v>
      </c>
      <c r="B869" s="174" t="s">
        <v>2863</v>
      </c>
      <c r="C869" s="175"/>
      <c r="D869" s="45" t="s">
        <v>31</v>
      </c>
      <c r="E869" s="82" t="s">
        <v>3222</v>
      </c>
      <c r="F869" s="81">
        <f>IFERROR(VLOOKUP(E869,客户!B:C,2,FALSE),"/")</f>
        <v>0</v>
      </c>
      <c r="G869" s="306" t="s">
        <v>3328</v>
      </c>
      <c r="H869" s="142" t="s">
        <v>123</v>
      </c>
      <c r="I869" s="159" t="s">
        <v>3122</v>
      </c>
      <c r="J869" s="108">
        <v>44221</v>
      </c>
      <c r="K869" s="111">
        <v>44296</v>
      </c>
      <c r="L869" s="100"/>
      <c r="M869" s="315" t="s">
        <v>3349</v>
      </c>
      <c r="N869" s="246" t="s">
        <v>3350</v>
      </c>
      <c r="O869" s="104" t="s">
        <v>970</v>
      </c>
      <c r="P869" s="230">
        <v>20816.36</v>
      </c>
      <c r="Q869" s="230">
        <v>6400</v>
      </c>
      <c r="R869" s="131"/>
      <c r="S869" s="132"/>
      <c r="T869" s="102">
        <v>14930.64</v>
      </c>
      <c r="U869" s="100"/>
      <c r="V869" s="246"/>
      <c r="W869" s="210"/>
    </row>
    <row r="870" s="43" customFormat="1" ht="22" hidden="1" customHeight="1" spans="1:23">
      <c r="A870" s="261" t="s">
        <v>3351</v>
      </c>
      <c r="B870" s="174" t="s">
        <v>2863</v>
      </c>
      <c r="C870" s="175"/>
      <c r="D870" s="45" t="s">
        <v>31</v>
      </c>
      <c r="E870" s="82" t="s">
        <v>3299</v>
      </c>
      <c r="F870" s="81">
        <f>IFERROR(VLOOKUP(E870,客户!B:C,2,FALSE),"/")</f>
        <v>0</v>
      </c>
      <c r="G870" s="306" t="s">
        <v>3300</v>
      </c>
      <c r="H870" s="142" t="s">
        <v>147</v>
      </c>
      <c r="I870" s="159" t="s">
        <v>2947</v>
      </c>
      <c r="J870" s="108">
        <v>44258</v>
      </c>
      <c r="K870" s="100">
        <v>44318</v>
      </c>
      <c r="L870" s="100">
        <v>44339</v>
      </c>
      <c r="M870" s="315" t="s">
        <v>3352</v>
      </c>
      <c r="N870" s="246" t="s">
        <v>3353</v>
      </c>
      <c r="O870" s="104" t="s">
        <v>523</v>
      </c>
      <c r="P870" s="230">
        <v>31533</v>
      </c>
      <c r="Q870" s="230">
        <v>9460</v>
      </c>
      <c r="R870" s="131"/>
      <c r="S870" s="132"/>
      <c r="T870" s="102">
        <v>22073</v>
      </c>
      <c r="U870" s="100"/>
      <c r="V870" s="102"/>
      <c r="W870" s="210"/>
    </row>
    <row r="871" s="43" customFormat="1" ht="21" hidden="1" customHeight="1" spans="1:23">
      <c r="A871" s="261" t="s">
        <v>3354</v>
      </c>
      <c r="B871" s="174" t="s">
        <v>2863</v>
      </c>
      <c r="C871" s="175"/>
      <c r="D871" s="229" t="s">
        <v>31</v>
      </c>
      <c r="E871" s="82" t="s">
        <v>3288</v>
      </c>
      <c r="F871" s="81" t="str">
        <f>IFERROR(VLOOKUP(E871,客户!B:C,2,FALSE),"/")</f>
        <v>安哥拉门及配件给清单  灯的清单和照片 如果HScode是九十五章  提前和报关货代说
2021.3.4收¥55000(汇率6.46，折合美金$8512.93)
冻结中</v>
      </c>
      <c r="G871" s="306" t="s">
        <v>3355</v>
      </c>
      <c r="H871" s="142" t="s">
        <v>123</v>
      </c>
      <c r="I871" s="159" t="s">
        <v>3003</v>
      </c>
      <c r="J871" s="108">
        <v>44260</v>
      </c>
      <c r="K871" s="100">
        <v>44324</v>
      </c>
      <c r="L871" s="100">
        <v>44418</v>
      </c>
      <c r="M871" s="315" t="s">
        <v>3356</v>
      </c>
      <c r="N871" s="246" t="s">
        <v>3357</v>
      </c>
      <c r="O871" s="104" t="s">
        <v>523</v>
      </c>
      <c r="P871" s="230">
        <v>60939.26</v>
      </c>
      <c r="Q871" s="230">
        <f>219924/6.52</f>
        <v>33730.6748466258</v>
      </c>
      <c r="R871" s="131"/>
      <c r="S871" s="132"/>
      <c r="T871" s="102">
        <v>27208.59</v>
      </c>
      <c r="U871" s="230"/>
      <c r="V871" s="246" t="s">
        <v>3358</v>
      </c>
      <c r="W871" s="210"/>
    </row>
    <row r="872" s="43" customFormat="1" ht="22" hidden="1" customHeight="1" spans="1:23">
      <c r="A872" s="261" t="s">
        <v>3359</v>
      </c>
      <c r="B872" s="174" t="s">
        <v>2863</v>
      </c>
      <c r="C872" s="175"/>
      <c r="D872" s="45" t="s">
        <v>31</v>
      </c>
      <c r="E872" s="82" t="s">
        <v>3299</v>
      </c>
      <c r="F872" s="81">
        <f>IFERROR(VLOOKUP(E872,客户!B:C,2,FALSE),"/")</f>
        <v>0</v>
      </c>
      <c r="G872" s="306" t="s">
        <v>3300</v>
      </c>
      <c r="H872" s="142" t="s">
        <v>147</v>
      </c>
      <c r="I872" s="159" t="s">
        <v>2947</v>
      </c>
      <c r="J872" s="108">
        <v>44264</v>
      </c>
      <c r="K872" s="100">
        <v>44318</v>
      </c>
      <c r="L872" s="100">
        <v>44339</v>
      </c>
      <c r="M872" s="315" t="s">
        <v>3352</v>
      </c>
      <c r="N872" s="246" t="s">
        <v>3353</v>
      </c>
      <c r="O872" s="104" t="s">
        <v>523</v>
      </c>
      <c r="P872" s="327">
        <v>31547.2</v>
      </c>
      <c r="Q872" s="230">
        <v>9476</v>
      </c>
      <c r="R872" s="131"/>
      <c r="S872" s="132"/>
      <c r="T872" s="102">
        <v>22071.2</v>
      </c>
      <c r="U872" s="100"/>
      <c r="V872" s="102"/>
      <c r="W872" s="210"/>
    </row>
    <row r="873" s="43" customFormat="1" ht="22" hidden="1" customHeight="1" spans="1:23">
      <c r="A873" s="261" t="s">
        <v>3360</v>
      </c>
      <c r="B873" s="174" t="s">
        <v>2863</v>
      </c>
      <c r="C873" s="175"/>
      <c r="D873" s="229" t="s">
        <v>31</v>
      </c>
      <c r="E873" s="82" t="s">
        <v>3222</v>
      </c>
      <c r="F873" s="81">
        <f>IFERROR(VLOOKUP(E873,客户!B:C,2,FALSE),"/")</f>
        <v>0</v>
      </c>
      <c r="G873" s="306" t="s">
        <v>3328</v>
      </c>
      <c r="H873" s="142" t="s">
        <v>123</v>
      </c>
      <c r="I873" s="159" t="s">
        <v>3122</v>
      </c>
      <c r="J873" s="108">
        <v>44277</v>
      </c>
      <c r="K873" s="100">
        <v>44332</v>
      </c>
      <c r="L873" s="100"/>
      <c r="M873" s="315" t="s">
        <v>3361</v>
      </c>
      <c r="N873" s="246" t="s">
        <v>3362</v>
      </c>
      <c r="O873" s="104" t="s">
        <v>970</v>
      </c>
      <c r="P873" s="230">
        <v>22920.6</v>
      </c>
      <c r="Q873" s="230">
        <v>6876</v>
      </c>
      <c r="R873" s="131"/>
      <c r="S873" s="132"/>
      <c r="T873" s="102">
        <v>16044.6</v>
      </c>
      <c r="U873" s="100"/>
      <c r="V873" s="102"/>
      <c r="W873" s="210"/>
    </row>
    <row r="874" s="43" customFormat="1" ht="22" hidden="1" customHeight="1" spans="1:23">
      <c r="A874" s="261" t="s">
        <v>3363</v>
      </c>
      <c r="B874" s="174" t="s">
        <v>2863</v>
      </c>
      <c r="C874" s="175"/>
      <c r="D874" s="229" t="s">
        <v>31</v>
      </c>
      <c r="E874" s="82" t="s">
        <v>3222</v>
      </c>
      <c r="F874" s="81">
        <f>IFERROR(VLOOKUP(E874,客户!B:C,2,FALSE),"/")</f>
        <v>0</v>
      </c>
      <c r="G874" s="306" t="s">
        <v>3328</v>
      </c>
      <c r="H874" s="142" t="s">
        <v>123</v>
      </c>
      <c r="I874" s="159" t="s">
        <v>3047</v>
      </c>
      <c r="J874" s="108">
        <v>44277</v>
      </c>
      <c r="K874" s="100">
        <v>44338</v>
      </c>
      <c r="L874" s="100"/>
      <c r="M874" s="315" t="s">
        <v>3364</v>
      </c>
      <c r="N874" s="246" t="s">
        <v>3365</v>
      </c>
      <c r="O874" s="104" t="s">
        <v>970</v>
      </c>
      <c r="P874" s="230">
        <v>24057</v>
      </c>
      <c r="Q874" s="318">
        <v>7217</v>
      </c>
      <c r="R874" s="131"/>
      <c r="S874" s="132"/>
      <c r="T874" s="102">
        <v>16840</v>
      </c>
      <c r="U874" s="100"/>
      <c r="V874" s="102"/>
      <c r="W874" s="210"/>
    </row>
    <row r="875" s="43" customFormat="1" ht="22" hidden="1" customHeight="1" spans="1:23">
      <c r="A875" s="261" t="s">
        <v>3366</v>
      </c>
      <c r="B875" s="174" t="s">
        <v>2863</v>
      </c>
      <c r="C875" s="175"/>
      <c r="D875" s="229" t="s">
        <v>31</v>
      </c>
      <c r="E875" s="82" t="s">
        <v>3272</v>
      </c>
      <c r="F875" s="81">
        <f>IFERROR(VLOOKUP(E875,客户!B:C,2,FALSE),"/")</f>
        <v>0</v>
      </c>
      <c r="G875" s="306" t="s">
        <v>3367</v>
      </c>
      <c r="H875" s="142" t="s">
        <v>147</v>
      </c>
      <c r="I875" s="159" t="s">
        <v>1546</v>
      </c>
      <c r="J875" s="108">
        <v>44279</v>
      </c>
      <c r="K875" s="100">
        <v>44368</v>
      </c>
      <c r="L875" s="100">
        <v>44406</v>
      </c>
      <c r="M875" s="315" t="s">
        <v>3368</v>
      </c>
      <c r="N875" s="246" t="s">
        <v>3369</v>
      </c>
      <c r="O875" s="104" t="s">
        <v>523</v>
      </c>
      <c r="P875" s="230">
        <v>27734.16</v>
      </c>
      <c r="Q875" s="318">
        <v>4000</v>
      </c>
      <c r="R875" s="131"/>
      <c r="S875" s="132"/>
      <c r="T875" s="102">
        <v>20000</v>
      </c>
      <c r="U875" s="318">
        <v>3734.16</v>
      </c>
      <c r="V875" s="102"/>
      <c r="W875" s="210"/>
    </row>
    <row r="876" s="43" customFormat="1" ht="22" hidden="1" customHeight="1" spans="1:23">
      <c r="A876" s="261" t="s">
        <v>3370</v>
      </c>
      <c r="B876" s="174" t="s">
        <v>2863</v>
      </c>
      <c r="C876" s="175"/>
      <c r="D876" s="45" t="s">
        <v>31</v>
      </c>
      <c r="E876" s="82" t="s">
        <v>3272</v>
      </c>
      <c r="F876" s="81">
        <f>IFERROR(VLOOKUP(E876,客户!B:C,2,FALSE),"/")</f>
        <v>0</v>
      </c>
      <c r="G876" s="306" t="s">
        <v>3371</v>
      </c>
      <c r="H876" s="324" t="s">
        <v>147</v>
      </c>
      <c r="I876" s="159" t="s">
        <v>1546</v>
      </c>
      <c r="J876" s="108">
        <v>44279</v>
      </c>
      <c r="K876" s="100">
        <v>44300</v>
      </c>
      <c r="L876" s="100">
        <v>44340</v>
      </c>
      <c r="M876" s="315" t="s">
        <v>3372</v>
      </c>
      <c r="N876" s="246" t="s">
        <v>3373</v>
      </c>
      <c r="O876" s="104" t="s">
        <v>523</v>
      </c>
      <c r="P876" s="328">
        <v>21804.6</v>
      </c>
      <c r="Q876" s="318">
        <v>4000</v>
      </c>
      <c r="R876" s="131"/>
      <c r="S876" s="132"/>
      <c r="T876" s="102">
        <v>17804.6</v>
      </c>
      <c r="U876" s="100"/>
      <c r="V876" s="102"/>
      <c r="W876" s="210"/>
    </row>
    <row r="877" s="43" customFormat="1" ht="22" hidden="1" customHeight="1" spans="1:23">
      <c r="A877" s="261" t="s">
        <v>3374</v>
      </c>
      <c r="B877" s="174" t="s">
        <v>2863</v>
      </c>
      <c r="C877" s="175"/>
      <c r="D877" s="45" t="s">
        <v>31</v>
      </c>
      <c r="E877" s="82" t="s">
        <v>3272</v>
      </c>
      <c r="F877" s="81">
        <f>IFERROR(VLOOKUP(E877,客户!B:C,2,FALSE),"/")</f>
        <v>0</v>
      </c>
      <c r="G877" s="306" t="s">
        <v>3371</v>
      </c>
      <c r="H877" s="324" t="s">
        <v>147</v>
      </c>
      <c r="I877" s="159" t="s">
        <v>1546</v>
      </c>
      <c r="J877" s="108">
        <v>44279</v>
      </c>
      <c r="K877" s="100">
        <v>44344</v>
      </c>
      <c r="L877" s="200">
        <v>44391</v>
      </c>
      <c r="M877" s="315" t="s">
        <v>3375</v>
      </c>
      <c r="N877" s="246" t="s">
        <v>3376</v>
      </c>
      <c r="O877" s="104" t="s">
        <v>523</v>
      </c>
      <c r="P877" s="230">
        <v>28048.4</v>
      </c>
      <c r="Q877" s="318">
        <v>4000</v>
      </c>
      <c r="R877" s="131"/>
      <c r="S877" s="132"/>
      <c r="T877" s="102">
        <v>4048.4</v>
      </c>
      <c r="U877" s="318">
        <v>20000</v>
      </c>
      <c r="V877" s="102"/>
      <c r="W877" s="210"/>
    </row>
    <row r="878" s="43" customFormat="1" ht="22" hidden="1" customHeight="1" spans="1:23">
      <c r="A878" s="261" t="s">
        <v>3377</v>
      </c>
      <c r="B878" s="174" t="s">
        <v>2863</v>
      </c>
      <c r="C878" s="175"/>
      <c r="D878" s="45" t="s">
        <v>31</v>
      </c>
      <c r="E878" s="82" t="s">
        <v>3272</v>
      </c>
      <c r="F878" s="81">
        <f>IFERROR(VLOOKUP(E878,客户!B:C,2,FALSE),"/")</f>
        <v>0</v>
      </c>
      <c r="G878" s="306" t="s">
        <v>3371</v>
      </c>
      <c r="H878" s="324" t="s">
        <v>147</v>
      </c>
      <c r="I878" s="159" t="s">
        <v>1546</v>
      </c>
      <c r="J878" s="108">
        <v>44279</v>
      </c>
      <c r="K878" s="100">
        <v>44355</v>
      </c>
      <c r="L878" s="232">
        <v>44387</v>
      </c>
      <c r="M878" s="315" t="s">
        <v>3378</v>
      </c>
      <c r="N878" s="246" t="s">
        <v>3379</v>
      </c>
      <c r="O878" s="104" t="s">
        <v>523</v>
      </c>
      <c r="P878" s="230">
        <v>27992.86</v>
      </c>
      <c r="Q878" s="318">
        <v>4000</v>
      </c>
      <c r="R878" s="131"/>
      <c r="S878" s="132"/>
      <c r="T878" s="102">
        <v>20000</v>
      </c>
      <c r="U878" s="318">
        <v>3992.86</v>
      </c>
      <c r="V878" s="102"/>
      <c r="W878" s="210"/>
    </row>
    <row r="879" s="43" customFormat="1" ht="22" hidden="1" customHeight="1" spans="1:23">
      <c r="A879" s="261" t="s">
        <v>3380</v>
      </c>
      <c r="B879" s="174" t="s">
        <v>2863</v>
      </c>
      <c r="C879" s="175"/>
      <c r="D879" s="45" t="s">
        <v>31</v>
      </c>
      <c r="E879" s="82" t="s">
        <v>3272</v>
      </c>
      <c r="F879" s="81">
        <f>IFERROR(VLOOKUP(E879,客户!B:C,2,FALSE),"/")</f>
        <v>0</v>
      </c>
      <c r="G879" s="306" t="s">
        <v>3371</v>
      </c>
      <c r="H879" s="324" t="s">
        <v>147</v>
      </c>
      <c r="I879" s="159" t="s">
        <v>1546</v>
      </c>
      <c r="J879" s="108">
        <v>44279</v>
      </c>
      <c r="K879" s="100">
        <v>44362</v>
      </c>
      <c r="L879" s="200">
        <v>44405</v>
      </c>
      <c r="M879" s="315" t="s">
        <v>3381</v>
      </c>
      <c r="N879" s="246" t="s">
        <v>3369</v>
      </c>
      <c r="O879" s="104"/>
      <c r="P879" s="230">
        <v>29512.58</v>
      </c>
      <c r="Q879" s="318">
        <v>4000</v>
      </c>
      <c r="R879" s="131"/>
      <c r="S879" s="132"/>
      <c r="T879" s="102">
        <v>20000</v>
      </c>
      <c r="U879" s="318">
        <v>5512.58</v>
      </c>
      <c r="V879" s="102"/>
      <c r="W879" s="210"/>
    </row>
    <row r="880" s="43" customFormat="1" ht="22" hidden="1" customHeight="1" spans="1:23">
      <c r="A880" s="261" t="s">
        <v>3382</v>
      </c>
      <c r="B880" s="174" t="s">
        <v>2863</v>
      </c>
      <c r="C880" s="175"/>
      <c r="D880" s="229" t="s">
        <v>31</v>
      </c>
      <c r="E880" s="82" t="s">
        <v>3247</v>
      </c>
      <c r="F880" s="81">
        <f>IFERROR(VLOOKUP(E880,客户!B:C,2,FALSE),"/")</f>
        <v>0</v>
      </c>
      <c r="G880" s="306" t="s">
        <v>3383</v>
      </c>
      <c r="H880" s="324" t="s">
        <v>123</v>
      </c>
      <c r="I880" s="159" t="s">
        <v>1546</v>
      </c>
      <c r="J880" s="108">
        <v>44286</v>
      </c>
      <c r="K880" s="100">
        <v>44368</v>
      </c>
      <c r="L880" s="100">
        <v>44406</v>
      </c>
      <c r="M880" s="315" t="s">
        <v>3384</v>
      </c>
      <c r="N880" s="246" t="s">
        <v>3385</v>
      </c>
      <c r="O880" s="104" t="s">
        <v>523</v>
      </c>
      <c r="P880" s="230">
        <v>71147.1</v>
      </c>
      <c r="Q880" s="318">
        <v>21981</v>
      </c>
      <c r="R880" s="131"/>
      <c r="S880" s="132"/>
      <c r="T880" s="102">
        <v>49166.1</v>
      </c>
      <c r="U880" s="100"/>
      <c r="V880" s="102"/>
      <c r="W880" s="210"/>
    </row>
    <row r="881" s="43" customFormat="1" ht="22" hidden="1" customHeight="1" spans="1:23">
      <c r="A881" s="261" t="s">
        <v>3386</v>
      </c>
      <c r="B881" s="174" t="s">
        <v>2863</v>
      </c>
      <c r="C881" s="175"/>
      <c r="D881" s="229" t="s">
        <v>31</v>
      </c>
      <c r="E881" s="82" t="s">
        <v>3272</v>
      </c>
      <c r="F881" s="81">
        <f>IFERROR(VLOOKUP(E881,客户!B:C,2,FALSE),"/")</f>
        <v>0</v>
      </c>
      <c r="G881" s="306" t="s">
        <v>3387</v>
      </c>
      <c r="H881" s="324" t="s">
        <v>147</v>
      </c>
      <c r="I881" s="159" t="s">
        <v>1546</v>
      </c>
      <c r="J881" s="108">
        <v>44309</v>
      </c>
      <c r="K881" s="100">
        <v>44344</v>
      </c>
      <c r="L881" s="200">
        <v>44389</v>
      </c>
      <c r="M881" s="315" t="s">
        <v>3388</v>
      </c>
      <c r="N881" s="246" t="s">
        <v>3389</v>
      </c>
      <c r="O881" s="104" t="s">
        <v>523</v>
      </c>
      <c r="P881" s="230">
        <v>32155.52</v>
      </c>
      <c r="Q881" s="318">
        <v>4824</v>
      </c>
      <c r="R881" s="131"/>
      <c r="S881" s="132"/>
      <c r="T881" s="102">
        <v>27331.52</v>
      </c>
      <c r="U881" s="100"/>
      <c r="V881" s="102"/>
      <c r="W881" s="210"/>
    </row>
    <row r="882" s="43" customFormat="1" ht="22" hidden="1" customHeight="1" spans="1:23">
      <c r="A882" s="261" t="s">
        <v>3390</v>
      </c>
      <c r="B882" s="174" t="s">
        <v>2863</v>
      </c>
      <c r="C882" s="175"/>
      <c r="D882" s="229" t="s">
        <v>31</v>
      </c>
      <c r="E882" s="82" t="s">
        <v>3247</v>
      </c>
      <c r="F882" s="81">
        <f>IFERROR(VLOOKUP(E882,客户!B:C,2,FALSE),"/")</f>
        <v>0</v>
      </c>
      <c r="G882" s="306" t="s">
        <v>3391</v>
      </c>
      <c r="H882" s="324" t="s">
        <v>123</v>
      </c>
      <c r="I882" s="159" t="s">
        <v>1546</v>
      </c>
      <c r="J882" s="108">
        <v>44344</v>
      </c>
      <c r="K882" s="100">
        <v>44400</v>
      </c>
      <c r="L882" s="100">
        <v>44443</v>
      </c>
      <c r="M882" s="315" t="s">
        <v>3392</v>
      </c>
      <c r="N882" s="246" t="s">
        <v>3393</v>
      </c>
      <c r="O882" s="104" t="s">
        <v>523</v>
      </c>
      <c r="P882" s="230">
        <v>73664.28</v>
      </c>
      <c r="Q882" s="318">
        <v>10000</v>
      </c>
      <c r="R882" s="131"/>
      <c r="S882" s="132"/>
      <c r="T882" s="102">
        <f>27000+27000</f>
        <v>54000</v>
      </c>
      <c r="U882" s="102">
        <v>9664.28</v>
      </c>
      <c r="V882" s="102"/>
      <c r="W882" s="210"/>
    </row>
    <row r="883" s="43" customFormat="1" ht="22" hidden="1" customHeight="1" spans="1:23">
      <c r="A883" s="261" t="s">
        <v>3394</v>
      </c>
      <c r="B883" s="174" t="s">
        <v>2863</v>
      </c>
      <c r="C883" s="175"/>
      <c r="D883" s="229" t="s">
        <v>31</v>
      </c>
      <c r="E883" s="82" t="s">
        <v>3222</v>
      </c>
      <c r="F883" s="81">
        <f>IFERROR(VLOOKUP(E883,客户!B:C,2,FALSE),"/")</f>
        <v>0</v>
      </c>
      <c r="G883" s="306" t="s">
        <v>3328</v>
      </c>
      <c r="H883" s="324" t="s">
        <v>123</v>
      </c>
      <c r="I883" s="159" t="s">
        <v>3122</v>
      </c>
      <c r="J883" s="108">
        <v>44355</v>
      </c>
      <c r="K883" s="100">
        <v>44381</v>
      </c>
      <c r="L883" s="100"/>
      <c r="M883" s="315" t="s">
        <v>3395</v>
      </c>
      <c r="N883" s="246" t="s">
        <v>3396</v>
      </c>
      <c r="O883" s="104" t="s">
        <v>970</v>
      </c>
      <c r="P883" s="230">
        <v>27261.76</v>
      </c>
      <c r="Q883" s="318">
        <v>8179</v>
      </c>
      <c r="R883" s="131"/>
      <c r="S883" s="132"/>
      <c r="T883" s="102">
        <v>19082.76</v>
      </c>
      <c r="U883" s="100"/>
      <c r="V883" s="102"/>
      <c r="W883" s="210"/>
    </row>
    <row r="884" s="43" customFormat="1" ht="22" hidden="1" customHeight="1" spans="1:23">
      <c r="A884" s="261" t="s">
        <v>3397</v>
      </c>
      <c r="B884" s="174" t="s">
        <v>2863</v>
      </c>
      <c r="C884" s="175"/>
      <c r="D884" s="229" t="s">
        <v>31</v>
      </c>
      <c r="E884" s="82" t="s">
        <v>3242</v>
      </c>
      <c r="F884" s="81">
        <f>IFERROR(VLOOKUP(E884,客户!B:C,2,FALSE),"/")</f>
        <v>0</v>
      </c>
      <c r="G884" s="306" t="s">
        <v>3398</v>
      </c>
      <c r="H884" s="142" t="s">
        <v>147</v>
      </c>
      <c r="I884" s="159" t="s">
        <v>1546</v>
      </c>
      <c r="J884" s="108">
        <v>44405</v>
      </c>
      <c r="K884" s="100">
        <v>44448</v>
      </c>
      <c r="L884" s="100">
        <v>44490</v>
      </c>
      <c r="M884" s="315" t="s">
        <v>3399</v>
      </c>
      <c r="N884" s="246" t="s">
        <v>3400</v>
      </c>
      <c r="O884" s="266" t="s">
        <v>523</v>
      </c>
      <c r="P884" s="230">
        <v>71987.7</v>
      </c>
      <c r="Q884" s="318">
        <v>14050</v>
      </c>
      <c r="R884" s="131"/>
      <c r="S884" s="132"/>
      <c r="T884" s="102">
        <v>57937.7</v>
      </c>
      <c r="U884" s="100"/>
      <c r="V884" s="102"/>
      <c r="W884" s="210"/>
    </row>
    <row r="885" s="43" customFormat="1" ht="22" hidden="1" customHeight="1" spans="1:23">
      <c r="A885" s="261" t="s">
        <v>3401</v>
      </c>
      <c r="B885" s="174" t="s">
        <v>2863</v>
      </c>
      <c r="C885" s="175"/>
      <c r="D885" s="229" t="s">
        <v>31</v>
      </c>
      <c r="E885" s="82" t="s">
        <v>3272</v>
      </c>
      <c r="F885" s="81"/>
      <c r="G885" s="306" t="s">
        <v>3402</v>
      </c>
      <c r="H885" s="142" t="s">
        <v>147</v>
      </c>
      <c r="I885" s="159" t="s">
        <v>1546</v>
      </c>
      <c r="J885" s="108">
        <v>44406</v>
      </c>
      <c r="K885" s="100">
        <v>44473</v>
      </c>
      <c r="L885" s="100">
        <v>44515</v>
      </c>
      <c r="M885" s="315" t="s">
        <v>3403</v>
      </c>
      <c r="N885" s="329" t="s">
        <v>3404</v>
      </c>
      <c r="O885" s="104" t="s">
        <v>1283</v>
      </c>
      <c r="P885" s="327">
        <v>110689.52</v>
      </c>
      <c r="Q885" s="318"/>
      <c r="R885" s="131"/>
      <c r="S885" s="132"/>
      <c r="T885" s="102">
        <v>110689.52</v>
      </c>
      <c r="U885" s="100"/>
      <c r="V885" s="102"/>
      <c r="W885" s="210"/>
    </row>
    <row r="886" s="43" customFormat="1" ht="22" hidden="1" customHeight="1" spans="1:23">
      <c r="A886" s="261" t="s">
        <v>3405</v>
      </c>
      <c r="B886" s="174" t="s">
        <v>2863</v>
      </c>
      <c r="C886" s="175"/>
      <c r="D886" s="229" t="s">
        <v>31</v>
      </c>
      <c r="E886" s="82" t="s">
        <v>3272</v>
      </c>
      <c r="F886" s="81"/>
      <c r="G886" s="306" t="s">
        <v>3406</v>
      </c>
      <c r="H886" s="142" t="s">
        <v>147</v>
      </c>
      <c r="I886" s="159" t="s">
        <v>1546</v>
      </c>
      <c r="J886" s="108">
        <v>44406</v>
      </c>
      <c r="K886" s="100">
        <v>44448</v>
      </c>
      <c r="L886" s="100">
        <v>44487</v>
      </c>
      <c r="M886" s="315" t="s">
        <v>3407</v>
      </c>
      <c r="N886" s="246" t="s">
        <v>3408</v>
      </c>
      <c r="O886" s="104" t="s">
        <v>1283</v>
      </c>
      <c r="P886" s="230">
        <v>106006.46</v>
      </c>
      <c r="Q886" s="318"/>
      <c r="R886" s="131"/>
      <c r="S886" s="132"/>
      <c r="T886" s="102">
        <v>106006.46</v>
      </c>
      <c r="U886" s="100"/>
      <c r="V886" s="102"/>
      <c r="W886" s="210"/>
    </row>
    <row r="887" s="43" customFormat="1" ht="22" hidden="1" customHeight="1" spans="1:23">
      <c r="A887" s="261" t="s">
        <v>3409</v>
      </c>
      <c r="B887" s="174" t="s">
        <v>2863</v>
      </c>
      <c r="C887" s="175"/>
      <c r="D887" s="229" t="s">
        <v>31</v>
      </c>
      <c r="E887" s="82" t="s">
        <v>3222</v>
      </c>
      <c r="F887" s="81">
        <f>IFERROR(VLOOKUP(E887,客户!B:C,2,FALSE),"/")</f>
        <v>0</v>
      </c>
      <c r="G887" s="306" t="s">
        <v>3328</v>
      </c>
      <c r="H887" s="324" t="s">
        <v>123</v>
      </c>
      <c r="I887" s="159" t="s">
        <v>3047</v>
      </c>
      <c r="J887" s="108">
        <v>44439</v>
      </c>
      <c r="K887" s="100">
        <v>44484</v>
      </c>
      <c r="L887" s="100"/>
      <c r="M887" s="315" t="s">
        <v>3410</v>
      </c>
      <c r="N887" s="246" t="s">
        <v>3365</v>
      </c>
      <c r="O887" s="104" t="s">
        <v>970</v>
      </c>
      <c r="P887" s="230">
        <v>26825</v>
      </c>
      <c r="Q887" s="318">
        <v>8048</v>
      </c>
      <c r="R887" s="131"/>
      <c r="S887" s="132"/>
      <c r="T887" s="102">
        <v>18777</v>
      </c>
      <c r="U887" s="100"/>
      <c r="V887" s="102"/>
      <c r="W887" s="210"/>
    </row>
    <row r="888" s="43" customFormat="1" ht="22" hidden="1" customHeight="1" spans="1:23">
      <c r="A888" s="261" t="s">
        <v>3411</v>
      </c>
      <c r="B888" s="174" t="s">
        <v>2863</v>
      </c>
      <c r="C888" s="175"/>
      <c r="D888" s="229" t="s">
        <v>31</v>
      </c>
      <c r="E888" s="82" t="s">
        <v>3222</v>
      </c>
      <c r="F888" s="81">
        <f>IFERROR(VLOOKUP(E888,客户!B:C,2,FALSE),"/")</f>
        <v>0</v>
      </c>
      <c r="G888" s="306" t="s">
        <v>3324</v>
      </c>
      <c r="H888" s="324" t="s">
        <v>123</v>
      </c>
      <c r="I888" s="159" t="s">
        <v>3122</v>
      </c>
      <c r="J888" s="108">
        <v>44439</v>
      </c>
      <c r="K888" s="100">
        <v>44485</v>
      </c>
      <c r="L888" s="100"/>
      <c r="M888" s="315" t="s">
        <v>3412</v>
      </c>
      <c r="N888" s="246" t="s">
        <v>3413</v>
      </c>
      <c r="O888" s="104" t="s">
        <v>970</v>
      </c>
      <c r="P888" s="230">
        <v>29147.25</v>
      </c>
      <c r="Q888" s="318">
        <v>8930</v>
      </c>
      <c r="R888" s="131"/>
      <c r="S888" s="132"/>
      <c r="T888" s="102">
        <f>20836.45-619.2</f>
        <v>20217.25</v>
      </c>
      <c r="U888" s="287" t="s">
        <v>3414</v>
      </c>
      <c r="V888" s="102"/>
      <c r="W888" s="210"/>
    </row>
    <row r="889" s="43" customFormat="1" ht="22" hidden="1" customHeight="1" spans="1:23">
      <c r="A889" s="261" t="s">
        <v>3415</v>
      </c>
      <c r="B889" s="174" t="s">
        <v>2863</v>
      </c>
      <c r="C889" s="175"/>
      <c r="D889" s="229" t="s">
        <v>31</v>
      </c>
      <c r="E889" s="82" t="s">
        <v>3288</v>
      </c>
      <c r="F889" s="81" t="str">
        <f>IFERROR(VLOOKUP(E889,客户!B:C,2,FALSE),"/")</f>
        <v>安哥拉门及配件给清单  灯的清单和照片 如果HScode是九十五章  提前和报关货代说
2021.3.4收¥55000(汇率6.46，折合美金$8512.93)
冻结中</v>
      </c>
      <c r="G889" s="306" t="s">
        <v>3416</v>
      </c>
      <c r="H889" s="142" t="s">
        <v>123</v>
      </c>
      <c r="I889" s="159" t="s">
        <v>3003</v>
      </c>
      <c r="J889" s="108">
        <v>44445</v>
      </c>
      <c r="K889" s="100">
        <v>44512</v>
      </c>
      <c r="L889" s="100">
        <v>44586</v>
      </c>
      <c r="M889" s="315" t="s">
        <v>3417</v>
      </c>
      <c r="N889" s="329" t="s">
        <v>3418</v>
      </c>
      <c r="O889" s="104" t="s">
        <v>523</v>
      </c>
      <c r="P889" s="230">
        <v>83396</v>
      </c>
      <c r="Q889" s="318">
        <f>8408+110000/6.45</f>
        <v>25462.2635658915</v>
      </c>
      <c r="R889" s="131"/>
      <c r="S889" s="132"/>
      <c r="T889" s="102">
        <f>368667/6.3636</f>
        <v>57933.7167640958</v>
      </c>
      <c r="U889" s="100"/>
      <c r="V889" s="102"/>
      <c r="W889" s="210"/>
    </row>
    <row r="890" s="43" customFormat="1" ht="22" hidden="1" customHeight="1" spans="1:23">
      <c r="A890" s="292" t="s">
        <v>3419</v>
      </c>
      <c r="B890" s="174" t="s">
        <v>2863</v>
      </c>
      <c r="C890" s="175"/>
      <c r="D890" s="229" t="s">
        <v>31</v>
      </c>
      <c r="E890" s="82" t="s">
        <v>3242</v>
      </c>
      <c r="F890" s="81">
        <f>IFERROR(VLOOKUP(E890,客户!B:C,2,FALSE),"/")</f>
        <v>0</v>
      </c>
      <c r="G890" s="306" t="s">
        <v>3420</v>
      </c>
      <c r="H890" s="142" t="s">
        <v>147</v>
      </c>
      <c r="I890" s="159" t="s">
        <v>1546</v>
      </c>
      <c r="J890" s="108">
        <v>44448</v>
      </c>
      <c r="K890" s="100">
        <v>44515</v>
      </c>
      <c r="L890" s="100">
        <v>44562</v>
      </c>
      <c r="M890" s="315" t="s">
        <v>3421</v>
      </c>
      <c r="N890" s="329" t="s">
        <v>3422</v>
      </c>
      <c r="O890" s="104" t="s">
        <v>523</v>
      </c>
      <c r="P890" s="230">
        <v>36569.17</v>
      </c>
      <c r="Q890" s="318">
        <f>14533/2</f>
        <v>7266.5</v>
      </c>
      <c r="R890" s="131"/>
      <c r="S890" s="132"/>
      <c r="T890" s="102">
        <v>29302.67</v>
      </c>
      <c r="U890" s="100"/>
      <c r="V890" s="102"/>
      <c r="W890" s="210"/>
    </row>
    <row r="891" s="43" customFormat="1" ht="22" hidden="1" customHeight="1" spans="1:23">
      <c r="A891" s="261" t="s">
        <v>3423</v>
      </c>
      <c r="B891" s="174" t="s">
        <v>2863</v>
      </c>
      <c r="C891" s="175"/>
      <c r="D891" s="229" t="s">
        <v>31</v>
      </c>
      <c r="E891" s="82" t="s">
        <v>3424</v>
      </c>
      <c r="F891" s="81"/>
      <c r="G891" s="306" t="s">
        <v>3425</v>
      </c>
      <c r="H891" s="142" t="s">
        <v>147</v>
      </c>
      <c r="I891" s="159" t="s">
        <v>1546</v>
      </c>
      <c r="J891" s="108">
        <v>44448</v>
      </c>
      <c r="K891" s="100">
        <v>44527</v>
      </c>
      <c r="L891" s="100">
        <v>44560</v>
      </c>
      <c r="M891" s="315" t="s">
        <v>3426</v>
      </c>
      <c r="N891" s="329" t="s">
        <v>3427</v>
      </c>
      <c r="O891" s="104" t="s">
        <v>523</v>
      </c>
      <c r="P891" s="230">
        <v>35305.13</v>
      </c>
      <c r="Q891" s="318">
        <v>7266.5</v>
      </c>
      <c r="R891" s="131"/>
      <c r="S891" s="132"/>
      <c r="T891" s="102">
        <v>28038.63</v>
      </c>
      <c r="U891" s="100"/>
      <c r="V891" s="102"/>
      <c r="W891" s="210"/>
    </row>
    <row r="892" s="43" customFormat="1" ht="22" hidden="1" customHeight="1" spans="1:23">
      <c r="A892" s="261" t="s">
        <v>3428</v>
      </c>
      <c r="B892" s="174" t="s">
        <v>2863</v>
      </c>
      <c r="C892" s="175"/>
      <c r="D892" s="229" t="s">
        <v>31</v>
      </c>
      <c r="E892" s="82" t="s">
        <v>3222</v>
      </c>
      <c r="F892" s="81">
        <f>IFERROR(VLOOKUP(E892,客户!B:C,2,FALSE),"/")</f>
        <v>0</v>
      </c>
      <c r="G892" s="306" t="s">
        <v>3429</v>
      </c>
      <c r="H892" s="142" t="s">
        <v>123</v>
      </c>
      <c r="I892" s="159" t="s">
        <v>3233</v>
      </c>
      <c r="J892" s="108">
        <v>44449</v>
      </c>
      <c r="K892" s="100">
        <v>44507</v>
      </c>
      <c r="L892" s="100"/>
      <c r="M892" s="315" t="s">
        <v>3430</v>
      </c>
      <c r="N892" s="329" t="s">
        <v>3431</v>
      </c>
      <c r="O892" s="104" t="s">
        <v>970</v>
      </c>
      <c r="P892" s="230">
        <v>29061.9</v>
      </c>
      <c r="Q892" s="318">
        <v>8719</v>
      </c>
      <c r="R892" s="131"/>
      <c r="S892" s="132"/>
      <c r="T892" s="102">
        <f>619.2+19723.7</f>
        <v>20342.9</v>
      </c>
      <c r="U892" s="100"/>
      <c r="V892" s="102"/>
      <c r="W892" s="210"/>
    </row>
    <row r="893" s="43" customFormat="1" ht="22" hidden="1" customHeight="1" spans="1:23">
      <c r="A893" s="261" t="s">
        <v>3432</v>
      </c>
      <c r="B893" s="174" t="s">
        <v>2863</v>
      </c>
      <c r="C893" s="175"/>
      <c r="D893" s="229" t="s">
        <v>31</v>
      </c>
      <c r="E893" s="82" t="s">
        <v>3272</v>
      </c>
      <c r="F893" s="81">
        <f>IFERROR(VLOOKUP(E893,客户!B:C,2,FALSE),"/")</f>
        <v>0</v>
      </c>
      <c r="G893" s="306" t="s">
        <v>3087</v>
      </c>
      <c r="H893" s="142" t="s">
        <v>147</v>
      </c>
      <c r="I893" s="159" t="s">
        <v>1546</v>
      </c>
      <c r="J893" s="108">
        <v>44456</v>
      </c>
      <c r="K893" s="100">
        <v>44491</v>
      </c>
      <c r="L893" s="100">
        <v>44543</v>
      </c>
      <c r="M893" s="315" t="s">
        <v>3433</v>
      </c>
      <c r="N893" s="329" t="s">
        <v>3434</v>
      </c>
      <c r="O893" s="104" t="s">
        <v>523</v>
      </c>
      <c r="P893" s="230">
        <v>39581.28</v>
      </c>
      <c r="Q893" s="318">
        <v>6151.02</v>
      </c>
      <c r="R893" s="131"/>
      <c r="S893" s="132"/>
      <c r="T893" s="102">
        <v>33430.26</v>
      </c>
      <c r="U893" s="100"/>
      <c r="V893" s="102"/>
      <c r="W893" s="210"/>
    </row>
    <row r="894" s="43" customFormat="1" ht="22" hidden="1" customHeight="1" spans="1:23">
      <c r="A894" s="261" t="s">
        <v>3435</v>
      </c>
      <c r="B894" s="174" t="s">
        <v>2863</v>
      </c>
      <c r="C894" s="175"/>
      <c r="D894" s="229" t="s">
        <v>31</v>
      </c>
      <c r="E894" s="82" t="s">
        <v>3272</v>
      </c>
      <c r="F894" s="81">
        <f>IFERROR(VLOOKUP(E894,客户!B:C,2,FALSE),"/")</f>
        <v>0</v>
      </c>
      <c r="G894" s="306" t="s">
        <v>3436</v>
      </c>
      <c r="H894" s="142" t="s">
        <v>147</v>
      </c>
      <c r="I894" s="159" t="s">
        <v>1546</v>
      </c>
      <c r="J894" s="108">
        <v>44456</v>
      </c>
      <c r="K894" s="100">
        <v>44527</v>
      </c>
      <c r="L894" s="100">
        <v>44557</v>
      </c>
      <c r="M894" s="315" t="s">
        <v>3437</v>
      </c>
      <c r="N894" s="329" t="s">
        <v>3438</v>
      </c>
      <c r="O894" s="104" t="s">
        <v>523</v>
      </c>
      <c r="P894" s="230">
        <v>81140.46</v>
      </c>
      <c r="Q894" s="318">
        <v>12302.04</v>
      </c>
      <c r="R894" s="131"/>
      <c r="S894" s="132"/>
      <c r="T894" s="102">
        <v>68838.42</v>
      </c>
      <c r="U894" s="100"/>
      <c r="V894" s="102"/>
      <c r="W894" s="210"/>
    </row>
    <row r="895" s="43" customFormat="1" ht="22" hidden="1" customHeight="1" spans="1:23">
      <c r="A895" s="292" t="s">
        <v>3439</v>
      </c>
      <c r="B895" s="174" t="s">
        <v>2863</v>
      </c>
      <c r="C895" s="175"/>
      <c r="D895" s="229" t="s">
        <v>31</v>
      </c>
      <c r="E895" s="82" t="s">
        <v>3213</v>
      </c>
      <c r="F895" s="81">
        <f>IFERROR(VLOOKUP(E895,客户!B:C,2,FALSE),"/")</f>
        <v>0</v>
      </c>
      <c r="G895" s="306" t="s">
        <v>3440</v>
      </c>
      <c r="H895" s="142" t="s">
        <v>123</v>
      </c>
      <c r="I895" s="159" t="s">
        <v>1546</v>
      </c>
      <c r="J895" s="108">
        <v>44456</v>
      </c>
      <c r="K895" s="111">
        <v>44527</v>
      </c>
      <c r="L895" s="100">
        <v>44560</v>
      </c>
      <c r="M895" s="315" t="s">
        <v>3441</v>
      </c>
      <c r="N895" s="329" t="s">
        <v>3442</v>
      </c>
      <c r="O895" s="104" t="s">
        <v>523</v>
      </c>
      <c r="P895" s="230">
        <v>112512</v>
      </c>
      <c r="Q895" s="318">
        <v>18489</v>
      </c>
      <c r="R895" s="131"/>
      <c r="S895" s="132"/>
      <c r="T895" s="102">
        <f>20000+20000+20000</f>
        <v>60000</v>
      </c>
      <c r="U895" s="102">
        <f>18552.49+15470.51</f>
        <v>34023</v>
      </c>
      <c r="V895" s="102"/>
      <c r="W895" s="210"/>
    </row>
    <row r="896" s="43" customFormat="1" ht="22" hidden="1" customHeight="1" spans="1:23">
      <c r="A896" s="261" t="s">
        <v>3443</v>
      </c>
      <c r="B896" s="174" t="s">
        <v>2863</v>
      </c>
      <c r="C896" s="175"/>
      <c r="D896" s="229" t="s">
        <v>31</v>
      </c>
      <c r="E896" s="82" t="s">
        <v>3213</v>
      </c>
      <c r="F896" s="81">
        <f>IFERROR(VLOOKUP(E896,客户!B:C,2,FALSE),"/")</f>
        <v>0</v>
      </c>
      <c r="G896" s="306" t="s">
        <v>3444</v>
      </c>
      <c r="H896" s="142" t="s">
        <v>123</v>
      </c>
      <c r="I896" s="159" t="s">
        <v>1546</v>
      </c>
      <c r="J896" s="108">
        <v>44456</v>
      </c>
      <c r="K896" s="100">
        <v>44541</v>
      </c>
      <c r="L896" s="100">
        <v>44574</v>
      </c>
      <c r="M896" s="315" t="s">
        <v>3445</v>
      </c>
      <c r="N896" s="329" t="s">
        <v>3446</v>
      </c>
      <c r="O896" s="104" t="s">
        <v>523</v>
      </c>
      <c r="P896" s="230">
        <v>76927.11</v>
      </c>
      <c r="Q896" s="318">
        <v>12327</v>
      </c>
      <c r="R896" s="131"/>
      <c r="S896" s="132"/>
      <c r="T896" s="102">
        <f>4529.49+20000</f>
        <v>24529.49</v>
      </c>
      <c r="U896" s="102">
        <f>20071+20000</f>
        <v>40071</v>
      </c>
      <c r="V896" s="102"/>
      <c r="W896" s="210"/>
    </row>
    <row r="897" s="43" customFormat="1" ht="22" hidden="1" customHeight="1" spans="1:23">
      <c r="A897" s="261" t="s">
        <v>3447</v>
      </c>
      <c r="B897" s="174" t="s">
        <v>2863</v>
      </c>
      <c r="C897" s="175"/>
      <c r="D897" s="229" t="s">
        <v>31</v>
      </c>
      <c r="E897" s="82" t="s">
        <v>3213</v>
      </c>
      <c r="F897" s="81">
        <f>IFERROR(VLOOKUP(E897,客户!B:C,2,FALSE),"/")</f>
        <v>0</v>
      </c>
      <c r="G897" s="306" t="s">
        <v>3448</v>
      </c>
      <c r="H897" s="142" t="s">
        <v>123</v>
      </c>
      <c r="I897" s="159" t="s">
        <v>1546</v>
      </c>
      <c r="J897" s="108">
        <v>44456</v>
      </c>
      <c r="K897" s="100">
        <v>44527</v>
      </c>
      <c r="L897" s="100">
        <v>44560</v>
      </c>
      <c r="M897" s="315" t="s">
        <v>3449</v>
      </c>
      <c r="N897" s="329" t="s">
        <v>3450</v>
      </c>
      <c r="O897" s="104" t="s">
        <v>523</v>
      </c>
      <c r="P897" s="230">
        <v>99936.51</v>
      </c>
      <c r="Q897" s="318">
        <v>18489</v>
      </c>
      <c r="R897" s="131"/>
      <c r="S897" s="132"/>
      <c r="T897" s="102">
        <f>20000+20000+20000+20000</f>
        <v>80000</v>
      </c>
      <c r="U897" s="102">
        <v>1447.51</v>
      </c>
      <c r="V897" s="102"/>
      <c r="W897" s="210"/>
    </row>
    <row r="898" s="43" customFormat="1" ht="22" hidden="1" customHeight="1" spans="1:23">
      <c r="A898" s="261" t="s">
        <v>3451</v>
      </c>
      <c r="B898" s="174" t="s">
        <v>2863</v>
      </c>
      <c r="C898" s="175"/>
      <c r="D898" s="229" t="s">
        <v>31</v>
      </c>
      <c r="E898" s="82" t="s">
        <v>3222</v>
      </c>
      <c r="F898" s="81"/>
      <c r="G898" s="306" t="s">
        <v>3452</v>
      </c>
      <c r="H898" s="142" t="s">
        <v>123</v>
      </c>
      <c r="I898" s="159" t="s">
        <v>3453</v>
      </c>
      <c r="J898" s="108">
        <v>44505</v>
      </c>
      <c r="K898" s="100">
        <v>44565</v>
      </c>
      <c r="L898" s="100"/>
      <c r="M898" s="315" t="s">
        <v>3454</v>
      </c>
      <c r="N898" s="329" t="s">
        <v>3455</v>
      </c>
      <c r="O898" s="104" t="s">
        <v>970</v>
      </c>
      <c r="P898" s="230">
        <v>26838.18</v>
      </c>
      <c r="Q898" s="318">
        <v>8051.45</v>
      </c>
      <c r="R898" s="131"/>
      <c r="S898" s="132"/>
      <c r="T898" s="102">
        <v>18786.73</v>
      </c>
      <c r="U898" s="100"/>
      <c r="V898" s="102"/>
      <c r="W898" s="210"/>
    </row>
    <row r="899" s="43" customFormat="1" ht="22" hidden="1" customHeight="1" spans="1:23">
      <c r="A899" s="261" t="s">
        <v>3456</v>
      </c>
      <c r="B899" s="174" t="s">
        <v>2863</v>
      </c>
      <c r="C899" s="175"/>
      <c r="D899" s="229" t="s">
        <v>31</v>
      </c>
      <c r="E899" s="82" t="s">
        <v>3242</v>
      </c>
      <c r="F899" s="81">
        <f>IFERROR(VLOOKUP(E899,客户!B:C,2,FALSE),"/")</f>
        <v>0</v>
      </c>
      <c r="G899" s="306" t="s">
        <v>3457</v>
      </c>
      <c r="H899" s="142" t="s">
        <v>147</v>
      </c>
      <c r="I899" s="159" t="s">
        <v>1546</v>
      </c>
      <c r="J899" s="108">
        <v>44511</v>
      </c>
      <c r="K899" s="100">
        <v>44570</v>
      </c>
      <c r="L899" s="100">
        <v>44606</v>
      </c>
      <c r="M899" s="315" t="s">
        <v>3458</v>
      </c>
      <c r="N899" s="329" t="s">
        <v>3459</v>
      </c>
      <c r="O899" s="104" t="s">
        <v>523</v>
      </c>
      <c r="P899" s="230">
        <v>72886</v>
      </c>
      <c r="Q899" s="318">
        <v>13761</v>
      </c>
      <c r="R899" s="131"/>
      <c r="S899" s="132"/>
      <c r="T899" s="102">
        <v>59125</v>
      </c>
      <c r="U899" s="100"/>
      <c r="V899" s="102"/>
      <c r="W899" s="210"/>
    </row>
    <row r="900" s="43" customFormat="1" ht="22" hidden="1" customHeight="1" spans="1:23">
      <c r="A900" s="261" t="s">
        <v>3460</v>
      </c>
      <c r="B900" s="174" t="s">
        <v>2863</v>
      </c>
      <c r="C900" s="175"/>
      <c r="D900" s="229" t="s">
        <v>31</v>
      </c>
      <c r="E900" s="82" t="s">
        <v>3242</v>
      </c>
      <c r="F900" s="81">
        <f>IFERROR(VLOOKUP(E900,客户!B:C,2,FALSE),"/")</f>
        <v>0</v>
      </c>
      <c r="G900" s="306" t="s">
        <v>3087</v>
      </c>
      <c r="H900" s="142" t="s">
        <v>147</v>
      </c>
      <c r="I900" s="159" t="s">
        <v>1546</v>
      </c>
      <c r="J900" s="108">
        <v>44511</v>
      </c>
      <c r="K900" s="100">
        <v>44577</v>
      </c>
      <c r="L900" s="100">
        <v>44630</v>
      </c>
      <c r="M900" s="315" t="s">
        <v>3461</v>
      </c>
      <c r="N900" s="329" t="s">
        <v>3462</v>
      </c>
      <c r="O900" s="104" t="s">
        <v>523</v>
      </c>
      <c r="P900" s="230">
        <v>39995</v>
      </c>
      <c r="Q900" s="318">
        <f>21600-Q899</f>
        <v>7839</v>
      </c>
      <c r="R900" s="131">
        <f>P900-Q900</f>
        <v>32156</v>
      </c>
      <c r="S900" s="132"/>
      <c r="T900" s="102">
        <v>32156</v>
      </c>
      <c r="U900" s="100"/>
      <c r="V900" s="102"/>
      <c r="W900" s="210"/>
    </row>
    <row r="901" s="43" customFormat="1" ht="22" hidden="1" customHeight="1" spans="1:23">
      <c r="A901" s="261" t="s">
        <v>3463</v>
      </c>
      <c r="B901" s="174" t="s">
        <v>2863</v>
      </c>
      <c r="C901" s="175"/>
      <c r="D901" s="229" t="s">
        <v>31</v>
      </c>
      <c r="E901" s="82" t="s">
        <v>3272</v>
      </c>
      <c r="F901" s="81">
        <f>IFERROR(VLOOKUP(E901,客户!B:C,2,FALSE),"/")</f>
        <v>0</v>
      </c>
      <c r="G901" s="306" t="s">
        <v>3464</v>
      </c>
      <c r="H901" s="142" t="s">
        <v>147</v>
      </c>
      <c r="I901" s="159" t="s">
        <v>1546</v>
      </c>
      <c r="J901" s="108">
        <v>44529</v>
      </c>
      <c r="K901" s="100">
        <v>44577</v>
      </c>
      <c r="L901" s="100">
        <v>44621</v>
      </c>
      <c r="M901" s="315" t="s">
        <v>3465</v>
      </c>
      <c r="N901" s="329" t="s">
        <v>3466</v>
      </c>
      <c r="O901" s="104" t="s">
        <v>523</v>
      </c>
      <c r="P901" s="230">
        <v>73617.6</v>
      </c>
      <c r="Q901" s="318">
        <v>10787.64</v>
      </c>
      <c r="R901" s="131"/>
      <c r="S901" s="132"/>
      <c r="T901" s="102">
        <v>62829.96</v>
      </c>
      <c r="U901" s="100"/>
      <c r="V901" s="102"/>
      <c r="W901" s="210"/>
    </row>
    <row r="902" s="43" customFormat="1" ht="22" hidden="1" customHeight="1" spans="1:23">
      <c r="A902" s="261" t="s">
        <v>3467</v>
      </c>
      <c r="B902" s="174" t="s">
        <v>2863</v>
      </c>
      <c r="C902" s="175"/>
      <c r="D902" s="229" t="s">
        <v>31</v>
      </c>
      <c r="E902" s="82" t="s">
        <v>3468</v>
      </c>
      <c r="F902" s="81">
        <f>IFERROR(VLOOKUP(E902,客户!B:C,2,FALSE),"/")</f>
        <v>0</v>
      </c>
      <c r="G902" s="306" t="s">
        <v>3469</v>
      </c>
      <c r="H902" s="142" t="s">
        <v>123</v>
      </c>
      <c r="I902" s="159" t="s">
        <v>3470</v>
      </c>
      <c r="J902" s="108">
        <v>44533</v>
      </c>
      <c r="K902" s="100">
        <v>44625</v>
      </c>
      <c r="L902" s="100">
        <v>44707</v>
      </c>
      <c r="M902" s="315" t="s">
        <v>3471</v>
      </c>
      <c r="N902" s="329" t="s">
        <v>3472</v>
      </c>
      <c r="O902" s="104" t="s">
        <v>970</v>
      </c>
      <c r="P902" s="230">
        <v>32697.6</v>
      </c>
      <c r="Q902" s="318"/>
      <c r="R902" s="131"/>
      <c r="S902" s="132"/>
      <c r="T902" s="102">
        <v>32697.6</v>
      </c>
      <c r="U902" s="100"/>
      <c r="V902" s="102"/>
      <c r="W902" s="210"/>
    </row>
    <row r="903" s="43" customFormat="1" ht="22" hidden="1" customHeight="1" spans="1:23">
      <c r="A903" s="261" t="s">
        <v>3473</v>
      </c>
      <c r="B903" s="174" t="s">
        <v>2863</v>
      </c>
      <c r="C903" s="175"/>
      <c r="D903" s="229" t="s">
        <v>31</v>
      </c>
      <c r="E903" s="82" t="s">
        <v>3474</v>
      </c>
      <c r="F903" s="81">
        <f>IFERROR(VLOOKUP(E903,客户!B:C,2,FALSE),"/")</f>
        <v>0</v>
      </c>
      <c r="G903" s="306" t="s">
        <v>3475</v>
      </c>
      <c r="H903" s="142" t="s">
        <v>123</v>
      </c>
      <c r="I903" s="159" t="s">
        <v>3476</v>
      </c>
      <c r="J903" s="108">
        <v>44536</v>
      </c>
      <c r="K903" s="100">
        <v>44598</v>
      </c>
      <c r="L903" s="100">
        <v>44612</v>
      </c>
      <c r="M903" s="315" t="s">
        <v>3477</v>
      </c>
      <c r="N903" s="329" t="s">
        <v>3478</v>
      </c>
      <c r="O903" s="104" t="s">
        <v>523</v>
      </c>
      <c r="P903" s="230">
        <v>35110</v>
      </c>
      <c r="Q903" s="318">
        <v>9535.95</v>
      </c>
      <c r="R903" s="131"/>
      <c r="S903" s="132"/>
      <c r="T903" s="102">
        <f>11574.05+9500</f>
        <v>21074.05</v>
      </c>
      <c r="U903" s="102">
        <v>4500</v>
      </c>
      <c r="V903" s="102"/>
      <c r="W903" s="210"/>
    </row>
    <row r="904" s="43" customFormat="1" ht="22" hidden="1" customHeight="1" spans="1:23">
      <c r="A904" s="261" t="s">
        <v>3479</v>
      </c>
      <c r="B904" s="174" t="s">
        <v>2863</v>
      </c>
      <c r="C904" s="175"/>
      <c r="D904" s="229" t="s">
        <v>31</v>
      </c>
      <c r="E904" s="82" t="s">
        <v>3213</v>
      </c>
      <c r="F904" s="81">
        <f>IFERROR(VLOOKUP(E904,客户!B:C,2,FALSE),"/")</f>
        <v>0</v>
      </c>
      <c r="G904" s="306" t="s">
        <v>3480</v>
      </c>
      <c r="H904" s="142" t="s">
        <v>123</v>
      </c>
      <c r="I904" s="159" t="s">
        <v>1546</v>
      </c>
      <c r="J904" s="108">
        <v>44537</v>
      </c>
      <c r="K904" s="100">
        <v>44694</v>
      </c>
      <c r="L904" s="100">
        <v>44732</v>
      </c>
      <c r="M904" s="315" t="s">
        <v>3481</v>
      </c>
      <c r="N904" s="329" t="s">
        <v>3482</v>
      </c>
      <c r="O904" s="104" t="s">
        <v>523</v>
      </c>
      <c r="P904" s="230">
        <v>34110.47</v>
      </c>
      <c r="Q904" s="318">
        <f>80617-Q906-Q907-Q905</f>
        <v>8752</v>
      </c>
      <c r="R904" s="131"/>
      <c r="S904" s="132"/>
      <c r="T904" s="102">
        <v>192.56</v>
      </c>
      <c r="U904" s="230">
        <v>25165.91</v>
      </c>
      <c r="V904" s="102"/>
      <c r="W904" s="210"/>
    </row>
    <row r="905" s="43" customFormat="1" ht="21" hidden="1" customHeight="1" spans="1:23">
      <c r="A905" s="261" t="s">
        <v>3483</v>
      </c>
      <c r="B905" s="174" t="s">
        <v>2863</v>
      </c>
      <c r="C905" s="175"/>
      <c r="D905" s="229" t="s">
        <v>31</v>
      </c>
      <c r="E905" s="82" t="s">
        <v>3213</v>
      </c>
      <c r="F905" s="81"/>
      <c r="G905" s="306" t="s">
        <v>3484</v>
      </c>
      <c r="H905" s="142" t="s">
        <v>123</v>
      </c>
      <c r="I905" s="159" t="s">
        <v>1546</v>
      </c>
      <c r="J905" s="108">
        <v>44537</v>
      </c>
      <c r="K905" s="100">
        <v>44680</v>
      </c>
      <c r="L905" s="100">
        <v>44718</v>
      </c>
      <c r="M905" s="315" t="s">
        <v>3485</v>
      </c>
      <c r="N905" s="329" t="s">
        <v>3486</v>
      </c>
      <c r="O905" s="104" t="s">
        <v>523</v>
      </c>
      <c r="P905" s="230">
        <v>92894.4</v>
      </c>
      <c r="Q905" s="318">
        <v>23836</v>
      </c>
      <c r="R905" s="131"/>
      <c r="S905" s="132"/>
      <c r="T905" s="102">
        <f>25000+25000</f>
        <v>50000</v>
      </c>
      <c r="U905" s="102">
        <v>19058.4</v>
      </c>
      <c r="V905" s="102"/>
      <c r="W905" s="210"/>
    </row>
    <row r="906" s="43" customFormat="1" ht="22" hidden="1" customHeight="1" spans="1:23">
      <c r="A906" s="261" t="s">
        <v>3487</v>
      </c>
      <c r="B906" s="174" t="s">
        <v>2863</v>
      </c>
      <c r="C906" s="175"/>
      <c r="D906" s="229" t="s">
        <v>31</v>
      </c>
      <c r="E906" s="82" t="s">
        <v>3213</v>
      </c>
      <c r="F906" s="81">
        <f>IFERROR(VLOOKUP(E906,客户!B:C,2,FALSE),"/")</f>
        <v>0</v>
      </c>
      <c r="G906" s="306" t="s">
        <v>3488</v>
      </c>
      <c r="H906" s="142" t="s">
        <v>123</v>
      </c>
      <c r="I906" s="159" t="s">
        <v>1546</v>
      </c>
      <c r="J906" s="108">
        <v>44537</v>
      </c>
      <c r="K906" s="100">
        <v>44591</v>
      </c>
      <c r="L906" s="100">
        <v>44627</v>
      </c>
      <c r="M906" s="315" t="s">
        <v>3489</v>
      </c>
      <c r="N906" s="329" t="s">
        <v>3490</v>
      </c>
      <c r="O906" s="104" t="s">
        <v>523</v>
      </c>
      <c r="P906" s="230">
        <v>96917.6</v>
      </c>
      <c r="Q906" s="318">
        <v>24125</v>
      </c>
      <c r="R906" s="131"/>
      <c r="S906" s="132"/>
      <c r="T906" s="102">
        <f>20000+20000</f>
        <v>40000</v>
      </c>
      <c r="U906" s="102">
        <f>20000+12792.6</f>
        <v>32792.6</v>
      </c>
      <c r="V906" s="102"/>
      <c r="W906" s="210"/>
    </row>
    <row r="907" s="43" customFormat="1" ht="22" hidden="1" customHeight="1" spans="1:23">
      <c r="A907" s="261" t="s">
        <v>3491</v>
      </c>
      <c r="B907" s="174" t="s">
        <v>2863</v>
      </c>
      <c r="C907" s="175"/>
      <c r="D907" s="229" t="s">
        <v>31</v>
      </c>
      <c r="E907" s="82" t="s">
        <v>3213</v>
      </c>
      <c r="F907" s="81">
        <f>IFERROR(VLOOKUP(E907,客户!B:C,2,FALSE),"/")</f>
        <v>0</v>
      </c>
      <c r="G907" s="306" t="s">
        <v>3492</v>
      </c>
      <c r="H907" s="142" t="s">
        <v>123</v>
      </c>
      <c r="I907" s="159" t="s">
        <v>1546</v>
      </c>
      <c r="J907" s="108">
        <v>44537</v>
      </c>
      <c r="K907" s="100">
        <v>44640</v>
      </c>
      <c r="L907" s="100">
        <v>44678</v>
      </c>
      <c r="M907" s="315" t="s">
        <v>3493</v>
      </c>
      <c r="N907" s="329" t="s">
        <v>3494</v>
      </c>
      <c r="O907" s="104" t="s">
        <v>523</v>
      </c>
      <c r="P907" s="230">
        <v>91984.3</v>
      </c>
      <c r="Q907" s="318">
        <v>23904</v>
      </c>
      <c r="R907" s="131"/>
      <c r="S907" s="132"/>
      <c r="T907" s="102">
        <v>25000</v>
      </c>
      <c r="U907" s="102">
        <f>18080+25000</f>
        <v>43080</v>
      </c>
      <c r="V907" s="102"/>
      <c r="W907" s="210"/>
    </row>
    <row r="908" s="43" customFormat="1" ht="22" hidden="1" customHeight="1" spans="1:23">
      <c r="A908" s="261" t="s">
        <v>3495</v>
      </c>
      <c r="B908" s="174" t="s">
        <v>2863</v>
      </c>
      <c r="C908" s="175"/>
      <c r="D908" s="229" t="s">
        <v>31</v>
      </c>
      <c r="E908" s="82" t="s">
        <v>3247</v>
      </c>
      <c r="F908" s="81">
        <f>IFERROR(VLOOKUP(E908,客户!B:C,2,FALSE),"/")</f>
        <v>0</v>
      </c>
      <c r="G908" s="306" t="s">
        <v>3496</v>
      </c>
      <c r="H908" s="142" t="s">
        <v>123</v>
      </c>
      <c r="I908" s="159" t="s">
        <v>1546</v>
      </c>
      <c r="J908" s="108">
        <v>44545</v>
      </c>
      <c r="K908" s="100">
        <v>44602</v>
      </c>
      <c r="L908" s="100">
        <v>44656</v>
      </c>
      <c r="M908" s="315" t="s">
        <v>3497</v>
      </c>
      <c r="N908" s="329" t="s">
        <v>3498</v>
      </c>
      <c r="O908" s="104" t="s">
        <v>523</v>
      </c>
      <c r="P908" s="230">
        <v>57100.03</v>
      </c>
      <c r="Q908" s="318">
        <f>19985+27000+10115</f>
        <v>57100</v>
      </c>
      <c r="R908" s="131"/>
      <c r="S908" s="132"/>
      <c r="T908" s="102"/>
      <c r="U908" s="100"/>
      <c r="V908" s="102"/>
      <c r="W908" s="210"/>
    </row>
    <row r="909" s="43" customFormat="1" ht="22" hidden="1" customHeight="1" spans="1:23">
      <c r="A909" s="261" t="s">
        <v>3499</v>
      </c>
      <c r="B909" s="174" t="s">
        <v>2863</v>
      </c>
      <c r="C909" s="175"/>
      <c r="D909" s="229" t="s">
        <v>31</v>
      </c>
      <c r="E909" s="82" t="s">
        <v>3222</v>
      </c>
      <c r="F909" s="81">
        <f>IFERROR(VLOOKUP(E909,客户!B:C,2,FALSE),"/")</f>
        <v>0</v>
      </c>
      <c r="G909" s="306" t="s">
        <v>3500</v>
      </c>
      <c r="H909" s="142" t="s">
        <v>123</v>
      </c>
      <c r="I909" s="159" t="s">
        <v>3501</v>
      </c>
      <c r="J909" s="108">
        <v>44547</v>
      </c>
      <c r="K909" s="100">
        <v>44601</v>
      </c>
      <c r="L909" s="100"/>
      <c r="M909" s="315" t="s">
        <v>3502</v>
      </c>
      <c r="N909" s="329" t="s">
        <v>3503</v>
      </c>
      <c r="O909" s="104" t="s">
        <v>970</v>
      </c>
      <c r="P909" s="230">
        <v>49615.9</v>
      </c>
      <c r="Q909" s="318">
        <v>49615.9</v>
      </c>
      <c r="R909" s="131"/>
      <c r="S909" s="132"/>
      <c r="T909" s="102"/>
      <c r="U909" s="100"/>
      <c r="V909" s="102"/>
      <c r="W909" s="210"/>
    </row>
    <row r="910" s="43" customFormat="1" ht="22" hidden="1" customHeight="1" spans="1:23">
      <c r="A910" s="261" t="s">
        <v>3504</v>
      </c>
      <c r="B910" s="174" t="s">
        <v>2863</v>
      </c>
      <c r="C910" s="175"/>
      <c r="D910" s="229" t="s">
        <v>31</v>
      </c>
      <c r="E910" s="82" t="s">
        <v>3222</v>
      </c>
      <c r="F910" s="81">
        <f>IFERROR(VLOOKUP(E910,客户!B:C,2,FALSE),"/")</f>
        <v>0</v>
      </c>
      <c r="G910" s="306" t="s">
        <v>3505</v>
      </c>
      <c r="H910" s="142" t="s">
        <v>123</v>
      </c>
      <c r="I910" s="159" t="s">
        <v>3453</v>
      </c>
      <c r="J910" s="108">
        <v>44547</v>
      </c>
      <c r="K910" s="100">
        <v>44588</v>
      </c>
      <c r="L910" s="100">
        <v>44623</v>
      </c>
      <c r="M910" s="315" t="s">
        <v>3506</v>
      </c>
      <c r="N910" s="329" t="s">
        <v>3240</v>
      </c>
      <c r="O910" s="104" t="s">
        <v>970</v>
      </c>
      <c r="P910" s="230">
        <v>78169.35</v>
      </c>
      <c r="Q910" s="318">
        <f>74661.01+3508.34</f>
        <v>78169.35</v>
      </c>
      <c r="R910" s="131"/>
      <c r="S910" s="132"/>
      <c r="T910" s="102"/>
      <c r="U910" s="100"/>
      <c r="V910" s="102"/>
      <c r="W910" s="210"/>
    </row>
    <row r="911" s="43" customFormat="1" ht="22" hidden="1" customHeight="1" spans="1:23">
      <c r="A911" s="261" t="s">
        <v>3507</v>
      </c>
      <c r="B911" s="174" t="s">
        <v>2863</v>
      </c>
      <c r="C911" s="175"/>
      <c r="D911" s="229" t="s">
        <v>31</v>
      </c>
      <c r="E911" s="82" t="s">
        <v>3213</v>
      </c>
      <c r="F911" s="81">
        <f>IFERROR(VLOOKUP(E911,客户!B:C,2,FALSE),"/")</f>
        <v>0</v>
      </c>
      <c r="G911" s="306" t="s">
        <v>3508</v>
      </c>
      <c r="H911" s="142" t="s">
        <v>123</v>
      </c>
      <c r="I911" s="159" t="s">
        <v>1546</v>
      </c>
      <c r="J911" s="108">
        <v>44562</v>
      </c>
      <c r="K911" s="100">
        <v>44631</v>
      </c>
      <c r="L911" s="100">
        <v>44674</v>
      </c>
      <c r="M911" s="315" t="s">
        <v>3509</v>
      </c>
      <c r="N911" s="329" t="s">
        <v>3510</v>
      </c>
      <c r="O911" s="104" t="s">
        <v>523</v>
      </c>
      <c r="P911" s="230">
        <v>31467.03</v>
      </c>
      <c r="Q911" s="318">
        <v>8000</v>
      </c>
      <c r="R911" s="131"/>
      <c r="S911" s="132"/>
      <c r="T911" s="102">
        <v>23467.03</v>
      </c>
      <c r="U911" s="100"/>
      <c r="V911" s="102"/>
      <c r="W911" s="210"/>
    </row>
    <row r="912" s="43" customFormat="1" ht="22" hidden="1" customHeight="1" spans="1:23">
      <c r="A912" s="261" t="s">
        <v>3511</v>
      </c>
      <c r="B912" s="174" t="s">
        <v>2863</v>
      </c>
      <c r="C912" s="175"/>
      <c r="D912" s="229" t="s">
        <v>31</v>
      </c>
      <c r="E912" s="82" t="s">
        <v>3213</v>
      </c>
      <c r="F912" s="81">
        <f>IFERROR(VLOOKUP(E912,客户!B:C,2,FALSE),"/")</f>
        <v>0</v>
      </c>
      <c r="G912" s="307" t="s">
        <v>3512</v>
      </c>
      <c r="H912" s="142" t="s">
        <v>123</v>
      </c>
      <c r="I912" s="159" t="s">
        <v>1546</v>
      </c>
      <c r="J912" s="108">
        <v>44622</v>
      </c>
      <c r="K912" s="100">
        <v>44680</v>
      </c>
      <c r="L912" s="100">
        <v>44718</v>
      </c>
      <c r="M912" s="315" t="s">
        <v>3513</v>
      </c>
      <c r="N912" s="329" t="s">
        <v>3514</v>
      </c>
      <c r="O912" s="104" t="s">
        <v>523</v>
      </c>
      <c r="P912" s="230">
        <v>37956.44</v>
      </c>
      <c r="Q912" s="318">
        <v>7207.4</v>
      </c>
      <c r="R912" s="131"/>
      <c r="S912" s="132"/>
      <c r="T912" s="102">
        <v>5941.6</v>
      </c>
      <c r="U912" s="230">
        <v>24807.44</v>
      </c>
      <c r="V912" s="102"/>
      <c r="W912" s="210"/>
    </row>
    <row r="913" s="43" customFormat="1" ht="22" hidden="1" customHeight="1" spans="1:23">
      <c r="A913" s="293" t="s">
        <v>3515</v>
      </c>
      <c r="B913" s="174" t="s">
        <v>2863</v>
      </c>
      <c r="C913" s="175"/>
      <c r="D913" s="229" t="s">
        <v>3</v>
      </c>
      <c r="E913" s="82" t="s">
        <v>3516</v>
      </c>
      <c r="F913" s="81">
        <f>IFERROR(VLOOKUP(E913,客户!B:C,2,FALSE),"/")</f>
        <v>0</v>
      </c>
      <c r="G913" s="307" t="s">
        <v>3517</v>
      </c>
      <c r="H913" s="142" t="s">
        <v>123</v>
      </c>
      <c r="I913" s="159"/>
      <c r="J913" s="108">
        <v>44627</v>
      </c>
      <c r="K913" s="100"/>
      <c r="L913" s="100"/>
      <c r="M913" s="315" t="s">
        <v>3518</v>
      </c>
      <c r="N913" s="329"/>
      <c r="O913" s="104" t="s">
        <v>523</v>
      </c>
      <c r="P913" s="331">
        <v>230881.7</v>
      </c>
      <c r="Q913" s="318">
        <v>20000</v>
      </c>
      <c r="R913" s="131"/>
      <c r="S913" s="132"/>
      <c r="T913" s="102"/>
      <c r="U913" s="100"/>
      <c r="V913" s="102"/>
      <c r="W913" s="210"/>
    </row>
    <row r="914" s="43" customFormat="1" ht="22" hidden="1" customHeight="1" spans="1:23">
      <c r="A914" s="293" t="s">
        <v>3519</v>
      </c>
      <c r="B914" s="174" t="s">
        <v>2863</v>
      </c>
      <c r="C914" s="175"/>
      <c r="D914" s="229" t="s">
        <v>2</v>
      </c>
      <c r="E914" s="82" t="s">
        <v>3516</v>
      </c>
      <c r="F914" s="81"/>
      <c r="G914" s="307" t="s">
        <v>3520</v>
      </c>
      <c r="H914" s="142" t="s">
        <v>123</v>
      </c>
      <c r="I914" s="159" t="s">
        <v>3521</v>
      </c>
      <c r="J914" s="108">
        <v>44627</v>
      </c>
      <c r="K914" s="100">
        <v>44728</v>
      </c>
      <c r="L914" s="100">
        <v>44757</v>
      </c>
      <c r="M914" s="315" t="s">
        <v>1787</v>
      </c>
      <c r="N914" s="329" t="s">
        <v>3522</v>
      </c>
      <c r="O914" s="104" t="s">
        <v>523</v>
      </c>
      <c r="P914" s="230">
        <v>86610.09</v>
      </c>
      <c r="Q914" s="318"/>
      <c r="R914" s="131"/>
      <c r="S914" s="132"/>
      <c r="T914" s="102"/>
      <c r="U914" s="100"/>
      <c r="V914" s="102"/>
      <c r="W914" s="210"/>
    </row>
    <row r="915" s="43" customFormat="1" ht="22" hidden="1" customHeight="1" spans="1:23">
      <c r="A915" s="293" t="s">
        <v>3523</v>
      </c>
      <c r="B915" s="174" t="s">
        <v>2863</v>
      </c>
      <c r="C915" s="175"/>
      <c r="D915" s="229" t="s">
        <v>2</v>
      </c>
      <c r="E915" s="82" t="s">
        <v>3516</v>
      </c>
      <c r="F915" s="81">
        <f>IFERROR(VLOOKUP(E915,客户!B:C,2,FALSE),"/")</f>
        <v>0</v>
      </c>
      <c r="G915" s="307" t="s">
        <v>3524</v>
      </c>
      <c r="H915" s="142" t="s">
        <v>123</v>
      </c>
      <c r="I915" s="159"/>
      <c r="J915" s="108">
        <v>44627</v>
      </c>
      <c r="K915" s="100">
        <v>44707</v>
      </c>
      <c r="L915" s="100">
        <v>44764</v>
      </c>
      <c r="M915" s="315" t="s">
        <v>3525</v>
      </c>
      <c r="N915" s="329" t="s">
        <v>3526</v>
      </c>
      <c r="O915" s="104" t="s">
        <v>523</v>
      </c>
      <c r="P915" s="230">
        <v>86099.64</v>
      </c>
      <c r="Q915" s="318"/>
      <c r="R915" s="131"/>
      <c r="S915" s="132"/>
      <c r="T915" s="102">
        <v>28885.5</v>
      </c>
      <c r="U915" s="100"/>
      <c r="V915" s="102"/>
      <c r="W915" s="210"/>
    </row>
    <row r="916" s="43" customFormat="1" ht="22" hidden="1" customHeight="1" spans="1:23">
      <c r="A916" s="293" t="s">
        <v>3527</v>
      </c>
      <c r="B916" s="174" t="s">
        <v>2863</v>
      </c>
      <c r="C916" s="175"/>
      <c r="D916" s="229" t="s">
        <v>3</v>
      </c>
      <c r="E916" s="82" t="s">
        <v>3288</v>
      </c>
      <c r="F916" s="81" t="str">
        <f>IFERROR(VLOOKUP(E916,客户!B:C,2,FALSE),"/")</f>
        <v>安哥拉门及配件给清单  灯的清单和照片 如果HScode是九十五章  提前和报关货代说
2021.3.4收¥55000(汇率6.46，折合美金$8512.93)
冻结中</v>
      </c>
      <c r="G916" s="307" t="s">
        <v>3528</v>
      </c>
      <c r="H916" s="142" t="s">
        <v>123</v>
      </c>
      <c r="I916" s="159" t="s">
        <v>3069</v>
      </c>
      <c r="J916" s="108">
        <v>44629</v>
      </c>
      <c r="K916" s="100"/>
      <c r="L916" s="100"/>
      <c r="M916" s="315" t="s">
        <v>3529</v>
      </c>
      <c r="N916" s="329"/>
      <c r="O916" s="104" t="s">
        <v>523</v>
      </c>
      <c r="P916" s="331">
        <v>62389</v>
      </c>
      <c r="Q916" s="318">
        <f>40000/6.3061</f>
        <v>6343.06465168646</v>
      </c>
      <c r="R916" s="131"/>
      <c r="S916" s="132"/>
      <c r="T916" s="102"/>
      <c r="U916" s="100"/>
      <c r="V916" s="102"/>
      <c r="W916" s="210"/>
    </row>
    <row r="917" s="43" customFormat="1" ht="22" hidden="1" customHeight="1" spans="1:23">
      <c r="A917" s="261" t="s">
        <v>3530</v>
      </c>
      <c r="B917" s="174" t="s">
        <v>2863</v>
      </c>
      <c r="C917" s="175"/>
      <c r="D917" s="229" t="s">
        <v>31</v>
      </c>
      <c r="E917" s="82" t="s">
        <v>3272</v>
      </c>
      <c r="F917" s="81">
        <f>IFERROR(VLOOKUP(E917,客户!B:C,2,FALSE),"/")</f>
        <v>0</v>
      </c>
      <c r="G917" s="307" t="s">
        <v>3531</v>
      </c>
      <c r="H917" s="142" t="s">
        <v>147</v>
      </c>
      <c r="I917" s="159" t="s">
        <v>1546</v>
      </c>
      <c r="J917" s="108">
        <v>44631</v>
      </c>
      <c r="K917" s="100">
        <v>44680</v>
      </c>
      <c r="L917" s="100">
        <v>44710</v>
      </c>
      <c r="M917" s="315" t="s">
        <v>3532</v>
      </c>
      <c r="N917" s="329" t="s">
        <v>3533</v>
      </c>
      <c r="O917" s="104" t="s">
        <v>523</v>
      </c>
      <c r="P917" s="230">
        <v>61650</v>
      </c>
      <c r="Q917" s="318">
        <v>9667.5</v>
      </c>
      <c r="R917" s="131"/>
      <c r="S917" s="132"/>
      <c r="T917" s="102">
        <v>51982.5</v>
      </c>
      <c r="U917" s="100"/>
      <c r="V917" s="102"/>
      <c r="W917" s="210"/>
    </row>
    <row r="918" s="43" customFormat="1" ht="22" hidden="1" customHeight="1" spans="1:23">
      <c r="A918" s="261" t="s">
        <v>3534</v>
      </c>
      <c r="B918" s="174" t="s">
        <v>2863</v>
      </c>
      <c r="C918" s="175"/>
      <c r="D918" s="229" t="s">
        <v>31</v>
      </c>
      <c r="E918" s="82" t="s">
        <v>3222</v>
      </c>
      <c r="F918" s="81">
        <f>IFERROR(VLOOKUP(E918,客户!B:C,2,FALSE),"/")</f>
        <v>0</v>
      </c>
      <c r="G918" s="307" t="s">
        <v>3535</v>
      </c>
      <c r="H918" s="142" t="s">
        <v>123</v>
      </c>
      <c r="I918" s="159" t="s">
        <v>3453</v>
      </c>
      <c r="J918" s="108">
        <v>44652</v>
      </c>
      <c r="K918" s="100">
        <v>44730</v>
      </c>
      <c r="L918" s="100"/>
      <c r="M918" s="315" t="s">
        <v>3536</v>
      </c>
      <c r="N918" s="329" t="s">
        <v>3537</v>
      </c>
      <c r="O918" s="104" t="s">
        <v>970</v>
      </c>
      <c r="P918" s="230">
        <v>27819.48</v>
      </c>
      <c r="Q918" s="318">
        <v>8377</v>
      </c>
      <c r="R918" s="131"/>
      <c r="S918" s="132"/>
      <c r="T918" s="102">
        <v>19442.48</v>
      </c>
      <c r="U918" s="100"/>
      <c r="V918" s="102"/>
      <c r="W918" s="210"/>
    </row>
    <row r="919" s="43" customFormat="1" ht="22" hidden="1" customHeight="1" spans="1:23">
      <c r="A919" s="261" t="s">
        <v>3538</v>
      </c>
      <c r="B919" s="174" t="s">
        <v>2863</v>
      </c>
      <c r="C919" s="175"/>
      <c r="D919" s="229" t="s">
        <v>31</v>
      </c>
      <c r="E919" s="82" t="s">
        <v>3222</v>
      </c>
      <c r="F919" s="81">
        <f>IFERROR(VLOOKUP(E919,客户!B:C,2,FALSE),"/")</f>
        <v>0</v>
      </c>
      <c r="G919" s="307" t="s">
        <v>3539</v>
      </c>
      <c r="H919" s="142" t="s">
        <v>123</v>
      </c>
      <c r="I919" s="159" t="s">
        <v>3233</v>
      </c>
      <c r="J919" s="108">
        <v>44652</v>
      </c>
      <c r="K919" s="100">
        <v>44723</v>
      </c>
      <c r="L919" s="100"/>
      <c r="M919" s="315" t="s">
        <v>3540</v>
      </c>
      <c r="N919" s="329" t="s">
        <v>3537</v>
      </c>
      <c r="O919" s="104" t="s">
        <v>970</v>
      </c>
      <c r="P919" s="230">
        <v>27924.2</v>
      </c>
      <c r="Q919" s="318">
        <v>8386</v>
      </c>
      <c r="R919" s="131"/>
      <c r="S919" s="132"/>
      <c r="T919" s="102">
        <v>19538.2</v>
      </c>
      <c r="U919" s="100"/>
      <c r="V919" s="102"/>
      <c r="W919" s="210"/>
    </row>
    <row r="920" s="43" customFormat="1" ht="22" hidden="1" customHeight="1" spans="1:23">
      <c r="A920" s="293" t="s">
        <v>3541</v>
      </c>
      <c r="B920" s="174" t="s">
        <v>2863</v>
      </c>
      <c r="C920" s="175"/>
      <c r="D920" s="229" t="s">
        <v>3</v>
      </c>
      <c r="E920" s="82" t="s">
        <v>3542</v>
      </c>
      <c r="F920" s="81">
        <f>IFERROR(VLOOKUP(E920,客户!B:C,2,FALSE),"/")</f>
        <v>0</v>
      </c>
      <c r="G920" s="307" t="s">
        <v>3543</v>
      </c>
      <c r="H920" s="142" t="s">
        <v>186</v>
      </c>
      <c r="I920" s="159"/>
      <c r="J920" s="108">
        <v>44653</v>
      </c>
      <c r="K920" s="100"/>
      <c r="L920" s="100"/>
      <c r="M920" s="315" t="s">
        <v>3544</v>
      </c>
      <c r="N920" s="329"/>
      <c r="O920" s="104" t="s">
        <v>970</v>
      </c>
      <c r="P920" s="332">
        <v>12950</v>
      </c>
      <c r="Q920" s="318">
        <v>5000</v>
      </c>
      <c r="R920" s="131"/>
      <c r="S920" s="132"/>
      <c r="T920" s="102"/>
      <c r="U920" s="100"/>
      <c r="V920" s="102"/>
      <c r="W920" s="210"/>
    </row>
    <row r="921" s="43" customFormat="1" ht="22" hidden="1" customHeight="1" spans="1:23">
      <c r="A921" s="293" t="s">
        <v>3545</v>
      </c>
      <c r="B921" s="174" t="s">
        <v>2863</v>
      </c>
      <c r="C921" s="175"/>
      <c r="D921" s="229" t="s">
        <v>3</v>
      </c>
      <c r="E921" s="82" t="s">
        <v>3546</v>
      </c>
      <c r="F921" s="81">
        <f>IFERROR(VLOOKUP(E921,客户!B:C,2,FALSE),"/")</f>
        <v>0</v>
      </c>
      <c r="G921" s="307" t="s">
        <v>3547</v>
      </c>
      <c r="H921" s="142" t="s">
        <v>186</v>
      </c>
      <c r="I921" s="159"/>
      <c r="J921" s="108">
        <v>44654</v>
      </c>
      <c r="K921" s="100"/>
      <c r="L921" s="100"/>
      <c r="M921" s="315" t="s">
        <v>3548</v>
      </c>
      <c r="N921" s="329"/>
      <c r="O921" s="104" t="s">
        <v>970</v>
      </c>
      <c r="P921" s="332">
        <v>439830</v>
      </c>
      <c r="Q921" s="240">
        <f>50000+75000</f>
        <v>125000</v>
      </c>
      <c r="R921" s="131"/>
      <c r="S921" s="132"/>
      <c r="T921" s="102"/>
      <c r="U921" s="100"/>
      <c r="V921" s="102"/>
      <c r="W921" s="210"/>
    </row>
    <row r="922" s="43" customFormat="1" ht="22" customHeight="1" spans="1:23">
      <c r="A922" s="293" t="s">
        <v>3549</v>
      </c>
      <c r="B922" s="174" t="s">
        <v>2863</v>
      </c>
      <c r="C922" s="175"/>
      <c r="D922" s="229" t="s">
        <v>1</v>
      </c>
      <c r="E922" s="82" t="s">
        <v>3242</v>
      </c>
      <c r="F922" s="81">
        <f>IFERROR(VLOOKUP(E922,客户!B:C,2,FALSE),"/")</f>
        <v>0</v>
      </c>
      <c r="G922" s="307" t="s">
        <v>3550</v>
      </c>
      <c r="H922" s="142" t="s">
        <v>147</v>
      </c>
      <c r="I922" s="159" t="s">
        <v>1546</v>
      </c>
      <c r="J922" s="108">
        <v>44670</v>
      </c>
      <c r="K922" s="100">
        <v>44736</v>
      </c>
      <c r="L922" s="100"/>
      <c r="M922" s="315" t="s">
        <v>3551</v>
      </c>
      <c r="N922" s="329" t="s">
        <v>3552</v>
      </c>
      <c r="O922" s="104" t="s">
        <v>523</v>
      </c>
      <c r="P922" s="230">
        <v>76573.7</v>
      </c>
      <c r="Q922" s="318">
        <v>14518.74</v>
      </c>
      <c r="R922" s="131">
        <f>P922-Q922</f>
        <v>62054.96</v>
      </c>
      <c r="S922" s="132"/>
      <c r="T922" s="102"/>
      <c r="U922" s="100"/>
      <c r="V922" s="102"/>
      <c r="W922" s="210"/>
    </row>
    <row r="923" s="43" customFormat="1" ht="22" customHeight="1" spans="1:23">
      <c r="A923" s="293" t="s">
        <v>3553</v>
      </c>
      <c r="B923" s="174" t="s">
        <v>2863</v>
      </c>
      <c r="C923" s="175"/>
      <c r="D923" s="229" t="s">
        <v>1</v>
      </c>
      <c r="E923" s="82" t="s">
        <v>3272</v>
      </c>
      <c r="F923" s="81">
        <f>IFERROR(VLOOKUP(E923,客户!B:C,2,FALSE),"/")</f>
        <v>0</v>
      </c>
      <c r="G923" s="307" t="s">
        <v>3554</v>
      </c>
      <c r="H923" s="142" t="s">
        <v>147</v>
      </c>
      <c r="I923" s="159" t="s">
        <v>1546</v>
      </c>
      <c r="J923" s="108">
        <v>44672</v>
      </c>
      <c r="K923" s="100">
        <v>44729</v>
      </c>
      <c r="L923" s="100">
        <v>44766</v>
      </c>
      <c r="M923" s="325" t="s">
        <v>3555</v>
      </c>
      <c r="N923" s="329" t="s">
        <v>3556</v>
      </c>
      <c r="O923" s="104" t="s">
        <v>523</v>
      </c>
      <c r="P923" s="230">
        <v>109345.44</v>
      </c>
      <c r="Q923" s="318">
        <v>15233.1</v>
      </c>
      <c r="R923" s="131">
        <f>P923-Q923</f>
        <v>94112.34</v>
      </c>
      <c r="S923" s="132"/>
      <c r="T923" s="102"/>
      <c r="U923" s="100"/>
      <c r="V923" s="102"/>
      <c r="W923" s="210"/>
    </row>
    <row r="924" s="43" customFormat="1" ht="22" hidden="1" customHeight="1" spans="1:23">
      <c r="A924" s="293" t="s">
        <v>3557</v>
      </c>
      <c r="B924" s="174" t="s">
        <v>2863</v>
      </c>
      <c r="C924" s="175"/>
      <c r="D924" s="229" t="s">
        <v>3</v>
      </c>
      <c r="E924" s="82" t="s">
        <v>3222</v>
      </c>
      <c r="F924" s="81">
        <f>IFERROR(VLOOKUP(E924,客户!B:C,2,FALSE),"/")</f>
        <v>0</v>
      </c>
      <c r="G924" s="307" t="s">
        <v>3558</v>
      </c>
      <c r="H924" s="142" t="s">
        <v>123</v>
      </c>
      <c r="I924" s="159" t="s">
        <v>3453</v>
      </c>
      <c r="J924" s="108">
        <v>44678</v>
      </c>
      <c r="K924" s="100"/>
      <c r="L924" s="100"/>
      <c r="M924" s="315" t="s">
        <v>3559</v>
      </c>
      <c r="N924" s="329"/>
      <c r="O924" s="104" t="s">
        <v>970</v>
      </c>
      <c r="P924" s="230">
        <f>82644.75-P925</f>
        <v>28909.84</v>
      </c>
      <c r="Q924" s="318">
        <v>24928</v>
      </c>
      <c r="R924" s="131">
        <v>447.97</v>
      </c>
      <c r="S924" s="132"/>
      <c r="T924" s="102">
        <v>57268.78</v>
      </c>
      <c r="U924" s="100"/>
      <c r="V924" s="102"/>
      <c r="W924" s="210"/>
    </row>
    <row r="925" s="43" customFormat="1" ht="22" hidden="1" customHeight="1" spans="1:23">
      <c r="A925" s="261" t="s">
        <v>3560</v>
      </c>
      <c r="B925" s="174" t="s">
        <v>2863</v>
      </c>
      <c r="C925" s="175"/>
      <c r="D925" s="229" t="s">
        <v>2</v>
      </c>
      <c r="E925" s="82" t="s">
        <v>3222</v>
      </c>
      <c r="F925" s="81">
        <f>IFERROR(VLOOKUP(E925,客户!B:C,2,FALSE),"/")</f>
        <v>0</v>
      </c>
      <c r="G925" s="307" t="s">
        <v>3561</v>
      </c>
      <c r="H925" s="142" t="s">
        <v>123</v>
      </c>
      <c r="I925" s="159" t="s">
        <v>3453</v>
      </c>
      <c r="J925" s="108">
        <v>44678</v>
      </c>
      <c r="K925" s="100">
        <v>44737</v>
      </c>
      <c r="L925" s="100"/>
      <c r="M925" s="315" t="s">
        <v>3562</v>
      </c>
      <c r="N925" s="329" t="s">
        <v>3563</v>
      </c>
      <c r="O925" s="104" t="s">
        <v>970</v>
      </c>
      <c r="P925" s="230">
        <v>53734.91</v>
      </c>
      <c r="Q925" s="318"/>
      <c r="R925" s="131"/>
      <c r="S925" s="132"/>
      <c r="T925" s="102"/>
      <c r="U925" s="100"/>
      <c r="V925" s="102"/>
      <c r="W925" s="210"/>
    </row>
    <row r="926" s="43" customFormat="1" ht="22" hidden="1" customHeight="1" spans="1:23">
      <c r="A926" s="293" t="s">
        <v>3564</v>
      </c>
      <c r="B926" s="174" t="s">
        <v>2863</v>
      </c>
      <c r="C926" s="175"/>
      <c r="D926" s="229" t="s">
        <v>3</v>
      </c>
      <c r="E926" s="82" t="s">
        <v>3565</v>
      </c>
      <c r="F926" s="81">
        <f>IFERROR(VLOOKUP(E926,客户!B:C,2,FALSE),"/")</f>
        <v>0</v>
      </c>
      <c r="G926" s="307" t="s">
        <v>3566</v>
      </c>
      <c r="H926" s="142" t="s">
        <v>123</v>
      </c>
      <c r="I926" s="159" t="s">
        <v>3567</v>
      </c>
      <c r="J926" s="108">
        <v>44693</v>
      </c>
      <c r="K926" s="100"/>
      <c r="L926" s="100"/>
      <c r="M926" s="315" t="s">
        <v>3568</v>
      </c>
      <c r="N926" s="329"/>
      <c r="O926" s="104" t="s">
        <v>523</v>
      </c>
      <c r="P926" s="332">
        <v>74530</v>
      </c>
      <c r="Q926" s="240">
        <v>22359</v>
      </c>
      <c r="R926" s="131"/>
      <c r="S926" s="132"/>
      <c r="T926" s="102"/>
      <c r="U926" s="100"/>
      <c r="V926" s="102"/>
      <c r="W926" s="210"/>
    </row>
    <row r="927" s="43" customFormat="1" ht="22" hidden="1" customHeight="1" spans="1:23">
      <c r="A927" s="293" t="s">
        <v>3569</v>
      </c>
      <c r="B927" s="174" t="s">
        <v>2863</v>
      </c>
      <c r="C927" s="175"/>
      <c r="D927" s="229" t="s">
        <v>3</v>
      </c>
      <c r="E927" s="82" t="s">
        <v>3213</v>
      </c>
      <c r="F927" s="81">
        <f>IFERROR(VLOOKUP(E927,客户!B:C,2,FALSE),"/")</f>
        <v>0</v>
      </c>
      <c r="G927" s="307" t="s">
        <v>3570</v>
      </c>
      <c r="H927" s="142" t="s">
        <v>123</v>
      </c>
      <c r="I927" s="159" t="s">
        <v>1546</v>
      </c>
      <c r="J927" s="108">
        <v>44694</v>
      </c>
      <c r="K927" s="100"/>
      <c r="L927" s="100"/>
      <c r="M927" s="315" t="s">
        <v>3571</v>
      </c>
      <c r="N927" s="329"/>
      <c r="O927" s="104" t="s">
        <v>523</v>
      </c>
      <c r="P927" s="331">
        <v>331061.45</v>
      </c>
      <c r="Q927" s="102">
        <f>25000*4</f>
        <v>100000</v>
      </c>
      <c r="R927" s="131"/>
      <c r="S927" s="132"/>
      <c r="T927" s="102"/>
      <c r="U927" s="100"/>
      <c r="V927" s="102"/>
      <c r="W927" s="210"/>
    </row>
    <row r="928" s="43" customFormat="1" ht="22" customHeight="1" spans="1:23">
      <c r="A928" s="293" t="s">
        <v>3572</v>
      </c>
      <c r="B928" s="174" t="s">
        <v>2863</v>
      </c>
      <c r="C928" s="175"/>
      <c r="D928" s="229" t="s">
        <v>1</v>
      </c>
      <c r="E928" s="82" t="s">
        <v>3213</v>
      </c>
      <c r="F928" s="81">
        <f>IFERROR(VLOOKUP(E928,客户!B:C,2,FALSE),"/")</f>
        <v>0</v>
      </c>
      <c r="G928" s="307" t="s">
        <v>3573</v>
      </c>
      <c r="H928" s="142" t="s">
        <v>123</v>
      </c>
      <c r="I928" s="159" t="s">
        <v>1546</v>
      </c>
      <c r="J928" s="108">
        <v>44694</v>
      </c>
      <c r="K928" s="100">
        <v>44736</v>
      </c>
      <c r="L928" s="100"/>
      <c r="M928" s="315" t="s">
        <v>3574</v>
      </c>
      <c r="N928" s="329" t="s">
        <v>3575</v>
      </c>
      <c r="O928" s="104" t="s">
        <v>523</v>
      </c>
      <c r="P928" s="230">
        <v>99010.6</v>
      </c>
      <c r="Q928" s="102"/>
      <c r="R928" s="131"/>
      <c r="S928" s="132"/>
      <c r="T928" s="102"/>
      <c r="U928" s="100"/>
      <c r="V928" s="102"/>
      <c r="W928" s="210"/>
    </row>
    <row r="929" s="43" customFormat="1" ht="22" hidden="1" customHeight="1" spans="1:23">
      <c r="A929" s="293" t="s">
        <v>3576</v>
      </c>
      <c r="B929" s="174" t="s">
        <v>2863</v>
      </c>
      <c r="C929" s="175"/>
      <c r="D929" s="229" t="s">
        <v>3</v>
      </c>
      <c r="E929" s="82" t="s">
        <v>3299</v>
      </c>
      <c r="F929" s="81">
        <f>IFERROR(VLOOKUP(E929,客户!B:C,2,FALSE),"/")</f>
        <v>0</v>
      </c>
      <c r="G929" s="307" t="s">
        <v>3577</v>
      </c>
      <c r="H929" s="142" t="s">
        <v>147</v>
      </c>
      <c r="I929" s="159" t="s">
        <v>2947</v>
      </c>
      <c r="J929" s="108">
        <v>44709</v>
      </c>
      <c r="K929" s="100"/>
      <c r="L929" s="100"/>
      <c r="M929" s="315" t="s">
        <v>3578</v>
      </c>
      <c r="N929" s="329"/>
      <c r="O929" s="104" t="s">
        <v>523</v>
      </c>
      <c r="P929" s="331">
        <v>33576</v>
      </c>
      <c r="Q929" s="318">
        <v>10073</v>
      </c>
      <c r="R929" s="131"/>
      <c r="S929" s="132"/>
      <c r="T929" s="102"/>
      <c r="U929" s="100"/>
      <c r="V929" s="102"/>
      <c r="W929" s="210"/>
    </row>
    <row r="930" s="43" customFormat="1" ht="22" hidden="1" customHeight="1" spans="1:23">
      <c r="A930" s="293" t="s">
        <v>3579</v>
      </c>
      <c r="B930" s="174" t="s">
        <v>2863</v>
      </c>
      <c r="C930" s="175"/>
      <c r="D930" s="229" t="s">
        <v>3</v>
      </c>
      <c r="E930" s="82" t="s">
        <v>3580</v>
      </c>
      <c r="F930" s="81">
        <f>IFERROR(VLOOKUP(E930,客户!B:C,2,FALSE),"/")</f>
        <v>0</v>
      </c>
      <c r="G930" s="307" t="s">
        <v>3581</v>
      </c>
      <c r="H930" s="142" t="s">
        <v>186</v>
      </c>
      <c r="I930" s="159"/>
      <c r="J930" s="108">
        <v>44721</v>
      </c>
      <c r="K930" s="100"/>
      <c r="L930" s="100"/>
      <c r="M930" s="315"/>
      <c r="N930" s="329"/>
      <c r="O930" s="104" t="s">
        <v>970</v>
      </c>
      <c r="P930" s="332">
        <v>106205</v>
      </c>
      <c r="Q930" s="240">
        <v>30000</v>
      </c>
      <c r="R930" s="131"/>
      <c r="S930" s="132"/>
      <c r="T930" s="102"/>
      <c r="U930" s="100"/>
      <c r="V930" s="102"/>
      <c r="W930" s="210"/>
    </row>
    <row r="931" s="43" customFormat="1" ht="22" hidden="1" customHeight="1" spans="1:23">
      <c r="A931" s="255"/>
      <c r="B931" s="174"/>
      <c r="C931" s="175"/>
      <c r="D931" s="45"/>
      <c r="E931" s="80"/>
      <c r="F931" s="81" t="str">
        <f>IFERROR(VLOOKUP(E931,客户!B:C,2,FALSE),"/")</f>
        <v>/</v>
      </c>
      <c r="G931" s="80"/>
      <c r="H931" s="142"/>
      <c r="I931" s="108"/>
      <c r="J931" s="108"/>
      <c r="K931" s="100"/>
      <c r="L931" s="100"/>
      <c r="M931" s="181"/>
      <c r="N931" s="102"/>
      <c r="O931" s="104"/>
      <c r="P931" s="230"/>
      <c r="Q931" s="230"/>
      <c r="R931" s="131"/>
      <c r="S931" s="132"/>
      <c r="T931" s="102"/>
      <c r="U931" s="100"/>
      <c r="V931" s="102"/>
      <c r="W931" s="210"/>
    </row>
    <row r="932" s="43" customFormat="1" ht="22" hidden="1" customHeight="1" spans="1:23">
      <c r="A932" s="144" t="s">
        <v>3582</v>
      </c>
      <c r="B932" s="174"/>
      <c r="C932" s="175"/>
      <c r="D932" s="45" t="s">
        <v>31</v>
      </c>
      <c r="E932" s="45" t="s">
        <v>3583</v>
      </c>
      <c r="F932" s="81" t="str">
        <f>IFERROR(VLOOKUP(E932,客户!B:C,2,FALSE),"/")</f>
        <v>/</v>
      </c>
      <c r="G932" s="45" t="s">
        <v>3584</v>
      </c>
      <c r="H932" s="143" t="s">
        <v>123</v>
      </c>
      <c r="I932" s="108" t="s">
        <v>3585</v>
      </c>
      <c r="J932" s="108">
        <v>43552</v>
      </c>
      <c r="K932" s="100">
        <v>43571</v>
      </c>
      <c r="L932" s="100">
        <v>43613</v>
      </c>
      <c r="M932" s="181" t="s">
        <v>3586</v>
      </c>
      <c r="N932" s="102" t="s">
        <v>3587</v>
      </c>
      <c r="O932" s="104"/>
      <c r="P932" s="230">
        <v>15894.12</v>
      </c>
      <c r="Q932" s="317">
        <v>40584</v>
      </c>
      <c r="R932" s="131">
        <v>0</v>
      </c>
      <c r="S932" s="132"/>
      <c r="T932" s="317">
        <v>83267</v>
      </c>
      <c r="U932" s="100">
        <v>43566</v>
      </c>
      <c r="V932" s="102"/>
      <c r="W932" s="210"/>
    </row>
    <row r="933" s="43" customFormat="1" ht="22" hidden="1" customHeight="1" spans="1:23">
      <c r="A933" s="144" t="s">
        <v>3588</v>
      </c>
      <c r="B933" s="174" t="s">
        <v>2863</v>
      </c>
      <c r="C933" s="175"/>
      <c r="D933" s="45" t="s">
        <v>31</v>
      </c>
      <c r="E933" s="229" t="s">
        <v>3002</v>
      </c>
      <c r="F933" s="81" t="str">
        <f>IFERROR(VLOOKUP(E933,客户!B:C,2,FALSE),"/")</f>
        <v>安哥拉门及配件给清单  灯的清单和照片 如果HScode是九十五章  提前和报关货代说
2021.3.4收¥55000(汇率6.46，折合美金$8512.93)
冻结中</v>
      </c>
      <c r="G933" s="45" t="s">
        <v>3589</v>
      </c>
      <c r="H933" s="143" t="s">
        <v>123</v>
      </c>
      <c r="I933" s="108" t="s">
        <v>3590</v>
      </c>
      <c r="J933" s="108">
        <v>43594</v>
      </c>
      <c r="K933" s="100">
        <v>43618</v>
      </c>
      <c r="L933" s="100">
        <v>43660</v>
      </c>
      <c r="M933" s="181"/>
      <c r="N933" s="102" t="s">
        <v>3591</v>
      </c>
      <c r="O933" s="104"/>
      <c r="P933" s="230">
        <v>16395.93</v>
      </c>
      <c r="Q933" s="317"/>
      <c r="R933" s="131">
        <v>0</v>
      </c>
      <c r="S933" s="132"/>
      <c r="T933" s="317">
        <v>75338</v>
      </c>
      <c r="U933" s="100">
        <v>43650</v>
      </c>
      <c r="V933" s="102"/>
      <c r="W933" s="210"/>
    </row>
    <row r="934" s="43" customFormat="1" ht="22" hidden="1" customHeight="1" spans="1:23">
      <c r="A934" s="144" t="s">
        <v>3592</v>
      </c>
      <c r="B934" s="174" t="s">
        <v>2863</v>
      </c>
      <c r="C934" s="175"/>
      <c r="D934" s="45" t="s">
        <v>31</v>
      </c>
      <c r="E934" s="80" t="s">
        <v>2880</v>
      </c>
      <c r="F934" s="81">
        <f>IFERROR(VLOOKUP(E934,客户!B:C,2,FALSE),"/")</f>
        <v>0</v>
      </c>
      <c r="G934" s="45" t="s">
        <v>3584</v>
      </c>
      <c r="H934" s="143" t="s">
        <v>123</v>
      </c>
      <c r="I934" s="108" t="s">
        <v>3593</v>
      </c>
      <c r="J934" s="108">
        <v>43594</v>
      </c>
      <c r="K934" s="100">
        <v>43634</v>
      </c>
      <c r="L934" s="100">
        <v>43659</v>
      </c>
      <c r="M934" s="163" t="s">
        <v>3594</v>
      </c>
      <c r="N934" s="102" t="s">
        <v>3595</v>
      </c>
      <c r="O934" s="104"/>
      <c r="P934" s="230">
        <v>14740.74</v>
      </c>
      <c r="Q934" s="230">
        <v>3364</v>
      </c>
      <c r="R934" s="131">
        <v>0</v>
      </c>
      <c r="S934" s="132"/>
      <c r="T934" s="102">
        <v>11366</v>
      </c>
      <c r="U934" s="100">
        <v>43656</v>
      </c>
      <c r="V934" s="102"/>
      <c r="W934" s="210"/>
    </row>
    <row r="935" s="43" customFormat="1" ht="22" hidden="1" customHeight="1" spans="1:23">
      <c r="A935" s="144" t="s">
        <v>3596</v>
      </c>
      <c r="B935" s="174" t="s">
        <v>2863</v>
      </c>
      <c r="C935" s="175"/>
      <c r="D935" s="45" t="s">
        <v>31</v>
      </c>
      <c r="E935" s="80" t="s">
        <v>2880</v>
      </c>
      <c r="F935" s="81">
        <f>IFERROR(VLOOKUP(E935,客户!B:C,2,FALSE),"/")</f>
        <v>0</v>
      </c>
      <c r="G935" s="45" t="s">
        <v>3584</v>
      </c>
      <c r="H935" s="143" t="s">
        <v>123</v>
      </c>
      <c r="I935" s="108" t="s">
        <v>3593</v>
      </c>
      <c r="J935" s="108">
        <v>43811</v>
      </c>
      <c r="K935" s="100">
        <v>43899</v>
      </c>
      <c r="L935" s="100">
        <v>43931</v>
      </c>
      <c r="M935" s="333" t="s">
        <v>3597</v>
      </c>
      <c r="N935" s="246" t="s">
        <v>3598</v>
      </c>
      <c r="O935" s="104" t="s">
        <v>523</v>
      </c>
      <c r="P935" s="230">
        <v>14230.94</v>
      </c>
      <c r="Q935" s="230">
        <v>3039</v>
      </c>
      <c r="R935" s="131"/>
      <c r="S935" s="132"/>
      <c r="T935" s="102">
        <v>11191</v>
      </c>
      <c r="U935" s="100"/>
      <c r="V935" s="246" t="s">
        <v>3599</v>
      </c>
      <c r="W935" s="210"/>
    </row>
    <row r="936" s="43" customFormat="1" ht="22" hidden="1" customHeight="1" spans="1:23">
      <c r="A936" s="144" t="s">
        <v>3600</v>
      </c>
      <c r="B936" s="174" t="s">
        <v>2863</v>
      </c>
      <c r="C936" s="175"/>
      <c r="D936" s="229" t="s">
        <v>31</v>
      </c>
      <c r="E936" s="82" t="s">
        <v>3601</v>
      </c>
      <c r="F936" s="81">
        <f>IFERROR(VLOOKUP(E936,客户!B:C,2,FALSE),"/")</f>
        <v>0</v>
      </c>
      <c r="G936" s="45" t="s">
        <v>3602</v>
      </c>
      <c r="H936" s="143" t="s">
        <v>123</v>
      </c>
      <c r="I936" s="108" t="s">
        <v>3603</v>
      </c>
      <c r="J936" s="108">
        <v>44088</v>
      </c>
      <c r="K936" s="100">
        <v>44281</v>
      </c>
      <c r="L936" s="100">
        <v>44341</v>
      </c>
      <c r="M936" s="334" t="s">
        <v>3604</v>
      </c>
      <c r="N936" s="246" t="s">
        <v>3605</v>
      </c>
      <c r="O936" s="104" t="s">
        <v>970</v>
      </c>
      <c r="P936" s="230">
        <v>18607.55</v>
      </c>
      <c r="Q936" s="230">
        <v>6800</v>
      </c>
      <c r="R936" s="131"/>
      <c r="S936" s="132"/>
      <c r="T936" s="102">
        <v>11807.55</v>
      </c>
      <c r="U936" s="100"/>
      <c r="V936" s="102"/>
      <c r="W936" s="210"/>
    </row>
    <row r="937" s="43" customFormat="1" ht="22" hidden="1" customHeight="1" spans="1:23">
      <c r="A937" s="144" t="s">
        <v>3606</v>
      </c>
      <c r="B937" s="174" t="s">
        <v>2863</v>
      </c>
      <c r="C937" s="175"/>
      <c r="D937" s="45" t="s">
        <v>31</v>
      </c>
      <c r="E937" s="82" t="s">
        <v>3247</v>
      </c>
      <c r="F937" s="81">
        <f>IFERROR(VLOOKUP(E937,客户!B:C,2,FALSE),"/")</f>
        <v>0</v>
      </c>
      <c r="G937" s="45" t="s">
        <v>3607</v>
      </c>
      <c r="H937" s="143" t="s">
        <v>123</v>
      </c>
      <c r="I937" s="108" t="s">
        <v>3593</v>
      </c>
      <c r="J937" s="108">
        <v>44098</v>
      </c>
      <c r="K937" s="100">
        <v>44129</v>
      </c>
      <c r="L937" s="100">
        <v>44151</v>
      </c>
      <c r="M937" s="333" t="s">
        <v>3608</v>
      </c>
      <c r="N937" s="246" t="s">
        <v>3609</v>
      </c>
      <c r="O937" s="104" t="s">
        <v>523</v>
      </c>
      <c r="P937" s="230">
        <v>9001.98</v>
      </c>
      <c r="Q937" s="230">
        <v>2320</v>
      </c>
      <c r="R937" s="131"/>
      <c r="S937" s="132"/>
      <c r="T937" s="102">
        <v>6681</v>
      </c>
      <c r="U937" s="100"/>
      <c r="V937" s="102"/>
      <c r="W937" s="210"/>
    </row>
    <row r="938" s="43" customFormat="1" ht="22" hidden="1" customHeight="1" spans="1:23">
      <c r="A938" s="255"/>
      <c r="B938" s="174"/>
      <c r="C938" s="175"/>
      <c r="D938" s="45"/>
      <c r="E938" s="80"/>
      <c r="F938" s="81" t="str">
        <f>IFERROR(VLOOKUP(E938,客户!B:C,2,FALSE),"/")</f>
        <v>/</v>
      </c>
      <c r="G938" s="45"/>
      <c r="H938" s="143"/>
      <c r="I938" s="108" t="s">
        <v>3610</v>
      </c>
      <c r="J938" s="108"/>
      <c r="K938" s="100"/>
      <c r="L938" s="197"/>
      <c r="M938" s="181"/>
      <c r="N938" s="102"/>
      <c r="O938" s="104"/>
      <c r="P938" s="230"/>
      <c r="Q938" s="317"/>
      <c r="R938" s="131"/>
      <c r="S938" s="132"/>
      <c r="T938" s="317"/>
      <c r="U938" s="100"/>
      <c r="V938" s="102"/>
      <c r="W938" s="210"/>
    </row>
    <row r="939" s="43" customFormat="1" ht="22" hidden="1" customHeight="1" spans="1:23">
      <c r="A939" s="144" t="s">
        <v>3611</v>
      </c>
      <c r="B939" s="174"/>
      <c r="C939" s="175"/>
      <c r="D939" s="45"/>
      <c r="E939" s="80"/>
      <c r="F939" s="81" t="str">
        <f>IFERROR(VLOOKUP(E939,客户!B:C,2,FALSE),"/")</f>
        <v>/</v>
      </c>
      <c r="G939" s="45"/>
      <c r="H939" s="45"/>
      <c r="I939" s="45"/>
      <c r="J939" s="108"/>
      <c r="K939" s="100"/>
      <c r="L939" s="100"/>
      <c r="M939" s="108"/>
      <c r="N939" s="108"/>
      <c r="O939" s="104"/>
      <c r="P939" s="102"/>
      <c r="Q939" s="102"/>
      <c r="R939" s="131"/>
      <c r="S939" s="132"/>
      <c r="T939" s="102"/>
      <c r="U939" s="100"/>
      <c r="V939" s="130"/>
      <c r="W939" s="285"/>
    </row>
    <row r="940" s="43" customFormat="1" ht="22" hidden="1" customHeight="1" spans="1:23">
      <c r="A940" s="144" t="s">
        <v>3612</v>
      </c>
      <c r="B940" s="174" t="s">
        <v>3613</v>
      </c>
      <c r="C940" s="175"/>
      <c r="D940" s="45" t="s">
        <v>31</v>
      </c>
      <c r="E940" s="80" t="s">
        <v>3614</v>
      </c>
      <c r="F940" s="81">
        <f>IFERROR(VLOOKUP(E940,客户!B:C,2,FALSE),"/")</f>
        <v>0</v>
      </c>
      <c r="G940" s="80" t="s">
        <v>3615</v>
      </c>
      <c r="H940" s="45" t="s">
        <v>123</v>
      </c>
      <c r="I940" s="45"/>
      <c r="J940" s="108">
        <v>43297</v>
      </c>
      <c r="K940" s="100"/>
      <c r="L940" s="100"/>
      <c r="M940" s="108"/>
      <c r="N940" s="162" t="s">
        <v>3616</v>
      </c>
      <c r="O940" s="104"/>
      <c r="P940" s="128">
        <v>22473.1</v>
      </c>
      <c r="Q940" s="102">
        <v>17300</v>
      </c>
      <c r="R940" s="131"/>
      <c r="S940" s="132"/>
      <c r="T940" s="102">
        <v>5173.1</v>
      </c>
      <c r="U940" s="100"/>
      <c r="V940" s="128"/>
      <c r="W940" s="285"/>
    </row>
    <row r="941" s="43" customFormat="1" ht="22" hidden="1" customHeight="1" spans="1:23">
      <c r="A941" s="144" t="s">
        <v>3617</v>
      </c>
      <c r="B941" s="174" t="s">
        <v>3613</v>
      </c>
      <c r="C941" s="175"/>
      <c r="D941" s="45" t="s">
        <v>31</v>
      </c>
      <c r="E941" s="80" t="s">
        <v>3618</v>
      </c>
      <c r="F941" s="81">
        <f>IFERROR(VLOOKUP(E941,客户!B:C,2,FALSE),"/")</f>
        <v>0</v>
      </c>
      <c r="G941" s="80" t="s">
        <v>3619</v>
      </c>
      <c r="H941" s="45" t="s">
        <v>154</v>
      </c>
      <c r="I941" s="45"/>
      <c r="J941" s="108">
        <v>43305</v>
      </c>
      <c r="K941" s="100"/>
      <c r="L941" s="100"/>
      <c r="M941" s="108"/>
      <c r="N941" s="177" t="s">
        <v>3620</v>
      </c>
      <c r="O941" s="104"/>
      <c r="P941" s="102">
        <v>24110</v>
      </c>
      <c r="Q941" s="102">
        <v>7380</v>
      </c>
      <c r="R941" s="131"/>
      <c r="S941" s="132"/>
      <c r="T941" s="102">
        <v>17023</v>
      </c>
      <c r="U941" s="100"/>
      <c r="V941" s="102"/>
      <c r="W941" s="285"/>
    </row>
    <row r="942" s="43" customFormat="1" ht="22" hidden="1" customHeight="1" spans="1:23">
      <c r="A942" s="145" t="s">
        <v>3621</v>
      </c>
      <c r="B942" s="174" t="s">
        <v>3613</v>
      </c>
      <c r="C942" s="175"/>
      <c r="D942" s="45" t="s">
        <v>31</v>
      </c>
      <c r="E942" s="80" t="s">
        <v>3622</v>
      </c>
      <c r="F942" s="81">
        <f>IFERROR(VLOOKUP(E942,客户!B:C,2,FALSE),"/")</f>
        <v>0</v>
      </c>
      <c r="G942" s="80" t="s">
        <v>3623</v>
      </c>
      <c r="H942" s="45" t="s">
        <v>123</v>
      </c>
      <c r="I942" s="45"/>
      <c r="J942" s="108">
        <v>43277</v>
      </c>
      <c r="K942" s="100"/>
      <c r="L942" s="100"/>
      <c r="M942" s="108"/>
      <c r="N942" s="162" t="s">
        <v>3624</v>
      </c>
      <c r="O942" s="104"/>
      <c r="P942" s="102">
        <v>25347</v>
      </c>
      <c r="Q942" s="294" t="s">
        <v>3625</v>
      </c>
      <c r="R942" s="131"/>
      <c r="S942" s="132"/>
      <c r="T942" s="102">
        <f>(100000+40925)/6.8</f>
        <v>20724.2647058824</v>
      </c>
      <c r="U942" s="100"/>
      <c r="V942" s="102"/>
      <c r="W942" s="210"/>
    </row>
    <row r="943" s="43" customFormat="1" ht="22" hidden="1" customHeight="1" spans="1:23">
      <c r="A943" s="144" t="s">
        <v>3626</v>
      </c>
      <c r="B943" s="174" t="s">
        <v>3613</v>
      </c>
      <c r="C943" s="175"/>
      <c r="D943" s="45" t="s">
        <v>31</v>
      </c>
      <c r="E943" s="330" t="s">
        <v>3627</v>
      </c>
      <c r="F943" s="81">
        <f>IFERROR(VLOOKUP(E943,客户!B:C,2,FALSE),"/")</f>
        <v>0</v>
      </c>
      <c r="G943" s="294" t="s">
        <v>3628</v>
      </c>
      <c r="H943" s="294" t="s">
        <v>154</v>
      </c>
      <c r="I943" s="294"/>
      <c r="J943" s="108">
        <v>43321</v>
      </c>
      <c r="K943" s="100"/>
      <c r="L943" s="100"/>
      <c r="M943" s="108"/>
      <c r="N943" s="162" t="s">
        <v>3629</v>
      </c>
      <c r="O943" s="104"/>
      <c r="P943" s="102">
        <v>21534.8</v>
      </c>
      <c r="Q943" s="294" t="s">
        <v>3630</v>
      </c>
      <c r="R943" s="131"/>
      <c r="S943" s="132"/>
      <c r="T943" s="102">
        <v>21534.8</v>
      </c>
      <c r="U943" s="100"/>
      <c r="V943" s="102"/>
      <c r="W943" s="210"/>
    </row>
    <row r="944" s="43" customFormat="1" ht="22" hidden="1" customHeight="1" spans="1:23">
      <c r="A944" s="144" t="s">
        <v>3631</v>
      </c>
      <c r="B944" s="174" t="s">
        <v>3613</v>
      </c>
      <c r="C944" s="175"/>
      <c r="D944" s="45" t="s">
        <v>31</v>
      </c>
      <c r="E944" s="330" t="s">
        <v>3627</v>
      </c>
      <c r="F944" s="81">
        <f>IFERROR(VLOOKUP(E944,客户!B:C,2,FALSE),"/")</f>
        <v>0</v>
      </c>
      <c r="G944" s="294" t="s">
        <v>3628</v>
      </c>
      <c r="H944" s="294" t="s">
        <v>154</v>
      </c>
      <c r="I944" s="294"/>
      <c r="J944" s="108">
        <v>43332</v>
      </c>
      <c r="K944" s="100"/>
      <c r="L944" s="100"/>
      <c r="M944" s="108"/>
      <c r="N944" s="159" t="s">
        <v>3632</v>
      </c>
      <c r="O944" s="104"/>
      <c r="P944" s="102">
        <v>21762.3</v>
      </c>
      <c r="Q944" s="294" t="s">
        <v>3630</v>
      </c>
      <c r="R944" s="131"/>
      <c r="S944" s="132"/>
      <c r="T944" s="102">
        <v>21762.3</v>
      </c>
      <c r="U944" s="100"/>
      <c r="V944" s="102"/>
      <c r="W944" s="210"/>
    </row>
    <row r="945" s="43" customFormat="1" ht="22" hidden="1" customHeight="1" spans="1:23">
      <c r="A945" s="145" t="s">
        <v>3633</v>
      </c>
      <c r="B945" s="174" t="s">
        <v>3613</v>
      </c>
      <c r="C945" s="175"/>
      <c r="D945" s="45" t="s">
        <v>31</v>
      </c>
      <c r="E945" s="330" t="s">
        <v>3634</v>
      </c>
      <c r="F945" s="81" t="str">
        <f>IFERROR(VLOOKUP(E945,客户!B:C,2,FALSE),"/")</f>
        <v>/</v>
      </c>
      <c r="G945" s="143" t="s">
        <v>3635</v>
      </c>
      <c r="H945" s="143" t="s">
        <v>123</v>
      </c>
      <c r="I945" s="143"/>
      <c r="J945" s="108">
        <v>43356</v>
      </c>
      <c r="K945" s="100"/>
      <c r="L945" s="100"/>
      <c r="M945" s="108"/>
      <c r="N945" s="162" t="s">
        <v>3636</v>
      </c>
      <c r="O945" s="104"/>
      <c r="P945" s="102">
        <v>19737.4</v>
      </c>
      <c r="Q945" s="143"/>
      <c r="R945" s="131"/>
      <c r="S945" s="132"/>
      <c r="T945" s="102"/>
      <c r="U945" s="100"/>
      <c r="V945" s="130"/>
      <c r="W945" s="210"/>
    </row>
    <row r="946" s="43" customFormat="1" ht="22" hidden="1" customHeight="1" spans="1:23">
      <c r="A946" s="144" t="s">
        <v>3637</v>
      </c>
      <c r="B946" s="174" t="s">
        <v>3613</v>
      </c>
      <c r="C946" s="175"/>
      <c r="D946" s="45" t="s">
        <v>31</v>
      </c>
      <c r="E946" s="330" t="s">
        <v>3638</v>
      </c>
      <c r="F946" s="81">
        <f>IFERROR(VLOOKUP(E946,客户!B:C,2,FALSE),"/")</f>
        <v>0</v>
      </c>
      <c r="G946" s="143" t="s">
        <v>3639</v>
      </c>
      <c r="H946" s="143" t="s">
        <v>154</v>
      </c>
      <c r="I946" s="143"/>
      <c r="J946" s="108">
        <v>43350</v>
      </c>
      <c r="K946" s="100"/>
      <c r="L946" s="100"/>
      <c r="M946" s="108"/>
      <c r="N946" s="159" t="s">
        <v>3640</v>
      </c>
      <c r="O946" s="104"/>
      <c r="P946" s="102">
        <v>20250</v>
      </c>
      <c r="Q946" s="143"/>
      <c r="R946" s="131"/>
      <c r="S946" s="132"/>
      <c r="T946" s="102">
        <v>20190</v>
      </c>
      <c r="U946" s="100"/>
      <c r="V946" s="128"/>
      <c r="W946" s="210"/>
    </row>
    <row r="947" s="43" customFormat="1" ht="22" hidden="1" customHeight="1" spans="1:23">
      <c r="A947" s="145" t="s">
        <v>3641</v>
      </c>
      <c r="B947" s="174" t="s">
        <v>3613</v>
      </c>
      <c r="C947" s="175"/>
      <c r="D947" s="45" t="s">
        <v>31</v>
      </c>
      <c r="E947" s="330" t="s">
        <v>3642</v>
      </c>
      <c r="F947" s="81">
        <f>IFERROR(VLOOKUP(E947,客户!B:C,2,FALSE),"/")</f>
        <v>0</v>
      </c>
      <c r="G947" s="143" t="s">
        <v>3643</v>
      </c>
      <c r="H947" s="143" t="s">
        <v>123</v>
      </c>
      <c r="I947" s="143"/>
      <c r="J947" s="108">
        <v>43364</v>
      </c>
      <c r="K947" s="100"/>
      <c r="L947" s="100"/>
      <c r="M947" s="108"/>
      <c r="N947" s="162" t="s">
        <v>3644</v>
      </c>
      <c r="O947" s="104"/>
      <c r="P947" s="102">
        <v>17224.05</v>
      </c>
      <c r="Q947" s="102">
        <v>11988.71</v>
      </c>
      <c r="R947" s="131"/>
      <c r="S947" s="132"/>
      <c r="T947" s="102"/>
      <c r="U947" s="100"/>
      <c r="V947" s="189"/>
      <c r="W947" s="210"/>
    </row>
    <row r="948" s="45" customFormat="1" ht="22" hidden="1" customHeight="1" spans="1:23">
      <c r="A948" s="45" t="s">
        <v>3645</v>
      </c>
      <c r="B948" s="174" t="s">
        <v>3613</v>
      </c>
      <c r="C948" s="175"/>
      <c r="D948" s="45" t="s">
        <v>31</v>
      </c>
      <c r="E948" s="80" t="s">
        <v>3646</v>
      </c>
      <c r="F948" s="81">
        <f>IFERROR(VLOOKUP(E948,客户!B:C,2,FALSE),"/")</f>
        <v>0</v>
      </c>
      <c r="G948" s="45" t="s">
        <v>2252</v>
      </c>
      <c r="J948" s="159">
        <v>43372</v>
      </c>
      <c r="K948" s="100"/>
      <c r="L948" s="100"/>
      <c r="M948" s="108"/>
      <c r="N948" s="159" t="s">
        <v>3647</v>
      </c>
      <c r="O948" s="104"/>
      <c r="P948" s="102">
        <v>20167.2</v>
      </c>
      <c r="R948" s="131"/>
      <c r="S948" s="132"/>
      <c r="T948" s="102"/>
      <c r="U948" s="100"/>
      <c r="V948" s="128"/>
      <c r="W948" s="210"/>
    </row>
    <row r="949" s="43" customFormat="1" ht="22" hidden="1" customHeight="1" spans="1:23">
      <c r="A949" s="144" t="s">
        <v>3648</v>
      </c>
      <c r="B949" s="174" t="s">
        <v>3613</v>
      </c>
      <c r="C949" s="175"/>
      <c r="D949" s="45" t="s">
        <v>31</v>
      </c>
      <c r="E949" s="330" t="s">
        <v>3627</v>
      </c>
      <c r="F949" s="81">
        <f>IFERROR(VLOOKUP(E949,客户!B:C,2,FALSE),"/")</f>
        <v>0</v>
      </c>
      <c r="G949" s="143" t="s">
        <v>3649</v>
      </c>
      <c r="H949" s="143"/>
      <c r="I949" s="143"/>
      <c r="J949" s="108">
        <v>43381</v>
      </c>
      <c r="K949" s="100"/>
      <c r="L949" s="100"/>
      <c r="M949" s="108"/>
      <c r="N949" s="159" t="s">
        <v>3650</v>
      </c>
      <c r="O949" s="104"/>
      <c r="P949" s="102">
        <v>20940</v>
      </c>
      <c r="Q949" s="143"/>
      <c r="R949" s="131"/>
      <c r="S949" s="132"/>
      <c r="T949" s="102">
        <v>20940</v>
      </c>
      <c r="U949" s="100"/>
      <c r="V949" s="128"/>
      <c r="W949" s="210"/>
    </row>
    <row r="950" s="43" customFormat="1" ht="22" hidden="1" customHeight="1" spans="1:23">
      <c r="A950" s="144" t="s">
        <v>3651</v>
      </c>
      <c r="B950" s="174" t="s">
        <v>3613</v>
      </c>
      <c r="C950" s="175"/>
      <c r="D950" s="45" t="s">
        <v>31</v>
      </c>
      <c r="E950" s="330" t="s">
        <v>3627</v>
      </c>
      <c r="F950" s="81">
        <f>IFERROR(VLOOKUP(E950,客户!B:C,2,FALSE),"/")</f>
        <v>0</v>
      </c>
      <c r="G950" s="143" t="s">
        <v>3649</v>
      </c>
      <c r="H950" s="143"/>
      <c r="I950" s="143"/>
      <c r="J950" s="108">
        <v>43399</v>
      </c>
      <c r="K950" s="100"/>
      <c r="L950" s="100"/>
      <c r="M950" s="108"/>
      <c r="N950" s="159" t="s">
        <v>3652</v>
      </c>
      <c r="O950" s="104"/>
      <c r="P950" s="102">
        <v>21840.4</v>
      </c>
      <c r="Q950" s="143" t="s">
        <v>3630</v>
      </c>
      <c r="R950" s="131"/>
      <c r="S950" s="132"/>
      <c r="T950" s="102">
        <v>21840</v>
      </c>
      <c r="U950" s="100"/>
      <c r="V950" s="128"/>
      <c r="W950" s="336"/>
    </row>
    <row r="951" s="43" customFormat="1" ht="22" hidden="1" customHeight="1" spans="1:23">
      <c r="A951" s="144" t="s">
        <v>3653</v>
      </c>
      <c r="B951" s="174" t="s">
        <v>3613</v>
      </c>
      <c r="C951" s="175"/>
      <c r="D951" s="45" t="s">
        <v>31</v>
      </c>
      <c r="E951" s="330" t="s">
        <v>3627</v>
      </c>
      <c r="F951" s="81">
        <f>IFERROR(VLOOKUP(E951,客户!B:C,2,FALSE),"/")</f>
        <v>0</v>
      </c>
      <c r="G951" s="143" t="s">
        <v>3654</v>
      </c>
      <c r="H951" s="143"/>
      <c r="I951" s="143"/>
      <c r="J951" s="108">
        <v>43409</v>
      </c>
      <c r="K951" s="100"/>
      <c r="L951" s="100"/>
      <c r="M951" s="108"/>
      <c r="N951" s="159" t="s">
        <v>3652</v>
      </c>
      <c r="O951" s="104"/>
      <c r="P951" s="102">
        <v>21414.2</v>
      </c>
      <c r="Q951" s="143" t="s">
        <v>3630</v>
      </c>
      <c r="R951" s="131"/>
      <c r="S951" s="132"/>
      <c r="T951" s="102">
        <v>21414.2</v>
      </c>
      <c r="U951" s="100"/>
      <c r="V951" s="102"/>
      <c r="W951" s="210"/>
    </row>
    <row r="952" s="43" customFormat="1" ht="22" hidden="1" customHeight="1" spans="1:23">
      <c r="A952" s="144" t="s">
        <v>3655</v>
      </c>
      <c r="B952" s="174" t="s">
        <v>3613</v>
      </c>
      <c r="C952" s="175"/>
      <c r="D952" s="45" t="s">
        <v>31</v>
      </c>
      <c r="E952" s="330" t="s">
        <v>3656</v>
      </c>
      <c r="F952" s="81" t="str">
        <f>IFERROR(VLOOKUP(E952,客户!B:C,2,FALSE),"/")</f>
        <v>/</v>
      </c>
      <c r="G952" s="143" t="s">
        <v>3657</v>
      </c>
      <c r="H952" s="143"/>
      <c r="I952" s="143"/>
      <c r="J952" s="108">
        <v>43400</v>
      </c>
      <c r="K952" s="100">
        <v>43448</v>
      </c>
      <c r="L952" s="100">
        <v>43488</v>
      </c>
      <c r="M952" s="108"/>
      <c r="N952" s="159" t="s">
        <v>3658</v>
      </c>
      <c r="O952" s="104"/>
      <c r="P952" s="102">
        <v>34864.38</v>
      </c>
      <c r="Q952" s="102">
        <v>7246</v>
      </c>
      <c r="R952" s="131"/>
      <c r="S952" s="132"/>
      <c r="T952" s="102" t="s">
        <v>3659</v>
      </c>
      <c r="U952" s="100">
        <v>43483</v>
      </c>
      <c r="V952" s="139"/>
      <c r="W952" s="210"/>
    </row>
    <row r="953" s="43" customFormat="1" ht="22" hidden="1" customHeight="1" spans="1:23">
      <c r="A953" s="144" t="s">
        <v>3660</v>
      </c>
      <c r="B953" s="174" t="s">
        <v>3613</v>
      </c>
      <c r="C953" s="175"/>
      <c r="D953" s="45" t="s">
        <v>31</v>
      </c>
      <c r="E953" s="330" t="s">
        <v>3661</v>
      </c>
      <c r="F953" s="81" t="str">
        <f>IFERROR(VLOOKUP(E953,客户!B:C,2,FALSE),"/")</f>
        <v>/</v>
      </c>
      <c r="G953" s="143" t="s">
        <v>3662</v>
      </c>
      <c r="H953" s="143"/>
      <c r="I953" s="335" t="s">
        <v>3663</v>
      </c>
      <c r="J953" s="108">
        <v>43416</v>
      </c>
      <c r="K953" s="100">
        <v>43448</v>
      </c>
      <c r="L953" s="100">
        <v>43506</v>
      </c>
      <c r="M953" s="108"/>
      <c r="N953" s="159" t="s">
        <v>3664</v>
      </c>
      <c r="O953" s="104"/>
      <c r="P953" s="102">
        <v>37532.98</v>
      </c>
      <c r="Q953" s="102">
        <v>9749</v>
      </c>
      <c r="R953" s="131"/>
      <c r="S953" s="132"/>
      <c r="T953" s="102" t="s">
        <v>3665</v>
      </c>
      <c r="U953" s="100"/>
      <c r="V953" s="139"/>
      <c r="W953" s="210"/>
    </row>
    <row r="954" s="43" customFormat="1" ht="22" hidden="1" customHeight="1" spans="1:23">
      <c r="A954" s="144" t="s">
        <v>3666</v>
      </c>
      <c r="B954" s="174" t="s">
        <v>3613</v>
      </c>
      <c r="C954" s="175"/>
      <c r="D954" s="45" t="s">
        <v>31</v>
      </c>
      <c r="E954" s="330" t="s">
        <v>3661</v>
      </c>
      <c r="F954" s="81" t="str">
        <f>IFERROR(VLOOKUP(E954,客户!B:C,2,FALSE),"/")</f>
        <v>/</v>
      </c>
      <c r="G954" s="143" t="s">
        <v>3667</v>
      </c>
      <c r="H954" s="143"/>
      <c r="I954" s="143" t="s">
        <v>3668</v>
      </c>
      <c r="J954" s="108"/>
      <c r="K954" s="100">
        <v>43435</v>
      </c>
      <c r="L954" s="100">
        <v>43478</v>
      </c>
      <c r="M954" s="108"/>
      <c r="N954" s="159" t="s">
        <v>3669</v>
      </c>
      <c r="O954" s="104"/>
      <c r="P954" s="102">
        <v>36835.64</v>
      </c>
      <c r="Q954" s="102">
        <v>6672.32</v>
      </c>
      <c r="R954" s="131"/>
      <c r="S954" s="132"/>
      <c r="T954" s="102">
        <v>34908</v>
      </c>
      <c r="U954" s="100">
        <v>43469</v>
      </c>
      <c r="V954" s="139"/>
      <c r="W954" s="210"/>
    </row>
    <row r="955" s="45" customFormat="1" ht="22" hidden="1" customHeight="1" spans="1:23">
      <c r="A955" s="144" t="s">
        <v>3670</v>
      </c>
      <c r="B955" s="174" t="s">
        <v>3613</v>
      </c>
      <c r="C955" s="175"/>
      <c r="D955" s="45" t="s">
        <v>31</v>
      </c>
      <c r="E955" s="80" t="s">
        <v>3671</v>
      </c>
      <c r="F955" s="81" t="str">
        <f>IFERROR(VLOOKUP(E955,客户!B:C,2,FALSE),"/")</f>
        <v>/</v>
      </c>
      <c r="G955" s="45" t="s">
        <v>3672</v>
      </c>
      <c r="I955" s="45" t="s">
        <v>3673</v>
      </c>
      <c r="J955" s="159">
        <v>43416</v>
      </c>
      <c r="K955" s="100">
        <v>43464</v>
      </c>
      <c r="L955" s="100">
        <v>43492</v>
      </c>
      <c r="M955" s="159" t="s">
        <v>3674</v>
      </c>
      <c r="N955" s="159" t="s">
        <v>3675</v>
      </c>
      <c r="O955" s="104"/>
      <c r="P955" s="102">
        <v>27555.95</v>
      </c>
      <c r="Q955" s="230" t="s">
        <v>3676</v>
      </c>
      <c r="R955" s="131">
        <v>0</v>
      </c>
      <c r="S955" s="132"/>
      <c r="T955" s="102" t="s">
        <v>3677</v>
      </c>
      <c r="U955" s="100">
        <v>43524</v>
      </c>
      <c r="V955" s="102"/>
      <c r="W955" s="210"/>
    </row>
    <row r="956" s="43" customFormat="1" ht="22" hidden="1" customHeight="1" spans="1:23">
      <c r="A956" s="144" t="s">
        <v>3678</v>
      </c>
      <c r="B956" s="174" t="s">
        <v>3613</v>
      </c>
      <c r="C956" s="175"/>
      <c r="D956" s="45" t="s">
        <v>31</v>
      </c>
      <c r="E956" s="330" t="s">
        <v>3627</v>
      </c>
      <c r="F956" s="81">
        <f>IFERROR(VLOOKUP(E956,客户!B:C,2,FALSE),"/")</f>
        <v>0</v>
      </c>
      <c r="G956" s="143" t="s">
        <v>3654</v>
      </c>
      <c r="H956" s="143"/>
      <c r="I956" s="143" t="s">
        <v>3679</v>
      </c>
      <c r="J956" s="108">
        <v>43431</v>
      </c>
      <c r="K956" s="100">
        <v>43457</v>
      </c>
      <c r="L956" s="100">
        <v>43485</v>
      </c>
      <c r="M956" s="159"/>
      <c r="N956" s="159" t="s">
        <v>3652</v>
      </c>
      <c r="O956" s="104"/>
      <c r="P956" s="102">
        <v>19082</v>
      </c>
      <c r="Q956" s="143"/>
      <c r="R956" s="131">
        <v>0</v>
      </c>
      <c r="S956" s="132"/>
      <c r="T956" s="102"/>
      <c r="U956" s="100"/>
      <c r="V956" s="102"/>
      <c r="W956" s="210"/>
    </row>
    <row r="957" s="43" customFormat="1" ht="22" hidden="1" customHeight="1" spans="1:23">
      <c r="A957" s="144" t="s">
        <v>3680</v>
      </c>
      <c r="B957" s="174" t="s">
        <v>3613</v>
      </c>
      <c r="C957" s="175"/>
      <c r="D957" s="45" t="s">
        <v>31</v>
      </c>
      <c r="E957" s="330" t="s">
        <v>3681</v>
      </c>
      <c r="F957" s="81" t="str">
        <f>IFERROR(VLOOKUP(E957,客户!B:C,2,FALSE),"/")</f>
        <v>/</v>
      </c>
      <c r="G957" s="143" t="s">
        <v>3682</v>
      </c>
      <c r="H957" s="143" t="s">
        <v>123</v>
      </c>
      <c r="I957" s="143" t="s">
        <v>3683</v>
      </c>
      <c r="J957" s="108">
        <v>43445</v>
      </c>
      <c r="K957" s="100">
        <v>43529</v>
      </c>
      <c r="L957" s="100">
        <v>43565</v>
      </c>
      <c r="M957" s="159" t="s">
        <v>3684</v>
      </c>
      <c r="N957" s="159" t="s">
        <v>3685</v>
      </c>
      <c r="O957" s="104"/>
      <c r="P957" s="102">
        <v>16324.4</v>
      </c>
      <c r="Q957" s="102">
        <v>2997.6</v>
      </c>
      <c r="R957" s="131"/>
      <c r="S957" s="132"/>
      <c r="T957" s="102">
        <v>16901.74</v>
      </c>
      <c r="U957" s="100"/>
      <c r="V957" s="102"/>
      <c r="W957" s="210"/>
    </row>
    <row r="958" s="43" customFormat="1" ht="22" hidden="1" customHeight="1" spans="1:23">
      <c r="A958" s="144" t="s">
        <v>3686</v>
      </c>
      <c r="B958" s="174" t="s">
        <v>3613</v>
      </c>
      <c r="C958" s="175"/>
      <c r="D958" s="45" t="s">
        <v>31</v>
      </c>
      <c r="E958" s="330" t="s">
        <v>3627</v>
      </c>
      <c r="F958" s="81">
        <f>IFERROR(VLOOKUP(E958,客户!B:C,2,FALSE),"/")</f>
        <v>0</v>
      </c>
      <c r="G958" s="143" t="s">
        <v>3687</v>
      </c>
      <c r="H958" s="143" t="s">
        <v>123</v>
      </c>
      <c r="I958" s="143" t="s">
        <v>3688</v>
      </c>
      <c r="J958" s="108">
        <v>43449</v>
      </c>
      <c r="K958" s="100"/>
      <c r="L958" s="100"/>
      <c r="M958" s="199"/>
      <c r="N958" s="159" t="s">
        <v>3689</v>
      </c>
      <c r="O958" s="104"/>
      <c r="P958" s="102">
        <v>18645</v>
      </c>
      <c r="Q958" s="143"/>
      <c r="R958" s="131">
        <v>0</v>
      </c>
      <c r="S958" s="132"/>
      <c r="T958" s="102">
        <v>18645</v>
      </c>
      <c r="U958" s="100"/>
      <c r="V958" s="139"/>
      <c r="W958" s="210"/>
    </row>
    <row r="959" s="43" customFormat="1" ht="22" hidden="1" customHeight="1" spans="1:23">
      <c r="A959" s="144" t="s">
        <v>3690</v>
      </c>
      <c r="B959" s="174" t="s">
        <v>3613</v>
      </c>
      <c r="C959" s="175"/>
      <c r="D959" s="45" t="s">
        <v>31</v>
      </c>
      <c r="E959" s="330" t="s">
        <v>3627</v>
      </c>
      <c r="F959" s="81">
        <f>IFERROR(VLOOKUP(E959,客户!B:C,2,FALSE),"/")</f>
        <v>0</v>
      </c>
      <c r="G959" s="143" t="s">
        <v>3687</v>
      </c>
      <c r="H959" s="143" t="s">
        <v>123</v>
      </c>
      <c r="I959" s="143" t="s">
        <v>3688</v>
      </c>
      <c r="J959" s="108">
        <v>43461</v>
      </c>
      <c r="K959" s="100"/>
      <c r="L959" s="100"/>
      <c r="M959" s="199"/>
      <c r="N959" s="159" t="s">
        <v>3691</v>
      </c>
      <c r="O959" s="104"/>
      <c r="P959" s="102">
        <v>19818.4</v>
      </c>
      <c r="Q959" s="143"/>
      <c r="R959" s="131">
        <v>0</v>
      </c>
      <c r="S959" s="132"/>
      <c r="T959" s="102">
        <v>19818</v>
      </c>
      <c r="U959" s="100"/>
      <c r="V959" s="130"/>
      <c r="W959" s="210"/>
    </row>
    <row r="960" s="43" customFormat="1" ht="22" hidden="1" customHeight="1" spans="1:23">
      <c r="A960" s="144" t="s">
        <v>3692</v>
      </c>
      <c r="B960" s="174" t="s">
        <v>3613</v>
      </c>
      <c r="C960" s="175"/>
      <c r="D960" s="45" t="s">
        <v>31</v>
      </c>
      <c r="E960" s="142" t="s">
        <v>3693</v>
      </c>
      <c r="F960" s="81">
        <f>IFERROR(VLOOKUP(E960,客户!B:C,2,FALSE),"/")</f>
        <v>0</v>
      </c>
      <c r="G960" s="143" t="s">
        <v>3694</v>
      </c>
      <c r="H960" s="143" t="s">
        <v>970</v>
      </c>
      <c r="I960" s="143"/>
      <c r="J960" s="108"/>
      <c r="K960" s="100"/>
      <c r="L960" s="100"/>
      <c r="M960" s="159"/>
      <c r="N960" s="159"/>
      <c r="O960" s="104"/>
      <c r="P960" s="102" t="s">
        <v>3695</v>
      </c>
      <c r="Q960" s="143" t="s">
        <v>3696</v>
      </c>
      <c r="R960" s="131">
        <v>0</v>
      </c>
      <c r="S960" s="132"/>
      <c r="T960" s="102" t="s">
        <v>3697</v>
      </c>
      <c r="U960" s="100">
        <v>43483</v>
      </c>
      <c r="V960" s="130"/>
      <c r="W960" s="210"/>
    </row>
    <row r="961" s="43" customFormat="1" ht="22" hidden="1" customHeight="1" spans="1:23">
      <c r="A961" s="144" t="s">
        <v>3698</v>
      </c>
      <c r="B961" s="174" t="s">
        <v>3613</v>
      </c>
      <c r="C961" s="175"/>
      <c r="D961" s="45" t="s">
        <v>31</v>
      </c>
      <c r="E961" s="330" t="s">
        <v>3699</v>
      </c>
      <c r="F961" s="81">
        <f>IFERROR(VLOOKUP(E961,客户!B:C,2,FALSE),"/")</f>
        <v>0</v>
      </c>
      <c r="G961" s="143" t="s">
        <v>3700</v>
      </c>
      <c r="H961" s="143" t="s">
        <v>123</v>
      </c>
      <c r="I961" s="143" t="s">
        <v>3701</v>
      </c>
      <c r="J961" s="108">
        <v>43473</v>
      </c>
      <c r="K961" s="100">
        <v>43549</v>
      </c>
      <c r="L961" s="100">
        <v>43576</v>
      </c>
      <c r="M961" s="159" t="s">
        <v>3702</v>
      </c>
      <c r="N961" s="159" t="s">
        <v>3703</v>
      </c>
      <c r="O961" s="104"/>
      <c r="P961" s="102">
        <v>22455</v>
      </c>
      <c r="Q961" s="143">
        <v>6736.5</v>
      </c>
      <c r="R961" s="131">
        <v>0</v>
      </c>
      <c r="S961" s="132"/>
      <c r="T961" s="102">
        <v>15667</v>
      </c>
      <c r="U961" s="100">
        <v>43574</v>
      </c>
      <c r="V961" s="130"/>
      <c r="W961" s="210"/>
    </row>
    <row r="962" s="43" customFormat="1" ht="22" hidden="1" customHeight="1" spans="1:23">
      <c r="A962" s="144" t="s">
        <v>3704</v>
      </c>
      <c r="B962" s="174" t="s">
        <v>3613</v>
      </c>
      <c r="C962" s="175"/>
      <c r="D962" s="45" t="s">
        <v>31</v>
      </c>
      <c r="E962" s="142" t="s">
        <v>3705</v>
      </c>
      <c r="F962" s="81">
        <f>IFERROR(VLOOKUP(E962,客户!B:C,2,FALSE),"/")</f>
        <v>0</v>
      </c>
      <c r="G962" s="143" t="s">
        <v>3706</v>
      </c>
      <c r="H962" s="143" t="s">
        <v>123</v>
      </c>
      <c r="I962" s="143" t="s">
        <v>3688</v>
      </c>
      <c r="J962" s="108">
        <v>43511</v>
      </c>
      <c r="K962" s="100">
        <v>43542</v>
      </c>
      <c r="L962" s="100"/>
      <c r="M962" s="181"/>
      <c r="N962" s="159" t="s">
        <v>3707</v>
      </c>
      <c r="O962" s="104"/>
      <c r="P962" s="102">
        <v>20292.6</v>
      </c>
      <c r="Q962" s="143" t="s">
        <v>3630</v>
      </c>
      <c r="R962" s="131">
        <v>0</v>
      </c>
      <c r="S962" s="132"/>
      <c r="T962" s="102">
        <v>20255</v>
      </c>
      <c r="U962" s="100">
        <v>43544</v>
      </c>
      <c r="V962" s="130"/>
      <c r="W962" s="210"/>
    </row>
    <row r="963" s="43" customFormat="1" ht="22" hidden="1" customHeight="1" spans="1:23">
      <c r="A963" s="144" t="s">
        <v>3708</v>
      </c>
      <c r="B963" s="174" t="s">
        <v>3613</v>
      </c>
      <c r="C963" s="175"/>
      <c r="D963" s="45" t="s">
        <v>31</v>
      </c>
      <c r="E963" s="142" t="s">
        <v>3709</v>
      </c>
      <c r="F963" s="81" t="str">
        <f>IFERROR(VLOOKUP(E963,客户!B:C,2,FALSE),"/")</f>
        <v>/</v>
      </c>
      <c r="G963" s="143" t="s">
        <v>3710</v>
      </c>
      <c r="H963" s="143" t="s">
        <v>123</v>
      </c>
      <c r="I963" s="143" t="s">
        <v>2461</v>
      </c>
      <c r="J963" s="108">
        <v>43528</v>
      </c>
      <c r="K963" s="103">
        <v>43575</v>
      </c>
      <c r="L963" s="100" t="s">
        <v>3711</v>
      </c>
      <c r="M963" s="182"/>
      <c r="N963" s="159" t="s">
        <v>600</v>
      </c>
      <c r="O963" s="104"/>
      <c r="P963" s="102">
        <v>17156.33</v>
      </c>
      <c r="Q963" s="102">
        <v>6532.2</v>
      </c>
      <c r="R963" s="131">
        <v>0</v>
      </c>
      <c r="S963" s="132"/>
      <c r="T963" s="102">
        <v>10624</v>
      </c>
      <c r="U963" s="100">
        <v>43606</v>
      </c>
      <c r="V963" s="130"/>
      <c r="W963" s="210"/>
    </row>
    <row r="964" s="43" customFormat="1" ht="22" hidden="1" customHeight="1" spans="1:23">
      <c r="A964" s="144" t="s">
        <v>3712</v>
      </c>
      <c r="B964" s="174" t="s">
        <v>3613</v>
      </c>
      <c r="C964" s="175"/>
      <c r="D964" s="45" t="s">
        <v>31</v>
      </c>
      <c r="E964" s="142" t="s">
        <v>3713</v>
      </c>
      <c r="F964" s="81">
        <f>IFERROR(VLOOKUP(E964,客户!B:C,2,FALSE),"/")</f>
        <v>0</v>
      </c>
      <c r="G964" s="143" t="s">
        <v>3714</v>
      </c>
      <c r="H964" s="143" t="s">
        <v>123</v>
      </c>
      <c r="I964" s="143" t="s">
        <v>3715</v>
      </c>
      <c r="J964" s="108">
        <v>43528</v>
      </c>
      <c r="K964" s="100">
        <v>43579</v>
      </c>
      <c r="L964" s="103"/>
      <c r="M964" s="159" t="s">
        <v>3716</v>
      </c>
      <c r="N964" s="159" t="s">
        <v>3717</v>
      </c>
      <c r="O964" s="104"/>
      <c r="P964" s="102">
        <v>39508.5</v>
      </c>
      <c r="Q964" s="102" t="s">
        <v>3718</v>
      </c>
      <c r="R964" s="131">
        <v>0</v>
      </c>
      <c r="S964" s="132"/>
      <c r="T964" s="102">
        <v>27647</v>
      </c>
      <c r="U964" s="100">
        <v>43598</v>
      </c>
      <c r="V964" s="130" t="s">
        <v>3719</v>
      </c>
      <c r="W964" s="210"/>
    </row>
    <row r="965" s="43" customFormat="1" ht="22" hidden="1" customHeight="1" spans="1:23">
      <c r="A965" s="144" t="s">
        <v>3720</v>
      </c>
      <c r="B965" s="174" t="s">
        <v>3613</v>
      </c>
      <c r="C965" s="175"/>
      <c r="D965" s="45" t="s">
        <v>31</v>
      </c>
      <c r="E965" s="142" t="s">
        <v>3721</v>
      </c>
      <c r="F965" s="81">
        <f>IFERROR(VLOOKUP(E965,客户!B:C,2,FALSE),"/")</f>
        <v>0</v>
      </c>
      <c r="G965" s="143" t="s">
        <v>3722</v>
      </c>
      <c r="H965" s="143" t="s">
        <v>123</v>
      </c>
      <c r="I965" s="335" t="s">
        <v>3723</v>
      </c>
      <c r="J965" s="108">
        <v>43535</v>
      </c>
      <c r="K965" s="100">
        <v>43578</v>
      </c>
      <c r="L965" s="100">
        <v>43653</v>
      </c>
      <c r="M965" s="181" t="s">
        <v>3724</v>
      </c>
      <c r="N965" s="159" t="s">
        <v>3725</v>
      </c>
      <c r="O965" s="104"/>
      <c r="P965" s="102">
        <v>27700</v>
      </c>
      <c r="Q965" s="102">
        <v>7590.9</v>
      </c>
      <c r="R965" s="131">
        <v>0</v>
      </c>
      <c r="S965" s="132"/>
      <c r="T965" s="102">
        <v>20109</v>
      </c>
      <c r="U965" s="100">
        <v>43612</v>
      </c>
      <c r="V965" s="130"/>
      <c r="W965" s="210"/>
    </row>
    <row r="966" s="43" customFormat="1" ht="22" hidden="1" customHeight="1" spans="1:23">
      <c r="A966" s="144" t="s">
        <v>3726</v>
      </c>
      <c r="B966" s="174" t="s">
        <v>3613</v>
      </c>
      <c r="C966" s="175"/>
      <c r="D966" s="45" t="s">
        <v>31</v>
      </c>
      <c r="E966" s="142" t="s">
        <v>3727</v>
      </c>
      <c r="F966" s="81">
        <f>IFERROR(VLOOKUP(E966,客户!B:C,2,FALSE),"/")</f>
        <v>0</v>
      </c>
      <c r="G966" s="143" t="s">
        <v>3728</v>
      </c>
      <c r="H966" s="190" t="s">
        <v>147</v>
      </c>
      <c r="I966" s="335" t="s">
        <v>215</v>
      </c>
      <c r="J966" s="108">
        <v>43540</v>
      </c>
      <c r="K966" s="100">
        <v>43573</v>
      </c>
      <c r="L966" s="100"/>
      <c r="M966" s="159" t="s">
        <v>3729</v>
      </c>
      <c r="N966" s="159" t="s">
        <v>3730</v>
      </c>
      <c r="O966" s="104"/>
      <c r="P966" s="240">
        <v>116480</v>
      </c>
      <c r="Q966" s="240">
        <v>35000</v>
      </c>
      <c r="R966" s="343">
        <v>0</v>
      </c>
      <c r="S966" s="344"/>
      <c r="T966" s="102">
        <v>81480</v>
      </c>
      <c r="U966" s="100">
        <v>43584</v>
      </c>
      <c r="V966" s="130"/>
      <c r="W966" s="210"/>
    </row>
    <row r="967" s="43" customFormat="1" ht="22" hidden="1" customHeight="1" spans="1:23">
      <c r="A967" s="144" t="s">
        <v>3731</v>
      </c>
      <c r="B967" s="174" t="s">
        <v>3613</v>
      </c>
      <c r="C967" s="175"/>
      <c r="D967" s="45" t="s">
        <v>31</v>
      </c>
      <c r="E967" s="142" t="s">
        <v>3732</v>
      </c>
      <c r="F967" s="81">
        <f>IFERROR(VLOOKUP(E967,客户!B:C,2,FALSE),"/")</f>
        <v>0</v>
      </c>
      <c r="G967" s="143" t="s">
        <v>3728</v>
      </c>
      <c r="H967" s="143" t="s">
        <v>123</v>
      </c>
      <c r="I967" s="143" t="s">
        <v>3688</v>
      </c>
      <c r="J967" s="108">
        <v>43553</v>
      </c>
      <c r="K967" s="100">
        <v>43576</v>
      </c>
      <c r="L967" s="100"/>
      <c r="M967" s="159" t="s">
        <v>3733</v>
      </c>
      <c r="N967" s="159" t="s">
        <v>3734</v>
      </c>
      <c r="O967" s="104"/>
      <c r="P967" s="102">
        <v>20976.6</v>
      </c>
      <c r="Q967" s="102"/>
      <c r="R967" s="131">
        <v>0</v>
      </c>
      <c r="S967" s="132"/>
      <c r="T967" s="102">
        <v>20940</v>
      </c>
      <c r="U967" s="100">
        <v>43572</v>
      </c>
      <c r="V967" s="130"/>
      <c r="W967" s="210"/>
    </row>
    <row r="968" s="43" customFormat="1" ht="22" hidden="1" customHeight="1" spans="1:23">
      <c r="A968" s="144" t="s">
        <v>3735</v>
      </c>
      <c r="B968" s="174" t="s">
        <v>3613</v>
      </c>
      <c r="C968" s="175"/>
      <c r="D968" s="45" t="s">
        <v>31</v>
      </c>
      <c r="E968" s="142" t="s">
        <v>3736</v>
      </c>
      <c r="F968" s="81">
        <f>IFERROR(VLOOKUP(E968,客户!B:C,2,FALSE),"/")</f>
        <v>0</v>
      </c>
      <c r="G968" s="143" t="s">
        <v>3737</v>
      </c>
      <c r="H968" s="143" t="s">
        <v>123</v>
      </c>
      <c r="I968" s="143" t="s">
        <v>711</v>
      </c>
      <c r="J968" s="108">
        <v>43600</v>
      </c>
      <c r="K968" s="100"/>
      <c r="L968" s="197"/>
      <c r="M968" s="159"/>
      <c r="N968" s="159"/>
      <c r="O968" s="104"/>
      <c r="P968" s="102">
        <v>6658</v>
      </c>
      <c r="Q968" s="102"/>
      <c r="R968" s="131"/>
      <c r="S968" s="132"/>
      <c r="T968" s="102"/>
      <c r="U968" s="100"/>
      <c r="V968" s="130"/>
      <c r="W968" s="210"/>
    </row>
    <row r="969" s="43" customFormat="1" ht="22" hidden="1" customHeight="1" spans="1:23">
      <c r="A969" s="144" t="s">
        <v>3738</v>
      </c>
      <c r="B969" s="174" t="s">
        <v>3613</v>
      </c>
      <c r="C969" s="175"/>
      <c r="D969" s="45" t="s">
        <v>31</v>
      </c>
      <c r="E969" s="142" t="s">
        <v>3732</v>
      </c>
      <c r="F969" s="81">
        <f>IFERROR(VLOOKUP(E969,客户!B:C,2,FALSE),"/")</f>
        <v>0</v>
      </c>
      <c r="G969" s="143" t="s">
        <v>3739</v>
      </c>
      <c r="H969" s="143" t="s">
        <v>123</v>
      </c>
      <c r="I969" s="143" t="s">
        <v>3688</v>
      </c>
      <c r="J969" s="108">
        <v>43601</v>
      </c>
      <c r="K969" s="100">
        <v>43623</v>
      </c>
      <c r="L969" s="197"/>
      <c r="M969" s="159"/>
      <c r="N969" s="159"/>
      <c r="O969" s="104"/>
      <c r="P969" s="102" t="s">
        <v>3630</v>
      </c>
      <c r="Q969" s="102"/>
      <c r="R969" s="131"/>
      <c r="S969" s="132"/>
      <c r="T969" s="102"/>
      <c r="U969" s="100"/>
      <c r="V969" s="130"/>
      <c r="W969" s="210"/>
    </row>
    <row r="970" s="43" customFormat="1" ht="22" hidden="1" customHeight="1" spans="1:23">
      <c r="A970" s="144" t="s">
        <v>3740</v>
      </c>
      <c r="B970" s="174" t="s">
        <v>3613</v>
      </c>
      <c r="C970" s="175"/>
      <c r="D970" s="45" t="s">
        <v>31</v>
      </c>
      <c r="E970" s="142" t="s">
        <v>3741</v>
      </c>
      <c r="F970" s="81">
        <f>IFERROR(VLOOKUP(E970,客户!B:C,2,FALSE),"/")</f>
        <v>0</v>
      </c>
      <c r="G970" s="143" t="s">
        <v>3742</v>
      </c>
      <c r="H970" s="143" t="s">
        <v>123</v>
      </c>
      <c r="I970" s="314" t="s">
        <v>3743</v>
      </c>
      <c r="J970" s="108">
        <v>43536</v>
      </c>
      <c r="K970" s="100">
        <v>43575</v>
      </c>
      <c r="L970" s="100">
        <v>43621</v>
      </c>
      <c r="M970" s="159" t="s">
        <v>3724</v>
      </c>
      <c r="N970" s="159" t="s">
        <v>3744</v>
      </c>
      <c r="O970" s="104"/>
      <c r="P970" s="102">
        <v>36306.7</v>
      </c>
      <c r="Q970" s="102">
        <v>6668.68</v>
      </c>
      <c r="R970" s="131"/>
      <c r="S970" s="132"/>
      <c r="T970" s="102">
        <v>29638</v>
      </c>
      <c r="U970" s="100"/>
      <c r="V970" s="130"/>
      <c r="W970" s="210"/>
    </row>
    <row r="971" s="43" customFormat="1" ht="22" hidden="1" customHeight="1" spans="1:23">
      <c r="A971" s="144" t="s">
        <v>3745</v>
      </c>
      <c r="B971" s="174" t="s">
        <v>3613</v>
      </c>
      <c r="C971" s="175"/>
      <c r="D971" s="45" t="s">
        <v>31</v>
      </c>
      <c r="E971" s="142" t="s">
        <v>3746</v>
      </c>
      <c r="F971" s="81" t="str">
        <f>IFERROR(VLOOKUP(E971,客户!B:C,2,FALSE),"/")</f>
        <v>/</v>
      </c>
      <c r="G971" s="143" t="s">
        <v>3747</v>
      </c>
      <c r="H971" s="190" t="s">
        <v>147</v>
      </c>
      <c r="I971" s="314" t="s">
        <v>3748</v>
      </c>
      <c r="J971" s="108">
        <v>43584</v>
      </c>
      <c r="K971" s="100"/>
      <c r="L971" s="103"/>
      <c r="M971" s="159"/>
      <c r="N971" s="159"/>
      <c r="O971" s="104"/>
      <c r="P971" s="102"/>
      <c r="Q971" s="102">
        <v>13300</v>
      </c>
      <c r="R971" s="131"/>
      <c r="S971" s="132"/>
      <c r="T971" s="102"/>
      <c r="U971" s="100"/>
      <c r="V971" s="130"/>
      <c r="W971" s="210"/>
    </row>
    <row r="972" s="43" customFormat="1" ht="22" hidden="1" customHeight="1" spans="1:23">
      <c r="A972" s="144" t="s">
        <v>3749</v>
      </c>
      <c r="B972" s="174" t="s">
        <v>3613</v>
      </c>
      <c r="C972" s="175"/>
      <c r="D972" s="45" t="s">
        <v>31</v>
      </c>
      <c r="E972" s="324" t="s">
        <v>3750</v>
      </c>
      <c r="F972" s="81">
        <f>IFERROR(VLOOKUP(E972,客户!B:C,2,FALSE),"/")</f>
        <v>0</v>
      </c>
      <c r="G972" s="143" t="s">
        <v>3751</v>
      </c>
      <c r="H972" s="143" t="s">
        <v>123</v>
      </c>
      <c r="I972" s="314" t="s">
        <v>3752</v>
      </c>
      <c r="J972" s="108">
        <v>43724</v>
      </c>
      <c r="K972" s="100">
        <v>43787</v>
      </c>
      <c r="L972" s="100">
        <v>43813</v>
      </c>
      <c r="M972" s="159" t="s">
        <v>3753</v>
      </c>
      <c r="N972" s="159" t="s">
        <v>3754</v>
      </c>
      <c r="O972" s="104" t="s">
        <v>523</v>
      </c>
      <c r="P972" s="102">
        <v>21983</v>
      </c>
      <c r="Q972" s="102">
        <v>6594.9</v>
      </c>
      <c r="R972" s="131"/>
      <c r="S972" s="132"/>
      <c r="T972" s="102" t="s">
        <v>3755</v>
      </c>
      <c r="U972" s="100">
        <v>43811</v>
      </c>
      <c r="V972" s="130"/>
      <c r="W972" s="210"/>
    </row>
    <row r="973" s="43" customFormat="1" ht="22" hidden="1" customHeight="1" spans="1:23">
      <c r="A973" s="144" t="s">
        <v>3756</v>
      </c>
      <c r="B973" s="174" t="s">
        <v>3613</v>
      </c>
      <c r="C973" s="175"/>
      <c r="D973" s="45" t="s">
        <v>3</v>
      </c>
      <c r="E973" s="82" t="s">
        <v>3757</v>
      </c>
      <c r="F973" s="81">
        <f>IFERROR(VLOOKUP(E973,客户!B:C,2,FALSE),"/")</f>
        <v>0</v>
      </c>
      <c r="G973" s="143" t="s">
        <v>3758</v>
      </c>
      <c r="H973" s="143" t="s">
        <v>3759</v>
      </c>
      <c r="I973" s="314"/>
      <c r="J973" s="108">
        <v>43789</v>
      </c>
      <c r="K973" s="100"/>
      <c r="L973" s="103"/>
      <c r="M973" s="165" t="s">
        <v>3760</v>
      </c>
      <c r="N973" s="159"/>
      <c r="O973" s="104"/>
      <c r="P973" s="102">
        <v>121409.75</v>
      </c>
      <c r="Q973" s="102" t="s">
        <v>3761</v>
      </c>
      <c r="R973" s="131"/>
      <c r="S973" s="132"/>
      <c r="T973" s="102"/>
      <c r="U973" s="100"/>
      <c r="V973" s="130"/>
      <c r="W973" s="210"/>
    </row>
    <row r="974" s="43" customFormat="1" ht="22" hidden="1" customHeight="1" spans="1:23">
      <c r="A974" s="144" t="s">
        <v>3762</v>
      </c>
      <c r="B974" s="174" t="s">
        <v>3613</v>
      </c>
      <c r="C974" s="175"/>
      <c r="D974" s="45" t="s">
        <v>31</v>
      </c>
      <c r="E974" s="142" t="s">
        <v>3763</v>
      </c>
      <c r="F974" s="81">
        <f>IFERROR(VLOOKUP(E974,客户!B:C,2,FALSE),"/")</f>
        <v>0</v>
      </c>
      <c r="G974" s="143" t="s">
        <v>3764</v>
      </c>
      <c r="H974" s="143" t="s">
        <v>123</v>
      </c>
      <c r="I974" s="314" t="s">
        <v>3765</v>
      </c>
      <c r="J974" s="108">
        <v>43776</v>
      </c>
      <c r="K974" s="100">
        <v>43852</v>
      </c>
      <c r="L974" s="100">
        <v>43898</v>
      </c>
      <c r="M974" s="159" t="s">
        <v>3766</v>
      </c>
      <c r="N974" s="159" t="s">
        <v>3767</v>
      </c>
      <c r="O974" s="104" t="s">
        <v>523</v>
      </c>
      <c r="P974" s="102">
        <v>39207.87</v>
      </c>
      <c r="Q974" s="102">
        <v>10895.25</v>
      </c>
      <c r="R974" s="131"/>
      <c r="S974" s="132"/>
      <c r="T974" s="102">
        <v>28261.12</v>
      </c>
      <c r="U974" s="100">
        <v>43867</v>
      </c>
      <c r="V974" s="130"/>
      <c r="W974" s="210"/>
    </row>
    <row r="975" s="40" customFormat="1" ht="22" hidden="1" customHeight="1" spans="1:23">
      <c r="A975" s="144" t="s">
        <v>3768</v>
      </c>
      <c r="B975" s="174" t="s">
        <v>3613</v>
      </c>
      <c r="C975" s="175"/>
      <c r="D975" s="45" t="s">
        <v>31</v>
      </c>
      <c r="E975" s="80" t="s">
        <v>3646</v>
      </c>
      <c r="F975" s="81">
        <f>IFERROR(VLOOKUP(E975,客户!B:C,2,FALSE),"/")</f>
        <v>0</v>
      </c>
      <c r="G975" s="45" t="s">
        <v>1599</v>
      </c>
      <c r="H975" s="45" t="s">
        <v>123</v>
      </c>
      <c r="I975" s="45" t="s">
        <v>3769</v>
      </c>
      <c r="J975" s="156">
        <v>43781</v>
      </c>
      <c r="K975" s="100">
        <v>43809</v>
      </c>
      <c r="L975" s="197"/>
      <c r="M975" s="153" t="s">
        <v>3770</v>
      </c>
      <c r="N975" s="143" t="s">
        <v>3771</v>
      </c>
      <c r="O975" s="104" t="s">
        <v>970</v>
      </c>
      <c r="P975" s="102">
        <v>18693.2</v>
      </c>
      <c r="Q975" s="102"/>
      <c r="R975" s="131"/>
      <c r="S975" s="132"/>
      <c r="T975" s="102">
        <v>18676.2</v>
      </c>
      <c r="U975" s="100" t="s">
        <v>3772</v>
      </c>
      <c r="V975" s="102"/>
      <c r="W975" s="45"/>
    </row>
    <row r="976" s="40" customFormat="1" ht="22" hidden="1" customHeight="1" spans="1:23">
      <c r="A976" s="144" t="s">
        <v>3773</v>
      </c>
      <c r="B976" s="174" t="s">
        <v>3613</v>
      </c>
      <c r="C976" s="175"/>
      <c r="D976" s="45" t="s">
        <v>31</v>
      </c>
      <c r="E976" s="82" t="s">
        <v>3774</v>
      </c>
      <c r="F976" s="81">
        <f>IFERROR(VLOOKUP(E976,客户!B:C,2,FALSE),"/")</f>
        <v>0</v>
      </c>
      <c r="G976" s="45" t="s">
        <v>3775</v>
      </c>
      <c r="H976" s="45" t="s">
        <v>123</v>
      </c>
      <c r="I976" s="45" t="s">
        <v>3776</v>
      </c>
      <c r="J976" s="156">
        <v>43785</v>
      </c>
      <c r="K976" s="100">
        <v>43827</v>
      </c>
      <c r="L976" s="100">
        <v>43876</v>
      </c>
      <c r="M976" s="143" t="s">
        <v>3777</v>
      </c>
      <c r="N976" s="143" t="s">
        <v>3778</v>
      </c>
      <c r="O976" s="104" t="s">
        <v>523</v>
      </c>
      <c r="P976" s="102">
        <v>20678.06</v>
      </c>
      <c r="Q976" s="102">
        <v>7352.43</v>
      </c>
      <c r="R976" s="131"/>
      <c r="S976" s="132"/>
      <c r="T976" s="102">
        <v>13325.63</v>
      </c>
      <c r="U976" s="100">
        <v>43847</v>
      </c>
      <c r="V976" s="102"/>
      <c r="W976" s="45"/>
    </row>
    <row r="977" s="43" customFormat="1" ht="22" hidden="1" customHeight="1" spans="1:23">
      <c r="A977" s="144" t="s">
        <v>3779</v>
      </c>
      <c r="B977" s="174" t="s">
        <v>3613</v>
      </c>
      <c r="C977" s="175"/>
      <c r="D977" s="45" t="s">
        <v>31</v>
      </c>
      <c r="E977" s="82" t="s">
        <v>3780</v>
      </c>
      <c r="F977" s="81">
        <f>IFERROR(VLOOKUP(E977,客户!B:C,2,FALSE),"/")</f>
        <v>0</v>
      </c>
      <c r="G977" s="143" t="s">
        <v>3781</v>
      </c>
      <c r="H977" s="143" t="s">
        <v>123</v>
      </c>
      <c r="I977" s="314" t="s">
        <v>3782</v>
      </c>
      <c r="J977" s="108">
        <v>43789</v>
      </c>
      <c r="K977" s="100">
        <v>43849</v>
      </c>
      <c r="L977" s="100">
        <v>43887</v>
      </c>
      <c r="M977" s="165" t="s">
        <v>3783</v>
      </c>
      <c r="N977" s="159"/>
      <c r="O977" s="104" t="s">
        <v>970</v>
      </c>
      <c r="P977" s="102">
        <v>10358</v>
      </c>
      <c r="Q977" s="102" t="s">
        <v>3784</v>
      </c>
      <c r="R977" s="131"/>
      <c r="S977" s="132"/>
      <c r="T977" s="102" t="s">
        <v>3785</v>
      </c>
      <c r="U977" s="100">
        <v>43830</v>
      </c>
      <c r="V977" s="217" t="s">
        <v>3786</v>
      </c>
      <c r="W977" s="210"/>
    </row>
    <row r="978" s="43" customFormat="1" ht="22" hidden="1" customHeight="1" spans="1:23">
      <c r="A978" s="144" t="s">
        <v>3787</v>
      </c>
      <c r="B978" s="174" t="s">
        <v>3613</v>
      </c>
      <c r="C978" s="175"/>
      <c r="D978" s="45" t="s">
        <v>31</v>
      </c>
      <c r="E978" s="82" t="s">
        <v>3788</v>
      </c>
      <c r="F978" s="81">
        <f>IFERROR(VLOOKUP(E978,客户!B:C,2,FALSE),"/")</f>
        <v>0</v>
      </c>
      <c r="G978" s="143" t="s">
        <v>3789</v>
      </c>
      <c r="H978" s="143" t="s">
        <v>123</v>
      </c>
      <c r="I978" s="314"/>
      <c r="J978" s="108">
        <v>43790</v>
      </c>
      <c r="K978" s="100">
        <v>43840</v>
      </c>
      <c r="L978" s="103"/>
      <c r="M978" s="165" t="s">
        <v>3790</v>
      </c>
      <c r="N978" s="159" t="s">
        <v>3791</v>
      </c>
      <c r="O978" s="104" t="s">
        <v>970</v>
      </c>
      <c r="P978" s="102">
        <v>18624.23</v>
      </c>
      <c r="Q978" s="102">
        <v>5838.08</v>
      </c>
      <c r="R978" s="131"/>
      <c r="S978" s="132"/>
      <c r="T978" s="102">
        <v>13572.37</v>
      </c>
      <c r="U978" s="100">
        <v>43826</v>
      </c>
      <c r="V978" s="130"/>
      <c r="W978" s="210"/>
    </row>
    <row r="979" s="40" customFormat="1" ht="22" hidden="1" customHeight="1" spans="1:23">
      <c r="A979" s="144" t="s">
        <v>3792</v>
      </c>
      <c r="B979" s="174" t="s">
        <v>3613</v>
      </c>
      <c r="C979" s="175"/>
      <c r="D979" s="45" t="s">
        <v>31</v>
      </c>
      <c r="E979" s="45" t="s">
        <v>3793</v>
      </c>
      <c r="F979" s="81">
        <f>IFERROR(VLOOKUP(E979,客户!B:C,2,FALSE),"/")</f>
        <v>0</v>
      </c>
      <c r="G979" s="45" t="s">
        <v>3794</v>
      </c>
      <c r="H979" s="45" t="s">
        <v>123</v>
      </c>
      <c r="I979" s="45" t="s">
        <v>3795</v>
      </c>
      <c r="J979" s="156">
        <v>43809</v>
      </c>
      <c r="K979" s="100">
        <v>43841</v>
      </c>
      <c r="L979" s="197"/>
      <c r="M979" s="155" t="s">
        <v>3796</v>
      </c>
      <c r="N979" s="143" t="s">
        <v>3797</v>
      </c>
      <c r="O979" s="143" t="s">
        <v>523</v>
      </c>
      <c r="P979" s="102">
        <v>21839.9</v>
      </c>
      <c r="Q979" s="102">
        <v>6202</v>
      </c>
      <c r="R979" s="131"/>
      <c r="S979" s="132"/>
      <c r="T979" s="102">
        <v>15595.4</v>
      </c>
      <c r="U979" s="100">
        <v>43843</v>
      </c>
      <c r="V979" s="102"/>
      <c r="W979" s="45"/>
    </row>
    <row r="980" s="40" customFormat="1" ht="22" hidden="1" customHeight="1" spans="1:23">
      <c r="A980" s="144" t="s">
        <v>3798</v>
      </c>
      <c r="B980" s="174" t="s">
        <v>3613</v>
      </c>
      <c r="C980" s="175"/>
      <c r="D980" s="45" t="s">
        <v>31</v>
      </c>
      <c r="E980" s="82" t="s">
        <v>3799</v>
      </c>
      <c r="F980" s="81">
        <f>IFERROR(VLOOKUP(E980,客户!B:C,2,FALSE),"/")</f>
        <v>0</v>
      </c>
      <c r="G980" s="45" t="s">
        <v>3800</v>
      </c>
      <c r="H980" s="45" t="s">
        <v>123</v>
      </c>
      <c r="I980" s="45" t="s">
        <v>3801</v>
      </c>
      <c r="J980" s="156">
        <v>43815</v>
      </c>
      <c r="K980" s="100">
        <v>43911</v>
      </c>
      <c r="L980" s="200">
        <v>43959</v>
      </c>
      <c r="M980" s="229" t="s">
        <v>3802</v>
      </c>
      <c r="N980" s="337" t="s">
        <v>3803</v>
      </c>
      <c r="O980" s="104" t="s">
        <v>523</v>
      </c>
      <c r="P980" s="102">
        <f>12708+37</f>
        <v>12745</v>
      </c>
      <c r="Q980" s="102">
        <v>2558.7</v>
      </c>
      <c r="R980" s="131"/>
      <c r="S980" s="132"/>
      <c r="T980" s="102">
        <v>10186</v>
      </c>
      <c r="U980" s="100"/>
      <c r="V980" s="246" t="s">
        <v>3804</v>
      </c>
      <c r="W980" s="45"/>
    </row>
    <row r="981" s="40" customFormat="1" ht="22" hidden="1" customHeight="1" spans="1:23">
      <c r="A981" s="144" t="s">
        <v>3805</v>
      </c>
      <c r="B981" s="174" t="s">
        <v>3613</v>
      </c>
      <c r="C981" s="175"/>
      <c r="D981" s="45" t="s">
        <v>31</v>
      </c>
      <c r="E981" s="82" t="s">
        <v>3774</v>
      </c>
      <c r="F981" s="81">
        <f>IFERROR(VLOOKUP(E981,客户!B:C,2,FALSE),"/")</f>
        <v>0</v>
      </c>
      <c r="G981" s="45" t="s">
        <v>3775</v>
      </c>
      <c r="H981" s="45" t="s">
        <v>123</v>
      </c>
      <c r="I981" s="45" t="s">
        <v>3715</v>
      </c>
      <c r="J981" s="156">
        <v>43816</v>
      </c>
      <c r="K981" s="100">
        <v>43846</v>
      </c>
      <c r="L981" s="100">
        <v>43897</v>
      </c>
      <c r="M981" s="229" t="s">
        <v>3806</v>
      </c>
      <c r="N981" s="143" t="s">
        <v>3807</v>
      </c>
      <c r="O981" s="143" t="s">
        <v>523</v>
      </c>
      <c r="P981" s="102">
        <v>18030.03</v>
      </c>
      <c r="Q981" s="102">
        <v>5209.64</v>
      </c>
      <c r="R981" s="131"/>
      <c r="S981" s="132"/>
      <c r="T981" s="102">
        <v>12820.39</v>
      </c>
      <c r="U981" s="100">
        <v>43871</v>
      </c>
      <c r="V981" s="102"/>
      <c r="W981" s="45"/>
    </row>
    <row r="982" s="40" customFormat="1" ht="22" hidden="1" customHeight="1" spans="1:23">
      <c r="A982" s="144" t="s">
        <v>3808</v>
      </c>
      <c r="B982" s="174" t="s">
        <v>3613</v>
      </c>
      <c r="C982" s="175"/>
      <c r="D982" s="45" t="s">
        <v>31</v>
      </c>
      <c r="E982" s="80" t="s">
        <v>3809</v>
      </c>
      <c r="F982" s="81">
        <f>IFERROR(VLOOKUP(E982,客户!B:C,2,FALSE),"/")</f>
        <v>0</v>
      </c>
      <c r="G982" s="45" t="s">
        <v>3810</v>
      </c>
      <c r="H982" s="45" t="s">
        <v>123</v>
      </c>
      <c r="I982" s="45"/>
      <c r="J982" s="156">
        <v>43818</v>
      </c>
      <c r="K982" s="100">
        <v>43840</v>
      </c>
      <c r="L982" s="197"/>
      <c r="M982" s="337" t="s">
        <v>3811</v>
      </c>
      <c r="N982" s="143"/>
      <c r="O982" s="104" t="s">
        <v>970</v>
      </c>
      <c r="P982" s="102" t="s">
        <v>3812</v>
      </c>
      <c r="Q982" s="102" t="s">
        <v>3813</v>
      </c>
      <c r="R982" s="131"/>
      <c r="S982" s="132"/>
      <c r="T982" s="102" t="s">
        <v>3814</v>
      </c>
      <c r="U982" s="100">
        <v>43840</v>
      </c>
      <c r="V982" s="102"/>
      <c r="W982" s="45"/>
    </row>
    <row r="983" s="40" customFormat="1" ht="22" hidden="1" customHeight="1" spans="1:23">
      <c r="A983" s="144" t="s">
        <v>3815</v>
      </c>
      <c r="B983" s="174" t="s">
        <v>3613</v>
      </c>
      <c r="C983" s="175"/>
      <c r="D983" s="45" t="s">
        <v>31</v>
      </c>
      <c r="E983" s="229" t="s">
        <v>3816</v>
      </c>
      <c r="F983" s="81">
        <f>IFERROR(VLOOKUP(E983,客户!B:C,2,FALSE),"/")</f>
        <v>0</v>
      </c>
      <c r="G983" s="45" t="s">
        <v>3817</v>
      </c>
      <c r="H983" s="45" t="s">
        <v>123</v>
      </c>
      <c r="I983" s="45"/>
      <c r="J983" s="156">
        <v>43811</v>
      </c>
      <c r="K983" s="100">
        <v>43903</v>
      </c>
      <c r="L983" s="197"/>
      <c r="M983" s="338" t="s">
        <v>3818</v>
      </c>
      <c r="N983" s="143"/>
      <c r="O983" s="104" t="s">
        <v>970</v>
      </c>
      <c r="P983" s="102" t="s">
        <v>3819</v>
      </c>
      <c r="Q983" s="102" t="s">
        <v>3820</v>
      </c>
      <c r="R983" s="131"/>
      <c r="S983" s="132"/>
      <c r="T983" s="102" t="s">
        <v>3821</v>
      </c>
      <c r="U983" s="100">
        <v>43898</v>
      </c>
      <c r="V983" s="102" t="s">
        <v>3822</v>
      </c>
      <c r="W983" s="45"/>
    </row>
    <row r="984" s="40" customFormat="1" ht="22" hidden="1" customHeight="1" spans="1:23">
      <c r="A984" s="144" t="s">
        <v>3823</v>
      </c>
      <c r="B984" s="174" t="s">
        <v>3613</v>
      </c>
      <c r="C984" s="175"/>
      <c r="D984" s="45" t="s">
        <v>31</v>
      </c>
      <c r="E984" s="82" t="s">
        <v>3788</v>
      </c>
      <c r="F984" s="81">
        <f>IFERROR(VLOOKUP(E984,客户!B:C,2,FALSE),"/")</f>
        <v>0</v>
      </c>
      <c r="G984" s="45" t="s">
        <v>3824</v>
      </c>
      <c r="H984" s="45" t="s">
        <v>123</v>
      </c>
      <c r="I984" s="45" t="s">
        <v>3825</v>
      </c>
      <c r="J984" s="156">
        <v>43845</v>
      </c>
      <c r="K984" s="100">
        <v>44000</v>
      </c>
      <c r="L984" s="197"/>
      <c r="M984" s="339" t="s">
        <v>3826</v>
      </c>
      <c r="N984" s="337" t="s">
        <v>3827</v>
      </c>
      <c r="O984" s="104" t="s">
        <v>970</v>
      </c>
      <c r="P984" s="102">
        <f>24392.97+836.03</f>
        <v>25229</v>
      </c>
      <c r="Q984" s="102">
        <v>5708.66</v>
      </c>
      <c r="R984" s="131"/>
      <c r="S984" s="132"/>
      <c r="T984" s="102">
        <v>19548</v>
      </c>
      <c r="U984" s="100"/>
      <c r="V984" s="246" t="s">
        <v>3828</v>
      </c>
      <c r="W984" s="45"/>
    </row>
    <row r="985" s="40" customFormat="1" ht="22" hidden="1" customHeight="1" spans="1:23">
      <c r="A985" s="144" t="s">
        <v>3829</v>
      </c>
      <c r="B985" s="174" t="s">
        <v>3613</v>
      </c>
      <c r="C985" s="175"/>
      <c r="D985" s="45" t="s">
        <v>31</v>
      </c>
      <c r="E985" s="82" t="s">
        <v>3830</v>
      </c>
      <c r="F985" s="81">
        <f>IFERROR(VLOOKUP(E985,客户!B:C,2,FALSE),"/")</f>
        <v>0</v>
      </c>
      <c r="G985" s="45" t="s">
        <v>941</v>
      </c>
      <c r="H985" s="45" t="s">
        <v>123</v>
      </c>
      <c r="I985" s="45" t="s">
        <v>770</v>
      </c>
      <c r="J985" s="156">
        <v>43851</v>
      </c>
      <c r="K985" s="100">
        <v>43982</v>
      </c>
      <c r="L985" s="100">
        <v>44006</v>
      </c>
      <c r="M985" s="337" t="s">
        <v>3831</v>
      </c>
      <c r="N985" s="337" t="s">
        <v>3832</v>
      </c>
      <c r="O985" s="104" t="s">
        <v>523</v>
      </c>
      <c r="P985" s="102">
        <v>21962.5</v>
      </c>
      <c r="Q985" s="102">
        <f>30750/6.84</f>
        <v>4495.61403508772</v>
      </c>
      <c r="R985" s="131"/>
      <c r="S985" s="132"/>
      <c r="T985" s="102">
        <v>17422</v>
      </c>
      <c r="U985" s="100"/>
      <c r="V985" s="246" t="s">
        <v>3833</v>
      </c>
      <c r="W985" s="45"/>
    </row>
    <row r="986" s="40" customFormat="1" ht="22" hidden="1" customHeight="1" spans="1:23">
      <c r="A986" s="145" t="s">
        <v>3834</v>
      </c>
      <c r="B986" s="174" t="s">
        <v>3613</v>
      </c>
      <c r="C986" s="175"/>
      <c r="D986" s="45" t="s">
        <v>31</v>
      </c>
      <c r="E986" s="80" t="s">
        <v>3646</v>
      </c>
      <c r="F986" s="81">
        <f>IFERROR(VLOOKUP(E986,客户!B:C,2,FALSE),"/")</f>
        <v>0</v>
      </c>
      <c r="G986" s="45" t="s">
        <v>3835</v>
      </c>
      <c r="H986" s="45" t="s">
        <v>123</v>
      </c>
      <c r="I986" s="45" t="s">
        <v>3836</v>
      </c>
      <c r="J986" s="156">
        <v>43879</v>
      </c>
      <c r="K986" s="100">
        <v>44002</v>
      </c>
      <c r="L986" s="197"/>
      <c r="M986" s="337" t="s">
        <v>3837</v>
      </c>
      <c r="N986" s="143"/>
      <c r="O986" s="104" t="s">
        <v>970</v>
      </c>
      <c r="P986" s="102">
        <v>18648</v>
      </c>
      <c r="Q986" s="102"/>
      <c r="R986" s="131"/>
      <c r="S986" s="132"/>
      <c r="T986" s="102">
        <v>18622</v>
      </c>
      <c r="U986" s="100"/>
      <c r="V986" s="345"/>
      <c r="W986" s="45"/>
    </row>
    <row r="987" s="40" customFormat="1" ht="22" hidden="1" customHeight="1" spans="1:23">
      <c r="A987" s="144" t="s">
        <v>3838</v>
      </c>
      <c r="B987" s="174" t="s">
        <v>3613</v>
      </c>
      <c r="C987" s="175"/>
      <c r="D987" s="45" t="s">
        <v>31</v>
      </c>
      <c r="E987" s="80" t="s">
        <v>3646</v>
      </c>
      <c r="F987" s="81">
        <f>IFERROR(VLOOKUP(E987,客户!B:C,2,FALSE),"/")</f>
        <v>0</v>
      </c>
      <c r="G987" s="45" t="s">
        <v>3835</v>
      </c>
      <c r="H987" s="45" t="s">
        <v>123</v>
      </c>
      <c r="I987" s="45" t="s">
        <v>3836</v>
      </c>
      <c r="J987" s="156">
        <v>43879</v>
      </c>
      <c r="K987" s="100">
        <v>43992</v>
      </c>
      <c r="L987" s="197"/>
      <c r="M987" s="337" t="s">
        <v>3839</v>
      </c>
      <c r="N987" s="337" t="s">
        <v>3840</v>
      </c>
      <c r="O987" s="104" t="s">
        <v>970</v>
      </c>
      <c r="P987" s="102">
        <v>18834.4</v>
      </c>
      <c r="Q987" s="102"/>
      <c r="R987" s="131"/>
      <c r="S987" s="132"/>
      <c r="T987" s="102">
        <v>18808.4</v>
      </c>
      <c r="U987" s="100"/>
      <c r="V987" s="102"/>
      <c r="W987" s="45"/>
    </row>
    <row r="988" s="40" customFormat="1" ht="22" hidden="1" customHeight="1" spans="1:23">
      <c r="A988" s="144" t="s">
        <v>3841</v>
      </c>
      <c r="B988" s="174" t="s">
        <v>3613</v>
      </c>
      <c r="C988" s="175"/>
      <c r="D988" s="45" t="s">
        <v>31</v>
      </c>
      <c r="E988" s="82" t="s">
        <v>3842</v>
      </c>
      <c r="F988" s="81">
        <f>IFERROR(VLOOKUP(E988,客户!B:C,2,FALSE),"/")</f>
        <v>0</v>
      </c>
      <c r="G988" s="45" t="s">
        <v>3835</v>
      </c>
      <c r="H988" s="45" t="s">
        <v>123</v>
      </c>
      <c r="I988" s="45" t="s">
        <v>3836</v>
      </c>
      <c r="J988" s="156">
        <v>43879</v>
      </c>
      <c r="K988" s="100">
        <v>43972</v>
      </c>
      <c r="L988" s="197"/>
      <c r="M988" s="337"/>
      <c r="N988" s="337" t="s">
        <v>3771</v>
      </c>
      <c r="O988" s="104" t="s">
        <v>970</v>
      </c>
      <c r="P988" s="102">
        <v>19349</v>
      </c>
      <c r="Q988" s="102">
        <f>10000/7.088</f>
        <v>1410.83521444695</v>
      </c>
      <c r="R988" s="131"/>
      <c r="S988" s="132"/>
      <c r="T988" s="102">
        <v>17921</v>
      </c>
      <c r="U988" s="100"/>
      <c r="V988" s="246"/>
      <c r="W988" s="45"/>
    </row>
    <row r="989" s="43" customFormat="1" ht="19" hidden="1" customHeight="1" spans="1:23">
      <c r="A989" s="144" t="s">
        <v>3843</v>
      </c>
      <c r="B989" s="174" t="s">
        <v>3613</v>
      </c>
      <c r="C989" s="175"/>
      <c r="D989" s="45" t="s">
        <v>31</v>
      </c>
      <c r="E989" s="82" t="s">
        <v>3844</v>
      </c>
      <c r="F989" s="81">
        <f>IFERROR(VLOOKUP(E989,客户!B:C,2,FALSE),"/")</f>
        <v>0</v>
      </c>
      <c r="G989" s="45" t="s">
        <v>941</v>
      </c>
      <c r="H989" s="143" t="s">
        <v>123</v>
      </c>
      <c r="I989" s="108" t="s">
        <v>3845</v>
      </c>
      <c r="J989" s="108">
        <v>43894</v>
      </c>
      <c r="K989" s="100">
        <v>43998</v>
      </c>
      <c r="L989" s="100">
        <v>44039</v>
      </c>
      <c r="M989" s="340" t="s">
        <v>3846</v>
      </c>
      <c r="N989" s="246" t="s">
        <v>3847</v>
      </c>
      <c r="O989" s="104" t="s">
        <v>523</v>
      </c>
      <c r="P989" s="230">
        <v>19400.63</v>
      </c>
      <c r="Q989" s="102">
        <v>6312.74</v>
      </c>
      <c r="R989" s="131">
        <f>P989-Q989</f>
        <v>13087.89</v>
      </c>
      <c r="S989" s="132"/>
      <c r="T989" s="102">
        <v>13065.89</v>
      </c>
      <c r="U989" s="100"/>
      <c r="V989" s="102"/>
      <c r="W989" s="210"/>
    </row>
    <row r="990" s="40" customFormat="1" ht="22" hidden="1" customHeight="1" spans="1:23">
      <c r="A990" s="144" t="s">
        <v>3848</v>
      </c>
      <c r="B990" s="174" t="s">
        <v>3613</v>
      </c>
      <c r="C990" s="175"/>
      <c r="D990" s="45" t="s">
        <v>31</v>
      </c>
      <c r="E990" s="82" t="s">
        <v>3849</v>
      </c>
      <c r="F990" s="81">
        <f>IFERROR(VLOOKUP(E990,客户!B:C,2,FALSE),"/")</f>
        <v>0</v>
      </c>
      <c r="G990" s="45" t="s">
        <v>3850</v>
      </c>
      <c r="H990" s="45" t="s">
        <v>123</v>
      </c>
      <c r="I990" s="45" t="s">
        <v>3851</v>
      </c>
      <c r="J990" s="156">
        <v>43895</v>
      </c>
      <c r="K990" s="100">
        <v>43995</v>
      </c>
      <c r="L990" s="100">
        <v>44043</v>
      </c>
      <c r="M990" s="155" t="s">
        <v>3852</v>
      </c>
      <c r="N990" s="341" t="s">
        <v>3853</v>
      </c>
      <c r="O990" s="104" t="s">
        <v>523</v>
      </c>
      <c r="P990" s="102">
        <v>21723.32</v>
      </c>
      <c r="Q990" s="102">
        <v>4000</v>
      </c>
      <c r="R990" s="131"/>
      <c r="S990" s="132"/>
      <c r="T990" s="102">
        <v>17698.32</v>
      </c>
      <c r="U990" s="100"/>
      <c r="V990" s="246" t="s">
        <v>3854</v>
      </c>
      <c r="W990" s="45"/>
    </row>
    <row r="991" s="40" customFormat="1" ht="22" hidden="1" customHeight="1" spans="1:23">
      <c r="A991" s="220" t="s">
        <v>3855</v>
      </c>
      <c r="B991" s="174" t="s">
        <v>3613</v>
      </c>
      <c r="C991" s="175"/>
      <c r="D991" s="45" t="s">
        <v>31</v>
      </c>
      <c r="E991" s="82" t="s">
        <v>3856</v>
      </c>
      <c r="F991" s="81">
        <f>IFERROR(VLOOKUP(E991,客户!B:C,2,FALSE),"/")</f>
        <v>0</v>
      </c>
      <c r="G991" s="45" t="s">
        <v>2337</v>
      </c>
      <c r="H991" s="45" t="s">
        <v>123</v>
      </c>
      <c r="I991" s="45" t="s">
        <v>3857</v>
      </c>
      <c r="J991" s="156">
        <v>43895</v>
      </c>
      <c r="K991" s="100">
        <v>44066</v>
      </c>
      <c r="L991" s="100">
        <v>44093</v>
      </c>
      <c r="M991" s="45" t="s">
        <v>3858</v>
      </c>
      <c r="N991" s="337" t="s">
        <v>3859</v>
      </c>
      <c r="O991" s="104" t="s">
        <v>523</v>
      </c>
      <c r="P991" s="102">
        <v>16333</v>
      </c>
      <c r="Q991" s="102">
        <f>22700/6.92</f>
        <v>3280.34682080925</v>
      </c>
      <c r="R991" s="131"/>
      <c r="S991" s="132"/>
      <c r="T991" s="102">
        <v>13066.4</v>
      </c>
      <c r="U991" s="100"/>
      <c r="V991" s="246" t="s">
        <v>3860</v>
      </c>
      <c r="W991" s="45"/>
    </row>
    <row r="992" s="40" customFormat="1" ht="22" hidden="1" customHeight="1" spans="1:23">
      <c r="A992" s="144" t="s">
        <v>3861</v>
      </c>
      <c r="B992" s="174" t="s">
        <v>3613</v>
      </c>
      <c r="C992" s="175"/>
      <c r="D992" s="45" t="s">
        <v>31</v>
      </c>
      <c r="E992" s="82" t="s">
        <v>3830</v>
      </c>
      <c r="F992" s="81">
        <f>IFERROR(VLOOKUP(E992,客户!B:C,2,FALSE),"/")</f>
        <v>0</v>
      </c>
      <c r="G992" s="45" t="s">
        <v>2337</v>
      </c>
      <c r="H992" s="45" t="s">
        <v>123</v>
      </c>
      <c r="I992" s="45" t="s">
        <v>770</v>
      </c>
      <c r="J992" s="156">
        <v>43899</v>
      </c>
      <c r="K992" s="100">
        <v>44059</v>
      </c>
      <c r="L992" s="100">
        <v>44079</v>
      </c>
      <c r="M992" s="229" t="s">
        <v>3862</v>
      </c>
      <c r="N992" s="337" t="s">
        <v>3832</v>
      </c>
      <c r="O992" s="104" t="s">
        <v>523</v>
      </c>
      <c r="P992" s="102">
        <v>16370.78</v>
      </c>
      <c r="Q992" s="102">
        <v>5282.25</v>
      </c>
      <c r="R992" s="131"/>
      <c r="S992" s="132"/>
      <c r="T992" s="102">
        <v>11088.53</v>
      </c>
      <c r="U992" s="100"/>
      <c r="V992" s="102"/>
      <c r="W992" s="45"/>
    </row>
    <row r="993" s="40" customFormat="1" ht="22" hidden="1" customHeight="1" spans="1:23">
      <c r="A993" s="144" t="s">
        <v>3863</v>
      </c>
      <c r="B993" s="174" t="s">
        <v>3613</v>
      </c>
      <c r="C993" s="175"/>
      <c r="D993" s="45" t="s">
        <v>31</v>
      </c>
      <c r="E993" s="82" t="s">
        <v>3864</v>
      </c>
      <c r="F993" s="81">
        <f>IFERROR(VLOOKUP(E993,客户!B:C,2,FALSE),"/")</f>
        <v>0</v>
      </c>
      <c r="G993" s="45" t="s">
        <v>3865</v>
      </c>
      <c r="H993" s="45" t="s">
        <v>123</v>
      </c>
      <c r="I993" s="45" t="s">
        <v>3866</v>
      </c>
      <c r="J993" s="156">
        <v>43908</v>
      </c>
      <c r="K993" s="100">
        <v>44005</v>
      </c>
      <c r="L993" s="100">
        <v>44030</v>
      </c>
      <c r="M993" s="155" t="s">
        <v>3867</v>
      </c>
      <c r="N993" s="337" t="s">
        <v>3868</v>
      </c>
      <c r="O993" s="104" t="s">
        <v>523</v>
      </c>
      <c r="P993" s="102">
        <v>36690.42</v>
      </c>
      <c r="Q993" s="102">
        <v>11357</v>
      </c>
      <c r="R993" s="131"/>
      <c r="S993" s="132"/>
      <c r="T993" s="102">
        <v>25263</v>
      </c>
      <c r="U993" s="100"/>
      <c r="V993" s="246" t="s">
        <v>3869</v>
      </c>
      <c r="W993" s="45"/>
    </row>
    <row r="994" s="40" customFormat="1" ht="22" hidden="1" customHeight="1" spans="1:23">
      <c r="A994" s="144" t="s">
        <v>3870</v>
      </c>
      <c r="B994" s="174" t="s">
        <v>3613</v>
      </c>
      <c r="C994" s="175"/>
      <c r="D994" s="45" t="s">
        <v>31</v>
      </c>
      <c r="E994" s="82" t="s">
        <v>3864</v>
      </c>
      <c r="F994" s="81">
        <f>IFERROR(VLOOKUP(E994,客户!B:C,2,FALSE),"/")</f>
        <v>0</v>
      </c>
      <c r="G994" s="45" t="s">
        <v>3871</v>
      </c>
      <c r="H994" s="45" t="s">
        <v>123</v>
      </c>
      <c r="I994" s="45" t="s">
        <v>3866</v>
      </c>
      <c r="J994" s="156">
        <v>43908</v>
      </c>
      <c r="K994" s="100">
        <v>43943</v>
      </c>
      <c r="L994" s="100">
        <v>43964</v>
      </c>
      <c r="M994" s="229" t="s">
        <v>3872</v>
      </c>
      <c r="N994" s="337" t="s">
        <v>3873</v>
      </c>
      <c r="O994" s="104" t="s">
        <v>523</v>
      </c>
      <c r="P994" s="102">
        <v>45158.4</v>
      </c>
      <c r="Q994" s="102">
        <v>12800</v>
      </c>
      <c r="R994" s="131"/>
      <c r="S994" s="132"/>
      <c r="T994" s="102">
        <v>32315.7</v>
      </c>
      <c r="U994" s="100"/>
      <c r="V994" s="246" t="s">
        <v>3874</v>
      </c>
      <c r="W994" s="45"/>
    </row>
    <row r="995" s="40" customFormat="1" ht="22" hidden="1" customHeight="1" spans="1:23">
      <c r="A995" s="144" t="s">
        <v>3875</v>
      </c>
      <c r="B995" s="174" t="s">
        <v>3613</v>
      </c>
      <c r="C995" s="175"/>
      <c r="D995" s="45" t="s">
        <v>31</v>
      </c>
      <c r="E995" s="82" t="s">
        <v>3876</v>
      </c>
      <c r="F995" s="81"/>
      <c r="G995" s="45" t="s">
        <v>3877</v>
      </c>
      <c r="H995" s="45" t="s">
        <v>123</v>
      </c>
      <c r="I995" s="45" t="s">
        <v>3866</v>
      </c>
      <c r="J995" s="156">
        <v>43908</v>
      </c>
      <c r="K995" s="100">
        <v>43973</v>
      </c>
      <c r="L995" s="100">
        <v>43994</v>
      </c>
      <c r="M995" s="229" t="s">
        <v>3878</v>
      </c>
      <c r="N995" s="337" t="s">
        <v>3879</v>
      </c>
      <c r="O995" s="104" t="s">
        <v>523</v>
      </c>
      <c r="P995" s="102">
        <v>84997.75</v>
      </c>
      <c r="Q995" s="102">
        <v>24378</v>
      </c>
      <c r="R995" s="131"/>
      <c r="S995" s="132"/>
      <c r="T995" s="102">
        <v>53917</v>
      </c>
      <c r="U995" s="100"/>
      <c r="V995" s="246" t="s">
        <v>3880</v>
      </c>
      <c r="W995" s="45"/>
    </row>
    <row r="996" s="40" customFormat="1" ht="22" hidden="1" customHeight="1" spans="1:23">
      <c r="A996" s="144" t="s">
        <v>3881</v>
      </c>
      <c r="B996" s="174" t="s">
        <v>3613</v>
      </c>
      <c r="C996" s="175"/>
      <c r="D996" s="45" t="s">
        <v>31</v>
      </c>
      <c r="E996" s="82" t="s">
        <v>3876</v>
      </c>
      <c r="F996" s="81"/>
      <c r="G996" s="45" t="s">
        <v>3871</v>
      </c>
      <c r="H996" s="45" t="s">
        <v>123</v>
      </c>
      <c r="I996" s="45" t="s">
        <v>3866</v>
      </c>
      <c r="J996" s="156">
        <v>43908</v>
      </c>
      <c r="K996" s="100">
        <v>43973</v>
      </c>
      <c r="L996" s="100">
        <v>43994</v>
      </c>
      <c r="M996" s="229" t="s">
        <v>3882</v>
      </c>
      <c r="N996" s="337" t="s">
        <v>3883</v>
      </c>
      <c r="O996" s="104" t="s">
        <v>523</v>
      </c>
      <c r="P996" s="102">
        <v>43220</v>
      </c>
      <c r="Q996" s="102">
        <v>12295</v>
      </c>
      <c r="R996" s="131"/>
      <c r="S996" s="132"/>
      <c r="T996" s="102">
        <v>37522.25</v>
      </c>
      <c r="U996" s="100"/>
      <c r="V996" s="246" t="s">
        <v>3884</v>
      </c>
      <c r="W996" s="45"/>
    </row>
    <row r="997" s="40" customFormat="1" ht="22" hidden="1" customHeight="1" spans="1:23">
      <c r="A997" s="220" t="s">
        <v>3885</v>
      </c>
      <c r="B997" s="174" t="s">
        <v>3613</v>
      </c>
      <c r="C997" s="175"/>
      <c r="D997" s="45" t="s">
        <v>31</v>
      </c>
      <c r="E997" s="82" t="s">
        <v>3788</v>
      </c>
      <c r="F997" s="81">
        <f>IFERROR(VLOOKUP(E997,客户!B:C,2,FALSE),"/")</f>
        <v>0</v>
      </c>
      <c r="G997" s="45" t="s">
        <v>3886</v>
      </c>
      <c r="H997" s="45" t="s">
        <v>123</v>
      </c>
      <c r="I997" s="45" t="s">
        <v>3825</v>
      </c>
      <c r="J997" s="156">
        <v>43910</v>
      </c>
      <c r="K997" s="100">
        <v>44036</v>
      </c>
      <c r="L997" s="197"/>
      <c r="M997" s="341" t="s">
        <v>3887</v>
      </c>
      <c r="N997" s="337" t="s">
        <v>3888</v>
      </c>
      <c r="O997" s="266" t="s">
        <v>970</v>
      </c>
      <c r="P997" s="102">
        <f>23045.4+899.45</f>
        <v>23944.85</v>
      </c>
      <c r="Q997" s="102">
        <f>5677.16+3115.53+898.68</f>
        <v>9691.37</v>
      </c>
      <c r="R997" s="131"/>
      <c r="S997" s="132"/>
      <c r="T997" s="102">
        <f>5393.5/6.88</f>
        <v>783.938953488372</v>
      </c>
      <c r="U997" s="102">
        <v>13445</v>
      </c>
      <c r="V997" s="246"/>
      <c r="W997" s="45"/>
    </row>
    <row r="998" s="40" customFormat="1" ht="22" hidden="1" customHeight="1" spans="1:23">
      <c r="A998" s="144" t="s">
        <v>3889</v>
      </c>
      <c r="B998" s="174" t="s">
        <v>3613</v>
      </c>
      <c r="C998" s="175"/>
      <c r="D998" s="45" t="s">
        <v>31</v>
      </c>
      <c r="E998" s="82" t="s">
        <v>3890</v>
      </c>
      <c r="F998" s="81">
        <f>IFERROR(VLOOKUP(E998,客户!B:C,2,FALSE),"/")</f>
        <v>0</v>
      </c>
      <c r="G998" s="45" t="s">
        <v>3891</v>
      </c>
      <c r="H998" s="45" t="s">
        <v>123</v>
      </c>
      <c r="I998" s="45" t="s">
        <v>3765</v>
      </c>
      <c r="J998" s="156">
        <v>43922</v>
      </c>
      <c r="K998" s="100">
        <v>44004</v>
      </c>
      <c r="L998" s="100">
        <v>44033</v>
      </c>
      <c r="M998" s="229" t="s">
        <v>3892</v>
      </c>
      <c r="N998" s="337" t="s">
        <v>3893</v>
      </c>
      <c r="O998" s="104" t="s">
        <v>523</v>
      </c>
      <c r="P998" s="102">
        <v>35637.62</v>
      </c>
      <c r="Q998" s="102">
        <v>10813.53</v>
      </c>
      <c r="R998" s="131"/>
      <c r="S998" s="132"/>
      <c r="T998" s="102">
        <v>24577.78</v>
      </c>
      <c r="U998" s="100"/>
      <c r="V998" s="246" t="s">
        <v>3894</v>
      </c>
      <c r="W998" s="45"/>
    </row>
    <row r="999" s="40" customFormat="1" ht="22" hidden="1" customHeight="1" spans="1:23">
      <c r="A999" s="144" t="s">
        <v>3895</v>
      </c>
      <c r="B999" s="174" t="s">
        <v>3613</v>
      </c>
      <c r="C999" s="175"/>
      <c r="D999" s="45" t="s">
        <v>31</v>
      </c>
      <c r="E999" s="82" t="s">
        <v>3896</v>
      </c>
      <c r="F999" s="81">
        <f>IFERROR(VLOOKUP(E999,客户!B:C,2,FALSE),"/")</f>
        <v>0</v>
      </c>
      <c r="G999" s="45" t="s">
        <v>3897</v>
      </c>
      <c r="H999" s="45" t="s">
        <v>186</v>
      </c>
      <c r="I999" s="45"/>
      <c r="J999" s="156">
        <v>43937</v>
      </c>
      <c r="K999" s="100">
        <v>44155</v>
      </c>
      <c r="L999" s="197"/>
      <c r="M999" s="341" t="s">
        <v>3898</v>
      </c>
      <c r="N999" s="143"/>
      <c r="O999" s="104" t="s">
        <v>970</v>
      </c>
      <c r="P999" s="240">
        <v>93303</v>
      </c>
      <c r="Q999" s="240">
        <v>18660</v>
      </c>
      <c r="R999" s="131"/>
      <c r="S999" s="132"/>
      <c r="T999" s="240">
        <v>74643</v>
      </c>
      <c r="U999" s="100"/>
      <c r="V999" s="102"/>
      <c r="W999" s="45"/>
    </row>
    <row r="1000" s="40" customFormat="1" ht="22" hidden="1" customHeight="1" spans="1:23">
      <c r="A1000" s="144" t="s">
        <v>3899</v>
      </c>
      <c r="B1000" s="174" t="s">
        <v>3613</v>
      </c>
      <c r="C1000" s="175"/>
      <c r="D1000" s="45" t="s">
        <v>31</v>
      </c>
      <c r="E1000" s="82" t="s">
        <v>3900</v>
      </c>
      <c r="F1000" s="81">
        <f>IFERROR(VLOOKUP(E1000,客户!B:C,2,FALSE),"/")</f>
        <v>0</v>
      </c>
      <c r="G1000" s="45" t="s">
        <v>2587</v>
      </c>
      <c r="H1000" s="45" t="s">
        <v>147</v>
      </c>
      <c r="I1000" s="45" t="s">
        <v>1123</v>
      </c>
      <c r="J1000" s="156">
        <v>43950</v>
      </c>
      <c r="K1000" s="100">
        <v>43995</v>
      </c>
      <c r="L1000" s="100">
        <v>44011</v>
      </c>
      <c r="M1000" s="155" t="s">
        <v>3901</v>
      </c>
      <c r="N1000" s="337" t="s">
        <v>3902</v>
      </c>
      <c r="O1000" s="104" t="s">
        <v>970</v>
      </c>
      <c r="P1000" s="102">
        <v>20868</v>
      </c>
      <c r="Q1000" s="102">
        <f>40000/7.06</f>
        <v>5665.7223796034</v>
      </c>
      <c r="R1000" s="131"/>
      <c r="S1000" s="102"/>
      <c r="T1000" s="102">
        <f>107480/7.07</f>
        <v>15202.2630834512</v>
      </c>
      <c r="U1000" s="100"/>
      <c r="V1000" s="102"/>
      <c r="W1000" s="45"/>
    </row>
    <row r="1001" s="40" customFormat="1" ht="22" hidden="1" customHeight="1" spans="1:23">
      <c r="A1001" s="144" t="s">
        <v>3903</v>
      </c>
      <c r="B1001" s="174" t="s">
        <v>3613</v>
      </c>
      <c r="C1001" s="175"/>
      <c r="D1001" s="45" t="s">
        <v>31</v>
      </c>
      <c r="E1001" s="82" t="s">
        <v>3904</v>
      </c>
      <c r="F1001" s="81" t="str">
        <f>IFERROR(VLOOKUP(E1001,客户!B:C,2,FALSE),"/")</f>
        <v>J3805客户尾款打的多</v>
      </c>
      <c r="G1001" s="45" t="s">
        <v>3905</v>
      </c>
      <c r="H1001" s="45" t="s">
        <v>123</v>
      </c>
      <c r="I1001" s="45" t="s">
        <v>3906</v>
      </c>
      <c r="J1001" s="156">
        <v>43962</v>
      </c>
      <c r="K1001" s="100">
        <v>44006</v>
      </c>
      <c r="L1001" s="200">
        <v>44057</v>
      </c>
      <c r="M1001" s="155" t="s">
        <v>3907</v>
      </c>
      <c r="N1001" s="337" t="s">
        <v>3908</v>
      </c>
      <c r="O1001" s="104" t="s">
        <v>523</v>
      </c>
      <c r="P1001" s="102">
        <v>13986.21</v>
      </c>
      <c r="Q1001" s="230">
        <v>8352.4</v>
      </c>
      <c r="R1001" s="131"/>
      <c r="S1001" s="132"/>
      <c r="T1001" s="102">
        <v>20027.66</v>
      </c>
      <c r="U1001" s="100"/>
      <c r="V1001" s="246" t="s">
        <v>3909</v>
      </c>
      <c r="W1001" s="45"/>
    </row>
    <row r="1002" s="40" customFormat="1" ht="22" hidden="1" customHeight="1" spans="1:23">
      <c r="A1002" s="144" t="s">
        <v>3910</v>
      </c>
      <c r="B1002" s="174" t="s">
        <v>3613</v>
      </c>
      <c r="C1002" s="175"/>
      <c r="D1002" s="45" t="s">
        <v>31</v>
      </c>
      <c r="E1002" s="82" t="s">
        <v>3876</v>
      </c>
      <c r="F1002" s="81">
        <f>IFERROR(VLOOKUP(E1002,客户!B:C,2,FALSE),"/")</f>
        <v>0</v>
      </c>
      <c r="G1002" s="45" t="s">
        <v>3911</v>
      </c>
      <c r="H1002" s="45" t="s">
        <v>123</v>
      </c>
      <c r="I1002" s="45" t="s">
        <v>3912</v>
      </c>
      <c r="J1002" s="156">
        <v>43978</v>
      </c>
      <c r="K1002" s="100">
        <v>44024</v>
      </c>
      <c r="L1002" s="200">
        <v>44049</v>
      </c>
      <c r="M1002" s="155" t="s">
        <v>3913</v>
      </c>
      <c r="N1002" s="337" t="s">
        <v>3914</v>
      </c>
      <c r="O1002" s="266" t="s">
        <v>523</v>
      </c>
      <c r="P1002" s="102">
        <v>39780</v>
      </c>
      <c r="Q1002" s="102">
        <v>11934</v>
      </c>
      <c r="R1002" s="131"/>
      <c r="S1002" s="132"/>
      <c r="T1002" s="102">
        <v>27776</v>
      </c>
      <c r="U1002" s="100"/>
      <c r="V1002" s="246" t="s">
        <v>3915</v>
      </c>
      <c r="W1002" s="45"/>
    </row>
    <row r="1003" s="40" customFormat="1" ht="22" hidden="1" customHeight="1" spans="1:23">
      <c r="A1003" s="144" t="s">
        <v>3916</v>
      </c>
      <c r="B1003" s="174" t="s">
        <v>3613</v>
      </c>
      <c r="C1003" s="175"/>
      <c r="D1003" s="45" t="s">
        <v>31</v>
      </c>
      <c r="E1003" s="82" t="s">
        <v>3917</v>
      </c>
      <c r="F1003" s="81">
        <f>IFERROR(VLOOKUP(E1003,客户!B:C,2,FALSE),"/")</f>
        <v>0</v>
      </c>
      <c r="G1003" s="45" t="s">
        <v>3918</v>
      </c>
      <c r="H1003" s="45" t="s">
        <v>123</v>
      </c>
      <c r="I1003" s="45" t="s">
        <v>3919</v>
      </c>
      <c r="J1003" s="156">
        <v>43980</v>
      </c>
      <c r="K1003" s="100">
        <v>44027</v>
      </c>
      <c r="L1003" s="200">
        <v>44058</v>
      </c>
      <c r="M1003" s="155" t="s">
        <v>3920</v>
      </c>
      <c r="N1003" s="337" t="s">
        <v>3921</v>
      </c>
      <c r="O1003" s="266" t="s">
        <v>523</v>
      </c>
      <c r="P1003" s="102">
        <v>18215.6</v>
      </c>
      <c r="Q1003" s="102">
        <f>7741.14-1076.41</f>
        <v>6664.73</v>
      </c>
      <c r="R1003" s="131"/>
      <c r="S1003" s="132"/>
      <c r="T1003" s="102">
        <v>11550.86</v>
      </c>
      <c r="U1003" s="100"/>
      <c r="V1003" s="102"/>
      <c r="W1003" s="45"/>
    </row>
    <row r="1004" s="40" customFormat="1" ht="22" hidden="1" customHeight="1" spans="1:23">
      <c r="A1004" s="144" t="s">
        <v>3922</v>
      </c>
      <c r="B1004" s="174" t="s">
        <v>3613</v>
      </c>
      <c r="C1004" s="175"/>
      <c r="D1004" s="45" t="s">
        <v>31</v>
      </c>
      <c r="E1004" s="82" t="s">
        <v>3923</v>
      </c>
      <c r="F1004" s="81">
        <f>IFERROR(VLOOKUP(E1004,客户!B:C,2,FALSE),"/")</f>
        <v>0</v>
      </c>
      <c r="G1004" s="229" t="s">
        <v>3924</v>
      </c>
      <c r="H1004" s="45" t="s">
        <v>186</v>
      </c>
      <c r="I1004" s="45"/>
      <c r="J1004" s="156">
        <v>44001</v>
      </c>
      <c r="K1004" s="100">
        <v>44045</v>
      </c>
      <c r="L1004" s="197"/>
      <c r="M1004" s="341" t="s">
        <v>3925</v>
      </c>
      <c r="N1004" s="143"/>
      <c r="O1004" s="266" t="s">
        <v>970</v>
      </c>
      <c r="P1004" s="240">
        <v>14762.75</v>
      </c>
      <c r="Q1004" s="240">
        <v>4000</v>
      </c>
      <c r="R1004" s="346"/>
      <c r="S1004" s="347"/>
      <c r="T1004" s="240">
        <v>10762</v>
      </c>
      <c r="U1004" s="100"/>
      <c r="V1004" s="102"/>
      <c r="W1004" s="45"/>
    </row>
    <row r="1005" s="40" customFormat="1" ht="22" hidden="1" customHeight="1" spans="1:23">
      <c r="A1005" s="144" t="s">
        <v>3926</v>
      </c>
      <c r="B1005" s="174" t="s">
        <v>3613</v>
      </c>
      <c r="C1005" s="175"/>
      <c r="D1005" s="45" t="s">
        <v>31</v>
      </c>
      <c r="E1005" s="82" t="s">
        <v>3927</v>
      </c>
      <c r="F1005" s="81">
        <f>IFERROR(VLOOKUP(E1005,客户!B:C,2,FALSE),"/")</f>
        <v>0</v>
      </c>
      <c r="G1005" s="229" t="s">
        <v>3928</v>
      </c>
      <c r="H1005" s="45" t="s">
        <v>123</v>
      </c>
      <c r="I1005" s="45" t="s">
        <v>3521</v>
      </c>
      <c r="J1005" s="156">
        <v>44015</v>
      </c>
      <c r="K1005" s="100">
        <v>44039</v>
      </c>
      <c r="L1005" s="197"/>
      <c r="M1005" s="341" t="s">
        <v>3929</v>
      </c>
      <c r="N1005" s="337" t="s">
        <v>3840</v>
      </c>
      <c r="O1005" s="266" t="s">
        <v>970</v>
      </c>
      <c r="P1005" s="102">
        <v>19737.4</v>
      </c>
      <c r="Q1005" s="332"/>
      <c r="R1005" s="131"/>
      <c r="S1005" s="132"/>
      <c r="T1005" s="102">
        <v>19737.4</v>
      </c>
      <c r="U1005" s="100"/>
      <c r="V1005" s="246" t="s">
        <v>3930</v>
      </c>
      <c r="W1005" s="45"/>
    </row>
    <row r="1006" s="40" customFormat="1" ht="22" hidden="1" customHeight="1" spans="1:23">
      <c r="A1006" s="144" t="s">
        <v>3931</v>
      </c>
      <c r="B1006" s="174" t="s">
        <v>3613</v>
      </c>
      <c r="C1006" s="175"/>
      <c r="D1006" s="45" t="s">
        <v>31</v>
      </c>
      <c r="E1006" s="82" t="s">
        <v>3927</v>
      </c>
      <c r="F1006" s="81">
        <f>IFERROR(VLOOKUP(E1006,客户!B:C,2,FALSE),"/")</f>
        <v>0</v>
      </c>
      <c r="G1006" s="229" t="s">
        <v>3928</v>
      </c>
      <c r="H1006" s="45" t="s">
        <v>123</v>
      </c>
      <c r="I1006" s="45" t="s">
        <v>3521</v>
      </c>
      <c r="J1006" s="156">
        <v>44015</v>
      </c>
      <c r="K1006" s="100">
        <v>44053</v>
      </c>
      <c r="L1006" s="197"/>
      <c r="M1006" s="155" t="s">
        <v>3932</v>
      </c>
      <c r="N1006" s="337" t="s">
        <v>3933</v>
      </c>
      <c r="O1006" s="266" t="s">
        <v>970</v>
      </c>
      <c r="P1006" s="102">
        <v>19729</v>
      </c>
      <c r="Q1006" s="240"/>
      <c r="R1006" s="131"/>
      <c r="S1006" s="132"/>
      <c r="T1006" s="102">
        <v>19729</v>
      </c>
      <c r="U1006" s="100"/>
      <c r="V1006" s="102"/>
      <c r="W1006" s="45"/>
    </row>
    <row r="1007" s="40" customFormat="1" ht="22" hidden="1" customHeight="1" spans="1:23">
      <c r="A1007" s="144" t="s">
        <v>3934</v>
      </c>
      <c r="B1007" s="174" t="s">
        <v>3613</v>
      </c>
      <c r="C1007" s="175"/>
      <c r="D1007" s="45" t="s">
        <v>31</v>
      </c>
      <c r="E1007" s="82" t="s">
        <v>3876</v>
      </c>
      <c r="F1007" s="81">
        <f>IFERROR(VLOOKUP(E1007,客户!B:C,2,FALSE),"/")</f>
        <v>0</v>
      </c>
      <c r="G1007" s="229" t="s">
        <v>3935</v>
      </c>
      <c r="H1007" s="45" t="s">
        <v>123</v>
      </c>
      <c r="I1007" s="45" t="s">
        <v>3912</v>
      </c>
      <c r="J1007" s="156">
        <v>44018</v>
      </c>
      <c r="K1007" s="100">
        <v>44051</v>
      </c>
      <c r="L1007" s="100">
        <v>44076</v>
      </c>
      <c r="M1007" s="341" t="s">
        <v>3936</v>
      </c>
      <c r="N1007" s="337" t="s">
        <v>3937</v>
      </c>
      <c r="O1007" s="266" t="s">
        <v>523</v>
      </c>
      <c r="P1007" s="102">
        <v>43192.8</v>
      </c>
      <c r="Q1007" s="102">
        <v>13378</v>
      </c>
      <c r="R1007" s="131"/>
      <c r="S1007" s="132"/>
      <c r="T1007" s="102">
        <v>29813</v>
      </c>
      <c r="U1007" s="100"/>
      <c r="V1007" s="102"/>
      <c r="W1007" s="45"/>
    </row>
    <row r="1008" s="40" customFormat="1" ht="22" hidden="1" customHeight="1" spans="1:23">
      <c r="A1008" s="144" t="s">
        <v>3938</v>
      </c>
      <c r="B1008" s="174" t="s">
        <v>3613</v>
      </c>
      <c r="C1008" s="175"/>
      <c r="D1008" s="45" t="s">
        <v>31</v>
      </c>
      <c r="E1008" s="82" t="s">
        <v>3939</v>
      </c>
      <c r="F1008" s="81">
        <f>IFERROR(VLOOKUP(E1008,客户!B:C,2,FALSE),"/")</f>
        <v>0</v>
      </c>
      <c r="G1008" s="45" t="s">
        <v>3940</v>
      </c>
      <c r="H1008" s="45" t="s">
        <v>123</v>
      </c>
      <c r="I1008" s="45" t="s">
        <v>3825</v>
      </c>
      <c r="J1008" s="156">
        <v>44020</v>
      </c>
      <c r="K1008" s="100">
        <v>44073</v>
      </c>
      <c r="L1008" s="197"/>
      <c r="M1008" s="341" t="s">
        <v>3941</v>
      </c>
      <c r="N1008" s="143" t="s">
        <v>3827</v>
      </c>
      <c r="O1008" s="266" t="s">
        <v>970</v>
      </c>
      <c r="P1008" s="102">
        <v>25268.5</v>
      </c>
      <c r="Q1008" s="102">
        <v>9214</v>
      </c>
      <c r="R1008" s="131"/>
      <c r="S1008" s="132"/>
      <c r="T1008" s="102">
        <v>18777.25</v>
      </c>
      <c r="U1008" s="100"/>
      <c r="V1008" s="246" t="s">
        <v>3942</v>
      </c>
      <c r="W1008" s="45"/>
    </row>
    <row r="1009" s="40" customFormat="1" ht="22" hidden="1" customHeight="1" spans="1:23">
      <c r="A1009" s="144" t="s">
        <v>3943</v>
      </c>
      <c r="B1009" s="174" t="s">
        <v>3613</v>
      </c>
      <c r="C1009" s="175"/>
      <c r="D1009" s="45" t="s">
        <v>31</v>
      </c>
      <c r="E1009" s="82" t="s">
        <v>3900</v>
      </c>
      <c r="F1009" s="81">
        <f>IFERROR(VLOOKUP(E1009,客户!B:C,2,FALSE),"/")</f>
        <v>0</v>
      </c>
      <c r="G1009" s="45" t="s">
        <v>3944</v>
      </c>
      <c r="H1009" s="45" t="s">
        <v>127</v>
      </c>
      <c r="I1009" s="45" t="s">
        <v>1123</v>
      </c>
      <c r="J1009" s="156">
        <v>44027</v>
      </c>
      <c r="K1009" s="100">
        <v>44065</v>
      </c>
      <c r="L1009" s="100">
        <v>44081</v>
      </c>
      <c r="M1009" s="155" t="s">
        <v>3945</v>
      </c>
      <c r="N1009" s="337" t="s">
        <v>3946</v>
      </c>
      <c r="O1009" s="266" t="s">
        <v>970</v>
      </c>
      <c r="P1009" s="102">
        <v>22586</v>
      </c>
      <c r="Q1009" s="102">
        <f>47000/6.98</f>
        <v>6733.52435530086</v>
      </c>
      <c r="R1009" s="131"/>
      <c r="S1009" s="132"/>
      <c r="T1009" s="102">
        <f>109699.13/6.92</f>
        <v>15852.475433526</v>
      </c>
      <c r="U1009" s="100"/>
      <c r="V1009" s="102"/>
      <c r="W1009" s="45"/>
    </row>
    <row r="1010" s="40" customFormat="1" ht="22" hidden="1" customHeight="1" spans="1:23">
      <c r="A1010" s="144" t="s">
        <v>3947</v>
      </c>
      <c r="B1010" s="174" t="s">
        <v>3613</v>
      </c>
      <c r="C1010" s="175"/>
      <c r="D1010" s="45" t="s">
        <v>31</v>
      </c>
      <c r="E1010" s="82" t="s">
        <v>3900</v>
      </c>
      <c r="F1010" s="81">
        <f>IFERROR(VLOOKUP(E1010,客户!B:C,2,FALSE),"/")</f>
        <v>0</v>
      </c>
      <c r="G1010" s="45" t="s">
        <v>3944</v>
      </c>
      <c r="H1010" s="45" t="s">
        <v>127</v>
      </c>
      <c r="I1010" s="45" t="s">
        <v>1123</v>
      </c>
      <c r="J1010" s="156">
        <v>44031</v>
      </c>
      <c r="K1010" s="100">
        <v>44086</v>
      </c>
      <c r="L1010" s="100">
        <v>44102</v>
      </c>
      <c r="M1010" s="341" t="s">
        <v>3948</v>
      </c>
      <c r="N1010" s="337" t="s">
        <v>3949</v>
      </c>
      <c r="O1010" s="266" t="s">
        <v>970</v>
      </c>
      <c r="P1010" s="102">
        <v>22407</v>
      </c>
      <c r="Q1010" s="102">
        <f>48000/6.98</f>
        <v>6876.79083094556</v>
      </c>
      <c r="R1010" s="131"/>
      <c r="S1010" s="132"/>
      <c r="T1010" s="102">
        <f>109100/6.82</f>
        <v>15997.0674486804</v>
      </c>
      <c r="U1010" s="100"/>
      <c r="V1010" s="246" t="s">
        <v>3950</v>
      </c>
      <c r="W1010" s="45"/>
    </row>
    <row r="1011" s="40" customFormat="1" ht="22" hidden="1" customHeight="1" spans="1:23">
      <c r="A1011" s="144" t="s">
        <v>3951</v>
      </c>
      <c r="B1011" s="174" t="s">
        <v>3613</v>
      </c>
      <c r="C1011" s="175"/>
      <c r="D1011" s="45" t="s">
        <v>31</v>
      </c>
      <c r="E1011" s="82" t="s">
        <v>3927</v>
      </c>
      <c r="F1011" s="81">
        <f>IFERROR(VLOOKUP(E1011,客户!B:C,2,FALSE),"/")</f>
        <v>0</v>
      </c>
      <c r="G1011" s="45" t="s">
        <v>1234</v>
      </c>
      <c r="H1011" s="45" t="s">
        <v>123</v>
      </c>
      <c r="I1011" s="45" t="s">
        <v>3521</v>
      </c>
      <c r="J1011" s="156">
        <v>44035</v>
      </c>
      <c r="K1011" s="100">
        <v>44067</v>
      </c>
      <c r="L1011" s="197"/>
      <c r="M1011" s="341" t="s">
        <v>3952</v>
      </c>
      <c r="N1011" s="337" t="s">
        <v>3771</v>
      </c>
      <c r="O1011" s="337" t="s">
        <v>970</v>
      </c>
      <c r="P1011" s="102">
        <v>19772</v>
      </c>
      <c r="Q1011" s="332"/>
      <c r="R1011" s="131"/>
      <c r="S1011" s="132"/>
      <c r="T1011" s="102">
        <v>19772</v>
      </c>
      <c r="U1011" s="100"/>
      <c r="V1011" s="102"/>
      <c r="W1011" s="45"/>
    </row>
    <row r="1012" s="40" customFormat="1" ht="22" hidden="1" customHeight="1" spans="1:23">
      <c r="A1012" s="144" t="s">
        <v>3953</v>
      </c>
      <c r="B1012" s="174" t="s">
        <v>3613</v>
      </c>
      <c r="C1012" s="175"/>
      <c r="D1012" s="45" t="s">
        <v>31</v>
      </c>
      <c r="E1012" s="82" t="s">
        <v>3954</v>
      </c>
      <c r="F1012" s="81">
        <f>IFERROR(VLOOKUP(E1012,客户!B:C,2,FALSE),"/")</f>
        <v>0</v>
      </c>
      <c r="G1012" s="229" t="s">
        <v>3955</v>
      </c>
      <c r="H1012" s="45" t="s">
        <v>186</v>
      </c>
      <c r="I1012" s="45"/>
      <c r="J1012" s="156">
        <v>44044</v>
      </c>
      <c r="K1012" s="100">
        <v>44079</v>
      </c>
      <c r="L1012" s="197"/>
      <c r="M1012" s="339" t="s">
        <v>3956</v>
      </c>
      <c r="N1012" s="337"/>
      <c r="O1012" s="337" t="s">
        <v>970</v>
      </c>
      <c r="P1012" s="240">
        <v>84386</v>
      </c>
      <c r="Q1012" s="240">
        <v>21272.5</v>
      </c>
      <c r="R1012" s="131"/>
      <c r="S1012" s="132"/>
      <c r="T1012" s="348">
        <v>63113.5</v>
      </c>
      <c r="U1012" s="100"/>
      <c r="V1012" s="102"/>
      <c r="W1012" s="45"/>
    </row>
    <row r="1013" s="40" customFormat="1" ht="22" hidden="1" customHeight="1" spans="1:23">
      <c r="A1013" s="144" t="s">
        <v>3957</v>
      </c>
      <c r="B1013" s="174" t="s">
        <v>3613</v>
      </c>
      <c r="C1013" s="175"/>
      <c r="D1013" s="45" t="s">
        <v>31</v>
      </c>
      <c r="E1013" s="82" t="s">
        <v>3927</v>
      </c>
      <c r="F1013" s="81">
        <f>IFERROR(VLOOKUP(E1013,客户!B:C,2,FALSE),"/")</f>
        <v>0</v>
      </c>
      <c r="G1013" s="45" t="s">
        <v>3958</v>
      </c>
      <c r="H1013" s="45" t="s">
        <v>123</v>
      </c>
      <c r="I1013" s="45" t="s">
        <v>3521</v>
      </c>
      <c r="J1013" s="156">
        <v>44056</v>
      </c>
      <c r="K1013" s="100">
        <v>44100</v>
      </c>
      <c r="L1013" s="197"/>
      <c r="M1013" s="341" t="s">
        <v>3959</v>
      </c>
      <c r="N1013" s="337" t="s">
        <v>3933</v>
      </c>
      <c r="O1013" s="337" t="s">
        <v>970</v>
      </c>
      <c r="P1013" s="102">
        <v>40639.6</v>
      </c>
      <c r="Q1013" s="332"/>
      <c r="R1013" s="131"/>
      <c r="S1013" s="132"/>
      <c r="T1013" s="102">
        <v>40639.6</v>
      </c>
      <c r="U1013" s="100"/>
      <c r="V1013" s="102"/>
      <c r="W1013" s="45"/>
    </row>
    <row r="1014" s="40" customFormat="1" ht="22" hidden="1" customHeight="1" spans="1:23">
      <c r="A1014" s="144" t="s">
        <v>3960</v>
      </c>
      <c r="B1014" s="174" t="s">
        <v>3613</v>
      </c>
      <c r="C1014" s="175"/>
      <c r="D1014" s="45" t="s">
        <v>31</v>
      </c>
      <c r="E1014" s="82" t="s">
        <v>3927</v>
      </c>
      <c r="F1014" s="81">
        <f>IFERROR(VLOOKUP(E1014,客户!B:C,2,FALSE),"/")</f>
        <v>0</v>
      </c>
      <c r="G1014" s="45" t="s">
        <v>3958</v>
      </c>
      <c r="H1014" s="45" t="s">
        <v>123</v>
      </c>
      <c r="I1014" s="45" t="s">
        <v>3521</v>
      </c>
      <c r="J1014" s="156">
        <v>44056</v>
      </c>
      <c r="K1014" s="100">
        <v>44119</v>
      </c>
      <c r="L1014" s="197"/>
      <c r="M1014" s="341" t="s">
        <v>3961</v>
      </c>
      <c r="N1014" s="337" t="s">
        <v>3962</v>
      </c>
      <c r="O1014" s="266" t="s">
        <v>970</v>
      </c>
      <c r="P1014" s="102">
        <v>39659.9</v>
      </c>
      <c r="Q1014" s="332"/>
      <c r="R1014" s="131"/>
      <c r="S1014" s="132"/>
      <c r="T1014" s="102">
        <v>39659.9</v>
      </c>
      <c r="U1014" s="100"/>
      <c r="V1014" s="102" t="s">
        <v>3963</v>
      </c>
      <c r="W1014" s="45"/>
    </row>
    <row r="1015" s="40" customFormat="1" ht="22" hidden="1" customHeight="1" spans="1:23">
      <c r="A1015" s="144" t="s">
        <v>3964</v>
      </c>
      <c r="B1015" s="174" t="s">
        <v>3613</v>
      </c>
      <c r="C1015" s="175"/>
      <c r="D1015" s="45" t="s">
        <v>31</v>
      </c>
      <c r="E1015" s="82" t="s">
        <v>3917</v>
      </c>
      <c r="F1015" s="81">
        <f>IFERROR(VLOOKUP(E1015,客户!B:C,2,FALSE),"/")</f>
        <v>0</v>
      </c>
      <c r="G1015" s="45" t="s">
        <v>3965</v>
      </c>
      <c r="H1015" s="45" t="s">
        <v>123</v>
      </c>
      <c r="I1015" s="45" t="s">
        <v>3919</v>
      </c>
      <c r="J1015" s="156">
        <v>44060</v>
      </c>
      <c r="K1015" s="100">
        <v>44109</v>
      </c>
      <c r="L1015" s="100">
        <v>44147</v>
      </c>
      <c r="M1015" s="341" t="s">
        <v>3966</v>
      </c>
      <c r="N1015" s="337" t="s">
        <v>3967</v>
      </c>
      <c r="O1015" s="266" t="s">
        <v>523</v>
      </c>
      <c r="P1015" s="102">
        <v>43765.8</v>
      </c>
      <c r="Q1015" s="102">
        <f>8209.92+4596.9</f>
        <v>12806.82</v>
      </c>
      <c r="R1015" s="131"/>
      <c r="S1015" s="132"/>
      <c r="T1015" s="102">
        <v>19156.48</v>
      </c>
      <c r="U1015" s="102">
        <v>10726.1</v>
      </c>
      <c r="V1015" s="102"/>
      <c r="W1015" s="45"/>
    </row>
    <row r="1016" s="40" customFormat="1" ht="22" hidden="1" customHeight="1" spans="1:23">
      <c r="A1016" s="144" t="s">
        <v>3968</v>
      </c>
      <c r="B1016" s="174" t="s">
        <v>3613</v>
      </c>
      <c r="C1016" s="175"/>
      <c r="D1016" s="45" t="s">
        <v>31</v>
      </c>
      <c r="E1016" s="82" t="s">
        <v>3876</v>
      </c>
      <c r="F1016" s="81">
        <f>IFERROR(VLOOKUP(E1016,客户!B:C,2,FALSE),"/")</f>
        <v>0</v>
      </c>
      <c r="G1016" s="45" t="s">
        <v>3969</v>
      </c>
      <c r="H1016" s="45" t="s">
        <v>123</v>
      </c>
      <c r="I1016" s="45" t="s">
        <v>3866</v>
      </c>
      <c r="J1016" s="156">
        <v>44064</v>
      </c>
      <c r="K1016" s="100">
        <v>44094</v>
      </c>
      <c r="L1016" s="100">
        <v>44118</v>
      </c>
      <c r="M1016" s="341" t="s">
        <v>3970</v>
      </c>
      <c r="N1016" s="337" t="s">
        <v>3971</v>
      </c>
      <c r="O1016" s="266" t="s">
        <v>523</v>
      </c>
      <c r="P1016" s="102">
        <v>20094</v>
      </c>
      <c r="Q1016" s="102">
        <v>6120</v>
      </c>
      <c r="R1016" s="131"/>
      <c r="S1016" s="132"/>
      <c r="T1016" s="102">
        <v>13974</v>
      </c>
      <c r="U1016" s="100"/>
      <c r="V1016" s="102"/>
      <c r="W1016" s="45"/>
    </row>
    <row r="1017" s="40" customFormat="1" ht="22" hidden="1" customHeight="1" spans="1:23">
      <c r="A1017" s="144" t="s">
        <v>3972</v>
      </c>
      <c r="B1017" s="174" t="s">
        <v>3613</v>
      </c>
      <c r="C1017" s="175"/>
      <c r="D1017" s="45" t="s">
        <v>31</v>
      </c>
      <c r="E1017" s="82" t="s">
        <v>3954</v>
      </c>
      <c r="F1017" s="81">
        <f>IFERROR(VLOOKUP(E1017,客户!B:C,2,FALSE),"/")</f>
        <v>0</v>
      </c>
      <c r="G1017" s="229" t="s">
        <v>3955</v>
      </c>
      <c r="H1017" s="45" t="s">
        <v>186</v>
      </c>
      <c r="I1017" s="45"/>
      <c r="J1017" s="156">
        <v>44078</v>
      </c>
      <c r="K1017" s="100">
        <v>44098</v>
      </c>
      <c r="L1017" s="197"/>
      <c r="M1017" s="342" t="s">
        <v>3973</v>
      </c>
      <c r="N1017" s="337"/>
      <c r="O1017" s="266" t="s">
        <v>970</v>
      </c>
      <c r="P1017" s="240">
        <f>116295+4200+1000-650</f>
        <v>120845</v>
      </c>
      <c r="Q1017" s="240">
        <v>20000</v>
      </c>
      <c r="R1017" s="131"/>
      <c r="S1017" s="132"/>
      <c r="T1017" s="240">
        <v>97045</v>
      </c>
      <c r="U1017" s="240">
        <v>3800</v>
      </c>
      <c r="V1017" s="102"/>
      <c r="W1017" s="45"/>
    </row>
    <row r="1018" s="40" customFormat="1" ht="22" hidden="1" customHeight="1" spans="1:23">
      <c r="A1018" s="144" t="s">
        <v>3974</v>
      </c>
      <c r="B1018" s="174" t="s">
        <v>3613</v>
      </c>
      <c r="C1018" s="175" t="s">
        <v>3613</v>
      </c>
      <c r="D1018" s="45" t="s">
        <v>31</v>
      </c>
      <c r="E1018" s="82" t="s">
        <v>3876</v>
      </c>
      <c r="F1018" s="81">
        <f>IFERROR(VLOOKUP(E1018,客户!B:C,2,FALSE),"/")</f>
        <v>0</v>
      </c>
      <c r="G1018" s="229" t="s">
        <v>3975</v>
      </c>
      <c r="H1018" s="45" t="s">
        <v>123</v>
      </c>
      <c r="I1018" s="45" t="s">
        <v>3866</v>
      </c>
      <c r="J1018" s="156">
        <v>44085</v>
      </c>
      <c r="K1018" s="100">
        <v>44133</v>
      </c>
      <c r="L1018" s="100">
        <v>44175</v>
      </c>
      <c r="M1018" s="341" t="s">
        <v>3976</v>
      </c>
      <c r="N1018" s="337" t="s">
        <v>3977</v>
      </c>
      <c r="O1018" s="266" t="s">
        <v>523</v>
      </c>
      <c r="P1018" s="102">
        <v>44226</v>
      </c>
      <c r="Q1018" s="230">
        <v>13267</v>
      </c>
      <c r="R1018" s="131"/>
      <c r="S1018" s="132"/>
      <c r="T1018" s="102">
        <v>30959</v>
      </c>
      <c r="U1018" s="100"/>
      <c r="V1018" s="102"/>
      <c r="W1018" s="45"/>
    </row>
    <row r="1019" s="40" customFormat="1" ht="22" hidden="1" customHeight="1" spans="1:23">
      <c r="A1019" s="144" t="s">
        <v>3978</v>
      </c>
      <c r="B1019" s="174" t="s">
        <v>3613</v>
      </c>
      <c r="C1019" s="175"/>
      <c r="D1019" s="45" t="s">
        <v>31</v>
      </c>
      <c r="E1019" s="82" t="s">
        <v>3979</v>
      </c>
      <c r="F1019" s="81"/>
      <c r="G1019" s="229" t="s">
        <v>3980</v>
      </c>
      <c r="H1019" s="45" t="s">
        <v>186</v>
      </c>
      <c r="I1019" s="45"/>
      <c r="J1019" s="156">
        <v>44094</v>
      </c>
      <c r="K1019" s="100">
        <v>44094</v>
      </c>
      <c r="L1019" s="197"/>
      <c r="M1019" s="341"/>
      <c r="N1019" s="337"/>
      <c r="O1019" s="266" t="s">
        <v>970</v>
      </c>
      <c r="P1019" s="240">
        <v>18631.1</v>
      </c>
      <c r="Q1019" s="230"/>
      <c r="R1019" s="131"/>
      <c r="S1019" s="132"/>
      <c r="T1019" s="240">
        <v>18631.1</v>
      </c>
      <c r="U1019" s="100"/>
      <c r="V1019" s="102"/>
      <c r="W1019" s="45"/>
    </row>
    <row r="1020" s="40" customFormat="1" ht="22" hidden="1" customHeight="1" spans="1:23">
      <c r="A1020" s="144" t="s">
        <v>3981</v>
      </c>
      <c r="B1020" s="174" t="s">
        <v>3613</v>
      </c>
      <c r="C1020" s="175"/>
      <c r="D1020" s="45" t="s">
        <v>31</v>
      </c>
      <c r="E1020" s="82" t="s">
        <v>3939</v>
      </c>
      <c r="F1020" s="81">
        <f>IFERROR(VLOOKUP(E1020,客户!B:C,2,FALSE),"/")</f>
        <v>0</v>
      </c>
      <c r="G1020" s="229" t="s">
        <v>3982</v>
      </c>
      <c r="H1020" s="45" t="s">
        <v>123</v>
      </c>
      <c r="I1020" s="45" t="s">
        <v>3825</v>
      </c>
      <c r="J1020" s="156">
        <v>44097</v>
      </c>
      <c r="K1020" s="100">
        <v>44143</v>
      </c>
      <c r="L1020" s="197"/>
      <c r="M1020" s="341" t="s">
        <v>3983</v>
      </c>
      <c r="N1020" s="341" t="s">
        <v>3984</v>
      </c>
      <c r="O1020" s="266" t="s">
        <v>970</v>
      </c>
      <c r="P1020" s="102">
        <v>27806.45</v>
      </c>
      <c r="Q1020" s="230">
        <v>7525</v>
      </c>
      <c r="R1020" s="131"/>
      <c r="S1020" s="132"/>
      <c r="T1020" s="230">
        <v>17558.7</v>
      </c>
      <c r="U1020" s="100"/>
      <c r="V1020" s="102"/>
      <c r="W1020" s="45"/>
    </row>
    <row r="1021" s="40" customFormat="1" ht="22" hidden="1" customHeight="1" spans="1:23">
      <c r="A1021" s="144" t="s">
        <v>3985</v>
      </c>
      <c r="B1021" s="174" t="s">
        <v>3613</v>
      </c>
      <c r="C1021" s="175"/>
      <c r="D1021" s="45" t="s">
        <v>31</v>
      </c>
      <c r="E1021" s="82" t="s">
        <v>3954</v>
      </c>
      <c r="F1021" s="81">
        <f>IFERROR(VLOOKUP(E1021,客户!B:C,2,FALSE),"/")</f>
        <v>0</v>
      </c>
      <c r="G1021" s="229" t="s">
        <v>3986</v>
      </c>
      <c r="H1021" s="45" t="s">
        <v>186</v>
      </c>
      <c r="I1021" s="45"/>
      <c r="J1021" s="156">
        <v>44099</v>
      </c>
      <c r="K1021" s="100">
        <v>44140</v>
      </c>
      <c r="L1021" s="197"/>
      <c r="M1021" s="341" t="s">
        <v>3987</v>
      </c>
      <c r="N1021" s="337"/>
      <c r="O1021" s="266" t="s">
        <v>970</v>
      </c>
      <c r="P1021" s="240">
        <f>72654+3066</f>
        <v>75720</v>
      </c>
      <c r="Q1021" s="240">
        <f>15000+3066</f>
        <v>18066</v>
      </c>
      <c r="R1021" s="131"/>
      <c r="S1021" s="132"/>
      <c r="T1021" s="240">
        <v>57654</v>
      </c>
      <c r="U1021" s="100"/>
      <c r="V1021" s="102"/>
      <c r="W1021" s="45"/>
    </row>
    <row r="1022" s="40" customFormat="1" ht="22" hidden="1" customHeight="1" spans="1:23">
      <c r="A1022" s="144" t="s">
        <v>3988</v>
      </c>
      <c r="B1022" s="174" t="s">
        <v>3613</v>
      </c>
      <c r="C1022" s="175"/>
      <c r="D1022" s="45" t="s">
        <v>31</v>
      </c>
      <c r="E1022" s="82" t="s">
        <v>3989</v>
      </c>
      <c r="F1022" s="81">
        <f>IFERROR(VLOOKUP(E1022,客户!B:C,2,FALSE),"/")</f>
        <v>0</v>
      </c>
      <c r="G1022" s="229" t="s">
        <v>1742</v>
      </c>
      <c r="H1022" s="45" t="s">
        <v>123</v>
      </c>
      <c r="I1022" s="45" t="s">
        <v>770</v>
      </c>
      <c r="J1022" s="156">
        <v>44113</v>
      </c>
      <c r="K1022" s="100">
        <v>44191</v>
      </c>
      <c r="L1022" s="100">
        <v>44214</v>
      </c>
      <c r="M1022" s="155" t="s">
        <v>3990</v>
      </c>
      <c r="N1022" s="337" t="s">
        <v>3991</v>
      </c>
      <c r="O1022" s="266" t="s">
        <v>523</v>
      </c>
      <c r="P1022" s="102">
        <v>22743.5</v>
      </c>
      <c r="Q1022" s="102">
        <v>7505</v>
      </c>
      <c r="R1022" s="131"/>
      <c r="S1022" s="132"/>
      <c r="T1022" s="102">
        <v>15238.5</v>
      </c>
      <c r="U1022" s="100"/>
      <c r="V1022" s="102"/>
      <c r="W1022" s="45"/>
    </row>
    <row r="1023" s="40" customFormat="1" ht="22" hidden="1" customHeight="1" spans="1:23">
      <c r="A1023" s="144" t="s">
        <v>3992</v>
      </c>
      <c r="B1023" s="174" t="s">
        <v>3613</v>
      </c>
      <c r="C1023" s="175"/>
      <c r="D1023" s="45" t="s">
        <v>31</v>
      </c>
      <c r="E1023" s="82" t="s">
        <v>3917</v>
      </c>
      <c r="F1023" s="81">
        <f>IFERROR(VLOOKUP(E1023,客户!B:C,2,FALSE),"/")</f>
        <v>0</v>
      </c>
      <c r="G1023" s="229" t="s">
        <v>3993</v>
      </c>
      <c r="H1023" s="45" t="s">
        <v>123</v>
      </c>
      <c r="I1023" s="45" t="s">
        <v>3919</v>
      </c>
      <c r="J1023" s="156">
        <v>44113</v>
      </c>
      <c r="K1023" s="100">
        <v>44180</v>
      </c>
      <c r="L1023" s="100">
        <v>44225</v>
      </c>
      <c r="M1023" s="341" t="s">
        <v>3994</v>
      </c>
      <c r="N1023" s="337" t="s">
        <v>3995</v>
      </c>
      <c r="O1023" s="266" t="s">
        <v>523</v>
      </c>
      <c r="P1023" s="102">
        <v>54090.32</v>
      </c>
      <c r="Q1023" s="230">
        <v>12443.67</v>
      </c>
      <c r="R1023" s="131"/>
      <c r="S1023" s="132"/>
      <c r="T1023" s="230">
        <v>41646.65</v>
      </c>
      <c r="U1023" s="100"/>
      <c r="V1023" s="102"/>
      <c r="W1023" s="45"/>
    </row>
    <row r="1024" s="40" customFormat="1" ht="20" hidden="1" customHeight="1" spans="1:23">
      <c r="A1024" s="144" t="s">
        <v>3996</v>
      </c>
      <c r="B1024" s="174" t="s">
        <v>3613</v>
      </c>
      <c r="C1024" s="175"/>
      <c r="D1024" s="45" t="s">
        <v>31</v>
      </c>
      <c r="E1024" s="82" t="s">
        <v>3997</v>
      </c>
      <c r="F1024" s="81">
        <f>IFERROR(VLOOKUP(E1024,客户!B:C,2,FALSE),"/")</f>
        <v>0</v>
      </c>
      <c r="G1024" s="229" t="s">
        <v>3998</v>
      </c>
      <c r="H1024" s="45" t="s">
        <v>123</v>
      </c>
      <c r="I1024" s="45" t="s">
        <v>3999</v>
      </c>
      <c r="J1024" s="156">
        <v>44120</v>
      </c>
      <c r="K1024" s="100">
        <v>44185</v>
      </c>
      <c r="L1024" s="100">
        <v>44205</v>
      </c>
      <c r="M1024" s="155" t="s">
        <v>4000</v>
      </c>
      <c r="N1024" s="337" t="s">
        <v>4001</v>
      </c>
      <c r="O1024" s="266" t="s">
        <v>523</v>
      </c>
      <c r="P1024" s="102">
        <v>22783.2</v>
      </c>
      <c r="Q1024" s="230">
        <v>6182.16</v>
      </c>
      <c r="R1024" s="131"/>
      <c r="S1024" s="132"/>
      <c r="T1024" s="102">
        <v>16601.04</v>
      </c>
      <c r="U1024" s="100"/>
      <c r="V1024" s="102"/>
      <c r="W1024" s="45"/>
    </row>
    <row r="1025" s="40" customFormat="1" ht="22" hidden="1" customHeight="1" spans="1:23">
      <c r="A1025" s="144" t="s">
        <v>4002</v>
      </c>
      <c r="B1025" s="174" t="s">
        <v>3613</v>
      </c>
      <c r="C1025" s="175"/>
      <c r="D1025" s="45" t="s">
        <v>31</v>
      </c>
      <c r="E1025" s="82" t="s">
        <v>4003</v>
      </c>
      <c r="F1025" s="81">
        <f>IFERROR(VLOOKUP(E1025,客户!B:C,2,FALSE),"/")</f>
        <v>0</v>
      </c>
      <c r="G1025" s="229" t="s">
        <v>4004</v>
      </c>
      <c r="H1025" s="45" t="s">
        <v>186</v>
      </c>
      <c r="I1025" s="45"/>
      <c r="J1025" s="156">
        <v>44119</v>
      </c>
      <c r="K1025" s="100">
        <v>44249</v>
      </c>
      <c r="L1025" s="197"/>
      <c r="M1025" s="341" t="s">
        <v>4005</v>
      </c>
      <c r="N1025" s="337" t="s">
        <v>4006</v>
      </c>
      <c r="O1025" s="266" t="s">
        <v>970</v>
      </c>
      <c r="P1025" s="240">
        <v>21537.5</v>
      </c>
      <c r="Q1025" s="240">
        <v>6000</v>
      </c>
      <c r="R1025" s="131"/>
      <c r="S1025" s="132"/>
      <c r="T1025" s="240">
        <v>15537.5</v>
      </c>
      <c r="U1025" s="100"/>
      <c r="V1025" s="102"/>
      <c r="W1025" s="45"/>
    </row>
    <row r="1026" s="40" customFormat="1" ht="22" hidden="1" customHeight="1" spans="1:23">
      <c r="A1026" s="144" t="s">
        <v>4007</v>
      </c>
      <c r="B1026" s="174" t="s">
        <v>3613</v>
      </c>
      <c r="C1026" s="175"/>
      <c r="D1026" s="45" t="s">
        <v>31</v>
      </c>
      <c r="E1026" s="82" t="s">
        <v>3927</v>
      </c>
      <c r="F1026" s="81">
        <f>IFERROR(VLOOKUP(E1026,客户!B:C,2,FALSE),"/")</f>
        <v>0</v>
      </c>
      <c r="G1026" s="229" t="s">
        <v>3928</v>
      </c>
      <c r="H1026" s="45" t="s">
        <v>123</v>
      </c>
      <c r="I1026" s="45" t="s">
        <v>3521</v>
      </c>
      <c r="J1026" s="156">
        <v>44124</v>
      </c>
      <c r="K1026" s="100">
        <v>44182</v>
      </c>
      <c r="L1026" s="197"/>
      <c r="M1026" s="341" t="s">
        <v>4008</v>
      </c>
      <c r="N1026" s="337" t="s">
        <v>3933</v>
      </c>
      <c r="O1026" s="266" t="s">
        <v>970</v>
      </c>
      <c r="P1026" s="102">
        <v>21405.26</v>
      </c>
      <c r="Q1026" s="240"/>
      <c r="R1026" s="131"/>
      <c r="S1026" s="132"/>
      <c r="T1026" s="102">
        <v>21405.26</v>
      </c>
      <c r="U1026" s="100"/>
      <c r="V1026" s="102"/>
      <c r="W1026" s="45"/>
    </row>
    <row r="1027" s="40" customFormat="1" ht="22" hidden="1" customHeight="1" spans="1:23">
      <c r="A1027" s="144" t="s">
        <v>4009</v>
      </c>
      <c r="B1027" s="174" t="s">
        <v>3613</v>
      </c>
      <c r="C1027" s="175"/>
      <c r="D1027" s="45" t="s">
        <v>31</v>
      </c>
      <c r="E1027" s="82" t="s">
        <v>3927</v>
      </c>
      <c r="F1027" s="81">
        <f>IFERROR(VLOOKUP(E1027,客户!B:C,2,FALSE),"/")</f>
        <v>0</v>
      </c>
      <c r="G1027" s="229" t="s">
        <v>4010</v>
      </c>
      <c r="H1027" s="45" t="s">
        <v>123</v>
      </c>
      <c r="I1027" s="45" t="s">
        <v>3521</v>
      </c>
      <c r="J1027" s="156">
        <v>44124</v>
      </c>
      <c r="K1027" s="100">
        <v>44203</v>
      </c>
      <c r="L1027" s="197"/>
      <c r="M1027" s="341" t="s">
        <v>4011</v>
      </c>
      <c r="N1027" s="337" t="s">
        <v>4012</v>
      </c>
      <c r="O1027" s="266" t="s">
        <v>970</v>
      </c>
      <c r="P1027" s="102">
        <v>14890.72</v>
      </c>
      <c r="Q1027" s="240"/>
      <c r="R1027" s="131"/>
      <c r="S1027" s="132"/>
      <c r="T1027" s="102">
        <v>14890.72</v>
      </c>
      <c r="U1027" s="100"/>
      <c r="V1027" s="246" t="s">
        <v>4013</v>
      </c>
      <c r="W1027" s="45"/>
    </row>
    <row r="1028" s="40" customFormat="1" ht="22" hidden="1" customHeight="1" spans="1:23">
      <c r="A1028" s="144" t="s">
        <v>4014</v>
      </c>
      <c r="B1028" s="174" t="s">
        <v>3613</v>
      </c>
      <c r="C1028" s="175"/>
      <c r="D1028" s="45" t="s">
        <v>31</v>
      </c>
      <c r="E1028" s="82" t="s">
        <v>3954</v>
      </c>
      <c r="F1028" s="81">
        <f>IFERROR(VLOOKUP(E1028,客户!B:C,2,FALSE),"/")</f>
        <v>0</v>
      </c>
      <c r="G1028" s="229" t="s">
        <v>4015</v>
      </c>
      <c r="H1028" s="45" t="s">
        <v>186</v>
      </c>
      <c r="I1028" s="45"/>
      <c r="J1028" s="156">
        <v>44139</v>
      </c>
      <c r="K1028" s="100">
        <v>44275</v>
      </c>
      <c r="L1028" s="197"/>
      <c r="M1028" s="341" t="s">
        <v>4016</v>
      </c>
      <c r="N1028" s="337" t="s">
        <v>4017</v>
      </c>
      <c r="O1028" s="266" t="s">
        <v>970</v>
      </c>
      <c r="P1028" s="240">
        <v>96839</v>
      </c>
      <c r="Q1028" s="240">
        <f>10000+7500</f>
        <v>17500</v>
      </c>
      <c r="R1028" s="131"/>
      <c r="S1028" s="132"/>
      <c r="T1028" s="240">
        <f>8000+7598</f>
        <v>15598</v>
      </c>
      <c r="U1028" s="240">
        <v>63391</v>
      </c>
      <c r="V1028" s="102"/>
      <c r="W1028" s="45"/>
    </row>
    <row r="1029" s="40" customFormat="1" ht="22" hidden="1" customHeight="1" spans="1:23">
      <c r="A1029" s="144" t="s">
        <v>4018</v>
      </c>
      <c r="B1029" s="174" t="s">
        <v>3613</v>
      </c>
      <c r="C1029" s="175"/>
      <c r="D1029" s="45" t="s">
        <v>31</v>
      </c>
      <c r="E1029" s="82" t="s">
        <v>3876</v>
      </c>
      <c r="F1029" s="81">
        <f>IFERROR(VLOOKUP(E1029,客户!B:C,2,FALSE),"/")</f>
        <v>0</v>
      </c>
      <c r="G1029" s="229" t="s">
        <v>4019</v>
      </c>
      <c r="H1029" s="45" t="s">
        <v>123</v>
      </c>
      <c r="I1029" s="45" t="s">
        <v>3866</v>
      </c>
      <c r="J1029" s="156">
        <v>44140</v>
      </c>
      <c r="K1029" s="100">
        <v>44200</v>
      </c>
      <c r="L1029" s="100">
        <v>44224</v>
      </c>
      <c r="M1029" s="155" t="s">
        <v>4020</v>
      </c>
      <c r="N1029" s="337" t="s">
        <v>4021</v>
      </c>
      <c r="O1029" s="266" t="s">
        <v>523</v>
      </c>
      <c r="P1029" s="102">
        <v>51291</v>
      </c>
      <c r="Q1029" s="102">
        <v>13373</v>
      </c>
      <c r="R1029" s="131"/>
      <c r="S1029" s="132"/>
      <c r="T1029" s="102">
        <v>37918</v>
      </c>
      <c r="U1029" s="100"/>
      <c r="V1029" s="102"/>
      <c r="W1029" s="45"/>
    </row>
    <row r="1030" s="40" customFormat="1" ht="22" hidden="1" customHeight="1" spans="1:23">
      <c r="A1030" s="144" t="s">
        <v>4022</v>
      </c>
      <c r="B1030" s="174" t="s">
        <v>3613</v>
      </c>
      <c r="C1030" s="175"/>
      <c r="D1030" s="45" t="s">
        <v>31</v>
      </c>
      <c r="E1030" s="82" t="s">
        <v>3939</v>
      </c>
      <c r="F1030" s="81">
        <f>IFERROR(VLOOKUP(E1030,客户!B:C,2,FALSE),"/")</f>
        <v>0</v>
      </c>
      <c r="G1030" s="229" t="s">
        <v>4023</v>
      </c>
      <c r="H1030" s="45" t="s">
        <v>123</v>
      </c>
      <c r="I1030" s="45" t="s">
        <v>3825</v>
      </c>
      <c r="J1030" s="156">
        <v>44148</v>
      </c>
      <c r="K1030" s="100">
        <v>44227</v>
      </c>
      <c r="L1030" s="197"/>
      <c r="M1030" s="341" t="s">
        <v>4024</v>
      </c>
      <c r="N1030" s="337" t="s">
        <v>4025</v>
      </c>
      <c r="O1030" s="266" t="s">
        <v>970</v>
      </c>
      <c r="P1030" s="102">
        <f>30367.8+1009</f>
        <v>31376.8</v>
      </c>
      <c r="Q1030" s="102">
        <v>9110.34</v>
      </c>
      <c r="R1030" s="131"/>
      <c r="S1030" s="132"/>
      <c r="T1030" s="102">
        <v>22266.46</v>
      </c>
      <c r="U1030" s="100"/>
      <c r="V1030" s="102"/>
      <c r="W1030" s="45"/>
    </row>
    <row r="1031" s="40" customFormat="1" ht="22" hidden="1" customHeight="1" spans="1:23">
      <c r="A1031" s="261" t="s">
        <v>4026</v>
      </c>
      <c r="B1031" s="174" t="s">
        <v>3613</v>
      </c>
      <c r="C1031" s="175"/>
      <c r="D1031" s="45" t="s">
        <v>31</v>
      </c>
      <c r="E1031" s="82" t="s">
        <v>4027</v>
      </c>
      <c r="F1031" s="81">
        <f>IFERROR(VLOOKUP(E1031,客户!B:C,2,FALSE),"/")</f>
        <v>0</v>
      </c>
      <c r="G1031" s="306" t="s">
        <v>4028</v>
      </c>
      <c r="H1031" s="142" t="s">
        <v>123</v>
      </c>
      <c r="I1031" s="108" t="s">
        <v>3857</v>
      </c>
      <c r="J1031" s="108">
        <v>44153</v>
      </c>
      <c r="K1031" s="100">
        <v>44206</v>
      </c>
      <c r="L1031" s="100">
        <v>44230</v>
      </c>
      <c r="M1031" s="315" t="s">
        <v>4029</v>
      </c>
      <c r="N1031" s="337" t="s">
        <v>4030</v>
      </c>
      <c r="O1031" s="266" t="s">
        <v>523</v>
      </c>
      <c r="P1031" s="102">
        <v>18000</v>
      </c>
      <c r="Q1031" s="102">
        <v>3600</v>
      </c>
      <c r="R1031" s="131"/>
      <c r="S1031" s="132"/>
      <c r="T1031" s="102">
        <v>14400</v>
      </c>
      <c r="U1031" s="100"/>
      <c r="V1031" s="102"/>
      <c r="W1031" s="45"/>
    </row>
    <row r="1032" s="40" customFormat="1" ht="22" hidden="1" customHeight="1" spans="1:23">
      <c r="A1032" s="261" t="s">
        <v>4031</v>
      </c>
      <c r="B1032" s="174" t="s">
        <v>3613</v>
      </c>
      <c r="C1032" s="175"/>
      <c r="D1032" s="45" t="s">
        <v>31</v>
      </c>
      <c r="E1032" s="82" t="s">
        <v>3876</v>
      </c>
      <c r="F1032" s="81">
        <f>IFERROR(VLOOKUP(E1032,客户!B:C,2,FALSE),"/")</f>
        <v>0</v>
      </c>
      <c r="G1032" s="306" t="s">
        <v>4032</v>
      </c>
      <c r="H1032" s="142" t="s">
        <v>123</v>
      </c>
      <c r="I1032" s="45" t="s">
        <v>3866</v>
      </c>
      <c r="J1032" s="108">
        <v>44154</v>
      </c>
      <c r="K1032" s="100">
        <v>44212</v>
      </c>
      <c r="L1032" s="100">
        <v>44242</v>
      </c>
      <c r="M1032" s="315" t="s">
        <v>4033</v>
      </c>
      <c r="N1032" s="337" t="s">
        <v>4034</v>
      </c>
      <c r="O1032" s="266" t="s">
        <v>523</v>
      </c>
      <c r="P1032" s="102">
        <v>69650</v>
      </c>
      <c r="Q1032" s="102">
        <v>23595</v>
      </c>
      <c r="R1032" s="131"/>
      <c r="S1032" s="132"/>
      <c r="T1032" s="102">
        <v>40000</v>
      </c>
      <c r="U1032" s="102">
        <v>6085</v>
      </c>
      <c r="V1032" s="246" t="s">
        <v>4035</v>
      </c>
      <c r="W1032" s="45"/>
    </row>
    <row r="1033" s="40" customFormat="1" ht="22" hidden="1" customHeight="1" spans="1:23">
      <c r="A1033" s="261" t="s">
        <v>4036</v>
      </c>
      <c r="B1033" s="174" t="s">
        <v>3613</v>
      </c>
      <c r="C1033" s="175"/>
      <c r="D1033" s="45" t="s">
        <v>31</v>
      </c>
      <c r="E1033" s="82" t="s">
        <v>4027</v>
      </c>
      <c r="F1033" s="81">
        <f>IFERROR(VLOOKUP(E1033,客户!B:C,2,FALSE),"/")</f>
        <v>0</v>
      </c>
      <c r="G1033" s="306" t="s">
        <v>4028</v>
      </c>
      <c r="H1033" s="142" t="s">
        <v>123</v>
      </c>
      <c r="I1033" s="108" t="s">
        <v>3857</v>
      </c>
      <c r="J1033" s="108">
        <v>44165</v>
      </c>
      <c r="K1033" s="100">
        <v>44232</v>
      </c>
      <c r="L1033" s="100">
        <v>44263</v>
      </c>
      <c r="M1033" s="315" t="s">
        <v>4037</v>
      </c>
      <c r="N1033" s="337" t="s">
        <v>4038</v>
      </c>
      <c r="O1033" s="266" t="s">
        <v>523</v>
      </c>
      <c r="P1033" s="102">
        <v>18657.5</v>
      </c>
      <c r="Q1033" s="102">
        <v>3700</v>
      </c>
      <c r="R1033" s="131"/>
      <c r="S1033" s="132"/>
      <c r="T1033" s="102">
        <v>14957.5</v>
      </c>
      <c r="U1033" s="100"/>
      <c r="V1033" s="102"/>
      <c r="W1033" s="45"/>
    </row>
    <row r="1034" s="40" customFormat="1" ht="22" hidden="1" customHeight="1" spans="1:23">
      <c r="A1034" s="261" t="s">
        <v>4039</v>
      </c>
      <c r="B1034" s="174" t="s">
        <v>3613</v>
      </c>
      <c r="C1034" s="175"/>
      <c r="D1034" s="45" t="s">
        <v>31</v>
      </c>
      <c r="E1034" s="82" t="s">
        <v>3900</v>
      </c>
      <c r="F1034" s="81">
        <f>IFERROR(VLOOKUP(E1034,客户!B:C,2,FALSE),"/")</f>
        <v>0</v>
      </c>
      <c r="G1034" s="306" t="s">
        <v>4040</v>
      </c>
      <c r="H1034" s="142" t="s">
        <v>127</v>
      </c>
      <c r="I1034" s="108" t="s">
        <v>4041</v>
      </c>
      <c r="J1034" s="108">
        <v>44169</v>
      </c>
      <c r="K1034" s="100">
        <v>44235</v>
      </c>
      <c r="L1034" s="100">
        <v>44267</v>
      </c>
      <c r="M1034" s="315" t="s">
        <v>4042</v>
      </c>
      <c r="N1034" s="337" t="s">
        <v>4043</v>
      </c>
      <c r="O1034" s="266" t="s">
        <v>970</v>
      </c>
      <c r="P1034" s="102">
        <v>26447.7</v>
      </c>
      <c r="Q1034" s="102">
        <f>52000/6.53</f>
        <v>7963.24655436447</v>
      </c>
      <c r="R1034" s="131"/>
      <c r="S1034" s="132"/>
      <c r="T1034" s="102">
        <f>117424.95/6.46</f>
        <v>18177.2368421053</v>
      </c>
      <c r="U1034" s="100"/>
      <c r="V1034" s="102" t="s">
        <v>4044</v>
      </c>
      <c r="W1034" s="45"/>
    </row>
    <row r="1035" s="40" customFormat="1" ht="22" hidden="1" customHeight="1" spans="1:23">
      <c r="A1035" s="261" t="s">
        <v>4045</v>
      </c>
      <c r="B1035" s="174" t="s">
        <v>3613</v>
      </c>
      <c r="C1035" s="175"/>
      <c r="D1035" s="45" t="s">
        <v>31</v>
      </c>
      <c r="E1035" s="82" t="s">
        <v>4046</v>
      </c>
      <c r="F1035" s="81">
        <f>IFERROR(VLOOKUP(E1035,客户!B:C,2,FALSE),"/")</f>
        <v>0</v>
      </c>
      <c r="G1035" s="306" t="s">
        <v>4047</v>
      </c>
      <c r="H1035" s="142" t="s">
        <v>123</v>
      </c>
      <c r="I1035" s="108" t="s">
        <v>4048</v>
      </c>
      <c r="J1035" s="108">
        <v>44170</v>
      </c>
      <c r="K1035" s="100">
        <v>44198</v>
      </c>
      <c r="L1035" s="100">
        <v>44226</v>
      </c>
      <c r="M1035" s="315" t="s">
        <v>4049</v>
      </c>
      <c r="N1035" s="337" t="s">
        <v>4050</v>
      </c>
      <c r="O1035" s="266" t="s">
        <v>1283</v>
      </c>
      <c r="P1035" s="102">
        <v>44179.9</v>
      </c>
      <c r="Q1035" s="102"/>
      <c r="R1035" s="131"/>
      <c r="S1035" s="132"/>
      <c r="T1035" s="102">
        <v>44179.9</v>
      </c>
      <c r="U1035" s="100"/>
      <c r="V1035" s="102"/>
      <c r="W1035" s="45"/>
    </row>
    <row r="1036" s="40" customFormat="1" ht="22" hidden="1" customHeight="1" spans="1:23">
      <c r="A1036" s="261" t="s">
        <v>4051</v>
      </c>
      <c r="B1036" s="174" t="s">
        <v>3613</v>
      </c>
      <c r="C1036" s="175"/>
      <c r="D1036" s="45" t="s">
        <v>31</v>
      </c>
      <c r="E1036" s="82" t="s">
        <v>3917</v>
      </c>
      <c r="F1036" s="81">
        <f>IFERROR(VLOOKUP(E1036,客户!B:C,2,FALSE),"/")</f>
        <v>0</v>
      </c>
      <c r="G1036" s="306" t="s">
        <v>4052</v>
      </c>
      <c r="H1036" s="142" t="s">
        <v>123</v>
      </c>
      <c r="I1036" s="108" t="s">
        <v>3919</v>
      </c>
      <c r="J1036" s="108">
        <v>44175</v>
      </c>
      <c r="K1036" s="100">
        <v>44320</v>
      </c>
      <c r="L1036" s="100">
        <v>44369</v>
      </c>
      <c r="M1036" s="326" t="s">
        <v>4053</v>
      </c>
      <c r="N1036" s="337" t="s">
        <v>4054</v>
      </c>
      <c r="O1036" s="266" t="s">
        <v>523</v>
      </c>
      <c r="P1036" s="102">
        <v>67204.07</v>
      </c>
      <c r="Q1036" s="102">
        <v>13192.68</v>
      </c>
      <c r="R1036" s="131"/>
      <c r="S1036" s="132"/>
      <c r="T1036" s="322">
        <v>54011.39</v>
      </c>
      <c r="U1036" s="100"/>
      <c r="V1036" s="102"/>
      <c r="W1036" s="45"/>
    </row>
    <row r="1037" s="40" customFormat="1" ht="22" hidden="1" customHeight="1" spans="1:23">
      <c r="A1037" s="261" t="s">
        <v>4055</v>
      </c>
      <c r="B1037" s="174" t="s">
        <v>3613</v>
      </c>
      <c r="C1037" s="175"/>
      <c r="D1037" s="45" t="s">
        <v>31</v>
      </c>
      <c r="E1037" s="82" t="s">
        <v>4056</v>
      </c>
      <c r="F1037" s="81">
        <f>IFERROR(VLOOKUP(E1037,客户!B:C,2,FALSE),"/")</f>
        <v>0</v>
      </c>
      <c r="G1037" s="306" t="s">
        <v>4057</v>
      </c>
      <c r="H1037" s="142" t="s">
        <v>123</v>
      </c>
      <c r="I1037" s="108" t="s">
        <v>4058</v>
      </c>
      <c r="J1037" s="108">
        <v>44182</v>
      </c>
      <c r="K1037" s="100">
        <v>44224</v>
      </c>
      <c r="L1037" s="100">
        <v>44264</v>
      </c>
      <c r="M1037" s="315" t="s">
        <v>4059</v>
      </c>
      <c r="N1037" s="337" t="s">
        <v>4060</v>
      </c>
      <c r="O1037" s="266" t="s">
        <v>970</v>
      </c>
      <c r="P1037" s="102">
        <v>27888.3</v>
      </c>
      <c r="Q1037" s="102">
        <v>7488.3</v>
      </c>
      <c r="R1037" s="131"/>
      <c r="S1037" s="132"/>
      <c r="T1037" s="102">
        <v>20400</v>
      </c>
      <c r="U1037" s="100"/>
      <c r="V1037" s="102"/>
      <c r="W1037" s="45"/>
    </row>
    <row r="1038" s="40" customFormat="1" ht="22" hidden="1" customHeight="1" spans="1:23">
      <c r="A1038" s="261" t="s">
        <v>4061</v>
      </c>
      <c r="B1038" s="174" t="s">
        <v>3613</v>
      </c>
      <c r="C1038" s="175"/>
      <c r="D1038" s="45" t="s">
        <v>31</v>
      </c>
      <c r="E1038" s="82" t="s">
        <v>3900</v>
      </c>
      <c r="F1038" s="81">
        <f>IFERROR(VLOOKUP(E1038,客户!B:C,2,FALSE),"/")</f>
        <v>0</v>
      </c>
      <c r="G1038" s="306" t="s">
        <v>4062</v>
      </c>
      <c r="H1038" s="142" t="s">
        <v>127</v>
      </c>
      <c r="I1038" s="108" t="s">
        <v>4041</v>
      </c>
      <c r="J1038" s="108">
        <v>44211</v>
      </c>
      <c r="K1038" s="100">
        <v>44317</v>
      </c>
      <c r="L1038" s="100">
        <v>44333</v>
      </c>
      <c r="M1038" s="315" t="s">
        <v>4063</v>
      </c>
      <c r="N1038" s="337" t="s">
        <v>4064</v>
      </c>
      <c r="O1038" s="266" t="s">
        <v>970</v>
      </c>
      <c r="P1038" s="102">
        <v>28158.9</v>
      </c>
      <c r="Q1038" s="102">
        <f>50000/6.46</f>
        <v>7739.93808049536</v>
      </c>
      <c r="R1038" s="131"/>
      <c r="S1038" s="132"/>
      <c r="T1038" s="102">
        <f>130709.14/6.48</f>
        <v>20171.1635802469</v>
      </c>
      <c r="U1038" s="100"/>
      <c r="V1038" s="102"/>
      <c r="W1038" s="45"/>
    </row>
    <row r="1039" s="40" customFormat="1" ht="22" hidden="1" customHeight="1" spans="1:23">
      <c r="A1039" s="261" t="s">
        <v>4065</v>
      </c>
      <c r="B1039" s="174" t="s">
        <v>3613</v>
      </c>
      <c r="C1039" s="175"/>
      <c r="D1039" s="45" t="s">
        <v>31</v>
      </c>
      <c r="E1039" s="82" t="s">
        <v>3954</v>
      </c>
      <c r="F1039" s="81">
        <f>IFERROR(VLOOKUP(E1039,客户!B:C,2,FALSE),"/")</f>
        <v>0</v>
      </c>
      <c r="G1039" s="307" t="s">
        <v>4066</v>
      </c>
      <c r="H1039" s="324" t="s">
        <v>186</v>
      </c>
      <c r="I1039" s="108"/>
      <c r="J1039" s="108">
        <v>44255</v>
      </c>
      <c r="K1039" s="100">
        <v>44316</v>
      </c>
      <c r="L1039" s="100"/>
      <c r="M1039" s="315" t="s">
        <v>4067</v>
      </c>
      <c r="N1039" s="337" t="s">
        <v>4068</v>
      </c>
      <c r="O1039" s="266" t="s">
        <v>970</v>
      </c>
      <c r="P1039" s="240">
        <v>163685.6</v>
      </c>
      <c r="Q1039" s="240">
        <v>20000</v>
      </c>
      <c r="R1039" s="131"/>
      <c r="S1039" s="132"/>
      <c r="T1039" s="348">
        <v>143535</v>
      </c>
      <c r="U1039" s="240">
        <v>150</v>
      </c>
      <c r="V1039" s="102"/>
      <c r="W1039" s="45"/>
    </row>
    <row r="1040" s="40" customFormat="1" ht="22" hidden="1" customHeight="1" spans="1:23">
      <c r="A1040" s="261" t="s">
        <v>4069</v>
      </c>
      <c r="B1040" s="174" t="s">
        <v>3613</v>
      </c>
      <c r="C1040" s="175"/>
      <c r="D1040" s="45" t="s">
        <v>31</v>
      </c>
      <c r="E1040" s="82" t="s">
        <v>3954</v>
      </c>
      <c r="F1040" s="81">
        <f>IFERROR(VLOOKUP(E1040,客户!B:C,2,FALSE),"/")</f>
        <v>0</v>
      </c>
      <c r="G1040" s="307" t="s">
        <v>4066</v>
      </c>
      <c r="H1040" s="324" t="s">
        <v>186</v>
      </c>
      <c r="I1040" s="108"/>
      <c r="J1040" s="108">
        <v>44255</v>
      </c>
      <c r="K1040" s="100">
        <v>44372</v>
      </c>
      <c r="L1040" s="100"/>
      <c r="M1040" s="315" t="s">
        <v>4070</v>
      </c>
      <c r="N1040" s="337" t="s">
        <v>4017</v>
      </c>
      <c r="O1040" s="266" t="s">
        <v>970</v>
      </c>
      <c r="P1040" s="240">
        <v>75174</v>
      </c>
      <c r="Q1040" s="240"/>
      <c r="R1040" s="131"/>
      <c r="S1040" s="132"/>
      <c r="T1040" s="348"/>
      <c r="U1040" s="240">
        <f>19850+890</f>
        <v>20740</v>
      </c>
      <c r="V1040" s="102"/>
      <c r="W1040" s="45"/>
    </row>
    <row r="1041" s="40" customFormat="1" ht="22" hidden="1" customHeight="1" spans="1:23">
      <c r="A1041" s="261" t="s">
        <v>4071</v>
      </c>
      <c r="B1041" s="174" t="s">
        <v>3613</v>
      </c>
      <c r="C1041" s="175"/>
      <c r="D1041" s="45" t="s">
        <v>31</v>
      </c>
      <c r="E1041" s="82" t="s">
        <v>3954</v>
      </c>
      <c r="F1041" s="81">
        <f>IFERROR(VLOOKUP(E1041,客户!B:C,2,FALSE),"/")</f>
        <v>0</v>
      </c>
      <c r="G1041" s="307" t="s">
        <v>4066</v>
      </c>
      <c r="H1041" s="324" t="s">
        <v>186</v>
      </c>
      <c r="I1041" s="108"/>
      <c r="J1041" s="108">
        <v>44255</v>
      </c>
      <c r="K1041" s="100">
        <v>44347</v>
      </c>
      <c r="L1041" s="100"/>
      <c r="M1041" s="315" t="s">
        <v>4070</v>
      </c>
      <c r="N1041" s="337" t="s">
        <v>4017</v>
      </c>
      <c r="O1041" s="266" t="s">
        <v>970</v>
      </c>
      <c r="P1041" s="240">
        <v>15566</v>
      </c>
      <c r="Q1041" s="240">
        <v>20000</v>
      </c>
      <c r="R1041" s="131"/>
      <c r="S1041" s="132"/>
      <c r="T1041" s="240">
        <v>50000</v>
      </c>
      <c r="U1041" s="100"/>
      <c r="V1041" s="102" t="s">
        <v>4072</v>
      </c>
      <c r="W1041" s="45"/>
    </row>
    <row r="1042" s="40" customFormat="1" ht="22" hidden="1" customHeight="1" spans="1:23">
      <c r="A1042" s="261" t="s">
        <v>4073</v>
      </c>
      <c r="B1042" s="174" t="s">
        <v>3613</v>
      </c>
      <c r="C1042" s="175"/>
      <c r="D1042" s="45" t="s">
        <v>31</v>
      </c>
      <c r="E1042" s="82" t="s">
        <v>3939</v>
      </c>
      <c r="F1042" s="81">
        <f>IFERROR(VLOOKUP(E1042,客户!B:C,2,FALSE),"/")</f>
        <v>0</v>
      </c>
      <c r="G1042" s="307" t="s">
        <v>4074</v>
      </c>
      <c r="H1042" s="324" t="s">
        <v>123</v>
      </c>
      <c r="I1042" s="108" t="s">
        <v>3825</v>
      </c>
      <c r="J1042" s="108">
        <v>44257</v>
      </c>
      <c r="K1042" s="100">
        <v>44295</v>
      </c>
      <c r="L1042" s="100"/>
      <c r="M1042" s="315" t="s">
        <v>4075</v>
      </c>
      <c r="N1042" s="337" t="s">
        <v>4076</v>
      </c>
      <c r="O1042" s="266" t="s">
        <v>970</v>
      </c>
      <c r="P1042" s="102">
        <v>21805.88</v>
      </c>
      <c r="Q1042" s="102">
        <v>6541.76</v>
      </c>
      <c r="R1042" s="131"/>
      <c r="S1042" s="132"/>
      <c r="T1042" s="102">
        <v>15264.12</v>
      </c>
      <c r="U1042" s="100"/>
      <c r="V1042" s="102"/>
      <c r="W1042" s="45"/>
    </row>
    <row r="1043" s="40" customFormat="1" ht="22" hidden="1" customHeight="1" spans="1:23">
      <c r="A1043" s="261" t="s">
        <v>4077</v>
      </c>
      <c r="B1043" s="174" t="s">
        <v>3613</v>
      </c>
      <c r="C1043" s="175"/>
      <c r="D1043" s="45" t="s">
        <v>31</v>
      </c>
      <c r="E1043" s="82" t="s">
        <v>4078</v>
      </c>
      <c r="F1043" s="81">
        <f>IFERROR(VLOOKUP(E1043,客户!B:C,2,FALSE),"/")</f>
        <v>0</v>
      </c>
      <c r="G1043" s="307" t="s">
        <v>4079</v>
      </c>
      <c r="H1043" s="324" t="s">
        <v>186</v>
      </c>
      <c r="I1043" s="108"/>
      <c r="J1043" s="108">
        <v>44260</v>
      </c>
      <c r="K1043" s="100">
        <v>44261</v>
      </c>
      <c r="L1043" s="100"/>
      <c r="M1043" s="315" t="s">
        <v>4080</v>
      </c>
      <c r="N1043" s="337"/>
      <c r="O1043" s="266" t="s">
        <v>970</v>
      </c>
      <c r="P1043" s="240">
        <v>9250</v>
      </c>
      <c r="Q1043" s="240">
        <v>9250</v>
      </c>
      <c r="R1043" s="131"/>
      <c r="S1043" s="132"/>
      <c r="T1043" s="240"/>
      <c r="U1043" s="100"/>
      <c r="V1043" s="102"/>
      <c r="W1043" s="45"/>
    </row>
    <row r="1044" s="40" customFormat="1" ht="22" hidden="1" customHeight="1" spans="1:23">
      <c r="A1044" s="261" t="s">
        <v>4081</v>
      </c>
      <c r="B1044" s="174" t="s">
        <v>3613</v>
      </c>
      <c r="C1044" s="175"/>
      <c r="D1044" s="45" t="s">
        <v>31</v>
      </c>
      <c r="E1044" s="82" t="s">
        <v>4082</v>
      </c>
      <c r="F1044" s="81">
        <f>IFERROR(VLOOKUP(E1044,客户!B:C,2,FALSE),"/")</f>
        <v>0</v>
      </c>
      <c r="G1044" s="307" t="s">
        <v>4083</v>
      </c>
      <c r="H1044" s="324" t="s">
        <v>123</v>
      </c>
      <c r="I1044" s="108" t="s">
        <v>3866</v>
      </c>
      <c r="J1044" s="108">
        <v>44263</v>
      </c>
      <c r="K1044" s="100">
        <v>44327</v>
      </c>
      <c r="L1044" s="100">
        <v>44354</v>
      </c>
      <c r="M1044" s="315" t="s">
        <v>4084</v>
      </c>
      <c r="N1044" s="337" t="s">
        <v>4085</v>
      </c>
      <c r="O1044" s="266" t="s">
        <v>970</v>
      </c>
      <c r="P1044" s="102">
        <v>24671.6</v>
      </c>
      <c r="Q1044" s="230">
        <v>7202</v>
      </c>
      <c r="R1044" s="131"/>
      <c r="S1044" s="132"/>
      <c r="T1044" s="102">
        <v>17469.6</v>
      </c>
      <c r="U1044" s="100"/>
      <c r="V1044" s="102"/>
      <c r="W1044" s="45"/>
    </row>
    <row r="1045" s="40" customFormat="1" ht="22" hidden="1" customHeight="1" spans="1:23">
      <c r="A1045" s="261" t="s">
        <v>4086</v>
      </c>
      <c r="B1045" s="174" t="s">
        <v>3613</v>
      </c>
      <c r="C1045" s="175"/>
      <c r="D1045" s="229" t="s">
        <v>31</v>
      </c>
      <c r="E1045" s="82" t="s">
        <v>3989</v>
      </c>
      <c r="F1045" s="81">
        <f>IFERROR(VLOOKUP(E1045,客户!B:C,2,FALSE),"/")</f>
        <v>0</v>
      </c>
      <c r="G1045" s="307" t="s">
        <v>4087</v>
      </c>
      <c r="H1045" s="324" t="s">
        <v>123</v>
      </c>
      <c r="I1045" s="108" t="s">
        <v>770</v>
      </c>
      <c r="J1045" s="108">
        <v>44270</v>
      </c>
      <c r="K1045" s="100">
        <v>44337</v>
      </c>
      <c r="L1045" s="100">
        <v>44367</v>
      </c>
      <c r="M1045" s="315" t="s">
        <v>4088</v>
      </c>
      <c r="N1045" s="341" t="s">
        <v>4089</v>
      </c>
      <c r="O1045" s="266" t="s">
        <v>523</v>
      </c>
      <c r="P1045" s="102">
        <v>25959.23</v>
      </c>
      <c r="Q1045" s="230">
        <v>8000</v>
      </c>
      <c r="R1045" s="131"/>
      <c r="S1045" s="132"/>
      <c r="T1045" s="230">
        <v>17959.23</v>
      </c>
      <c r="U1045" s="100"/>
      <c r="V1045" s="102"/>
      <c r="W1045" s="45"/>
    </row>
    <row r="1046" s="40" customFormat="1" ht="22" hidden="1" customHeight="1" spans="1:23">
      <c r="A1046" s="261" t="s">
        <v>4090</v>
      </c>
      <c r="B1046" s="174" t="s">
        <v>3613</v>
      </c>
      <c r="C1046" s="175"/>
      <c r="D1046" s="45" t="s">
        <v>31</v>
      </c>
      <c r="E1046" s="82" t="s">
        <v>3927</v>
      </c>
      <c r="F1046" s="81">
        <f>IFERROR(VLOOKUP(E1046,客户!B:C,2,FALSE),"/")</f>
        <v>0</v>
      </c>
      <c r="G1046" s="307" t="s">
        <v>4091</v>
      </c>
      <c r="H1046" s="324" t="s">
        <v>123</v>
      </c>
      <c r="I1046" s="108" t="s">
        <v>3521</v>
      </c>
      <c r="J1046" s="108">
        <v>44272</v>
      </c>
      <c r="K1046" s="100">
        <v>44312</v>
      </c>
      <c r="L1046" s="100"/>
      <c r="M1046" s="315" t="s">
        <v>4092</v>
      </c>
      <c r="N1046" s="337" t="s">
        <v>4093</v>
      </c>
      <c r="O1046" s="266" t="s">
        <v>970</v>
      </c>
      <c r="P1046" s="102">
        <v>27068.8</v>
      </c>
      <c r="Q1046" s="317"/>
      <c r="R1046" s="131"/>
      <c r="S1046" s="132"/>
      <c r="T1046" s="102">
        <v>27068.8</v>
      </c>
      <c r="U1046" s="100"/>
      <c r="V1046" s="102"/>
      <c r="W1046" s="45"/>
    </row>
    <row r="1047" s="40" customFormat="1" ht="22" hidden="1" customHeight="1" spans="1:23">
      <c r="A1047" s="261" t="s">
        <v>4094</v>
      </c>
      <c r="B1047" s="174" t="s">
        <v>3613</v>
      </c>
      <c r="C1047" s="175"/>
      <c r="D1047" s="229" t="s">
        <v>31</v>
      </c>
      <c r="E1047" s="82" t="s">
        <v>3917</v>
      </c>
      <c r="F1047" s="81">
        <f>IFERROR(VLOOKUP(E1047,客户!B:C,2,FALSE),"/")</f>
        <v>0</v>
      </c>
      <c r="G1047" s="307" t="s">
        <v>4095</v>
      </c>
      <c r="H1047" s="324" t="s">
        <v>123</v>
      </c>
      <c r="I1047" s="108" t="s">
        <v>3919</v>
      </c>
      <c r="J1047" s="108">
        <v>44281</v>
      </c>
      <c r="K1047" s="100">
        <v>44402</v>
      </c>
      <c r="L1047" s="100">
        <v>44446</v>
      </c>
      <c r="M1047" s="315" t="s">
        <v>4096</v>
      </c>
      <c r="N1047" s="337" t="s">
        <v>4097</v>
      </c>
      <c r="O1047" s="266" t="s">
        <v>523</v>
      </c>
      <c r="P1047" s="102">
        <v>81186.21</v>
      </c>
      <c r="Q1047" s="230">
        <v>15596.34</v>
      </c>
      <c r="R1047" s="131"/>
      <c r="S1047" s="132"/>
      <c r="T1047" s="102">
        <v>33774.29</v>
      </c>
      <c r="U1047" s="230">
        <v>31815.58</v>
      </c>
      <c r="V1047" s="102"/>
      <c r="W1047" s="45"/>
    </row>
    <row r="1048" s="40" customFormat="1" ht="22" hidden="1" customHeight="1" spans="1:23">
      <c r="A1048" s="261" t="s">
        <v>4098</v>
      </c>
      <c r="B1048" s="174" t="s">
        <v>3613</v>
      </c>
      <c r="C1048" s="175"/>
      <c r="D1048" s="229" t="s">
        <v>31</v>
      </c>
      <c r="E1048" s="82" t="s">
        <v>4056</v>
      </c>
      <c r="F1048" s="81">
        <f>IFERROR(VLOOKUP(E1048,客户!B:C,2,FALSE),"/")</f>
        <v>0</v>
      </c>
      <c r="G1048" s="307" t="s">
        <v>4099</v>
      </c>
      <c r="H1048" s="324" t="s">
        <v>123</v>
      </c>
      <c r="I1048" s="108" t="s">
        <v>4058</v>
      </c>
      <c r="J1048" s="108">
        <v>44284</v>
      </c>
      <c r="K1048" s="100">
        <v>44406</v>
      </c>
      <c r="L1048" s="100">
        <v>44441</v>
      </c>
      <c r="M1048" s="315" t="s">
        <v>4100</v>
      </c>
      <c r="N1048" s="337" t="s">
        <v>4101</v>
      </c>
      <c r="O1048" s="266" t="s">
        <v>523</v>
      </c>
      <c r="P1048" s="102">
        <v>31725.6</v>
      </c>
      <c r="Q1048" s="230">
        <v>8613</v>
      </c>
      <c r="R1048" s="131"/>
      <c r="S1048" s="132"/>
      <c r="T1048" s="102">
        <v>23112.6</v>
      </c>
      <c r="U1048" s="100"/>
      <c r="V1048" s="102"/>
      <c r="W1048" s="45"/>
    </row>
    <row r="1049" s="40" customFormat="1" ht="22" hidden="1" customHeight="1" spans="1:23">
      <c r="A1049" s="292" t="s">
        <v>4102</v>
      </c>
      <c r="B1049" s="174" t="s">
        <v>3613</v>
      </c>
      <c r="C1049" s="175"/>
      <c r="D1049" s="229" t="s">
        <v>31</v>
      </c>
      <c r="E1049" s="82" t="s">
        <v>3900</v>
      </c>
      <c r="F1049" s="81">
        <f>IFERROR(VLOOKUP(E1049,客户!B:C,2,FALSE),"/")</f>
        <v>0</v>
      </c>
      <c r="G1049" s="307" t="s">
        <v>4091</v>
      </c>
      <c r="H1049" s="324" t="s">
        <v>147</v>
      </c>
      <c r="I1049" s="108" t="s">
        <v>4041</v>
      </c>
      <c r="J1049" s="108">
        <v>44288</v>
      </c>
      <c r="K1049" s="100">
        <v>44351</v>
      </c>
      <c r="L1049" s="200">
        <v>44376</v>
      </c>
      <c r="M1049" s="315" t="s">
        <v>4103</v>
      </c>
      <c r="N1049" s="337" t="s">
        <v>1570</v>
      </c>
      <c r="O1049" s="266" t="s">
        <v>970</v>
      </c>
      <c r="P1049" s="102">
        <v>33170.6</v>
      </c>
      <c r="Q1049" s="230"/>
      <c r="R1049" s="131"/>
      <c r="S1049" s="132"/>
      <c r="T1049" s="240">
        <v>150000</v>
      </c>
      <c r="U1049" s="100"/>
      <c r="V1049" s="102"/>
      <c r="W1049" s="45"/>
    </row>
    <row r="1050" s="40" customFormat="1" ht="22" hidden="1" customHeight="1" spans="1:23">
      <c r="A1050" s="261" t="s">
        <v>4104</v>
      </c>
      <c r="B1050" s="174" t="s">
        <v>3613</v>
      </c>
      <c r="C1050" s="175"/>
      <c r="D1050" s="229" t="s">
        <v>31</v>
      </c>
      <c r="E1050" s="82" t="s">
        <v>3900</v>
      </c>
      <c r="F1050" s="81">
        <f>IFERROR(VLOOKUP(E1050,客户!B:C,2,FALSE),"/")</f>
        <v>0</v>
      </c>
      <c r="G1050" s="307" t="s">
        <v>4091</v>
      </c>
      <c r="H1050" s="324" t="s">
        <v>147</v>
      </c>
      <c r="I1050" s="108" t="s">
        <v>4041</v>
      </c>
      <c r="J1050" s="108">
        <v>44288</v>
      </c>
      <c r="K1050" s="100">
        <v>44359</v>
      </c>
      <c r="L1050" s="100">
        <v>44375</v>
      </c>
      <c r="M1050" s="315" t="s">
        <v>4105</v>
      </c>
      <c r="N1050" s="337" t="s">
        <v>4106</v>
      </c>
      <c r="O1050" s="266" t="s">
        <v>970</v>
      </c>
      <c r="P1050" s="102">
        <v>33084.6</v>
      </c>
      <c r="Q1050" s="230">
        <f>100000/6.55</f>
        <v>15267.1755725191</v>
      </c>
      <c r="R1050" s="131"/>
      <c r="S1050" s="132"/>
      <c r="T1050" s="240">
        <v>150000</v>
      </c>
      <c r="U1050" s="102">
        <v>25000</v>
      </c>
      <c r="V1050" s="246" t="s">
        <v>4107</v>
      </c>
      <c r="W1050" s="45"/>
    </row>
    <row r="1051" s="40" customFormat="1" ht="22" hidden="1" customHeight="1" spans="1:23">
      <c r="A1051" s="292" t="s">
        <v>4108</v>
      </c>
      <c r="B1051" s="174" t="s">
        <v>3613</v>
      </c>
      <c r="C1051" s="175"/>
      <c r="D1051" s="229" t="s">
        <v>31</v>
      </c>
      <c r="E1051" s="82" t="s">
        <v>3939</v>
      </c>
      <c r="F1051" s="81">
        <f>IFERROR(VLOOKUP(E1051,客户!B:C,2,FALSE),"/")</f>
        <v>0</v>
      </c>
      <c r="G1051" s="307" t="s">
        <v>4087</v>
      </c>
      <c r="H1051" s="324" t="s">
        <v>123</v>
      </c>
      <c r="I1051" s="108" t="s">
        <v>3825</v>
      </c>
      <c r="J1051" s="108">
        <v>44296</v>
      </c>
      <c r="K1051" s="200">
        <v>44394</v>
      </c>
      <c r="L1051" s="100"/>
      <c r="M1051" s="315" t="s">
        <v>4109</v>
      </c>
      <c r="N1051" s="337" t="s">
        <v>4110</v>
      </c>
      <c r="O1051" s="266" t="s">
        <v>970</v>
      </c>
      <c r="P1051" s="102">
        <v>24651.13</v>
      </c>
      <c r="Q1051" s="230">
        <v>7398.8</v>
      </c>
      <c r="R1051" s="131"/>
      <c r="S1051" s="132"/>
      <c r="T1051" s="102">
        <v>17252.33</v>
      </c>
      <c r="U1051" s="100"/>
      <c r="V1051" s="102"/>
      <c r="W1051" s="45"/>
    </row>
    <row r="1052" s="40" customFormat="1" ht="22" hidden="1" customHeight="1" spans="1:23">
      <c r="A1052" s="261" t="s">
        <v>4111</v>
      </c>
      <c r="B1052" s="174" t="s">
        <v>3613</v>
      </c>
      <c r="C1052" s="175"/>
      <c r="D1052" s="45" t="s">
        <v>31</v>
      </c>
      <c r="E1052" s="82" t="s">
        <v>3927</v>
      </c>
      <c r="F1052" s="81"/>
      <c r="G1052" s="307" t="s">
        <v>4091</v>
      </c>
      <c r="H1052" s="324" t="s">
        <v>123</v>
      </c>
      <c r="I1052" s="108" t="s">
        <v>3521</v>
      </c>
      <c r="J1052" s="108">
        <v>44303</v>
      </c>
      <c r="K1052" s="100">
        <v>44340</v>
      </c>
      <c r="L1052" s="100"/>
      <c r="M1052" s="315" t="s">
        <v>4112</v>
      </c>
      <c r="N1052" s="337" t="s">
        <v>4113</v>
      </c>
      <c r="O1052" s="266" t="s">
        <v>970</v>
      </c>
      <c r="P1052" s="102">
        <v>29033</v>
      </c>
      <c r="Q1052" s="317"/>
      <c r="R1052" s="131"/>
      <c r="S1052" s="132"/>
      <c r="T1052" s="102">
        <v>29033</v>
      </c>
      <c r="U1052" s="100"/>
      <c r="V1052" s="102"/>
      <c r="W1052" s="45"/>
    </row>
    <row r="1053" s="40" customFormat="1" ht="22" hidden="1" customHeight="1" spans="1:23">
      <c r="A1053" s="261" t="s">
        <v>4114</v>
      </c>
      <c r="B1053" s="174" t="s">
        <v>3613</v>
      </c>
      <c r="C1053" s="175"/>
      <c r="D1053" s="45" t="s">
        <v>31</v>
      </c>
      <c r="E1053" s="82" t="s">
        <v>3927</v>
      </c>
      <c r="F1053" s="81">
        <f>IFERROR(VLOOKUP(E1053,客户!B:C,2,FALSE),"/")</f>
        <v>0</v>
      </c>
      <c r="G1053" s="307" t="s">
        <v>4091</v>
      </c>
      <c r="H1053" s="324" t="s">
        <v>123</v>
      </c>
      <c r="I1053" s="108" t="s">
        <v>3521</v>
      </c>
      <c r="J1053" s="108">
        <v>44303</v>
      </c>
      <c r="K1053" s="100">
        <v>44361</v>
      </c>
      <c r="L1053" s="100"/>
      <c r="M1053" s="315" t="s">
        <v>4115</v>
      </c>
      <c r="N1053" s="337" t="s">
        <v>4116</v>
      </c>
      <c r="O1053" s="266" t="s">
        <v>970</v>
      </c>
      <c r="P1053" s="169">
        <v>28793.25</v>
      </c>
      <c r="Q1053" s="230">
        <f>40000/6.39</f>
        <v>6259.78090766823</v>
      </c>
      <c r="R1053" s="131"/>
      <c r="S1053" s="132"/>
      <c r="T1053" s="169">
        <v>22533.47</v>
      </c>
      <c r="U1053" s="100"/>
      <c r="V1053" s="102"/>
      <c r="W1053" s="45"/>
    </row>
    <row r="1054" s="40" customFormat="1" ht="22" hidden="1" customHeight="1" spans="1:23">
      <c r="A1054" s="261" t="s">
        <v>4117</v>
      </c>
      <c r="B1054" s="174" t="s">
        <v>3613</v>
      </c>
      <c r="C1054" s="175"/>
      <c r="D1054" s="45" t="s">
        <v>31</v>
      </c>
      <c r="E1054" s="82" t="s">
        <v>3927</v>
      </c>
      <c r="F1054" s="81"/>
      <c r="G1054" s="307" t="s">
        <v>4091</v>
      </c>
      <c r="H1054" s="324" t="s">
        <v>123</v>
      </c>
      <c r="I1054" s="108" t="s">
        <v>3521</v>
      </c>
      <c r="J1054" s="108">
        <v>44319</v>
      </c>
      <c r="K1054" s="100">
        <v>44361</v>
      </c>
      <c r="L1054" s="100"/>
      <c r="M1054" s="315" t="s">
        <v>4118</v>
      </c>
      <c r="N1054" s="337" t="s">
        <v>4116</v>
      </c>
      <c r="O1054" s="266" t="s">
        <v>970</v>
      </c>
      <c r="P1054" s="102">
        <v>29123.75</v>
      </c>
      <c r="Q1054" s="317"/>
      <c r="R1054" s="131"/>
      <c r="S1054" s="132"/>
      <c r="T1054" s="169">
        <v>29123.75</v>
      </c>
      <c r="U1054" s="100"/>
      <c r="V1054" s="246" t="s">
        <v>4119</v>
      </c>
      <c r="W1054" s="45"/>
    </row>
    <row r="1055" s="40" customFormat="1" ht="22" hidden="1" customHeight="1" spans="1:23">
      <c r="A1055" s="261" t="s">
        <v>4120</v>
      </c>
      <c r="B1055" s="174" t="s">
        <v>3613</v>
      </c>
      <c r="C1055" s="175"/>
      <c r="D1055" s="45" t="s">
        <v>31</v>
      </c>
      <c r="E1055" s="82" t="s">
        <v>3927</v>
      </c>
      <c r="F1055" s="81">
        <f>IFERROR(VLOOKUP(E1055,客户!B:C,2,FALSE),"/")</f>
        <v>0</v>
      </c>
      <c r="G1055" s="307" t="s">
        <v>3993</v>
      </c>
      <c r="H1055" s="324" t="s">
        <v>123</v>
      </c>
      <c r="I1055" s="108" t="s">
        <v>3521</v>
      </c>
      <c r="J1055" s="108">
        <v>44319</v>
      </c>
      <c r="K1055" s="100">
        <v>44383</v>
      </c>
      <c r="L1055" s="100"/>
      <c r="M1055" s="315" t="s">
        <v>4121</v>
      </c>
      <c r="N1055" s="337" t="s">
        <v>4122</v>
      </c>
      <c r="O1055" s="266" t="s">
        <v>970</v>
      </c>
      <c r="P1055" s="102">
        <v>58830.65</v>
      </c>
      <c r="Q1055" s="102">
        <f>50000/6.46</f>
        <v>7739.93808049536</v>
      </c>
      <c r="R1055" s="131"/>
      <c r="S1055" s="132"/>
      <c r="T1055" s="102">
        <v>48062</v>
      </c>
      <c r="U1055" s="240">
        <v>19565</v>
      </c>
      <c r="V1055" s="102"/>
      <c r="W1055" s="45"/>
    </row>
    <row r="1056" s="40" customFormat="1" ht="22" hidden="1" customHeight="1" spans="1:23">
      <c r="A1056" s="261" t="s">
        <v>4123</v>
      </c>
      <c r="B1056" s="174" t="s">
        <v>3613</v>
      </c>
      <c r="C1056" s="175"/>
      <c r="D1056" s="45" t="s">
        <v>31</v>
      </c>
      <c r="E1056" s="82" t="s">
        <v>3979</v>
      </c>
      <c r="F1056" s="81">
        <f>IFERROR(VLOOKUP(E1056,客户!B:C,2,FALSE),"/")</f>
        <v>0</v>
      </c>
      <c r="G1056" s="307" t="s">
        <v>3980</v>
      </c>
      <c r="H1056" s="324" t="s">
        <v>186</v>
      </c>
      <c r="I1056" s="108"/>
      <c r="J1056" s="108">
        <v>44335</v>
      </c>
      <c r="K1056" s="100">
        <v>44335</v>
      </c>
      <c r="L1056" s="100"/>
      <c r="M1056" s="315" t="s">
        <v>4124</v>
      </c>
      <c r="N1056" s="337"/>
      <c r="O1056" s="266" t="s">
        <v>970</v>
      </c>
      <c r="P1056" s="240">
        <v>19362.75</v>
      </c>
      <c r="Q1056" s="317">
        <v>23779.91</v>
      </c>
      <c r="R1056" s="131"/>
      <c r="S1056" s="132"/>
      <c r="T1056" s="240"/>
      <c r="U1056" s="100"/>
      <c r="V1056" s="102"/>
      <c r="W1056" s="45"/>
    </row>
    <row r="1057" s="40" customFormat="1" ht="22" hidden="1" customHeight="1" spans="1:23">
      <c r="A1057" s="261" t="s">
        <v>4125</v>
      </c>
      <c r="B1057" s="174" t="s">
        <v>3613</v>
      </c>
      <c r="C1057" s="175"/>
      <c r="D1057" s="45" t="s">
        <v>31</v>
      </c>
      <c r="E1057" s="82" t="s">
        <v>4126</v>
      </c>
      <c r="F1057" s="81">
        <f>IFERROR(VLOOKUP(E1057,客户!B:C,2,FALSE),"/")</f>
        <v>0</v>
      </c>
      <c r="G1057" s="307" t="s">
        <v>4091</v>
      </c>
      <c r="H1057" s="324" t="s">
        <v>123</v>
      </c>
      <c r="I1057" s="108" t="s">
        <v>3715</v>
      </c>
      <c r="J1057" s="108">
        <v>44343</v>
      </c>
      <c r="K1057" s="100">
        <v>44411</v>
      </c>
      <c r="L1057" s="100">
        <v>44443</v>
      </c>
      <c r="M1057" s="315" t="s">
        <v>4127</v>
      </c>
      <c r="N1057" s="337" t="s">
        <v>4128</v>
      </c>
      <c r="O1057" s="266" t="s">
        <v>523</v>
      </c>
      <c r="P1057" s="102">
        <v>30350.61</v>
      </c>
      <c r="Q1057" s="102">
        <v>10130.2</v>
      </c>
      <c r="R1057" s="131"/>
      <c r="S1057" s="132"/>
      <c r="T1057" s="102">
        <v>20220.41</v>
      </c>
      <c r="U1057" s="100"/>
      <c r="V1057" s="102"/>
      <c r="W1057" s="45"/>
    </row>
    <row r="1058" s="40" customFormat="1" ht="22" hidden="1" customHeight="1" spans="1:23">
      <c r="A1058" s="292" t="s">
        <v>4129</v>
      </c>
      <c r="B1058" s="174" t="s">
        <v>3613</v>
      </c>
      <c r="C1058" s="175"/>
      <c r="D1058" s="45" t="s">
        <v>31</v>
      </c>
      <c r="E1058" s="82" t="s">
        <v>3939</v>
      </c>
      <c r="F1058" s="81">
        <f>IFERROR(VLOOKUP(E1058,客户!B:C,2,FALSE),"/")</f>
        <v>0</v>
      </c>
      <c r="G1058" s="307" t="s">
        <v>4087</v>
      </c>
      <c r="H1058" s="324" t="s">
        <v>186</v>
      </c>
      <c r="I1058" s="108" t="s">
        <v>3825</v>
      </c>
      <c r="J1058" s="108">
        <v>44343</v>
      </c>
      <c r="K1058" s="100">
        <v>44423</v>
      </c>
      <c r="L1058" s="100"/>
      <c r="M1058" s="315" t="s">
        <v>4130</v>
      </c>
      <c r="N1058" s="337" t="s">
        <v>1581</v>
      </c>
      <c r="O1058" s="266" t="s">
        <v>970</v>
      </c>
      <c r="P1058" s="240">
        <v>187511.25</v>
      </c>
      <c r="Q1058" s="317">
        <v>57280</v>
      </c>
      <c r="R1058" s="131"/>
      <c r="S1058" s="132"/>
      <c r="T1058" s="240">
        <v>133651.25</v>
      </c>
      <c r="U1058" s="100"/>
      <c r="V1058" s="102"/>
      <c r="W1058" s="45"/>
    </row>
    <row r="1059" s="40" customFormat="1" ht="22" hidden="1" customHeight="1" spans="1:23">
      <c r="A1059" s="261" t="s">
        <v>4131</v>
      </c>
      <c r="B1059" s="174" t="s">
        <v>3613</v>
      </c>
      <c r="C1059" s="175"/>
      <c r="D1059" s="45" t="s">
        <v>31</v>
      </c>
      <c r="E1059" s="82" t="s">
        <v>3900</v>
      </c>
      <c r="F1059" s="81">
        <f>IFERROR(VLOOKUP(E1059,客户!B:C,2,FALSE),"/")</f>
        <v>0</v>
      </c>
      <c r="G1059" s="307" t="s">
        <v>4091</v>
      </c>
      <c r="H1059" s="324" t="s">
        <v>147</v>
      </c>
      <c r="I1059" s="108" t="s">
        <v>4041</v>
      </c>
      <c r="J1059" s="108">
        <v>44356</v>
      </c>
      <c r="K1059" s="100">
        <v>44408</v>
      </c>
      <c r="L1059" s="100">
        <v>44425</v>
      </c>
      <c r="M1059" s="315" t="s">
        <v>4132</v>
      </c>
      <c r="N1059" s="337" t="s">
        <v>1570</v>
      </c>
      <c r="O1059" s="266" t="s">
        <v>970</v>
      </c>
      <c r="P1059" s="102">
        <v>33127.6</v>
      </c>
      <c r="Q1059" s="230">
        <f>60000/6.38</f>
        <v>9404.38871473354</v>
      </c>
      <c r="R1059" s="131"/>
      <c r="S1059" s="132"/>
      <c r="T1059" s="102">
        <v>23723.21</v>
      </c>
      <c r="U1059" s="100"/>
      <c r="V1059" s="329" t="s">
        <v>4133</v>
      </c>
      <c r="W1059" s="45"/>
    </row>
    <row r="1060" s="40" customFormat="1" ht="22" hidden="1" customHeight="1" spans="1:23">
      <c r="A1060" s="261" t="s">
        <v>4134</v>
      </c>
      <c r="B1060" s="174" t="s">
        <v>3613</v>
      </c>
      <c r="C1060" s="175"/>
      <c r="D1060" s="45" t="s">
        <v>31</v>
      </c>
      <c r="E1060" s="82" t="s">
        <v>3900</v>
      </c>
      <c r="F1060" s="81">
        <f>IFERROR(VLOOKUP(E1060,客户!B:C,2,FALSE),"/")</f>
        <v>0</v>
      </c>
      <c r="G1060" s="307" t="s">
        <v>4091</v>
      </c>
      <c r="H1060" s="324" t="s">
        <v>147</v>
      </c>
      <c r="I1060" s="108" t="s">
        <v>4041</v>
      </c>
      <c r="J1060" s="108">
        <v>44356</v>
      </c>
      <c r="K1060" s="200">
        <v>44415</v>
      </c>
      <c r="L1060" s="100">
        <v>44432</v>
      </c>
      <c r="M1060" s="315" t="s">
        <v>4135</v>
      </c>
      <c r="N1060" s="337" t="s">
        <v>4136</v>
      </c>
      <c r="O1060" s="266" t="s">
        <v>970</v>
      </c>
      <c r="P1060" s="102">
        <v>33127.6</v>
      </c>
      <c r="Q1060" s="102">
        <f>50000/6.38</f>
        <v>7836.99059561129</v>
      </c>
      <c r="R1060" s="131"/>
      <c r="S1060" s="132"/>
      <c r="T1060" s="102">
        <v>7295.79</v>
      </c>
      <c r="U1060" s="102">
        <f>20000-1981.2-23.8</f>
        <v>17995</v>
      </c>
      <c r="V1060" s="246" t="s">
        <v>4137</v>
      </c>
      <c r="W1060" s="45"/>
    </row>
    <row r="1061" s="40" customFormat="1" ht="22" hidden="1" customHeight="1" spans="1:23">
      <c r="A1061" s="261" t="s">
        <v>4138</v>
      </c>
      <c r="B1061" s="174" t="s">
        <v>3613</v>
      </c>
      <c r="C1061" s="175"/>
      <c r="D1061" s="45" t="s">
        <v>31</v>
      </c>
      <c r="E1061" s="82" t="s">
        <v>3927</v>
      </c>
      <c r="F1061" s="81">
        <f>IFERROR(VLOOKUP(E1061,客户!B:C,2,FALSE),"/")</f>
        <v>0</v>
      </c>
      <c r="G1061" s="307" t="s">
        <v>4091</v>
      </c>
      <c r="H1061" s="324" t="s">
        <v>123</v>
      </c>
      <c r="I1061" s="108" t="s">
        <v>3521</v>
      </c>
      <c r="J1061" s="108">
        <v>44370</v>
      </c>
      <c r="K1061" s="100">
        <v>44425</v>
      </c>
      <c r="L1061" s="100"/>
      <c r="M1061" s="315" t="s">
        <v>4139</v>
      </c>
      <c r="N1061" s="337" t="s">
        <v>4140</v>
      </c>
      <c r="O1061" s="266" t="s">
        <v>970</v>
      </c>
      <c r="P1061" s="102">
        <v>27967.5</v>
      </c>
      <c r="Q1061" s="317"/>
      <c r="R1061" s="131"/>
      <c r="S1061" s="132"/>
      <c r="T1061" s="102">
        <v>27967.5</v>
      </c>
      <c r="U1061" s="100"/>
      <c r="V1061" s="246" t="s">
        <v>4141</v>
      </c>
      <c r="W1061" s="45"/>
    </row>
    <row r="1062" s="40" customFormat="1" ht="22" hidden="1" customHeight="1" spans="1:23">
      <c r="A1062" s="261" t="s">
        <v>4142</v>
      </c>
      <c r="B1062" s="174" t="s">
        <v>3613</v>
      </c>
      <c r="C1062" s="175"/>
      <c r="D1062" s="45" t="s">
        <v>31</v>
      </c>
      <c r="E1062" s="82" t="s">
        <v>4078</v>
      </c>
      <c r="F1062" s="81">
        <f>IFERROR(VLOOKUP(E1062,客户!B:C,2,FALSE),"/")</f>
        <v>0</v>
      </c>
      <c r="G1062" s="307" t="s">
        <v>4079</v>
      </c>
      <c r="H1062" s="324" t="s">
        <v>186</v>
      </c>
      <c r="I1062" s="108"/>
      <c r="J1062" s="108">
        <v>44376</v>
      </c>
      <c r="K1062" s="100">
        <v>44379</v>
      </c>
      <c r="L1062" s="100"/>
      <c r="M1062" s="315" t="s">
        <v>4143</v>
      </c>
      <c r="N1062" s="337"/>
      <c r="O1062" s="266" t="s">
        <v>970</v>
      </c>
      <c r="P1062" s="240">
        <v>9400</v>
      </c>
      <c r="Q1062" s="317"/>
      <c r="R1062" s="131"/>
      <c r="S1062" s="132"/>
      <c r="T1062" s="240">
        <v>9400</v>
      </c>
      <c r="U1062" s="100"/>
      <c r="V1062" s="102"/>
      <c r="W1062" s="45"/>
    </row>
    <row r="1063" s="40" customFormat="1" ht="22" hidden="1" customHeight="1" spans="1:23">
      <c r="A1063" s="261" t="s">
        <v>4144</v>
      </c>
      <c r="B1063" s="174" t="s">
        <v>3613</v>
      </c>
      <c r="C1063" s="175"/>
      <c r="D1063" s="45" t="s">
        <v>31</v>
      </c>
      <c r="E1063" s="82" t="s">
        <v>4046</v>
      </c>
      <c r="F1063" s="81">
        <f>IFERROR(VLOOKUP(E1063,客户!B:C,2,FALSE),"/")</f>
        <v>0</v>
      </c>
      <c r="G1063" s="307" t="s">
        <v>4145</v>
      </c>
      <c r="H1063" s="324" t="s">
        <v>123</v>
      </c>
      <c r="I1063" s="108" t="s">
        <v>4048</v>
      </c>
      <c r="J1063" s="108">
        <v>44377</v>
      </c>
      <c r="K1063" s="100">
        <v>44427</v>
      </c>
      <c r="L1063" s="100">
        <v>44462</v>
      </c>
      <c r="M1063" s="315" t="s">
        <v>4146</v>
      </c>
      <c r="N1063" s="337" t="s">
        <v>4147</v>
      </c>
      <c r="O1063" s="266" t="s">
        <v>1283</v>
      </c>
      <c r="P1063" s="102">
        <v>20287.14</v>
      </c>
      <c r="Q1063" s="317"/>
      <c r="R1063" s="131"/>
      <c r="S1063" s="132"/>
      <c r="T1063" s="102">
        <v>20287.14</v>
      </c>
      <c r="U1063" s="100"/>
      <c r="V1063" s="102"/>
      <c r="W1063" s="45"/>
    </row>
    <row r="1064" s="40" customFormat="1" ht="22" hidden="1" customHeight="1" spans="1:23">
      <c r="A1064" s="261" t="s">
        <v>4148</v>
      </c>
      <c r="B1064" s="174" t="s">
        <v>3613</v>
      </c>
      <c r="C1064" s="175"/>
      <c r="D1064" s="45" t="s">
        <v>31</v>
      </c>
      <c r="E1064" s="82" t="s">
        <v>3876</v>
      </c>
      <c r="F1064" s="81">
        <f>IFERROR(VLOOKUP(E1064,客户!B:C,2,FALSE),"/")</f>
        <v>0</v>
      </c>
      <c r="G1064" s="307" t="s">
        <v>4091</v>
      </c>
      <c r="H1064" s="324" t="s">
        <v>123</v>
      </c>
      <c r="I1064" s="108" t="s">
        <v>3866</v>
      </c>
      <c r="J1064" s="108">
        <v>44379</v>
      </c>
      <c r="K1064" s="100">
        <v>44416</v>
      </c>
      <c r="L1064" s="100">
        <v>44447</v>
      </c>
      <c r="M1064" s="315" t="s">
        <v>4149</v>
      </c>
      <c r="N1064" s="337" t="s">
        <v>4150</v>
      </c>
      <c r="O1064" s="266" t="s">
        <v>523</v>
      </c>
      <c r="P1064" s="102">
        <v>31941</v>
      </c>
      <c r="Q1064" s="102">
        <f>55573/6.45</f>
        <v>8615.96899224806</v>
      </c>
      <c r="R1064" s="131"/>
      <c r="S1064" s="132"/>
      <c r="T1064" s="240">
        <v>150912.95</v>
      </c>
      <c r="U1064" s="100"/>
      <c r="V1064" s="102"/>
      <c r="W1064" s="45"/>
    </row>
    <row r="1065" s="40" customFormat="1" ht="22" hidden="1" customHeight="1" spans="1:23">
      <c r="A1065" s="261" t="s">
        <v>4151</v>
      </c>
      <c r="B1065" s="174" t="s">
        <v>3613</v>
      </c>
      <c r="C1065" s="175"/>
      <c r="D1065" s="45" t="s">
        <v>31</v>
      </c>
      <c r="E1065" s="82" t="s">
        <v>3939</v>
      </c>
      <c r="F1065" s="81">
        <f>IFERROR(VLOOKUP(E1065,客户!B:C,2,FALSE),"/")</f>
        <v>0</v>
      </c>
      <c r="G1065" s="307" t="s">
        <v>4087</v>
      </c>
      <c r="H1065" s="324" t="s">
        <v>186</v>
      </c>
      <c r="I1065" s="108" t="s">
        <v>3825</v>
      </c>
      <c r="J1065" s="108">
        <v>44379</v>
      </c>
      <c r="K1065" s="100">
        <v>44423</v>
      </c>
      <c r="L1065" s="100"/>
      <c r="M1065" s="315" t="s">
        <v>4152</v>
      </c>
      <c r="N1065" s="337" t="s">
        <v>1581</v>
      </c>
      <c r="O1065" s="266" t="s">
        <v>970</v>
      </c>
      <c r="P1065" s="240">
        <v>190824.75</v>
      </c>
      <c r="Q1065" s="317">
        <v>40000</v>
      </c>
      <c r="R1065" s="240"/>
      <c r="S1065" s="132"/>
      <c r="T1065" s="240">
        <v>147404.75</v>
      </c>
      <c r="U1065" s="100"/>
      <c r="V1065" s="102"/>
      <c r="W1065" s="45"/>
    </row>
    <row r="1066" s="40" customFormat="1" ht="22" hidden="1" customHeight="1" spans="1:23">
      <c r="A1066" s="261" t="s">
        <v>4153</v>
      </c>
      <c r="B1066" s="174" t="s">
        <v>3613</v>
      </c>
      <c r="C1066" s="175"/>
      <c r="D1066" s="45" t="s">
        <v>31</v>
      </c>
      <c r="E1066" s="82" t="s">
        <v>3917</v>
      </c>
      <c r="F1066" s="81">
        <f>IFERROR(VLOOKUP(E1066,客户!B:C,2,FALSE),"/")</f>
        <v>0</v>
      </c>
      <c r="G1066" s="307" t="s">
        <v>4154</v>
      </c>
      <c r="H1066" s="324" t="s">
        <v>123</v>
      </c>
      <c r="I1066" s="108" t="s">
        <v>3919</v>
      </c>
      <c r="J1066" s="108">
        <v>44382</v>
      </c>
      <c r="K1066" s="100">
        <v>44461</v>
      </c>
      <c r="L1066" s="100">
        <v>44513</v>
      </c>
      <c r="M1066" s="315" t="s">
        <v>4155</v>
      </c>
      <c r="N1066" s="337" t="s">
        <v>4156</v>
      </c>
      <c r="O1066" s="266" t="s">
        <v>523</v>
      </c>
      <c r="P1066" s="102">
        <v>55943.98</v>
      </c>
      <c r="Q1066" s="102">
        <v>16854.79</v>
      </c>
      <c r="R1066" s="131"/>
      <c r="S1066" s="132"/>
      <c r="T1066" s="102">
        <v>39089.19</v>
      </c>
      <c r="U1066" s="100"/>
      <c r="V1066" s="102"/>
      <c r="W1066" s="45"/>
    </row>
    <row r="1067" s="40" customFormat="1" ht="22" hidden="1" customHeight="1" spans="1:23">
      <c r="A1067" s="261" t="s">
        <v>4157</v>
      </c>
      <c r="B1067" s="174" t="s">
        <v>3613</v>
      </c>
      <c r="C1067" s="175"/>
      <c r="D1067" s="45" t="s">
        <v>31</v>
      </c>
      <c r="E1067" s="82" t="s">
        <v>3997</v>
      </c>
      <c r="F1067" s="81">
        <f>IFERROR(VLOOKUP(E1067,客户!B:C,2,FALSE),"/")</f>
        <v>0</v>
      </c>
      <c r="G1067" s="307" t="s">
        <v>3998</v>
      </c>
      <c r="H1067" s="324" t="s">
        <v>123</v>
      </c>
      <c r="I1067" s="108" t="s">
        <v>4158</v>
      </c>
      <c r="J1067" s="108">
        <v>44399</v>
      </c>
      <c r="K1067" s="100">
        <v>44446</v>
      </c>
      <c r="L1067" s="100">
        <v>44477</v>
      </c>
      <c r="M1067" s="315" t="s">
        <v>4159</v>
      </c>
      <c r="N1067" s="198" t="s">
        <v>4160</v>
      </c>
      <c r="O1067" s="266" t="s">
        <v>523</v>
      </c>
      <c r="P1067" s="102">
        <v>28264.25</v>
      </c>
      <c r="Q1067" s="102">
        <v>8451.38</v>
      </c>
      <c r="R1067" s="131"/>
      <c r="S1067" s="132"/>
      <c r="T1067" s="102">
        <v>19812.87</v>
      </c>
      <c r="U1067" s="100"/>
      <c r="V1067" s="102"/>
      <c r="W1067" s="45"/>
    </row>
    <row r="1068" s="40" customFormat="1" ht="22" hidden="1" customHeight="1" spans="1:23">
      <c r="A1068" s="261" t="s">
        <v>4161</v>
      </c>
      <c r="B1068" s="174" t="s">
        <v>3613</v>
      </c>
      <c r="C1068" s="175"/>
      <c r="D1068" s="45" t="s">
        <v>31</v>
      </c>
      <c r="E1068" s="82" t="s">
        <v>3927</v>
      </c>
      <c r="F1068" s="81">
        <f>IFERROR(VLOOKUP(E1068,客户!B:C,2,FALSE),"/")</f>
        <v>0</v>
      </c>
      <c r="G1068" s="307" t="s">
        <v>4091</v>
      </c>
      <c r="H1068" s="324" t="s">
        <v>123</v>
      </c>
      <c r="I1068" s="108" t="s">
        <v>3521</v>
      </c>
      <c r="J1068" s="108">
        <v>44399</v>
      </c>
      <c r="K1068" s="100">
        <v>44437</v>
      </c>
      <c r="L1068" s="100"/>
      <c r="M1068" s="315" t="s">
        <v>4162</v>
      </c>
      <c r="N1068" s="337" t="s">
        <v>3962</v>
      </c>
      <c r="O1068" s="266" t="s">
        <v>523</v>
      </c>
      <c r="P1068" s="102">
        <v>29897.3</v>
      </c>
      <c r="Q1068" s="317"/>
      <c r="R1068" s="131"/>
      <c r="S1068" s="132"/>
      <c r="T1068" s="102">
        <v>29897.3</v>
      </c>
      <c r="U1068" s="100"/>
      <c r="V1068" s="102"/>
      <c r="W1068" s="45"/>
    </row>
    <row r="1069" s="40" customFormat="1" ht="22" hidden="1" customHeight="1" spans="1:23">
      <c r="A1069" s="261" t="s">
        <v>4163</v>
      </c>
      <c r="B1069" s="174" t="s">
        <v>3613</v>
      </c>
      <c r="C1069" s="175"/>
      <c r="D1069" s="45" t="s">
        <v>31</v>
      </c>
      <c r="E1069" s="82" t="s">
        <v>3900</v>
      </c>
      <c r="F1069" s="81">
        <f>IFERROR(VLOOKUP(E1069,客户!B:C,2,FALSE),"/")</f>
        <v>0</v>
      </c>
      <c r="G1069" s="307" t="s">
        <v>4091</v>
      </c>
      <c r="H1069" s="324" t="s">
        <v>147</v>
      </c>
      <c r="I1069" s="108" t="s">
        <v>4041</v>
      </c>
      <c r="J1069" s="108">
        <v>44413</v>
      </c>
      <c r="K1069" s="100">
        <v>44444</v>
      </c>
      <c r="L1069" s="100">
        <v>44459</v>
      </c>
      <c r="M1069" s="315" t="s">
        <v>4164</v>
      </c>
      <c r="N1069" s="337" t="s">
        <v>4165</v>
      </c>
      <c r="O1069" s="266" t="s">
        <v>970</v>
      </c>
      <c r="P1069" s="102">
        <v>33557.2</v>
      </c>
      <c r="Q1069" s="102">
        <f>50000/6.45</f>
        <v>7751.93798449612</v>
      </c>
      <c r="R1069" s="131"/>
      <c r="S1069" s="132"/>
      <c r="T1069" s="102">
        <v>15108</v>
      </c>
      <c r="U1069" s="102">
        <f>P1069-Q1069-T1069</f>
        <v>10697.2620155039</v>
      </c>
      <c r="V1069" s="246" t="s">
        <v>4166</v>
      </c>
      <c r="W1069" s="45"/>
    </row>
    <row r="1070" s="40" customFormat="1" ht="22" hidden="1" customHeight="1" spans="1:23">
      <c r="A1070" s="261" t="s">
        <v>4167</v>
      </c>
      <c r="B1070" s="174" t="s">
        <v>3613</v>
      </c>
      <c r="C1070" s="175"/>
      <c r="D1070" s="45" t="s">
        <v>31</v>
      </c>
      <c r="E1070" s="82" t="s">
        <v>4168</v>
      </c>
      <c r="F1070" s="81">
        <f>IFERROR(VLOOKUP(E1070,客户!B:C,2,FALSE),"/")</f>
        <v>0</v>
      </c>
      <c r="G1070" s="307" t="s">
        <v>4091</v>
      </c>
      <c r="H1070" s="324" t="s">
        <v>123</v>
      </c>
      <c r="I1070" s="108" t="s">
        <v>3851</v>
      </c>
      <c r="J1070" s="108">
        <v>44424</v>
      </c>
      <c r="K1070" s="100">
        <v>44472</v>
      </c>
      <c r="L1070" s="100">
        <v>44523</v>
      </c>
      <c r="M1070" s="315" t="s">
        <v>4169</v>
      </c>
      <c r="N1070" s="329" t="s">
        <v>4170</v>
      </c>
      <c r="O1070" s="266" t="s">
        <v>523</v>
      </c>
      <c r="P1070" s="169">
        <v>46309.9</v>
      </c>
      <c r="Q1070" s="102">
        <v>7000</v>
      </c>
      <c r="R1070" s="131"/>
      <c r="S1070" s="132"/>
      <c r="T1070" s="102">
        <v>27500</v>
      </c>
      <c r="U1070" s="102">
        <v>11809.9</v>
      </c>
      <c r="V1070" s="102"/>
      <c r="W1070" s="45"/>
    </row>
    <row r="1071" s="40" customFormat="1" ht="22" hidden="1" customHeight="1" spans="1:23">
      <c r="A1071" s="261" t="s">
        <v>4171</v>
      </c>
      <c r="B1071" s="174" t="s">
        <v>3613</v>
      </c>
      <c r="C1071" s="175"/>
      <c r="D1071" s="45" t="s">
        <v>31</v>
      </c>
      <c r="E1071" s="82"/>
      <c r="F1071" s="81" t="str">
        <f>IFERROR(VLOOKUP(E1071,客户!B:C,2,FALSE),"/")</f>
        <v>/</v>
      </c>
      <c r="G1071" s="307"/>
      <c r="H1071" s="324" t="s">
        <v>186</v>
      </c>
      <c r="I1071" s="108"/>
      <c r="J1071" s="108">
        <v>44426</v>
      </c>
      <c r="K1071" s="100">
        <v>44428</v>
      </c>
      <c r="L1071" s="100"/>
      <c r="M1071" s="315" t="s">
        <v>4172</v>
      </c>
      <c r="N1071" s="337"/>
      <c r="O1071" s="266" t="s">
        <v>970</v>
      </c>
      <c r="P1071" s="240">
        <v>9611.25</v>
      </c>
      <c r="Q1071" s="102"/>
      <c r="R1071" s="131"/>
      <c r="S1071" s="132"/>
      <c r="T1071" s="240">
        <v>9611.25</v>
      </c>
      <c r="U1071" s="100"/>
      <c r="V1071" s="102"/>
      <c r="W1071" s="45"/>
    </row>
    <row r="1072" s="40" customFormat="1" ht="22" hidden="1" customHeight="1" spans="1:23">
      <c r="A1072" s="261" t="s">
        <v>4173</v>
      </c>
      <c r="B1072" s="174" t="s">
        <v>3613</v>
      </c>
      <c r="C1072" s="175"/>
      <c r="D1072" s="45" t="s">
        <v>31</v>
      </c>
      <c r="E1072" s="82" t="s">
        <v>3927</v>
      </c>
      <c r="F1072" s="81">
        <f>IFERROR(VLOOKUP(E1072,客户!B:C,2,FALSE),"/")</f>
        <v>0</v>
      </c>
      <c r="G1072" s="307" t="s">
        <v>4091</v>
      </c>
      <c r="H1072" s="324" t="s">
        <v>123</v>
      </c>
      <c r="I1072" s="108" t="s">
        <v>3521</v>
      </c>
      <c r="J1072" s="108">
        <v>44428</v>
      </c>
      <c r="K1072" s="100">
        <v>44459</v>
      </c>
      <c r="L1072" s="100"/>
      <c r="M1072" s="315" t="s">
        <v>4174</v>
      </c>
      <c r="N1072" s="337" t="s">
        <v>4175</v>
      </c>
      <c r="O1072" s="266" t="s">
        <v>970</v>
      </c>
      <c r="P1072" s="102">
        <v>29157</v>
      </c>
      <c r="Q1072" s="317"/>
      <c r="R1072" s="131"/>
      <c r="S1072" s="132"/>
      <c r="T1072" s="102">
        <v>29157</v>
      </c>
      <c r="U1072" s="100"/>
      <c r="V1072" s="102"/>
      <c r="W1072" s="45"/>
    </row>
    <row r="1073" s="40" customFormat="1" ht="22" hidden="1" customHeight="1" spans="1:23">
      <c r="A1073" s="261" t="s">
        <v>4176</v>
      </c>
      <c r="B1073" s="174" t="s">
        <v>3613</v>
      </c>
      <c r="C1073" s="175"/>
      <c r="D1073" s="45" t="s">
        <v>31</v>
      </c>
      <c r="E1073" s="82" t="s">
        <v>3927</v>
      </c>
      <c r="F1073" s="81">
        <f>IFERROR(VLOOKUP(E1073,客户!B:C,2,FALSE),"/")</f>
        <v>0</v>
      </c>
      <c r="G1073" s="307" t="s">
        <v>4177</v>
      </c>
      <c r="H1073" s="324" t="s">
        <v>123</v>
      </c>
      <c r="I1073" s="108" t="s">
        <v>3521</v>
      </c>
      <c r="J1073" s="108">
        <v>44433</v>
      </c>
      <c r="K1073" s="100">
        <v>44480</v>
      </c>
      <c r="L1073" s="100"/>
      <c r="M1073" s="315" t="s">
        <v>4178</v>
      </c>
      <c r="N1073" s="337" t="s">
        <v>3962</v>
      </c>
      <c r="O1073" s="266" t="s">
        <v>970</v>
      </c>
      <c r="P1073" s="102">
        <f>53547-930</f>
        <v>52617</v>
      </c>
      <c r="Q1073" s="317"/>
      <c r="R1073" s="131"/>
      <c r="S1073" s="132"/>
      <c r="T1073" s="102">
        <v>57996.5</v>
      </c>
      <c r="U1073" s="100"/>
      <c r="V1073" s="246" t="s">
        <v>4179</v>
      </c>
      <c r="W1073" s="45"/>
    </row>
    <row r="1074" s="40" customFormat="1" ht="22" hidden="1" customHeight="1" spans="1:23">
      <c r="A1074" s="261" t="s">
        <v>4180</v>
      </c>
      <c r="B1074" s="174" t="s">
        <v>3613</v>
      </c>
      <c r="C1074" s="175"/>
      <c r="D1074" s="45" t="s">
        <v>31</v>
      </c>
      <c r="E1074" s="82" t="s">
        <v>3927</v>
      </c>
      <c r="F1074" s="81"/>
      <c r="G1074" s="307" t="s">
        <v>4181</v>
      </c>
      <c r="H1074" s="324" t="s">
        <v>123</v>
      </c>
      <c r="I1074" s="108" t="s">
        <v>3521</v>
      </c>
      <c r="J1074" s="108">
        <v>44446</v>
      </c>
      <c r="K1074" s="100">
        <v>44480</v>
      </c>
      <c r="L1074" s="100"/>
      <c r="M1074" s="315" t="s">
        <v>4182</v>
      </c>
      <c r="N1074" s="337"/>
      <c r="O1074" s="266" t="s">
        <v>970</v>
      </c>
      <c r="P1074" s="102">
        <v>5379.5</v>
      </c>
      <c r="Q1074" s="317"/>
      <c r="R1074" s="131"/>
      <c r="S1074" s="132"/>
      <c r="T1074" s="240"/>
      <c r="U1074" s="100"/>
      <c r="V1074" s="246" t="s">
        <v>4183</v>
      </c>
      <c r="W1074" s="45"/>
    </row>
    <row r="1075" s="40" customFormat="1" ht="22" hidden="1" customHeight="1" spans="1:23">
      <c r="A1075" s="261" t="s">
        <v>4184</v>
      </c>
      <c r="B1075" s="174" t="s">
        <v>3613</v>
      </c>
      <c r="C1075" s="175"/>
      <c r="D1075" s="45" t="s">
        <v>31</v>
      </c>
      <c r="E1075" s="82" t="s">
        <v>4185</v>
      </c>
      <c r="F1075" s="81">
        <f>IFERROR(VLOOKUP(E1075,客户!B:C,2,FALSE),"/")</f>
        <v>0</v>
      </c>
      <c r="G1075" s="307" t="s">
        <v>4186</v>
      </c>
      <c r="H1075" s="324" t="s">
        <v>186</v>
      </c>
      <c r="I1075" s="108"/>
      <c r="J1075" s="108">
        <v>44438</v>
      </c>
      <c r="K1075" s="100">
        <v>44473</v>
      </c>
      <c r="L1075" s="100"/>
      <c r="M1075" s="315" t="s">
        <v>4187</v>
      </c>
      <c r="N1075" s="337" t="s">
        <v>4188</v>
      </c>
      <c r="O1075" s="266" t="s">
        <v>970</v>
      </c>
      <c r="P1075" s="240">
        <v>396764</v>
      </c>
      <c r="Q1075" s="317">
        <v>119000</v>
      </c>
      <c r="R1075" s="131"/>
      <c r="S1075" s="132"/>
      <c r="T1075" s="240"/>
      <c r="U1075" s="240">
        <v>277764</v>
      </c>
      <c r="V1075" s="102"/>
      <c r="W1075" s="45"/>
    </row>
    <row r="1076" s="40" customFormat="1" ht="22" hidden="1" customHeight="1" spans="1:23">
      <c r="A1076" s="261" t="s">
        <v>4189</v>
      </c>
      <c r="B1076" s="174" t="s">
        <v>3613</v>
      </c>
      <c r="C1076" s="175"/>
      <c r="D1076" s="45" t="s">
        <v>31</v>
      </c>
      <c r="E1076" s="82" t="s">
        <v>3939</v>
      </c>
      <c r="F1076" s="81">
        <f>IFERROR(VLOOKUP(E1076,客户!B:C,2,FALSE),"/")</f>
        <v>0</v>
      </c>
      <c r="G1076" s="307" t="s">
        <v>4004</v>
      </c>
      <c r="H1076" s="324" t="s">
        <v>186</v>
      </c>
      <c r="I1076" s="108" t="s">
        <v>3825</v>
      </c>
      <c r="J1076" s="108">
        <v>44440</v>
      </c>
      <c r="K1076" s="100">
        <v>44462</v>
      </c>
      <c r="L1076" s="100"/>
      <c r="M1076" s="315" t="s">
        <v>4190</v>
      </c>
      <c r="N1076" s="337"/>
      <c r="O1076" s="266" t="s">
        <v>970</v>
      </c>
      <c r="P1076" s="240">
        <v>8988</v>
      </c>
      <c r="Q1076" s="317">
        <v>2700</v>
      </c>
      <c r="R1076" s="131"/>
      <c r="S1076" s="132"/>
      <c r="T1076" s="240">
        <v>6288</v>
      </c>
      <c r="U1076" s="100"/>
      <c r="V1076" s="102"/>
      <c r="W1076" s="45"/>
    </row>
    <row r="1077" s="40" customFormat="1" ht="22" hidden="1" customHeight="1" spans="1:23">
      <c r="A1077" s="261" t="s">
        <v>4191</v>
      </c>
      <c r="B1077" s="174" t="s">
        <v>3613</v>
      </c>
      <c r="C1077" s="175"/>
      <c r="D1077" s="45" t="s">
        <v>31</v>
      </c>
      <c r="E1077" s="82" t="s">
        <v>3900</v>
      </c>
      <c r="F1077" s="81">
        <f>IFERROR(VLOOKUP(E1077,客户!B:C,2,FALSE),"/")</f>
        <v>0</v>
      </c>
      <c r="G1077" s="307" t="s">
        <v>4091</v>
      </c>
      <c r="H1077" s="324" t="s">
        <v>147</v>
      </c>
      <c r="I1077" s="108" t="s">
        <v>4041</v>
      </c>
      <c r="J1077" s="108">
        <v>44441</v>
      </c>
      <c r="K1077" s="100">
        <v>44500</v>
      </c>
      <c r="L1077" s="100">
        <v>44515</v>
      </c>
      <c r="M1077" s="315" t="s">
        <v>4192</v>
      </c>
      <c r="N1077" s="337" t="s">
        <v>4193</v>
      </c>
      <c r="O1077" s="266" t="s">
        <v>970</v>
      </c>
      <c r="P1077" s="102">
        <v>33066.5</v>
      </c>
      <c r="Q1077" s="102">
        <v>10000</v>
      </c>
      <c r="R1077" s="131"/>
      <c r="S1077" s="132"/>
      <c r="T1077" s="102">
        <f>P1077-Q1077</f>
        <v>23066.5</v>
      </c>
      <c r="U1077" s="100"/>
      <c r="V1077" s="102" t="s">
        <v>4194</v>
      </c>
      <c r="W1077" s="45"/>
    </row>
    <row r="1078" s="40" customFormat="1" ht="22" hidden="1" customHeight="1" spans="1:23">
      <c r="A1078" s="261" t="s">
        <v>4195</v>
      </c>
      <c r="B1078" s="174" t="s">
        <v>3613</v>
      </c>
      <c r="C1078" s="175"/>
      <c r="D1078" s="45" t="s">
        <v>31</v>
      </c>
      <c r="E1078" s="82" t="s">
        <v>3900</v>
      </c>
      <c r="F1078" s="81">
        <f>IFERROR(VLOOKUP(E1078,客户!B:C,2,FALSE),"/")</f>
        <v>0</v>
      </c>
      <c r="G1078" s="307" t="s">
        <v>4091</v>
      </c>
      <c r="H1078" s="324" t="s">
        <v>147</v>
      </c>
      <c r="I1078" s="108" t="s">
        <v>4041</v>
      </c>
      <c r="J1078" s="108">
        <v>44445</v>
      </c>
      <c r="K1078" s="100">
        <v>44528</v>
      </c>
      <c r="L1078" s="100">
        <v>44544</v>
      </c>
      <c r="M1078" s="315" t="s">
        <v>4196</v>
      </c>
      <c r="N1078" s="337" t="s">
        <v>4197</v>
      </c>
      <c r="O1078" s="266" t="s">
        <v>970</v>
      </c>
      <c r="P1078" s="102">
        <v>34358.44</v>
      </c>
      <c r="Q1078" s="102">
        <v>10000</v>
      </c>
      <c r="R1078" s="131"/>
      <c r="S1078" s="132"/>
      <c r="T1078" s="102">
        <v>35055</v>
      </c>
      <c r="U1078" s="100"/>
      <c r="V1078" s="246" t="s">
        <v>4198</v>
      </c>
      <c r="W1078" s="45"/>
    </row>
    <row r="1079" s="40" customFormat="1" ht="22" hidden="1" customHeight="1" spans="1:23">
      <c r="A1079" s="261" t="s">
        <v>4199</v>
      </c>
      <c r="B1079" s="174" t="s">
        <v>3613</v>
      </c>
      <c r="C1079" s="175"/>
      <c r="D1079" s="45" t="s">
        <v>31</v>
      </c>
      <c r="E1079" s="82" t="s">
        <v>4200</v>
      </c>
      <c r="F1079" s="81">
        <f>IFERROR(VLOOKUP(E1079,客户!B:C,2,FALSE),"/")</f>
        <v>0</v>
      </c>
      <c r="G1079" s="307" t="s">
        <v>4201</v>
      </c>
      <c r="H1079" s="324" t="s">
        <v>186</v>
      </c>
      <c r="I1079" s="108"/>
      <c r="J1079" s="108">
        <v>44446</v>
      </c>
      <c r="K1079" s="100">
        <v>44483</v>
      </c>
      <c r="L1079" s="100"/>
      <c r="M1079" s="315" t="s">
        <v>4202</v>
      </c>
      <c r="N1079" s="337"/>
      <c r="O1079" s="266" t="s">
        <v>970</v>
      </c>
      <c r="P1079" s="240">
        <v>92173.2</v>
      </c>
      <c r="Q1079" s="317">
        <v>26000</v>
      </c>
      <c r="R1079" s="131"/>
      <c r="S1079" s="132"/>
      <c r="T1079" s="240">
        <v>66173</v>
      </c>
      <c r="U1079" s="100"/>
      <c r="V1079" s="102"/>
      <c r="W1079" s="45"/>
    </row>
    <row r="1080" s="40" customFormat="1" ht="22" hidden="1" customHeight="1" spans="1:23">
      <c r="A1080" s="261" t="s">
        <v>4203</v>
      </c>
      <c r="B1080" s="174" t="s">
        <v>3613</v>
      </c>
      <c r="C1080" s="175"/>
      <c r="D1080" s="45" t="s">
        <v>31</v>
      </c>
      <c r="E1080" s="82" t="s">
        <v>3927</v>
      </c>
      <c r="F1080" s="81">
        <f>IFERROR(VLOOKUP(E1080,客户!B:C,2,FALSE),"/")</f>
        <v>0</v>
      </c>
      <c r="G1080" s="307" t="s">
        <v>4204</v>
      </c>
      <c r="H1080" s="324" t="s">
        <v>123</v>
      </c>
      <c r="I1080" s="108" t="s">
        <v>3521</v>
      </c>
      <c r="J1080" s="108">
        <v>44448</v>
      </c>
      <c r="K1080" s="100">
        <v>44498</v>
      </c>
      <c r="L1080" s="100"/>
      <c r="M1080" s="315" t="s">
        <v>4205</v>
      </c>
      <c r="N1080" s="337" t="s">
        <v>4206</v>
      </c>
      <c r="O1080" s="266" t="s">
        <v>970</v>
      </c>
      <c r="P1080" s="102">
        <v>26865</v>
      </c>
      <c r="Q1080" s="102"/>
      <c r="R1080" s="131"/>
      <c r="S1080" s="132"/>
      <c r="T1080" s="102">
        <v>26865</v>
      </c>
      <c r="U1080" s="100"/>
      <c r="V1080" s="102"/>
      <c r="W1080" s="45"/>
    </row>
    <row r="1081" s="40" customFormat="1" ht="22" hidden="1" customHeight="1" spans="1:23">
      <c r="A1081" s="261" t="s">
        <v>4207</v>
      </c>
      <c r="B1081" s="174" t="s">
        <v>3613</v>
      </c>
      <c r="C1081" s="175"/>
      <c r="D1081" s="45" t="s">
        <v>31</v>
      </c>
      <c r="E1081" s="82" t="s">
        <v>3927</v>
      </c>
      <c r="F1081" s="81">
        <f>IFERROR(VLOOKUP(E1081,客户!B:C,2,FALSE),"/")</f>
        <v>0</v>
      </c>
      <c r="G1081" s="307" t="s">
        <v>4186</v>
      </c>
      <c r="H1081" s="324" t="s">
        <v>123</v>
      </c>
      <c r="I1081" s="108" t="s">
        <v>3521</v>
      </c>
      <c r="J1081" s="108">
        <v>44448</v>
      </c>
      <c r="K1081" s="100">
        <v>44519</v>
      </c>
      <c r="L1081" s="100"/>
      <c r="M1081" s="315" t="s">
        <v>4208</v>
      </c>
      <c r="N1081" s="337" t="s">
        <v>4209</v>
      </c>
      <c r="O1081" s="266" t="s">
        <v>970</v>
      </c>
      <c r="P1081" s="102">
        <v>55867</v>
      </c>
      <c r="Q1081" s="102"/>
      <c r="R1081" s="131"/>
      <c r="S1081" s="132"/>
      <c r="T1081" s="102">
        <v>55867</v>
      </c>
      <c r="U1081" s="100"/>
      <c r="V1081" s="246" t="s">
        <v>4210</v>
      </c>
      <c r="W1081" s="45"/>
    </row>
    <row r="1082" s="40" customFormat="1" ht="22" hidden="1" customHeight="1" spans="1:23">
      <c r="A1082" s="261" t="s">
        <v>4211</v>
      </c>
      <c r="B1082" s="174" t="s">
        <v>3613</v>
      </c>
      <c r="C1082" s="175"/>
      <c r="D1082" s="45" t="s">
        <v>31</v>
      </c>
      <c r="E1082" s="82" t="s">
        <v>3917</v>
      </c>
      <c r="F1082" s="81">
        <f>IFERROR(VLOOKUP(E1082,客户!B:C,2,FALSE),"/")</f>
        <v>0</v>
      </c>
      <c r="G1082" s="307" t="s">
        <v>4212</v>
      </c>
      <c r="H1082" s="324" t="s">
        <v>123</v>
      </c>
      <c r="I1082" s="108" t="s">
        <v>3919</v>
      </c>
      <c r="J1082" s="108">
        <v>44488</v>
      </c>
      <c r="K1082" s="100">
        <v>44570</v>
      </c>
      <c r="L1082" s="100">
        <v>44629</v>
      </c>
      <c r="M1082" s="315" t="s">
        <v>4213</v>
      </c>
      <c r="N1082" s="329" t="s">
        <v>4214</v>
      </c>
      <c r="O1082" s="266" t="s">
        <v>523</v>
      </c>
      <c r="P1082" s="102">
        <v>94086.97</v>
      </c>
      <c r="Q1082" s="102">
        <f>990.09+16475</f>
        <v>17465.09</v>
      </c>
      <c r="R1082" s="131"/>
      <c r="S1082" s="132"/>
      <c r="T1082" s="102">
        <f>25540.63+25540.63+25540.63</f>
        <v>76621.89</v>
      </c>
      <c r="U1082" s="100"/>
      <c r="V1082" s="102"/>
      <c r="W1082" s="45"/>
    </row>
    <row r="1083" s="40" customFormat="1" ht="22" hidden="1" customHeight="1" spans="1:23">
      <c r="A1083" s="261" t="s">
        <v>4215</v>
      </c>
      <c r="B1083" s="174" t="s">
        <v>3613</v>
      </c>
      <c r="C1083" s="175"/>
      <c r="D1083" s="45" t="s">
        <v>31</v>
      </c>
      <c r="E1083" s="82" t="s">
        <v>3900</v>
      </c>
      <c r="F1083" s="81">
        <f>IFERROR(VLOOKUP(E1083,客户!B:C,2,FALSE),"/")</f>
        <v>0</v>
      </c>
      <c r="G1083" s="307" t="s">
        <v>4091</v>
      </c>
      <c r="H1083" s="324" t="s">
        <v>147</v>
      </c>
      <c r="I1083" s="108" t="s">
        <v>4041</v>
      </c>
      <c r="J1083" s="108">
        <v>44488</v>
      </c>
      <c r="K1083" s="200">
        <v>44560</v>
      </c>
      <c r="L1083" s="100">
        <v>44578</v>
      </c>
      <c r="M1083" s="315" t="s">
        <v>4216</v>
      </c>
      <c r="N1083" s="329" t="s">
        <v>1746</v>
      </c>
      <c r="O1083" s="266" t="s">
        <v>970</v>
      </c>
      <c r="P1083" s="113">
        <v>36064.6</v>
      </c>
      <c r="Q1083" s="102">
        <v>10000</v>
      </c>
      <c r="R1083" s="131"/>
      <c r="S1083" s="132"/>
      <c r="T1083" s="102">
        <v>36423</v>
      </c>
      <c r="U1083" s="100"/>
      <c r="V1083" s="246" t="s">
        <v>4217</v>
      </c>
      <c r="W1083" s="45"/>
    </row>
    <row r="1084" s="40" customFormat="1" ht="22" hidden="1" customHeight="1" spans="1:23">
      <c r="A1084" s="261" t="s">
        <v>4218</v>
      </c>
      <c r="B1084" s="174" t="s">
        <v>3613</v>
      </c>
      <c r="C1084" s="175"/>
      <c r="D1084" s="45" t="s">
        <v>31</v>
      </c>
      <c r="E1084" s="82" t="s">
        <v>4219</v>
      </c>
      <c r="F1084" s="81">
        <f>IFERROR(VLOOKUP(E1084,客户!B:C,2,FALSE),"/")</f>
        <v>0</v>
      </c>
      <c r="G1084" s="307" t="s">
        <v>4220</v>
      </c>
      <c r="H1084" s="324" t="s">
        <v>123</v>
      </c>
      <c r="I1084" s="108" t="s">
        <v>4221</v>
      </c>
      <c r="J1084" s="108">
        <v>44491</v>
      </c>
      <c r="K1084" s="100">
        <v>44567</v>
      </c>
      <c r="L1084" s="100">
        <v>44624</v>
      </c>
      <c r="M1084" s="315" t="s">
        <v>4222</v>
      </c>
      <c r="N1084" s="329" t="s">
        <v>4223</v>
      </c>
      <c r="O1084" s="266" t="s">
        <v>970</v>
      </c>
      <c r="P1084" s="102">
        <v>38762.9</v>
      </c>
      <c r="Q1084" s="102">
        <v>9749.58</v>
      </c>
      <c r="R1084" s="131"/>
      <c r="S1084" s="132"/>
      <c r="T1084" s="102">
        <v>29013.32</v>
      </c>
      <c r="U1084" s="100"/>
      <c r="V1084" s="102" t="s">
        <v>4224</v>
      </c>
      <c r="W1084" s="45"/>
    </row>
    <row r="1085" s="40" customFormat="1" ht="22" hidden="1" customHeight="1" spans="1:23">
      <c r="A1085" s="261" t="s">
        <v>4225</v>
      </c>
      <c r="B1085" s="174" t="s">
        <v>3613</v>
      </c>
      <c r="C1085" s="175"/>
      <c r="D1085" s="45" t="s">
        <v>31</v>
      </c>
      <c r="E1085" s="82" t="s">
        <v>3900</v>
      </c>
      <c r="F1085" s="81">
        <f>IFERROR(VLOOKUP(E1085,客户!B:C,2,FALSE),"/")</f>
        <v>0</v>
      </c>
      <c r="G1085" s="307" t="s">
        <v>4091</v>
      </c>
      <c r="H1085" s="324" t="s">
        <v>147</v>
      </c>
      <c r="I1085" s="108" t="s">
        <v>4041</v>
      </c>
      <c r="J1085" s="108">
        <v>44491</v>
      </c>
      <c r="K1085" s="200">
        <v>44560</v>
      </c>
      <c r="L1085" s="100">
        <v>44578</v>
      </c>
      <c r="M1085" s="315" t="s">
        <v>4226</v>
      </c>
      <c r="N1085" s="329" t="s">
        <v>1746</v>
      </c>
      <c r="O1085" s="266" t="s">
        <v>970</v>
      </c>
      <c r="P1085" s="102">
        <v>35858.2</v>
      </c>
      <c r="Q1085" s="102"/>
      <c r="R1085" s="131"/>
      <c r="S1085" s="132"/>
      <c r="T1085" s="102">
        <v>35858.2</v>
      </c>
      <c r="U1085" s="100"/>
      <c r="V1085" s="102" t="s">
        <v>4227</v>
      </c>
      <c r="W1085" s="45"/>
    </row>
    <row r="1086" s="40" customFormat="1" ht="22" hidden="1" customHeight="1" spans="1:23">
      <c r="A1086" s="260" t="s">
        <v>4228</v>
      </c>
      <c r="B1086" s="174" t="s">
        <v>3613</v>
      </c>
      <c r="C1086" s="175"/>
      <c r="D1086" s="45" t="s">
        <v>31</v>
      </c>
      <c r="E1086" s="82" t="s">
        <v>4126</v>
      </c>
      <c r="F1086" s="81">
        <f>IFERROR(VLOOKUP(E1086,客户!B:C,2,FALSE),"/")</f>
        <v>0</v>
      </c>
      <c r="G1086" s="307" t="s">
        <v>4091</v>
      </c>
      <c r="H1086" s="324" t="s">
        <v>123</v>
      </c>
      <c r="I1086" s="108" t="s">
        <v>3715</v>
      </c>
      <c r="J1086" s="108">
        <v>44497</v>
      </c>
      <c r="K1086" s="100">
        <v>44597</v>
      </c>
      <c r="L1086" s="100">
        <v>44632</v>
      </c>
      <c r="M1086" s="315" t="s">
        <v>4229</v>
      </c>
      <c r="N1086" s="329" t="s">
        <v>4230</v>
      </c>
      <c r="O1086" s="266" t="s">
        <v>523</v>
      </c>
      <c r="P1086" s="102">
        <v>30059.7</v>
      </c>
      <c r="Q1086" s="102">
        <v>8646.48</v>
      </c>
      <c r="R1086" s="131"/>
      <c r="S1086" s="132"/>
      <c r="T1086" s="102">
        <v>20175.12</v>
      </c>
      <c r="U1086" s="102">
        <v>1238.1</v>
      </c>
      <c r="V1086" s="102"/>
      <c r="W1086" s="45"/>
    </row>
    <row r="1087" s="40" customFormat="1" ht="22" hidden="1" customHeight="1" spans="1:23">
      <c r="A1087" s="261" t="s">
        <v>4231</v>
      </c>
      <c r="B1087" s="174" t="s">
        <v>3613</v>
      </c>
      <c r="C1087" s="175"/>
      <c r="D1087" s="45" t="s">
        <v>31</v>
      </c>
      <c r="E1087" s="82" t="s">
        <v>3927</v>
      </c>
      <c r="F1087" s="81">
        <f>IFERROR(VLOOKUP(E1087,客户!B:C,2,FALSE),"/")</f>
        <v>0</v>
      </c>
      <c r="G1087" s="307" t="s">
        <v>3993</v>
      </c>
      <c r="H1087" s="324" t="s">
        <v>123</v>
      </c>
      <c r="I1087" s="108" t="s">
        <v>3521</v>
      </c>
      <c r="J1087" s="108">
        <v>44511</v>
      </c>
      <c r="K1087" s="100">
        <v>44551</v>
      </c>
      <c r="L1087" s="100"/>
      <c r="M1087" s="315" t="s">
        <v>4232</v>
      </c>
      <c r="N1087" s="337" t="s">
        <v>4233</v>
      </c>
      <c r="O1087" s="266" t="s">
        <v>970</v>
      </c>
      <c r="P1087" s="102">
        <v>56140</v>
      </c>
      <c r="R1087" s="131"/>
      <c r="S1087" s="132"/>
      <c r="T1087" s="102">
        <v>56140</v>
      </c>
      <c r="U1087" s="100"/>
      <c r="V1087" s="246" t="s">
        <v>4234</v>
      </c>
      <c r="W1087" s="45"/>
    </row>
    <row r="1088" s="40" customFormat="1" ht="22" hidden="1" customHeight="1" spans="1:23">
      <c r="A1088" s="261" t="s">
        <v>4235</v>
      </c>
      <c r="B1088" s="174" t="s">
        <v>3613</v>
      </c>
      <c r="C1088" s="175"/>
      <c r="D1088" s="45" t="s">
        <v>31</v>
      </c>
      <c r="E1088" s="82" t="s">
        <v>3927</v>
      </c>
      <c r="F1088" s="81"/>
      <c r="G1088" s="307" t="s">
        <v>4236</v>
      </c>
      <c r="H1088" s="324" t="s">
        <v>123</v>
      </c>
      <c r="I1088" s="108" t="s">
        <v>3521</v>
      </c>
      <c r="J1088" s="108">
        <v>44511</v>
      </c>
      <c r="K1088" s="100">
        <v>44575</v>
      </c>
      <c r="L1088" s="100">
        <v>44623</v>
      </c>
      <c r="M1088" s="315" t="s">
        <v>4237</v>
      </c>
      <c r="N1088" s="329" t="s">
        <v>4238</v>
      </c>
      <c r="O1088" s="266" t="s">
        <v>970</v>
      </c>
      <c r="P1088" s="102">
        <v>26867</v>
      </c>
      <c r="Q1088" s="102">
        <v>16678</v>
      </c>
      <c r="R1088" s="131"/>
      <c r="S1088" s="132"/>
      <c r="T1088" s="102">
        <f>7386+925+42</f>
        <v>8353</v>
      </c>
      <c r="U1088" s="102">
        <v>1836</v>
      </c>
      <c r="V1088" s="102"/>
      <c r="W1088" s="45"/>
    </row>
    <row r="1089" s="40" customFormat="1" ht="22" hidden="1" customHeight="1" spans="1:23">
      <c r="A1089" s="261" t="s">
        <v>4239</v>
      </c>
      <c r="B1089" s="174" t="s">
        <v>3613</v>
      </c>
      <c r="C1089" s="175"/>
      <c r="D1089" s="45" t="s">
        <v>31</v>
      </c>
      <c r="E1089" s="82" t="s">
        <v>4200</v>
      </c>
      <c r="F1089" s="81">
        <f>IFERROR(VLOOKUP(E1089,客户!B:C,2,FALSE),"/")</f>
        <v>0</v>
      </c>
      <c r="G1089" s="307" t="s">
        <v>4201</v>
      </c>
      <c r="H1089" s="324" t="s">
        <v>186</v>
      </c>
      <c r="I1089" s="108"/>
      <c r="J1089" s="108">
        <v>44525</v>
      </c>
      <c r="K1089" s="100">
        <v>44568</v>
      </c>
      <c r="L1089" s="100"/>
      <c r="M1089" s="315" t="s">
        <v>4240</v>
      </c>
      <c r="N1089" s="337"/>
      <c r="O1089" s="266" t="s">
        <v>970</v>
      </c>
      <c r="P1089" s="240">
        <v>64481</v>
      </c>
      <c r="Q1089" s="240">
        <v>19000</v>
      </c>
      <c r="R1089" s="131"/>
      <c r="S1089" s="132"/>
      <c r="T1089" s="240">
        <v>45481</v>
      </c>
      <c r="U1089" s="100"/>
      <c r="V1089" s="102"/>
      <c r="W1089" s="45"/>
    </row>
    <row r="1090" s="40" customFormat="1" ht="22" hidden="1" customHeight="1" spans="1:23">
      <c r="A1090" s="261" t="s">
        <v>4241</v>
      </c>
      <c r="B1090" s="174" t="s">
        <v>3613</v>
      </c>
      <c r="C1090" s="175"/>
      <c r="D1090" s="45" t="s">
        <v>31</v>
      </c>
      <c r="E1090" s="82" t="s">
        <v>3900</v>
      </c>
      <c r="F1090" s="81">
        <f>IFERROR(VLOOKUP(E1090,客户!B:C,2,FALSE),"/")</f>
        <v>0</v>
      </c>
      <c r="G1090" s="307" t="s">
        <v>4091</v>
      </c>
      <c r="H1090" s="324" t="s">
        <v>147</v>
      </c>
      <c r="I1090" s="108" t="s">
        <v>4041</v>
      </c>
      <c r="J1090" s="108">
        <v>44529</v>
      </c>
      <c r="K1090" s="100">
        <v>44567</v>
      </c>
      <c r="L1090" s="100">
        <v>44586</v>
      </c>
      <c r="M1090" s="315" t="s">
        <v>4242</v>
      </c>
      <c r="N1090" s="329" t="s">
        <v>4243</v>
      </c>
      <c r="O1090" s="266" t="s">
        <v>970</v>
      </c>
      <c r="P1090" s="102">
        <v>33442.2</v>
      </c>
      <c r="Q1090" s="240"/>
      <c r="R1090" s="131"/>
      <c r="S1090" s="132"/>
      <c r="T1090" s="102">
        <f>150000/6.32</f>
        <v>23734.1772151899</v>
      </c>
      <c r="U1090" s="102">
        <v>13164</v>
      </c>
      <c r="V1090" s="102"/>
      <c r="W1090" s="45"/>
    </row>
    <row r="1091" s="40" customFormat="1" ht="22" hidden="1" customHeight="1" spans="1:23">
      <c r="A1091" s="261" t="s">
        <v>4244</v>
      </c>
      <c r="B1091" s="174" t="s">
        <v>3613</v>
      </c>
      <c r="C1091" s="175"/>
      <c r="D1091" s="45" t="s">
        <v>31</v>
      </c>
      <c r="E1091" s="82" t="s">
        <v>3900</v>
      </c>
      <c r="F1091" s="81">
        <f>IFERROR(VLOOKUP(E1091,客户!B:C,2,FALSE),"/")</f>
        <v>0</v>
      </c>
      <c r="G1091" s="307" t="s">
        <v>4091</v>
      </c>
      <c r="H1091" s="324" t="s">
        <v>147</v>
      </c>
      <c r="I1091" s="108" t="s">
        <v>4041</v>
      </c>
      <c r="J1091" s="108">
        <v>44529</v>
      </c>
      <c r="K1091" s="100">
        <v>44596</v>
      </c>
      <c r="L1091" s="100">
        <v>44613</v>
      </c>
      <c r="M1091" s="315" t="s">
        <v>4245</v>
      </c>
      <c r="N1091" s="337" t="s">
        <v>4246</v>
      </c>
      <c r="O1091" s="266" t="s">
        <v>970</v>
      </c>
      <c r="P1091" s="102">
        <v>33270.24</v>
      </c>
      <c r="Q1091" s="240"/>
      <c r="R1091" s="131"/>
      <c r="S1091" s="132"/>
      <c r="T1091" s="102">
        <v>24240</v>
      </c>
      <c r="U1091" s="100"/>
      <c r="V1091" s="246" t="s">
        <v>4247</v>
      </c>
      <c r="W1091" s="45"/>
    </row>
    <row r="1092" s="40" customFormat="1" ht="22" hidden="1" customHeight="1" spans="1:23">
      <c r="A1092" s="261" t="s">
        <v>4248</v>
      </c>
      <c r="B1092" s="174" t="s">
        <v>3613</v>
      </c>
      <c r="C1092" s="175"/>
      <c r="D1092" s="45" t="s">
        <v>31</v>
      </c>
      <c r="E1092" s="82" t="s">
        <v>3939</v>
      </c>
      <c r="F1092" s="81">
        <f>IFERROR(VLOOKUP(E1092,客户!B:C,2,FALSE),"/")</f>
        <v>0</v>
      </c>
      <c r="G1092" s="307" t="s">
        <v>4249</v>
      </c>
      <c r="H1092" s="324" t="s">
        <v>186</v>
      </c>
      <c r="I1092" s="108" t="s">
        <v>3825</v>
      </c>
      <c r="J1092" s="108">
        <v>44531</v>
      </c>
      <c r="K1092" s="100">
        <v>44587</v>
      </c>
      <c r="L1092" s="100"/>
      <c r="M1092" s="315" t="s">
        <v>4250</v>
      </c>
      <c r="N1092" s="337" t="s">
        <v>4251</v>
      </c>
      <c r="O1092" s="266" t="s">
        <v>970</v>
      </c>
      <c r="P1092" s="240">
        <v>159225</v>
      </c>
      <c r="Q1092" s="240">
        <v>47520</v>
      </c>
      <c r="R1092" s="131"/>
      <c r="S1092" s="132"/>
      <c r="T1092" s="240">
        <v>100000</v>
      </c>
      <c r="U1092" s="240">
        <v>11705</v>
      </c>
      <c r="V1092" s="102"/>
      <c r="W1092" s="45"/>
    </row>
    <row r="1093" s="40" customFormat="1" ht="22" hidden="1" customHeight="1" spans="1:23">
      <c r="A1093" s="261" t="s">
        <v>4252</v>
      </c>
      <c r="B1093" s="174" t="s">
        <v>3613</v>
      </c>
      <c r="C1093" s="175"/>
      <c r="D1093" s="45" t="s">
        <v>31</v>
      </c>
      <c r="E1093" s="82" t="s">
        <v>3876</v>
      </c>
      <c r="F1093" s="81">
        <f>IFERROR(VLOOKUP(E1093,客户!B:C,2,FALSE),"/")</f>
        <v>0</v>
      </c>
      <c r="G1093" s="307" t="s">
        <v>4253</v>
      </c>
      <c r="H1093" s="324" t="s">
        <v>123</v>
      </c>
      <c r="I1093" s="108" t="s">
        <v>3866</v>
      </c>
      <c r="J1093" s="108">
        <v>44531</v>
      </c>
      <c r="K1093" s="100">
        <v>44585</v>
      </c>
      <c r="L1093" s="100">
        <v>44624</v>
      </c>
      <c r="M1093" s="315" t="s">
        <v>4254</v>
      </c>
      <c r="N1093" s="329" t="s">
        <v>4255</v>
      </c>
      <c r="O1093" s="266" t="s">
        <v>523</v>
      </c>
      <c r="P1093" s="102">
        <v>97559.74</v>
      </c>
      <c r="Q1093" s="102">
        <v>25219</v>
      </c>
      <c r="R1093" s="131"/>
      <c r="S1093" s="132"/>
      <c r="T1093" s="102">
        <v>72340.74</v>
      </c>
      <c r="U1093" s="100"/>
      <c r="V1093" s="102"/>
      <c r="W1093" s="45"/>
    </row>
    <row r="1094" s="40" customFormat="1" ht="22" hidden="1" customHeight="1" spans="1:23">
      <c r="A1094" s="261" t="s">
        <v>4256</v>
      </c>
      <c r="B1094" s="174" t="s">
        <v>3613</v>
      </c>
      <c r="C1094" s="175"/>
      <c r="D1094" s="45" t="s">
        <v>31</v>
      </c>
      <c r="E1094" s="82" t="s">
        <v>3997</v>
      </c>
      <c r="F1094" s="81">
        <f>IFERROR(VLOOKUP(E1094,客户!B:C,2,FALSE),"/")</f>
        <v>0</v>
      </c>
      <c r="G1094" s="229" t="s">
        <v>3998</v>
      </c>
      <c r="H1094" s="45" t="s">
        <v>123</v>
      </c>
      <c r="I1094" s="45" t="s">
        <v>3999</v>
      </c>
      <c r="J1094" s="156">
        <v>44532</v>
      </c>
      <c r="K1094" s="100">
        <v>44567</v>
      </c>
      <c r="L1094" s="100">
        <v>44607</v>
      </c>
      <c r="M1094" s="155" t="s">
        <v>4257</v>
      </c>
      <c r="N1094" s="341" t="s">
        <v>4258</v>
      </c>
      <c r="O1094" s="266" t="s">
        <v>523</v>
      </c>
      <c r="P1094" s="102">
        <v>24866.75</v>
      </c>
      <c r="Q1094" s="102">
        <v>7460.03</v>
      </c>
      <c r="R1094" s="131"/>
      <c r="S1094" s="132"/>
      <c r="T1094" s="102">
        <v>17406.72</v>
      </c>
      <c r="U1094" s="100"/>
      <c r="V1094" s="102"/>
      <c r="W1094" s="45"/>
    </row>
    <row r="1095" s="40" customFormat="1" ht="22" hidden="1" customHeight="1" spans="1:23">
      <c r="A1095" s="261" t="s">
        <v>4259</v>
      </c>
      <c r="B1095" s="174" t="s">
        <v>3613</v>
      </c>
      <c r="C1095" s="175"/>
      <c r="D1095" s="45" t="s">
        <v>31</v>
      </c>
      <c r="E1095" s="82" t="s">
        <v>4126</v>
      </c>
      <c r="F1095" s="81">
        <f>IFERROR(VLOOKUP(E1095,客户!B:C,2,FALSE),"/")</f>
        <v>0</v>
      </c>
      <c r="G1095" s="307" t="s">
        <v>4091</v>
      </c>
      <c r="H1095" s="324" t="s">
        <v>123</v>
      </c>
      <c r="I1095" s="108" t="s">
        <v>3715</v>
      </c>
      <c r="J1095" s="108">
        <v>44532</v>
      </c>
      <c r="K1095" s="100">
        <v>44570</v>
      </c>
      <c r="L1095" s="100">
        <v>44632</v>
      </c>
      <c r="M1095" s="315" t="s">
        <v>4260</v>
      </c>
      <c r="N1095" s="341" t="s">
        <v>4261</v>
      </c>
      <c r="O1095" s="266" t="s">
        <v>523</v>
      </c>
      <c r="P1095" s="102">
        <v>28585.25</v>
      </c>
      <c r="Q1095" s="102">
        <v>8575.58</v>
      </c>
      <c r="R1095" s="131"/>
      <c r="S1095" s="132"/>
      <c r="T1095" s="102">
        <v>20009.67</v>
      </c>
      <c r="U1095" s="100"/>
      <c r="V1095" s="102"/>
      <c r="W1095" s="45"/>
    </row>
    <row r="1096" s="40" customFormat="1" ht="22" hidden="1" customHeight="1" spans="1:23">
      <c r="A1096" s="261" t="s">
        <v>4262</v>
      </c>
      <c r="B1096" s="174" t="s">
        <v>3613</v>
      </c>
      <c r="C1096" s="175"/>
      <c r="D1096" s="45" t="s">
        <v>31</v>
      </c>
      <c r="E1096" s="82" t="s">
        <v>3876</v>
      </c>
      <c r="F1096" s="81">
        <f>IFERROR(VLOOKUP(E1096,客户!B:C,2,FALSE),"/")</f>
        <v>0</v>
      </c>
      <c r="G1096" s="307" t="s">
        <v>4263</v>
      </c>
      <c r="H1096" s="324" t="s">
        <v>123</v>
      </c>
      <c r="I1096" s="108" t="s">
        <v>3866</v>
      </c>
      <c r="J1096" s="108">
        <v>44533</v>
      </c>
      <c r="K1096" s="100">
        <v>44589</v>
      </c>
      <c r="L1096" s="100">
        <v>44628</v>
      </c>
      <c r="M1096" s="315" t="s">
        <v>4264</v>
      </c>
      <c r="N1096" s="341" t="s">
        <v>4265</v>
      </c>
      <c r="O1096" s="266" t="s">
        <v>523</v>
      </c>
      <c r="P1096" s="102">
        <v>109723.94</v>
      </c>
      <c r="Q1096" s="102">
        <v>25236</v>
      </c>
      <c r="R1096" s="131"/>
      <c r="S1096" s="132"/>
      <c r="T1096" s="102">
        <v>84487.94</v>
      </c>
      <c r="U1096" s="100"/>
      <c r="V1096" s="102"/>
      <c r="W1096" s="45"/>
    </row>
    <row r="1097" s="40" customFormat="1" ht="22" hidden="1" customHeight="1" spans="1:23">
      <c r="A1097" s="261" t="s">
        <v>4266</v>
      </c>
      <c r="B1097" s="174" t="s">
        <v>3613</v>
      </c>
      <c r="C1097" s="175"/>
      <c r="D1097" s="45" t="s">
        <v>31</v>
      </c>
      <c r="E1097" s="82" t="s">
        <v>4185</v>
      </c>
      <c r="F1097" s="81"/>
      <c r="G1097" s="307" t="s">
        <v>4267</v>
      </c>
      <c r="H1097" s="324" t="s">
        <v>186</v>
      </c>
      <c r="I1097" s="108"/>
      <c r="J1097" s="108">
        <v>44543</v>
      </c>
      <c r="K1097" s="100">
        <v>44561</v>
      </c>
      <c r="L1097" s="100"/>
      <c r="M1097" s="315" t="s">
        <v>4268</v>
      </c>
      <c r="N1097" s="337" t="s">
        <v>4269</v>
      </c>
      <c r="O1097" s="266" t="s">
        <v>970</v>
      </c>
      <c r="P1097" s="240">
        <v>20684.16</v>
      </c>
      <c r="Q1097" s="102"/>
      <c r="R1097" s="131"/>
      <c r="S1097" s="132"/>
      <c r="T1097" s="240">
        <v>20684.16</v>
      </c>
      <c r="U1097" s="100"/>
      <c r="V1097" s="246" t="s">
        <v>4270</v>
      </c>
      <c r="W1097" s="45"/>
    </row>
    <row r="1098" s="40" customFormat="1" ht="22" hidden="1" customHeight="1" spans="1:23">
      <c r="A1098" s="261" t="s">
        <v>4271</v>
      </c>
      <c r="B1098" s="174" t="s">
        <v>3613</v>
      </c>
      <c r="C1098" s="175"/>
      <c r="D1098" s="45" t="s">
        <v>31</v>
      </c>
      <c r="E1098" s="82" t="s">
        <v>3927</v>
      </c>
      <c r="F1098" s="81"/>
      <c r="G1098" s="307" t="s">
        <v>4272</v>
      </c>
      <c r="H1098" s="324" t="s">
        <v>123</v>
      </c>
      <c r="I1098" s="108" t="s">
        <v>3521</v>
      </c>
      <c r="J1098" s="108">
        <v>44544</v>
      </c>
      <c r="K1098" s="100">
        <v>44575</v>
      </c>
      <c r="L1098" s="100"/>
      <c r="M1098" s="315" t="s">
        <v>4273</v>
      </c>
      <c r="N1098" s="329" t="s">
        <v>4238</v>
      </c>
      <c r="O1098" s="266" t="s">
        <v>970</v>
      </c>
      <c r="P1098" s="102">
        <v>46318.8</v>
      </c>
      <c r="Q1098" s="102">
        <v>9913</v>
      </c>
      <c r="R1098" s="131"/>
      <c r="S1098" s="132"/>
      <c r="T1098" s="102">
        <v>36405.8</v>
      </c>
      <c r="U1098" s="100"/>
      <c r="V1098" s="102"/>
      <c r="W1098" s="45"/>
    </row>
    <row r="1099" s="40" customFormat="1" ht="22" hidden="1" customHeight="1" spans="1:23">
      <c r="A1099" s="261" t="s">
        <v>4274</v>
      </c>
      <c r="B1099" s="174" t="s">
        <v>3613</v>
      </c>
      <c r="C1099" s="175"/>
      <c r="D1099" s="45" t="s">
        <v>31</v>
      </c>
      <c r="E1099" s="82" t="s">
        <v>4275</v>
      </c>
      <c r="F1099" s="81">
        <f>IFERROR(VLOOKUP(E1099,客户!B:C,2,FALSE),"/")</f>
        <v>0</v>
      </c>
      <c r="G1099" s="307" t="s">
        <v>4276</v>
      </c>
      <c r="H1099" s="324" t="s">
        <v>186</v>
      </c>
      <c r="I1099" s="108"/>
      <c r="J1099" s="108">
        <v>44553</v>
      </c>
      <c r="K1099" s="100"/>
      <c r="L1099" s="100"/>
      <c r="M1099" s="315"/>
      <c r="N1099" s="337"/>
      <c r="O1099" s="266" t="s">
        <v>970</v>
      </c>
      <c r="P1099" s="240">
        <v>3320</v>
      </c>
      <c r="Q1099" s="240">
        <v>1660</v>
      </c>
      <c r="R1099" s="131"/>
      <c r="S1099" s="132"/>
      <c r="T1099" s="240">
        <v>1660</v>
      </c>
      <c r="U1099" s="100"/>
      <c r="V1099" s="102"/>
      <c r="W1099" s="45"/>
    </row>
    <row r="1100" s="40" customFormat="1" ht="22" hidden="1" customHeight="1" spans="1:23">
      <c r="A1100" s="261" t="s">
        <v>4277</v>
      </c>
      <c r="B1100" s="174" t="s">
        <v>3613</v>
      </c>
      <c r="C1100" s="175"/>
      <c r="D1100" s="45" t="s">
        <v>31</v>
      </c>
      <c r="E1100" s="82" t="s">
        <v>3900</v>
      </c>
      <c r="F1100" s="81">
        <f>IFERROR(VLOOKUP(E1100,客户!B:C,2,FALSE),"/")</f>
        <v>0</v>
      </c>
      <c r="G1100" s="307" t="s">
        <v>4091</v>
      </c>
      <c r="H1100" s="324" t="s">
        <v>147</v>
      </c>
      <c r="I1100" s="108" t="s">
        <v>4041</v>
      </c>
      <c r="J1100" s="108">
        <v>44554</v>
      </c>
      <c r="K1100" s="100">
        <v>44675</v>
      </c>
      <c r="L1100" s="100"/>
      <c r="M1100" s="315" t="s">
        <v>4278</v>
      </c>
      <c r="N1100" s="198" t="s">
        <v>4279</v>
      </c>
      <c r="O1100" s="266" t="s">
        <v>970</v>
      </c>
      <c r="P1100" s="102">
        <v>34157.76</v>
      </c>
      <c r="Q1100" s="102">
        <f>12214.34+34358-23622-2764.42-1028.16</f>
        <v>19157.76</v>
      </c>
      <c r="R1100" s="131"/>
      <c r="S1100" s="132"/>
      <c r="T1100" s="102">
        <v>15000</v>
      </c>
      <c r="U1100" s="100"/>
      <c r="V1100" s="246" t="s">
        <v>4280</v>
      </c>
      <c r="W1100" s="45"/>
    </row>
    <row r="1101" s="40" customFormat="1" ht="22" hidden="1" customHeight="1" spans="1:23">
      <c r="A1101" s="261" t="s">
        <v>4281</v>
      </c>
      <c r="B1101" s="174" t="s">
        <v>3613</v>
      </c>
      <c r="C1101" s="175"/>
      <c r="D1101" s="45" t="s">
        <v>31</v>
      </c>
      <c r="E1101" s="82" t="s">
        <v>3939</v>
      </c>
      <c r="F1101" s="81">
        <f>IFERROR(VLOOKUP(E1101,客户!B:C,2,FALSE),"/")</f>
        <v>0</v>
      </c>
      <c r="G1101" s="307" t="s">
        <v>4282</v>
      </c>
      <c r="H1101" s="324" t="s">
        <v>186</v>
      </c>
      <c r="I1101" s="108"/>
      <c r="J1101" s="108">
        <v>44559</v>
      </c>
      <c r="K1101" s="100">
        <v>44576</v>
      </c>
      <c r="L1101" s="100"/>
      <c r="M1101" s="315"/>
      <c r="N1101" s="337"/>
      <c r="O1101" s="266" t="s">
        <v>970</v>
      </c>
      <c r="P1101" s="240">
        <v>2960</v>
      </c>
      <c r="Q1101" s="240">
        <v>888</v>
      </c>
      <c r="R1101" s="131"/>
      <c r="S1101" s="132"/>
      <c r="T1101" s="240">
        <v>2722</v>
      </c>
      <c r="U1101" s="100"/>
      <c r="V1101" s="102"/>
      <c r="W1101" s="45"/>
    </row>
    <row r="1102" s="40" customFormat="1" ht="22" hidden="1" customHeight="1" spans="1:23">
      <c r="A1102" s="261" t="s">
        <v>4283</v>
      </c>
      <c r="B1102" s="174" t="s">
        <v>3613</v>
      </c>
      <c r="C1102" s="175"/>
      <c r="D1102" s="45" t="s">
        <v>31</v>
      </c>
      <c r="E1102" s="82" t="s">
        <v>3927</v>
      </c>
      <c r="F1102" s="81"/>
      <c r="G1102" s="307" t="s">
        <v>4284</v>
      </c>
      <c r="H1102" s="324" t="s">
        <v>123</v>
      </c>
      <c r="I1102" s="108" t="s">
        <v>3521</v>
      </c>
      <c r="J1102" s="108">
        <v>44587</v>
      </c>
      <c r="K1102" s="100">
        <v>44669</v>
      </c>
      <c r="L1102" s="100"/>
      <c r="M1102" s="315" t="s">
        <v>4285</v>
      </c>
      <c r="N1102" s="337" t="s">
        <v>4286</v>
      </c>
      <c r="O1102" s="266" t="s">
        <v>970</v>
      </c>
      <c r="P1102" s="102">
        <v>27129</v>
      </c>
      <c r="Q1102" s="102">
        <f>12135.2-1836</f>
        <v>10299.2</v>
      </c>
      <c r="R1102" s="131"/>
      <c r="S1102" s="132"/>
      <c r="T1102" s="102">
        <f>16695.8+134</f>
        <v>16829.8</v>
      </c>
      <c r="U1102" s="100"/>
      <c r="V1102" s="102"/>
      <c r="W1102" s="45"/>
    </row>
    <row r="1103" s="40" customFormat="1" ht="22" hidden="1" customHeight="1" spans="1:23">
      <c r="A1103" s="261" t="s">
        <v>4287</v>
      </c>
      <c r="B1103" s="174" t="s">
        <v>3613</v>
      </c>
      <c r="C1103" s="175"/>
      <c r="D1103" s="45" t="s">
        <v>31</v>
      </c>
      <c r="E1103" s="82" t="s">
        <v>3927</v>
      </c>
      <c r="F1103" s="81"/>
      <c r="G1103" s="307" t="s">
        <v>4236</v>
      </c>
      <c r="H1103" s="324" t="s">
        <v>123</v>
      </c>
      <c r="I1103" s="108" t="s">
        <v>3521</v>
      </c>
      <c r="J1103" s="108">
        <v>44587</v>
      </c>
      <c r="K1103" s="100">
        <v>44683</v>
      </c>
      <c r="L1103" s="100"/>
      <c r="M1103" s="315" t="s">
        <v>4288</v>
      </c>
      <c r="N1103" s="337" t="s">
        <v>4289</v>
      </c>
      <c r="O1103" s="266" t="s">
        <v>970</v>
      </c>
      <c r="P1103" s="102">
        <v>24233</v>
      </c>
      <c r="Q1103" s="102">
        <f>24367-134</f>
        <v>24233</v>
      </c>
      <c r="R1103" s="131"/>
      <c r="S1103" s="132"/>
      <c r="T1103" s="240"/>
      <c r="U1103" s="100"/>
      <c r="V1103" s="246" t="s">
        <v>4290</v>
      </c>
      <c r="W1103" s="45"/>
    </row>
    <row r="1104" s="40" customFormat="1" ht="22" hidden="1" customHeight="1" spans="1:23">
      <c r="A1104" s="260" t="s">
        <v>4291</v>
      </c>
      <c r="B1104" s="174" t="s">
        <v>3613</v>
      </c>
      <c r="C1104" s="175"/>
      <c r="D1104" s="45" t="s">
        <v>31</v>
      </c>
      <c r="E1104" s="82" t="s">
        <v>3939</v>
      </c>
      <c r="F1104" s="81">
        <f>IFERROR(VLOOKUP(E1104,客户!B:C,2,FALSE),"/")</f>
        <v>0</v>
      </c>
      <c r="G1104" s="307" t="s">
        <v>4249</v>
      </c>
      <c r="H1104" s="324" t="s">
        <v>186</v>
      </c>
      <c r="I1104" s="108" t="s">
        <v>3825</v>
      </c>
      <c r="J1104" s="108">
        <v>44587</v>
      </c>
      <c r="K1104" s="100">
        <v>44692</v>
      </c>
      <c r="L1104" s="100"/>
      <c r="M1104" s="315" t="s">
        <v>4292</v>
      </c>
      <c r="N1104" s="337" t="s">
        <v>4293</v>
      </c>
      <c r="O1104" s="266" t="s">
        <v>970</v>
      </c>
      <c r="P1104" s="240">
        <v>157671</v>
      </c>
      <c r="Q1104" s="240">
        <f>10000+38915.9</f>
        <v>48915.9</v>
      </c>
      <c r="R1104" s="131"/>
      <c r="S1104" s="132"/>
      <c r="T1104" s="240">
        <v>60000</v>
      </c>
      <c r="U1104" s="240">
        <v>54137.1</v>
      </c>
      <c r="V1104" s="102"/>
      <c r="W1104" s="45"/>
    </row>
    <row r="1105" s="40" customFormat="1" ht="22" hidden="1" customHeight="1" spans="1:23">
      <c r="A1105" s="261" t="s">
        <v>4294</v>
      </c>
      <c r="B1105" s="174" t="s">
        <v>3613</v>
      </c>
      <c r="C1105" s="175"/>
      <c r="D1105" s="45" t="s">
        <v>31</v>
      </c>
      <c r="E1105" s="82" t="s">
        <v>3939</v>
      </c>
      <c r="F1105" s="81">
        <f>IFERROR(VLOOKUP(E1105,客户!B:C,2,FALSE),"/")</f>
        <v>0</v>
      </c>
      <c r="G1105" s="307" t="s">
        <v>4295</v>
      </c>
      <c r="H1105" s="324" t="s">
        <v>186</v>
      </c>
      <c r="I1105" s="108"/>
      <c r="J1105" s="108">
        <v>44617</v>
      </c>
      <c r="K1105" s="100">
        <v>44653</v>
      </c>
      <c r="L1105" s="100"/>
      <c r="M1105" s="315" t="s">
        <v>4296</v>
      </c>
      <c r="N1105" s="337"/>
      <c r="O1105" s="266" t="s">
        <v>970</v>
      </c>
      <c r="P1105" s="240">
        <v>5091.5</v>
      </c>
      <c r="Q1105" s="240">
        <v>1600</v>
      </c>
      <c r="R1105" s="131"/>
      <c r="S1105" s="132"/>
      <c r="T1105" s="240">
        <v>3491.5</v>
      </c>
      <c r="U1105" s="100"/>
      <c r="V1105" s="102"/>
      <c r="W1105" s="45"/>
    </row>
    <row r="1106" s="40" customFormat="1" ht="22" hidden="1" customHeight="1" spans="1:23">
      <c r="A1106" s="261" t="s">
        <v>4297</v>
      </c>
      <c r="B1106" s="174" t="s">
        <v>3613</v>
      </c>
      <c r="C1106" s="175"/>
      <c r="D1106" s="45" t="s">
        <v>31</v>
      </c>
      <c r="E1106" s="82" t="s">
        <v>4298</v>
      </c>
      <c r="F1106" s="81"/>
      <c r="G1106" s="307" t="s">
        <v>4299</v>
      </c>
      <c r="H1106" s="324" t="s">
        <v>123</v>
      </c>
      <c r="I1106" s="108" t="s">
        <v>4048</v>
      </c>
      <c r="J1106" s="108">
        <v>44620</v>
      </c>
      <c r="K1106" s="100">
        <v>44697</v>
      </c>
      <c r="L1106" s="100">
        <v>44711</v>
      </c>
      <c r="M1106" s="315" t="s">
        <v>4300</v>
      </c>
      <c r="N1106" s="198" t="s">
        <v>4301</v>
      </c>
      <c r="O1106" s="266" t="s">
        <v>523</v>
      </c>
      <c r="P1106" s="102">
        <v>33513.8</v>
      </c>
      <c r="Q1106" s="102">
        <v>10039</v>
      </c>
      <c r="R1106" s="131"/>
      <c r="S1106" s="132"/>
      <c r="T1106" s="102">
        <v>23474.8</v>
      </c>
      <c r="U1106" s="100"/>
      <c r="V1106" s="102"/>
      <c r="W1106" s="45"/>
    </row>
    <row r="1107" s="40" customFormat="1" ht="22" hidden="1" customHeight="1" spans="1:23">
      <c r="A1107" s="261" t="s">
        <v>4302</v>
      </c>
      <c r="B1107" s="174" t="s">
        <v>3613</v>
      </c>
      <c r="C1107" s="175"/>
      <c r="D1107" s="45" t="s">
        <v>2</v>
      </c>
      <c r="E1107" s="82" t="s">
        <v>3927</v>
      </c>
      <c r="F1107" s="81">
        <f>IFERROR(VLOOKUP(E1107,客户!B:C,2,FALSE),"/")</f>
        <v>0</v>
      </c>
      <c r="G1107" s="307" t="s">
        <v>4272</v>
      </c>
      <c r="H1107" s="324" t="s">
        <v>123</v>
      </c>
      <c r="I1107" s="108" t="s">
        <v>3521</v>
      </c>
      <c r="J1107" s="108">
        <v>44620</v>
      </c>
      <c r="K1107" s="100">
        <v>44719</v>
      </c>
      <c r="L1107" s="100"/>
      <c r="M1107" s="315" t="s">
        <v>4303</v>
      </c>
      <c r="N1107" s="337" t="s">
        <v>4304</v>
      </c>
      <c r="O1107" s="266" t="s">
        <v>970</v>
      </c>
      <c r="P1107" s="102">
        <v>49987.9</v>
      </c>
      <c r="Q1107" s="102">
        <f>10000-Q1108</f>
        <v>6500</v>
      </c>
      <c r="R1107" s="131">
        <f>P1107-Q1107</f>
        <v>43487.9</v>
      </c>
      <c r="S1107" s="132"/>
      <c r="T1107" s="240"/>
      <c r="U1107" s="100"/>
      <c r="V1107" s="102"/>
      <c r="W1107" s="45"/>
    </row>
    <row r="1108" s="40" customFormat="1" ht="22" hidden="1" customHeight="1" spans="1:23">
      <c r="A1108" s="261" t="s">
        <v>4305</v>
      </c>
      <c r="B1108" s="174" t="s">
        <v>3613</v>
      </c>
      <c r="C1108" s="175"/>
      <c r="D1108" s="45" t="s">
        <v>31</v>
      </c>
      <c r="E1108" s="82" t="s">
        <v>3927</v>
      </c>
      <c r="F1108" s="81">
        <f>IFERROR(VLOOKUP(E1108,客户!B:C,2,FALSE),"/")</f>
        <v>0</v>
      </c>
      <c r="G1108" s="307" t="s">
        <v>4236</v>
      </c>
      <c r="H1108" s="324" t="s">
        <v>123</v>
      </c>
      <c r="I1108" s="108" t="s">
        <v>3521</v>
      </c>
      <c r="J1108" s="108">
        <v>44620</v>
      </c>
      <c r="K1108" s="100">
        <v>44701</v>
      </c>
      <c r="L1108" s="100"/>
      <c r="M1108" s="315" t="s">
        <v>4303</v>
      </c>
      <c r="N1108" s="337" t="s">
        <v>4306</v>
      </c>
      <c r="O1108" s="266" t="s">
        <v>970</v>
      </c>
      <c r="P1108" s="102">
        <v>23501</v>
      </c>
      <c r="Q1108" s="102">
        <v>3500</v>
      </c>
      <c r="R1108" s="131"/>
      <c r="S1108" s="132"/>
      <c r="T1108" s="102">
        <v>20001</v>
      </c>
      <c r="U1108" s="100"/>
      <c r="V1108" s="102"/>
      <c r="W1108" s="45"/>
    </row>
    <row r="1109" s="40" customFormat="1" ht="22" hidden="1" customHeight="1" spans="1:23">
      <c r="A1109" s="293" t="s">
        <v>4307</v>
      </c>
      <c r="B1109" s="174" t="s">
        <v>3613</v>
      </c>
      <c r="C1109" s="175"/>
      <c r="D1109" s="45" t="s">
        <v>3</v>
      </c>
      <c r="E1109" s="82" t="s">
        <v>3939</v>
      </c>
      <c r="F1109" s="81">
        <f>IFERROR(VLOOKUP(E1109,客户!B:C,2,FALSE),"/")</f>
        <v>0</v>
      </c>
      <c r="G1109" s="307" t="s">
        <v>4295</v>
      </c>
      <c r="H1109" s="324" t="s">
        <v>186</v>
      </c>
      <c r="I1109" s="108"/>
      <c r="J1109" s="108">
        <v>44622</v>
      </c>
      <c r="K1109" s="100"/>
      <c r="L1109" s="100"/>
      <c r="M1109" s="315" t="s">
        <v>4308</v>
      </c>
      <c r="N1109" s="337"/>
      <c r="O1109" s="266" t="s">
        <v>970</v>
      </c>
      <c r="P1109" s="240">
        <v>77590.32</v>
      </c>
      <c r="Q1109" s="240">
        <v>23277</v>
      </c>
      <c r="R1109" s="131"/>
      <c r="S1109" s="132"/>
      <c r="T1109" s="240"/>
      <c r="U1109" s="100"/>
      <c r="V1109" s="102"/>
      <c r="W1109" s="45"/>
    </row>
    <row r="1110" s="40" customFormat="1" ht="22" hidden="1" customHeight="1" spans="1:23">
      <c r="A1110" s="293" t="s">
        <v>4309</v>
      </c>
      <c r="B1110" s="174" t="s">
        <v>3613</v>
      </c>
      <c r="C1110" s="175"/>
      <c r="D1110" s="45" t="s">
        <v>1787</v>
      </c>
      <c r="E1110" s="82" t="s">
        <v>4298</v>
      </c>
      <c r="F1110" s="81">
        <f>IFERROR(VLOOKUP(E1110,客户!B:C,2,FALSE),"/")</f>
        <v>0</v>
      </c>
      <c r="G1110" s="307" t="s">
        <v>4299</v>
      </c>
      <c r="H1110" s="324" t="s">
        <v>123</v>
      </c>
      <c r="I1110" s="108" t="s">
        <v>4048</v>
      </c>
      <c r="J1110" s="108">
        <v>44622</v>
      </c>
      <c r="K1110" s="100"/>
      <c r="L1110" s="100"/>
      <c r="M1110" s="315" t="s">
        <v>4310</v>
      </c>
      <c r="N1110" s="198" t="s">
        <v>4311</v>
      </c>
      <c r="O1110" s="266" t="s">
        <v>523</v>
      </c>
      <c r="P1110" s="139">
        <v>34713</v>
      </c>
      <c r="Q1110" s="102">
        <v>10414</v>
      </c>
      <c r="R1110" s="131"/>
      <c r="S1110" s="132"/>
      <c r="T1110" s="240"/>
      <c r="U1110" s="100"/>
      <c r="V1110" s="102"/>
      <c r="W1110" s="45"/>
    </row>
    <row r="1111" s="40" customFormat="1" ht="22" customHeight="1" spans="1:23">
      <c r="A1111" s="293" t="s">
        <v>4312</v>
      </c>
      <c r="B1111" s="174" t="s">
        <v>3613</v>
      </c>
      <c r="C1111" s="175"/>
      <c r="D1111" s="45" t="s">
        <v>1</v>
      </c>
      <c r="E1111" s="82" t="s">
        <v>3917</v>
      </c>
      <c r="F1111" s="81">
        <f>IFERROR(VLOOKUP(E1111,客户!B:C,2,FALSE),"/")</f>
        <v>0</v>
      </c>
      <c r="G1111" s="307" t="s">
        <v>4095</v>
      </c>
      <c r="H1111" s="324" t="s">
        <v>123</v>
      </c>
      <c r="I1111" s="108" t="s">
        <v>3919</v>
      </c>
      <c r="J1111" s="108">
        <v>44629</v>
      </c>
      <c r="K1111" s="100">
        <v>44736</v>
      </c>
      <c r="L1111" s="100"/>
      <c r="M1111" s="315" t="s">
        <v>4313</v>
      </c>
      <c r="N1111" s="337" t="s">
        <v>4314</v>
      </c>
      <c r="O1111" s="266" t="s">
        <v>523</v>
      </c>
      <c r="P1111" s="102">
        <v>58528.19</v>
      </c>
      <c r="Q1111" s="102">
        <f>11360+6219.85</f>
        <v>17579.85</v>
      </c>
      <c r="R1111" s="131">
        <f>P1111-Q1111</f>
        <v>40948.34</v>
      </c>
      <c r="S1111" s="132"/>
      <c r="T1111" s="240"/>
      <c r="U1111" s="100"/>
      <c r="V1111" s="102"/>
      <c r="W1111" s="45"/>
    </row>
    <row r="1112" s="40" customFormat="1" ht="22" hidden="1" customHeight="1" spans="1:23">
      <c r="A1112" s="293" t="s">
        <v>4315</v>
      </c>
      <c r="B1112" s="174" t="s">
        <v>3613</v>
      </c>
      <c r="C1112" s="175"/>
      <c r="D1112" s="45" t="s">
        <v>3</v>
      </c>
      <c r="E1112" s="82" t="s">
        <v>3917</v>
      </c>
      <c r="F1112" s="81">
        <f>IFERROR(VLOOKUP(E1112,客户!B:C,2,FALSE),"/")</f>
        <v>0</v>
      </c>
      <c r="G1112" s="307" t="s">
        <v>4095</v>
      </c>
      <c r="H1112" s="324" t="s">
        <v>123</v>
      </c>
      <c r="I1112" s="108" t="s">
        <v>3919</v>
      </c>
      <c r="J1112" s="108">
        <v>44630</v>
      </c>
      <c r="K1112" s="100"/>
      <c r="L1112" s="100"/>
      <c r="M1112" s="315" t="s">
        <v>4316</v>
      </c>
      <c r="N1112" s="337"/>
      <c r="O1112" s="266" t="s">
        <v>523</v>
      </c>
      <c r="P1112" s="139">
        <v>54401.5</v>
      </c>
      <c r="Q1112" s="102">
        <v>16320.45</v>
      </c>
      <c r="R1112" s="131"/>
      <c r="S1112" s="132"/>
      <c r="T1112" s="240"/>
      <c r="U1112" s="100"/>
      <c r="V1112" s="102"/>
      <c r="W1112" s="45"/>
    </row>
    <row r="1113" s="40" customFormat="1" ht="22" customHeight="1" spans="1:23">
      <c r="A1113" s="349" t="s">
        <v>4317</v>
      </c>
      <c r="B1113" s="174" t="s">
        <v>3613</v>
      </c>
      <c r="C1113" s="175"/>
      <c r="D1113" s="45" t="s">
        <v>1</v>
      </c>
      <c r="E1113" s="82" t="s">
        <v>3900</v>
      </c>
      <c r="F1113" s="81">
        <f>IFERROR(VLOOKUP(E1113,客户!B:C,2,FALSE),"/")</f>
        <v>0</v>
      </c>
      <c r="G1113" s="307" t="s">
        <v>4318</v>
      </c>
      <c r="H1113" s="324" t="s">
        <v>147</v>
      </c>
      <c r="I1113" s="108" t="s">
        <v>4041</v>
      </c>
      <c r="J1113" s="108">
        <v>44631</v>
      </c>
      <c r="K1113" s="100">
        <v>44737</v>
      </c>
      <c r="L1113" s="100"/>
      <c r="M1113" s="352" t="s">
        <v>4319</v>
      </c>
      <c r="N1113" s="337" t="s">
        <v>4320</v>
      </c>
      <c r="O1113" s="266" t="s">
        <v>523</v>
      </c>
      <c r="P1113" s="102">
        <v>34386.72</v>
      </c>
      <c r="Q1113" s="267">
        <f>2764.42+21208</f>
        <v>23972.42</v>
      </c>
      <c r="R1113" s="131"/>
      <c r="S1113" s="132"/>
      <c r="T1113" s="102">
        <v>33125</v>
      </c>
      <c r="U1113" s="100"/>
      <c r="V1113" s="102"/>
      <c r="W1113" s="45"/>
    </row>
    <row r="1114" s="40" customFormat="1" ht="22" hidden="1" customHeight="1" spans="1:23">
      <c r="A1114" s="293" t="s">
        <v>4321</v>
      </c>
      <c r="B1114" s="174" t="s">
        <v>3613</v>
      </c>
      <c r="C1114" s="175"/>
      <c r="D1114" s="45" t="s">
        <v>3</v>
      </c>
      <c r="E1114" s="82" t="s">
        <v>3900</v>
      </c>
      <c r="F1114" s="81">
        <f>IFERROR(VLOOKUP(E1114,客户!B:C,2,FALSE),"/")</f>
        <v>0</v>
      </c>
      <c r="G1114" s="307" t="s">
        <v>4318</v>
      </c>
      <c r="H1114" s="324" t="s">
        <v>147</v>
      </c>
      <c r="I1114" s="108" t="s">
        <v>4041</v>
      </c>
      <c r="J1114" s="108">
        <v>44631</v>
      </c>
      <c r="K1114" s="100"/>
      <c r="L1114" s="100"/>
      <c r="M1114" s="315" t="s">
        <v>4322</v>
      </c>
      <c r="N1114" s="337"/>
      <c r="O1114" s="266" t="s">
        <v>523</v>
      </c>
      <c r="P1114" s="139">
        <v>33900.72</v>
      </c>
      <c r="Q1114" s="268"/>
      <c r="R1114" s="131"/>
      <c r="S1114" s="132"/>
      <c r="T1114" s="240"/>
      <c r="U1114" s="100"/>
      <c r="V1114" s="102"/>
      <c r="W1114" s="45"/>
    </row>
    <row r="1115" s="40" customFormat="1" ht="22" hidden="1" customHeight="1" spans="1:23">
      <c r="A1115" s="261" t="s">
        <v>4323</v>
      </c>
      <c r="B1115" s="174" t="s">
        <v>3613</v>
      </c>
      <c r="C1115" s="175"/>
      <c r="D1115" s="45" t="s">
        <v>31</v>
      </c>
      <c r="E1115" s="82" t="s">
        <v>4200</v>
      </c>
      <c r="F1115" s="81">
        <f>IFERROR(VLOOKUP(E1115,客户!B:C,2,FALSE),"/")</f>
        <v>0</v>
      </c>
      <c r="G1115" s="307" t="s">
        <v>4324</v>
      </c>
      <c r="H1115" s="324" t="s">
        <v>186</v>
      </c>
      <c r="I1115" s="108"/>
      <c r="J1115" s="108">
        <v>44631</v>
      </c>
      <c r="K1115" s="100">
        <v>44729</v>
      </c>
      <c r="L1115" s="100"/>
      <c r="M1115" s="315" t="s">
        <v>4325</v>
      </c>
      <c r="N1115" s="337"/>
      <c r="O1115" s="266" t="s">
        <v>970</v>
      </c>
      <c r="P1115" s="240">
        <v>126632.1</v>
      </c>
      <c r="Q1115" s="240">
        <v>38000</v>
      </c>
      <c r="R1115" s="131"/>
      <c r="S1115" s="132"/>
      <c r="T1115" s="240">
        <v>88632</v>
      </c>
      <c r="U1115" s="100"/>
      <c r="V1115" s="102"/>
      <c r="W1115" s="45"/>
    </row>
    <row r="1116" s="40" customFormat="1" ht="22" hidden="1" customHeight="1" spans="1:23">
      <c r="A1116" s="293" t="s">
        <v>4326</v>
      </c>
      <c r="B1116" s="174" t="s">
        <v>3613</v>
      </c>
      <c r="C1116" s="175"/>
      <c r="D1116" s="45" t="s">
        <v>3</v>
      </c>
      <c r="E1116" s="82" t="s">
        <v>3927</v>
      </c>
      <c r="F1116" s="81">
        <f>IFERROR(VLOOKUP(E1116,客户!B:C,2,FALSE),"/")</f>
        <v>0</v>
      </c>
      <c r="G1116" s="307" t="s">
        <v>1290</v>
      </c>
      <c r="H1116" s="324" t="s">
        <v>123</v>
      </c>
      <c r="I1116" s="108" t="s">
        <v>3521</v>
      </c>
      <c r="J1116" s="108">
        <v>44631</v>
      </c>
      <c r="K1116" s="100"/>
      <c r="L1116" s="100"/>
      <c r="M1116" s="315" t="s">
        <v>4327</v>
      </c>
      <c r="N1116" s="337"/>
      <c r="O1116" s="266" t="s">
        <v>970</v>
      </c>
      <c r="P1116" s="139">
        <v>79908.6</v>
      </c>
      <c r="Q1116" s="102">
        <f>15633-Q1117</f>
        <v>9910.03</v>
      </c>
      <c r="R1116" s="131"/>
      <c r="S1116" s="132"/>
      <c r="T1116" s="240"/>
      <c r="U1116" s="100"/>
      <c r="V1116" s="102"/>
      <c r="W1116" s="45"/>
    </row>
    <row r="1117" s="40" customFormat="1" ht="22" hidden="1" customHeight="1" spans="1:23">
      <c r="A1117" s="261" t="s">
        <v>4328</v>
      </c>
      <c r="B1117" s="174" t="s">
        <v>3613</v>
      </c>
      <c r="C1117" s="175"/>
      <c r="D1117" s="45" t="s">
        <v>31</v>
      </c>
      <c r="E1117" s="82" t="s">
        <v>3927</v>
      </c>
      <c r="F1117" s="81"/>
      <c r="G1117" s="307" t="s">
        <v>4329</v>
      </c>
      <c r="H1117" s="324" t="s">
        <v>123</v>
      </c>
      <c r="I1117" s="108" t="s">
        <v>3521</v>
      </c>
      <c r="J1117" s="108">
        <v>44620</v>
      </c>
      <c r="K1117" s="100">
        <v>44707</v>
      </c>
      <c r="L1117" s="100"/>
      <c r="M1117" s="352"/>
      <c r="N1117" s="337" t="s">
        <v>4304</v>
      </c>
      <c r="O1117" s="266" t="s">
        <v>970</v>
      </c>
      <c r="P1117" s="102">
        <v>28614.97</v>
      </c>
      <c r="Q1117" s="102">
        <v>5722.97</v>
      </c>
      <c r="R1117" s="131"/>
      <c r="S1117" s="132"/>
      <c r="T1117" s="102">
        <v>22892</v>
      </c>
      <c r="U1117" s="100"/>
      <c r="V1117" s="102"/>
      <c r="W1117" s="45"/>
    </row>
    <row r="1118" s="40" customFormat="1" ht="22" hidden="1" customHeight="1" spans="1:23">
      <c r="A1118" s="293" t="s">
        <v>4330</v>
      </c>
      <c r="B1118" s="174" t="s">
        <v>3613</v>
      </c>
      <c r="C1118" s="175"/>
      <c r="D1118" s="45" t="s">
        <v>0</v>
      </c>
      <c r="E1118" s="82" t="s">
        <v>3989</v>
      </c>
      <c r="F1118" s="81">
        <f>IFERROR(VLOOKUP(E1118,客户!B:C,2,FALSE),"/")</f>
        <v>0</v>
      </c>
      <c r="G1118" s="307"/>
      <c r="H1118" s="324" t="s">
        <v>186</v>
      </c>
      <c r="I1118" s="108"/>
      <c r="J1118" s="108">
        <v>44657</v>
      </c>
      <c r="K1118" s="100">
        <v>44745</v>
      </c>
      <c r="L1118" s="100"/>
      <c r="M1118" s="325" t="s">
        <v>4331</v>
      </c>
      <c r="N1118" s="337" t="s">
        <v>4332</v>
      </c>
      <c r="O1118" s="266" t="s">
        <v>970</v>
      </c>
      <c r="P1118" s="102">
        <v>8030</v>
      </c>
      <c r="Q1118" s="102">
        <v>8030</v>
      </c>
      <c r="R1118" s="131"/>
      <c r="S1118" s="132"/>
      <c r="T1118" s="240"/>
      <c r="U1118" s="100"/>
      <c r="V1118" s="102"/>
      <c r="W1118" s="45"/>
    </row>
    <row r="1119" s="40" customFormat="1" ht="22" hidden="1" customHeight="1" spans="1:23">
      <c r="A1119" s="261" t="s">
        <v>4333</v>
      </c>
      <c r="B1119" s="174" t="s">
        <v>3613</v>
      </c>
      <c r="C1119" s="175"/>
      <c r="D1119" s="45" t="s">
        <v>31</v>
      </c>
      <c r="E1119" s="82" t="s">
        <v>4334</v>
      </c>
      <c r="F1119" s="81">
        <f>IFERROR(VLOOKUP(E1119,客户!B:C,2,FALSE),"/")</f>
        <v>0</v>
      </c>
      <c r="G1119" s="307" t="s">
        <v>4335</v>
      </c>
      <c r="H1119" s="324" t="s">
        <v>123</v>
      </c>
      <c r="I1119" s="108"/>
      <c r="J1119" s="108">
        <v>44663</v>
      </c>
      <c r="K1119" s="100">
        <v>44717</v>
      </c>
      <c r="L1119" s="100"/>
      <c r="M1119" s="315" t="s">
        <v>4336</v>
      </c>
      <c r="N1119" s="337" t="s">
        <v>4337</v>
      </c>
      <c r="O1119" s="266" t="s">
        <v>970</v>
      </c>
      <c r="P1119" s="102">
        <v>37236.7</v>
      </c>
      <c r="Q1119" s="102">
        <v>11171.01</v>
      </c>
      <c r="R1119" s="131"/>
      <c r="S1119" s="132"/>
      <c r="T1119" s="102">
        <v>26065.69</v>
      </c>
      <c r="U1119" s="100"/>
      <c r="V1119" s="102"/>
      <c r="W1119" s="45"/>
    </row>
    <row r="1120" s="40" customFormat="1" ht="22" hidden="1" customHeight="1" spans="1:23">
      <c r="A1120" s="293" t="s">
        <v>4338</v>
      </c>
      <c r="B1120" s="174" t="s">
        <v>3613</v>
      </c>
      <c r="C1120" s="175"/>
      <c r="D1120" s="45" t="s">
        <v>2</v>
      </c>
      <c r="E1120" s="82" t="s">
        <v>4219</v>
      </c>
      <c r="F1120" s="81">
        <f>IFERROR(VLOOKUP(E1120,客户!B:C,2,FALSE),"/")</f>
        <v>0</v>
      </c>
      <c r="G1120" s="307" t="s">
        <v>4339</v>
      </c>
      <c r="H1120" s="324" t="s">
        <v>123</v>
      </c>
      <c r="I1120" s="108" t="s">
        <v>4221</v>
      </c>
      <c r="J1120" s="108">
        <v>44663</v>
      </c>
      <c r="K1120" s="100">
        <v>44729</v>
      </c>
      <c r="L1120" s="100">
        <v>44779</v>
      </c>
      <c r="M1120" s="315" t="s">
        <v>4340</v>
      </c>
      <c r="N1120" s="337" t="s">
        <v>4341</v>
      </c>
      <c r="O1120" s="266" t="s">
        <v>970</v>
      </c>
      <c r="P1120" s="102">
        <v>70793</v>
      </c>
      <c r="Q1120" s="102">
        <v>17000</v>
      </c>
      <c r="R1120" s="131">
        <f>P1120-Q1120-T1120</f>
        <v>2199.75</v>
      </c>
      <c r="S1120" s="132"/>
      <c r="T1120" s="102">
        <v>51593.25</v>
      </c>
      <c r="U1120" s="100"/>
      <c r="V1120" s="102"/>
      <c r="W1120" s="45"/>
    </row>
    <row r="1121" s="40" customFormat="1" ht="22" hidden="1" customHeight="1" spans="1:23">
      <c r="A1121" s="293" t="s">
        <v>4342</v>
      </c>
      <c r="B1121" s="174" t="s">
        <v>3613</v>
      </c>
      <c r="C1121" s="175"/>
      <c r="D1121" s="45" t="s">
        <v>3</v>
      </c>
      <c r="E1121" s="82" t="s">
        <v>3939</v>
      </c>
      <c r="F1121" s="81">
        <f>IFERROR(VLOOKUP(E1121,客户!B:C,2,FALSE),"/")</f>
        <v>0</v>
      </c>
      <c r="G1121" s="307" t="s">
        <v>4343</v>
      </c>
      <c r="H1121" s="324" t="s">
        <v>186</v>
      </c>
      <c r="I1121" s="108" t="s">
        <v>3825</v>
      </c>
      <c r="J1121" s="108">
        <v>44666</v>
      </c>
      <c r="K1121" s="100"/>
      <c r="L1121" s="100"/>
      <c r="M1121" s="315" t="s">
        <v>4344</v>
      </c>
      <c r="N1121" s="337"/>
      <c r="O1121" s="266" t="s">
        <v>970</v>
      </c>
      <c r="P1121" s="240">
        <v>179116.5</v>
      </c>
      <c r="Q1121" s="240">
        <v>53734</v>
      </c>
      <c r="R1121" s="131"/>
      <c r="S1121" s="132"/>
      <c r="T1121" s="240"/>
      <c r="U1121" s="100"/>
      <c r="V1121" s="102"/>
      <c r="W1121" s="45"/>
    </row>
    <row r="1122" s="40" customFormat="1" ht="22" hidden="1" customHeight="1" spans="1:23">
      <c r="A1122" s="293" t="s">
        <v>4345</v>
      </c>
      <c r="B1122" s="174" t="s">
        <v>3613</v>
      </c>
      <c r="C1122" s="175"/>
      <c r="D1122" s="45" t="s">
        <v>3</v>
      </c>
      <c r="E1122" s="82" t="s">
        <v>3939</v>
      </c>
      <c r="F1122" s="81"/>
      <c r="G1122" s="307" t="s">
        <v>4343</v>
      </c>
      <c r="H1122" s="324" t="s">
        <v>186</v>
      </c>
      <c r="I1122" s="108" t="s">
        <v>3825</v>
      </c>
      <c r="J1122" s="108">
        <v>44670</v>
      </c>
      <c r="K1122" s="100"/>
      <c r="L1122" s="100"/>
      <c r="M1122" s="315" t="s">
        <v>4346</v>
      </c>
      <c r="N1122" s="337"/>
      <c r="O1122" s="266" t="s">
        <v>970</v>
      </c>
      <c r="P1122" s="240">
        <v>179888</v>
      </c>
      <c r="Q1122" s="240">
        <v>10000</v>
      </c>
      <c r="R1122" s="131"/>
      <c r="S1122" s="132"/>
      <c r="T1122" s="240"/>
      <c r="U1122" s="100"/>
      <c r="V1122" s="102"/>
      <c r="W1122" s="45"/>
    </row>
    <row r="1123" s="40" customFormat="1" ht="22" hidden="1" customHeight="1" spans="1:23">
      <c r="A1123" s="293" t="s">
        <v>4347</v>
      </c>
      <c r="B1123" s="174" t="s">
        <v>3613</v>
      </c>
      <c r="C1123" s="175"/>
      <c r="D1123" s="45" t="s">
        <v>2</v>
      </c>
      <c r="E1123" s="82" t="s">
        <v>4219</v>
      </c>
      <c r="F1123" s="81">
        <f>IFERROR(VLOOKUP(E1123,客户!B:C,2,FALSE),"/")</f>
        <v>0</v>
      </c>
      <c r="G1123" s="307" t="s">
        <v>4348</v>
      </c>
      <c r="H1123" s="324" t="s">
        <v>186</v>
      </c>
      <c r="I1123" s="108" t="s">
        <v>4221</v>
      </c>
      <c r="J1123" s="108">
        <v>44671</v>
      </c>
      <c r="K1123" s="100">
        <v>44729</v>
      </c>
      <c r="L1123" s="100">
        <v>44779</v>
      </c>
      <c r="M1123" s="315" t="s">
        <v>4349</v>
      </c>
      <c r="N1123" s="198" t="s">
        <v>4350</v>
      </c>
      <c r="O1123" s="266" t="s">
        <v>970</v>
      </c>
      <c r="P1123" s="102">
        <v>54404.8</v>
      </c>
      <c r="Q1123" s="102">
        <v>17375.68</v>
      </c>
      <c r="R1123" s="131">
        <f>P1123-Q1123-T1123</f>
        <v>1500.25</v>
      </c>
      <c r="S1123" s="132"/>
      <c r="T1123" s="102">
        <v>35528.87</v>
      </c>
      <c r="U1123" s="100"/>
      <c r="V1123" s="102"/>
      <c r="W1123" s="45"/>
    </row>
    <row r="1124" s="40" customFormat="1" ht="22" hidden="1" customHeight="1" spans="1:23">
      <c r="A1124" s="261" t="s">
        <v>4351</v>
      </c>
      <c r="B1124" s="174" t="s">
        <v>3613</v>
      </c>
      <c r="C1124" s="175"/>
      <c r="D1124" s="45" t="s">
        <v>31</v>
      </c>
      <c r="E1124" s="82" t="s">
        <v>3927</v>
      </c>
      <c r="F1124" s="81">
        <f>IFERROR(VLOOKUP(E1124,客户!B:C,2,FALSE),"/")</f>
        <v>0</v>
      </c>
      <c r="G1124" s="307" t="s">
        <v>4091</v>
      </c>
      <c r="H1124" s="324" t="s">
        <v>123</v>
      </c>
      <c r="I1124" s="108" t="s">
        <v>3521</v>
      </c>
      <c r="J1124" s="108">
        <v>44679</v>
      </c>
      <c r="K1124" s="100">
        <v>44694</v>
      </c>
      <c r="L1124" s="100"/>
      <c r="M1124" s="315" t="s">
        <v>4352</v>
      </c>
      <c r="N1124" s="337" t="s">
        <v>4306</v>
      </c>
      <c r="O1124" s="266" t="s">
        <v>970</v>
      </c>
      <c r="P1124" s="102">
        <v>28379</v>
      </c>
      <c r="Q1124" s="102">
        <f>17000/2</f>
        <v>8500</v>
      </c>
      <c r="R1124" s="131"/>
      <c r="S1124" s="132"/>
      <c r="T1124" s="102">
        <v>19879</v>
      </c>
      <c r="U1124" s="100"/>
      <c r="V1124" s="102"/>
      <c r="W1124" s="45"/>
    </row>
    <row r="1125" s="40" customFormat="1" ht="22" hidden="1" customHeight="1" spans="1:23">
      <c r="A1125" s="261" t="s">
        <v>4353</v>
      </c>
      <c r="B1125" s="174" t="s">
        <v>3613</v>
      </c>
      <c r="C1125" s="175"/>
      <c r="D1125" s="45" t="s">
        <v>31</v>
      </c>
      <c r="E1125" s="82" t="s">
        <v>3927</v>
      </c>
      <c r="F1125" s="81">
        <f>IFERROR(VLOOKUP(E1125,客户!B:C,2,FALSE),"/")</f>
        <v>0</v>
      </c>
      <c r="G1125" s="307" t="s">
        <v>4091</v>
      </c>
      <c r="H1125" s="324" t="s">
        <v>123</v>
      </c>
      <c r="I1125" s="108" t="s">
        <v>3521</v>
      </c>
      <c r="J1125" s="108">
        <v>44679</v>
      </c>
      <c r="K1125" s="100">
        <v>44701</v>
      </c>
      <c r="L1125" s="100"/>
      <c r="M1125" s="315" t="s">
        <v>4354</v>
      </c>
      <c r="N1125" s="337" t="s">
        <v>4306</v>
      </c>
      <c r="O1125" s="266" t="s">
        <v>970</v>
      </c>
      <c r="P1125" s="102">
        <v>28057.5</v>
      </c>
      <c r="Q1125" s="102">
        <f>17000/2</f>
        <v>8500</v>
      </c>
      <c r="R1125" s="131"/>
      <c r="S1125" s="132"/>
      <c r="T1125" s="102">
        <v>19557.5</v>
      </c>
      <c r="U1125" s="100"/>
      <c r="V1125" s="102"/>
      <c r="W1125" s="45"/>
    </row>
    <row r="1126" s="40" customFormat="1" ht="22" hidden="1" customHeight="1" spans="1:23">
      <c r="A1126" s="293" t="s">
        <v>4355</v>
      </c>
      <c r="B1126" s="174" t="s">
        <v>3613</v>
      </c>
      <c r="C1126" s="175"/>
      <c r="D1126" s="45" t="s">
        <v>3</v>
      </c>
      <c r="E1126" s="82" t="s">
        <v>4126</v>
      </c>
      <c r="F1126" s="81">
        <f>IFERROR(VLOOKUP(E1126,客户!B:C,2,FALSE),"/")</f>
        <v>0</v>
      </c>
      <c r="G1126" s="307" t="s">
        <v>4091</v>
      </c>
      <c r="H1126" s="324" t="s">
        <v>123</v>
      </c>
      <c r="I1126" s="108" t="s">
        <v>3919</v>
      </c>
      <c r="J1126" s="108">
        <v>44692</v>
      </c>
      <c r="K1126" s="100"/>
      <c r="L1126" s="100"/>
      <c r="M1126" s="315" t="s">
        <v>4356</v>
      </c>
      <c r="N1126" s="337" t="s">
        <v>4357</v>
      </c>
      <c r="O1126" s="266" t="s">
        <v>523</v>
      </c>
      <c r="P1126" s="139">
        <v>31543</v>
      </c>
      <c r="Q1126" s="102">
        <v>9462.96</v>
      </c>
      <c r="R1126" s="131"/>
      <c r="S1126" s="132"/>
      <c r="T1126" s="240"/>
      <c r="U1126" s="100"/>
      <c r="V1126" s="102"/>
      <c r="W1126" s="45"/>
    </row>
    <row r="1127" s="40" customFormat="1" ht="22" hidden="1" customHeight="1" spans="1:23">
      <c r="A1127" s="293" t="s">
        <v>4358</v>
      </c>
      <c r="B1127" s="174" t="s">
        <v>3613</v>
      </c>
      <c r="C1127" s="175"/>
      <c r="D1127" s="45" t="s">
        <v>3</v>
      </c>
      <c r="E1127" s="82" t="s">
        <v>3923</v>
      </c>
      <c r="F1127" s="81">
        <f>IFERROR(VLOOKUP(E1127,客户!B:C,2,FALSE),"/")</f>
        <v>0</v>
      </c>
      <c r="G1127" s="307" t="s">
        <v>4359</v>
      </c>
      <c r="H1127" s="324" t="s">
        <v>186</v>
      </c>
      <c r="I1127" s="108"/>
      <c r="J1127" s="108">
        <v>44698</v>
      </c>
      <c r="K1127" s="100"/>
      <c r="L1127" s="100"/>
      <c r="M1127" s="315" t="s">
        <v>4360</v>
      </c>
      <c r="N1127" s="337"/>
      <c r="O1127" s="266" t="s">
        <v>970</v>
      </c>
      <c r="P1127" s="240">
        <v>44649.5</v>
      </c>
      <c r="Q1127" s="240">
        <v>13000</v>
      </c>
      <c r="R1127" s="131"/>
      <c r="S1127" s="132"/>
      <c r="T1127" s="240"/>
      <c r="U1127" s="100"/>
      <c r="V1127" s="102"/>
      <c r="W1127" s="45"/>
    </row>
    <row r="1128" s="40" customFormat="1" ht="22" hidden="1" customHeight="1" spans="1:23">
      <c r="A1128" s="293" t="s">
        <v>4361</v>
      </c>
      <c r="B1128" s="174" t="s">
        <v>3613</v>
      </c>
      <c r="C1128" s="175"/>
      <c r="D1128" s="45" t="s">
        <v>3</v>
      </c>
      <c r="E1128" s="82" t="s">
        <v>3900</v>
      </c>
      <c r="F1128" s="81">
        <f>IFERROR(VLOOKUP(E1128,客户!B:C,2,FALSE),"/")</f>
        <v>0</v>
      </c>
      <c r="G1128" s="307" t="s">
        <v>4318</v>
      </c>
      <c r="H1128" s="324" t="s">
        <v>147</v>
      </c>
      <c r="I1128" s="108" t="s">
        <v>4041</v>
      </c>
      <c r="J1128" s="108">
        <v>44724</v>
      </c>
      <c r="K1128" s="100"/>
      <c r="L1128" s="100"/>
      <c r="M1128" s="315" t="s">
        <v>4362</v>
      </c>
      <c r="N1128" s="337"/>
      <c r="O1128" s="266" t="s">
        <v>970</v>
      </c>
      <c r="P1128" s="139">
        <v>31716</v>
      </c>
      <c r="Q1128" s="240"/>
      <c r="R1128" s="131"/>
      <c r="S1128" s="132"/>
      <c r="T1128" s="240"/>
      <c r="U1128" s="100"/>
      <c r="V1128" s="102"/>
      <c r="W1128" s="45"/>
    </row>
    <row r="1129" s="40" customFormat="1" ht="22" hidden="1" customHeight="1" spans="1:23">
      <c r="A1129" s="293" t="s">
        <v>4363</v>
      </c>
      <c r="B1129" s="174" t="s">
        <v>3613</v>
      </c>
      <c r="C1129" s="175"/>
      <c r="D1129" s="45" t="s">
        <v>3</v>
      </c>
      <c r="E1129" s="82" t="s">
        <v>3900</v>
      </c>
      <c r="F1129" s="81">
        <f>IFERROR(VLOOKUP(E1129,客户!B:C,2,FALSE),"/")</f>
        <v>0</v>
      </c>
      <c r="G1129" s="307" t="s">
        <v>4318</v>
      </c>
      <c r="H1129" s="324" t="s">
        <v>147</v>
      </c>
      <c r="I1129" s="108" t="s">
        <v>4041</v>
      </c>
      <c r="J1129" s="108">
        <v>44725</v>
      </c>
      <c r="K1129" s="100"/>
      <c r="L1129" s="100"/>
      <c r="M1129" s="315" t="s">
        <v>4364</v>
      </c>
      <c r="N1129" s="337"/>
      <c r="O1129" s="266" t="s">
        <v>970</v>
      </c>
      <c r="P1129" s="139">
        <v>31716</v>
      </c>
      <c r="Q1129" s="240"/>
      <c r="R1129" s="131"/>
      <c r="S1129" s="132"/>
      <c r="T1129" s="240"/>
      <c r="U1129" s="100"/>
      <c r="V1129" s="102"/>
      <c r="W1129" s="45"/>
    </row>
    <row r="1130" s="40" customFormat="1" ht="22" hidden="1" customHeight="1" spans="1:23">
      <c r="A1130" s="293" t="s">
        <v>4365</v>
      </c>
      <c r="B1130" s="174" t="s">
        <v>3613</v>
      </c>
      <c r="C1130" s="175"/>
      <c r="D1130" s="45" t="s">
        <v>3</v>
      </c>
      <c r="E1130" s="82" t="s">
        <v>4366</v>
      </c>
      <c r="F1130" s="81">
        <f>IFERROR(VLOOKUP(E1130,客户!B:C,2,FALSE),"/")</f>
        <v>0</v>
      </c>
      <c r="G1130" s="307" t="s">
        <v>4367</v>
      </c>
      <c r="H1130" s="324" t="s">
        <v>186</v>
      </c>
      <c r="I1130" s="108"/>
      <c r="J1130" s="108">
        <v>44725</v>
      </c>
      <c r="K1130" s="100"/>
      <c r="L1130" s="100"/>
      <c r="M1130" s="315"/>
      <c r="N1130" s="337"/>
      <c r="O1130" s="266" t="s">
        <v>970</v>
      </c>
      <c r="P1130" s="240">
        <v>3958.5</v>
      </c>
      <c r="Q1130" s="240">
        <v>3958.5</v>
      </c>
      <c r="R1130" s="131"/>
      <c r="S1130" s="132"/>
      <c r="T1130" s="240"/>
      <c r="U1130" s="100"/>
      <c r="V1130" s="102"/>
      <c r="W1130" s="45"/>
    </row>
    <row r="1131" s="43" customFormat="1" ht="22" hidden="1" customHeight="1" spans="1:23">
      <c r="A1131" s="255"/>
      <c r="B1131" s="174"/>
      <c r="C1131" s="175"/>
      <c r="D1131" s="45"/>
      <c r="E1131" s="80"/>
      <c r="F1131" s="81" t="str">
        <f>IFERROR(VLOOKUP(E1131,客户!B:C,2,FALSE),"/")</f>
        <v>/</v>
      </c>
      <c r="G1131" s="45"/>
      <c r="H1131" s="143"/>
      <c r="I1131" s="108"/>
      <c r="J1131" s="108"/>
      <c r="K1131" s="100"/>
      <c r="L1131" s="197"/>
      <c r="M1131" s="181"/>
      <c r="N1131" s="102"/>
      <c r="O1131" s="104"/>
      <c r="P1131" s="230"/>
      <c r="Q1131" s="317"/>
      <c r="R1131" s="131"/>
      <c r="S1131" s="132"/>
      <c r="T1131" s="317"/>
      <c r="U1131" s="100"/>
      <c r="V1131" s="102"/>
      <c r="W1131" s="210"/>
    </row>
    <row r="1132" s="43" customFormat="1" ht="22" hidden="1" customHeight="1" spans="1:23">
      <c r="A1132" s="144" t="s">
        <v>4368</v>
      </c>
      <c r="B1132" s="174" t="s">
        <v>3613</v>
      </c>
      <c r="C1132" s="175"/>
      <c r="D1132" s="45" t="s">
        <v>31</v>
      </c>
      <c r="E1132" s="82" t="s">
        <v>4369</v>
      </c>
      <c r="F1132" s="81">
        <f>IFERROR(VLOOKUP(E1132,客户!B:C,2,FALSE),"/")</f>
        <v>0</v>
      </c>
      <c r="G1132" s="45" t="s">
        <v>4370</v>
      </c>
      <c r="H1132" s="143"/>
      <c r="I1132" s="108"/>
      <c r="J1132" s="108">
        <v>43816</v>
      </c>
      <c r="K1132" s="100">
        <v>43820</v>
      </c>
      <c r="L1132" s="197"/>
      <c r="M1132" s="181" t="s">
        <v>4371</v>
      </c>
      <c r="N1132" s="102"/>
      <c r="O1132" s="104" t="s">
        <v>970</v>
      </c>
      <c r="P1132" s="240">
        <v>16250</v>
      </c>
      <c r="Q1132" s="317"/>
      <c r="R1132" s="131"/>
      <c r="S1132" s="132"/>
      <c r="T1132" s="240">
        <v>16250</v>
      </c>
      <c r="U1132" s="100"/>
      <c r="V1132" s="102"/>
      <c r="W1132" s="210"/>
    </row>
    <row r="1133" s="43" customFormat="1" ht="22" hidden="1" customHeight="1" spans="1:23">
      <c r="A1133" s="144" t="s">
        <v>4372</v>
      </c>
      <c r="B1133" s="174" t="s">
        <v>3613</v>
      </c>
      <c r="C1133" s="175"/>
      <c r="D1133" s="45" t="s">
        <v>31</v>
      </c>
      <c r="E1133" s="82" t="s">
        <v>4373</v>
      </c>
      <c r="F1133" s="81">
        <f>IFERROR(VLOOKUP(E1133,客户!B:C,2,FALSE),"/")</f>
        <v>0</v>
      </c>
      <c r="G1133" s="45" t="s">
        <v>4374</v>
      </c>
      <c r="H1133" s="143" t="s">
        <v>147</v>
      </c>
      <c r="I1133" s="108" t="s">
        <v>4375</v>
      </c>
      <c r="J1133" s="108">
        <v>43882</v>
      </c>
      <c r="K1133" s="100">
        <v>44015</v>
      </c>
      <c r="L1133" s="100">
        <v>44054</v>
      </c>
      <c r="M1133" s="165" t="s">
        <v>4376</v>
      </c>
      <c r="N1133" s="246" t="s">
        <v>4377</v>
      </c>
      <c r="O1133" s="104" t="s">
        <v>523</v>
      </c>
      <c r="P1133" s="230">
        <v>25858.16</v>
      </c>
      <c r="Q1133" s="102">
        <v>5000</v>
      </c>
      <c r="R1133" s="131"/>
      <c r="S1133" s="132"/>
      <c r="T1133" s="102">
        <v>20858.16</v>
      </c>
      <c r="U1133" s="100"/>
      <c r="V1133" s="345" t="s">
        <v>4378</v>
      </c>
      <c r="W1133" s="210"/>
    </row>
    <row r="1134" s="43" customFormat="1" ht="22" hidden="1" customHeight="1" spans="1:23">
      <c r="A1134" s="144" t="s">
        <v>4379</v>
      </c>
      <c r="B1134" s="174" t="s">
        <v>3613</v>
      </c>
      <c r="C1134" s="175"/>
      <c r="D1134" s="45" t="s">
        <v>31</v>
      </c>
      <c r="E1134" s="82" t="s">
        <v>4373</v>
      </c>
      <c r="F1134" s="81">
        <f>IFERROR(VLOOKUP(E1134,客户!B:C,2,FALSE),"/")</f>
        <v>0</v>
      </c>
      <c r="G1134" s="45" t="s">
        <v>4374</v>
      </c>
      <c r="H1134" s="143" t="s">
        <v>147</v>
      </c>
      <c r="I1134" s="108" t="s">
        <v>4375</v>
      </c>
      <c r="J1134" s="108">
        <v>43882</v>
      </c>
      <c r="K1134" s="100">
        <v>43932</v>
      </c>
      <c r="L1134" s="100">
        <v>43956</v>
      </c>
      <c r="M1134" s="340" t="s">
        <v>4380</v>
      </c>
      <c r="N1134" s="246" t="s">
        <v>4381</v>
      </c>
      <c r="O1134" s="104" t="s">
        <v>523</v>
      </c>
      <c r="P1134" s="230">
        <v>25792.16</v>
      </c>
      <c r="Q1134" s="230">
        <v>5000</v>
      </c>
      <c r="R1134" s="131"/>
      <c r="S1134" s="132"/>
      <c r="T1134" s="102">
        <v>20725.69</v>
      </c>
      <c r="U1134" s="100"/>
      <c r="V1134" s="246" t="s">
        <v>4382</v>
      </c>
      <c r="W1134" s="210"/>
    </row>
    <row r="1135" s="40" customFormat="1" ht="22" hidden="1" customHeight="1" spans="1:23">
      <c r="A1135" s="144" t="s">
        <v>4383</v>
      </c>
      <c r="B1135" s="174" t="s">
        <v>3613</v>
      </c>
      <c r="C1135" s="175"/>
      <c r="D1135" s="45" t="s">
        <v>31</v>
      </c>
      <c r="E1135" s="82" t="s">
        <v>4369</v>
      </c>
      <c r="F1135" s="81">
        <f>IFERROR(VLOOKUP(E1135,客户!B:C,2,FALSE),"/")</f>
        <v>0</v>
      </c>
      <c r="G1135" s="229" t="s">
        <v>4384</v>
      </c>
      <c r="H1135" s="45" t="s">
        <v>186</v>
      </c>
      <c r="I1135" s="45"/>
      <c r="J1135" s="108">
        <v>43964</v>
      </c>
      <c r="K1135" s="100">
        <v>44019</v>
      </c>
      <c r="L1135" s="197"/>
      <c r="M1135" s="337" t="s">
        <v>4385</v>
      </c>
      <c r="N1135" s="143"/>
      <c r="O1135" s="143"/>
      <c r="P1135" s="240">
        <v>46250.78</v>
      </c>
      <c r="Q1135" s="102"/>
      <c r="R1135" s="131"/>
      <c r="S1135" s="132"/>
      <c r="T1135" s="240">
        <v>46250.78</v>
      </c>
      <c r="U1135" s="100"/>
      <c r="V1135" s="102"/>
      <c r="W1135" s="45"/>
    </row>
    <row r="1136" s="40" customFormat="1" ht="22" hidden="1" customHeight="1" spans="1:23">
      <c r="A1136" s="144" t="s">
        <v>4386</v>
      </c>
      <c r="B1136" s="174" t="s">
        <v>3613</v>
      </c>
      <c r="C1136" s="175"/>
      <c r="D1136" s="45" t="s">
        <v>31</v>
      </c>
      <c r="E1136" s="82" t="s">
        <v>4387</v>
      </c>
      <c r="F1136" s="81">
        <f>IFERROR(VLOOKUP(E1136,客户!B:C,2,FALSE),"/")</f>
        <v>0</v>
      </c>
      <c r="G1136" s="229" t="s">
        <v>4388</v>
      </c>
      <c r="H1136" s="45" t="s">
        <v>123</v>
      </c>
      <c r="I1136" s="45" t="s">
        <v>4389</v>
      </c>
      <c r="J1136" s="108">
        <v>44060</v>
      </c>
      <c r="K1136" s="100">
        <v>44095</v>
      </c>
      <c r="L1136" s="100">
        <v>44132</v>
      </c>
      <c r="M1136" s="229" t="s">
        <v>4390</v>
      </c>
      <c r="N1136" s="337" t="s">
        <v>4391</v>
      </c>
      <c r="O1136" s="104" t="s">
        <v>1283</v>
      </c>
      <c r="P1136" s="102">
        <v>12374.52</v>
      </c>
      <c r="Q1136" s="102"/>
      <c r="R1136" s="131"/>
      <c r="S1136" s="132"/>
      <c r="T1136" s="102">
        <v>12374.52</v>
      </c>
      <c r="U1136" s="100"/>
      <c r="V1136" s="102"/>
      <c r="W1136" s="45"/>
    </row>
    <row r="1137" s="43" customFormat="1" ht="22" hidden="1" customHeight="1" spans="1:23">
      <c r="A1137" s="144" t="s">
        <v>4392</v>
      </c>
      <c r="B1137" s="174" t="s">
        <v>3613</v>
      </c>
      <c r="C1137" s="175"/>
      <c r="D1137" s="45" t="s">
        <v>31</v>
      </c>
      <c r="E1137" s="82" t="s">
        <v>4393</v>
      </c>
      <c r="F1137" s="81">
        <f>IFERROR(VLOOKUP(E1137,客户!B:C,2,FALSE),"/")</f>
        <v>0</v>
      </c>
      <c r="G1137" s="45" t="s">
        <v>2106</v>
      </c>
      <c r="H1137" s="143" t="s">
        <v>147</v>
      </c>
      <c r="I1137" s="108" t="s">
        <v>4375</v>
      </c>
      <c r="J1137" s="108">
        <v>44061</v>
      </c>
      <c r="K1137" s="100">
        <v>44100</v>
      </c>
      <c r="L1137" s="100">
        <v>44145</v>
      </c>
      <c r="M1137" s="165" t="s">
        <v>4394</v>
      </c>
      <c r="N1137" s="246" t="s">
        <v>4395</v>
      </c>
      <c r="O1137" s="104" t="s">
        <v>523</v>
      </c>
      <c r="P1137" s="230">
        <v>25722.14</v>
      </c>
      <c r="Q1137" s="102">
        <v>4142</v>
      </c>
      <c r="R1137" s="131"/>
      <c r="S1137" s="132"/>
      <c r="T1137" s="322">
        <v>21580.14</v>
      </c>
      <c r="U1137" s="100"/>
      <c r="V1137" s="102"/>
      <c r="W1137" s="210"/>
    </row>
    <row r="1138" s="43" customFormat="1" ht="22" hidden="1" customHeight="1" spans="1:23">
      <c r="A1138" s="145" t="s">
        <v>4396</v>
      </c>
      <c r="B1138" s="174" t="s">
        <v>3613</v>
      </c>
      <c r="C1138" s="175"/>
      <c r="D1138" s="45" t="s">
        <v>31</v>
      </c>
      <c r="E1138" s="82" t="s">
        <v>4393</v>
      </c>
      <c r="F1138" s="81">
        <f>IFERROR(VLOOKUP(E1138,客户!B:C,2,FALSE),"/")</f>
        <v>0</v>
      </c>
      <c r="G1138" s="45" t="s">
        <v>2106</v>
      </c>
      <c r="H1138" s="143" t="s">
        <v>147</v>
      </c>
      <c r="I1138" s="108" t="s">
        <v>4375</v>
      </c>
      <c r="J1138" s="108">
        <v>44061</v>
      </c>
      <c r="K1138" s="100">
        <v>44440</v>
      </c>
      <c r="L1138" s="100">
        <v>44475</v>
      </c>
      <c r="M1138" s="165" t="s">
        <v>4397</v>
      </c>
      <c r="N1138" s="246" t="s">
        <v>4398</v>
      </c>
      <c r="O1138" s="104" t="s">
        <v>523</v>
      </c>
      <c r="P1138" s="230">
        <v>35514.44</v>
      </c>
      <c r="Q1138" s="230">
        <v>7716.64</v>
      </c>
      <c r="R1138" s="131"/>
      <c r="S1138" s="132"/>
      <c r="T1138" s="230">
        <v>27798</v>
      </c>
      <c r="U1138" s="100"/>
      <c r="V1138" s="102"/>
      <c r="W1138" s="210"/>
    </row>
    <row r="1139" s="43" customFormat="1" ht="22" hidden="1" customHeight="1" spans="1:23">
      <c r="A1139" s="144" t="s">
        <v>4399</v>
      </c>
      <c r="B1139" s="174" t="s">
        <v>3613</v>
      </c>
      <c r="C1139" s="175"/>
      <c r="D1139" s="45" t="s">
        <v>31</v>
      </c>
      <c r="E1139" s="82" t="s">
        <v>4387</v>
      </c>
      <c r="F1139" s="81">
        <f>IFERROR(VLOOKUP(E1139,客户!B:C,2,FALSE),"/")</f>
        <v>0</v>
      </c>
      <c r="G1139" s="350" t="s">
        <v>4400</v>
      </c>
      <c r="H1139" s="143" t="s">
        <v>123</v>
      </c>
      <c r="I1139" s="108" t="s">
        <v>4389</v>
      </c>
      <c r="J1139" s="108">
        <v>44229</v>
      </c>
      <c r="K1139" s="100">
        <v>44240</v>
      </c>
      <c r="L1139" s="100">
        <v>44310</v>
      </c>
      <c r="M1139" s="165" t="s">
        <v>4401</v>
      </c>
      <c r="N1139" s="246" t="s">
        <v>4402</v>
      </c>
      <c r="O1139" s="104" t="s">
        <v>523</v>
      </c>
      <c r="P1139" s="230">
        <v>18161.64</v>
      </c>
      <c r="Q1139" s="230">
        <v>6216.88</v>
      </c>
      <c r="R1139" s="131"/>
      <c r="S1139" s="132"/>
      <c r="T1139" s="230">
        <v>11944.76</v>
      </c>
      <c r="U1139" s="100"/>
      <c r="V1139" s="102"/>
      <c r="W1139" s="210"/>
    </row>
    <row r="1140" s="43" customFormat="1" ht="22" hidden="1" customHeight="1" spans="1:23">
      <c r="A1140" s="144" t="s">
        <v>4403</v>
      </c>
      <c r="B1140" s="174" t="s">
        <v>3613</v>
      </c>
      <c r="C1140" s="175"/>
      <c r="D1140" s="45" t="s">
        <v>31</v>
      </c>
      <c r="E1140" s="82" t="s">
        <v>4219</v>
      </c>
      <c r="F1140" s="81"/>
      <c r="G1140" s="350" t="s">
        <v>4404</v>
      </c>
      <c r="H1140" s="143" t="s">
        <v>123</v>
      </c>
      <c r="I1140" s="108" t="s">
        <v>4221</v>
      </c>
      <c r="J1140" s="108">
        <v>44536</v>
      </c>
      <c r="K1140" s="100">
        <v>44565</v>
      </c>
      <c r="L1140" s="100"/>
      <c r="M1140" s="165" t="s">
        <v>4405</v>
      </c>
      <c r="N1140" s="246"/>
      <c r="O1140" s="104" t="s">
        <v>970</v>
      </c>
      <c r="P1140" s="230">
        <v>28262.98</v>
      </c>
      <c r="Q1140" s="230">
        <v>6471.9</v>
      </c>
      <c r="R1140" s="131"/>
      <c r="S1140" s="132"/>
      <c r="T1140" s="230">
        <v>21791.08</v>
      </c>
      <c r="U1140" s="100"/>
      <c r="V1140" s="102"/>
      <c r="W1140" s="210"/>
    </row>
    <row r="1141" s="43" customFormat="1" ht="22" hidden="1" customHeight="1" spans="1:23">
      <c r="A1141" s="255"/>
      <c r="B1141" s="174"/>
      <c r="C1141" s="175"/>
      <c r="D1141" s="45"/>
      <c r="E1141" s="80"/>
      <c r="F1141" s="81" t="str">
        <f>IFERROR(VLOOKUP(E1141,客户!B:C,2,FALSE),"/")</f>
        <v>/</v>
      </c>
      <c r="G1141" s="45"/>
      <c r="H1141" s="143"/>
      <c r="I1141" s="108"/>
      <c r="J1141" s="108"/>
      <c r="K1141" s="100"/>
      <c r="L1141" s="197"/>
      <c r="M1141" s="181"/>
      <c r="N1141" s="102"/>
      <c r="O1141" s="104"/>
      <c r="P1141" s="230"/>
      <c r="Q1141" s="317"/>
      <c r="R1141" s="131"/>
      <c r="S1141" s="132"/>
      <c r="T1141" s="317"/>
      <c r="U1141" s="100"/>
      <c r="V1141" s="102"/>
      <c r="W1141" s="210"/>
    </row>
    <row r="1142" s="39" customFormat="1" ht="22" hidden="1" customHeight="1" spans="1:21">
      <c r="A1142" s="351" t="s">
        <v>4406</v>
      </c>
      <c r="B1142" s="273"/>
      <c r="C1142" s="274"/>
      <c r="D1142" s="45"/>
      <c r="E1142" s="80"/>
      <c r="F1142" s="81" t="str">
        <f>IFERROR(VLOOKUP(E1142,客户!B:C,2,FALSE),"/")</f>
        <v>/</v>
      </c>
      <c r="I1142" s="45"/>
      <c r="K1142" s="353"/>
      <c r="L1142" s="100"/>
      <c r="O1142" s="104"/>
      <c r="P1142" s="39" t="s">
        <v>192</v>
      </c>
      <c r="R1142" s="131"/>
      <c r="S1142" s="132"/>
      <c r="T1142" s="42"/>
      <c r="U1142" s="100"/>
    </row>
    <row r="1143" s="39" customFormat="1" ht="22" hidden="1" customHeight="1" spans="1:21">
      <c r="A1143" s="144" t="s">
        <v>4407</v>
      </c>
      <c r="B1143" s="273" t="s">
        <v>4408</v>
      </c>
      <c r="C1143" s="274"/>
      <c r="D1143" s="45" t="s">
        <v>31</v>
      </c>
      <c r="E1143" s="80" t="s">
        <v>4409</v>
      </c>
      <c r="F1143" s="81">
        <f>IFERROR(VLOOKUP(E1143,客户!B:C,2,FALSE),"/")</f>
        <v>0</v>
      </c>
      <c r="G1143" s="45" t="s">
        <v>4410</v>
      </c>
      <c r="H1143" s="45" t="s">
        <v>123</v>
      </c>
      <c r="I1143" s="45" t="s">
        <v>223</v>
      </c>
      <c r="J1143" s="108">
        <v>43788</v>
      </c>
      <c r="K1143" s="100">
        <v>43471</v>
      </c>
      <c r="L1143" s="100">
        <v>43867</v>
      </c>
      <c r="M1143" s="354" t="s">
        <v>4411</v>
      </c>
      <c r="N1143" s="355" t="s">
        <v>4412</v>
      </c>
      <c r="O1143" s="104" t="s">
        <v>523</v>
      </c>
      <c r="P1143" s="102">
        <v>21034.25</v>
      </c>
      <c r="Q1143" s="102">
        <v>6025</v>
      </c>
      <c r="R1143" s="131"/>
      <c r="S1143" s="132"/>
      <c r="T1143" s="102">
        <v>14999.25</v>
      </c>
      <c r="U1143" s="100">
        <v>43864</v>
      </c>
    </row>
    <row r="1144" s="39" customFormat="1" ht="22" hidden="1" customHeight="1" spans="1:22">
      <c r="A1144" s="144" t="s">
        <v>4413</v>
      </c>
      <c r="B1144" s="273" t="s">
        <v>4408</v>
      </c>
      <c r="C1144" s="274"/>
      <c r="D1144" s="45" t="s">
        <v>31</v>
      </c>
      <c r="E1144" s="80" t="s">
        <v>4414</v>
      </c>
      <c r="F1144" s="81">
        <f>IFERROR(VLOOKUP(E1144,客户!B:C,2,FALSE),"/")</f>
        <v>0</v>
      </c>
      <c r="G1144" s="45" t="s">
        <v>4415</v>
      </c>
      <c r="H1144" s="45" t="s">
        <v>123</v>
      </c>
      <c r="I1144" s="45" t="s">
        <v>4416</v>
      </c>
      <c r="J1144" s="108">
        <v>43809</v>
      </c>
      <c r="K1144" s="100">
        <v>43898</v>
      </c>
      <c r="L1144" s="100">
        <v>43947</v>
      </c>
      <c r="M1144" s="42" t="s">
        <v>4417</v>
      </c>
      <c r="N1144" s="45" t="s">
        <v>4418</v>
      </c>
      <c r="O1144" s="104" t="s">
        <v>523</v>
      </c>
      <c r="P1144" s="102">
        <v>19398.29</v>
      </c>
      <c r="Q1144" s="102">
        <v>6597</v>
      </c>
      <c r="R1144" s="284">
        <v>0</v>
      </c>
      <c r="S1144" s="132"/>
      <c r="T1144" s="102">
        <f>5000+5284+2517</f>
        <v>12801</v>
      </c>
      <c r="U1144" s="100">
        <v>43886</v>
      </c>
      <c r="V1144" s="275" t="s">
        <v>4419</v>
      </c>
    </row>
    <row r="1145" s="39" customFormat="1" ht="22" hidden="1" customHeight="1" spans="1:21">
      <c r="A1145" s="144" t="s">
        <v>4420</v>
      </c>
      <c r="B1145" s="273" t="s">
        <v>4408</v>
      </c>
      <c r="C1145" s="274"/>
      <c r="D1145" s="45" t="s">
        <v>31</v>
      </c>
      <c r="E1145" s="80" t="s">
        <v>4421</v>
      </c>
      <c r="F1145" s="81">
        <f>IFERROR(VLOOKUP(E1145,客户!B:C,2,FALSE),"/")</f>
        <v>0</v>
      </c>
      <c r="G1145" s="45" t="s">
        <v>4422</v>
      </c>
      <c r="H1145" s="45" t="s">
        <v>147</v>
      </c>
      <c r="I1145" s="45" t="s">
        <v>4423</v>
      </c>
      <c r="J1145" s="108">
        <v>43824</v>
      </c>
      <c r="K1145" s="100">
        <v>43902</v>
      </c>
      <c r="L1145" s="100">
        <v>43922</v>
      </c>
      <c r="M1145" s="42" t="s">
        <v>4424</v>
      </c>
      <c r="N1145" s="229" t="s">
        <v>4425</v>
      </c>
      <c r="O1145" s="104" t="s">
        <v>523</v>
      </c>
      <c r="P1145" s="102">
        <v>8934.34</v>
      </c>
      <c r="Q1145" s="102">
        <v>2750</v>
      </c>
      <c r="R1145" s="284"/>
      <c r="S1145" s="132"/>
      <c r="T1145" s="102">
        <v>6140.61</v>
      </c>
      <c r="U1145" s="100"/>
    </row>
    <row r="1146" s="39" customFormat="1" ht="22" hidden="1" customHeight="1" spans="1:22">
      <c r="A1146" s="144" t="s">
        <v>4426</v>
      </c>
      <c r="B1146" s="273" t="s">
        <v>4408</v>
      </c>
      <c r="C1146" s="274"/>
      <c r="D1146" s="45" t="s">
        <v>31</v>
      </c>
      <c r="E1146" s="80" t="s">
        <v>4427</v>
      </c>
      <c r="F1146" s="81">
        <f>IFERROR(VLOOKUP(E1146,客户!B:C,2,FALSE),"/")</f>
        <v>0</v>
      </c>
      <c r="G1146" s="45" t="s">
        <v>4422</v>
      </c>
      <c r="H1146" s="45" t="s">
        <v>123</v>
      </c>
      <c r="I1146" s="45" t="s">
        <v>4423</v>
      </c>
      <c r="J1146" s="108">
        <v>43823</v>
      </c>
      <c r="K1146" s="100">
        <v>43919</v>
      </c>
      <c r="L1146" s="100">
        <v>43941</v>
      </c>
      <c r="M1146" s="42" t="s">
        <v>4428</v>
      </c>
      <c r="N1146" s="275" t="s">
        <v>4429</v>
      </c>
      <c r="O1146" s="104" t="s">
        <v>523</v>
      </c>
      <c r="P1146" s="230">
        <f>10014.3+308</f>
        <v>10322.3</v>
      </c>
      <c r="Q1146" s="102">
        <v>2011</v>
      </c>
      <c r="R1146" s="284"/>
      <c r="S1146" s="132"/>
      <c r="T1146" s="102">
        <v>8266.81</v>
      </c>
      <c r="U1146" s="100"/>
      <c r="V1146" s="275" t="s">
        <v>4430</v>
      </c>
    </row>
    <row r="1147" s="39" customFormat="1" ht="22" hidden="1" customHeight="1" spans="1:22">
      <c r="A1147" s="144" t="s">
        <v>4431</v>
      </c>
      <c r="B1147" s="273" t="s">
        <v>4408</v>
      </c>
      <c r="C1147" s="274"/>
      <c r="D1147" s="45" t="s">
        <v>31</v>
      </c>
      <c r="E1147" s="80" t="s">
        <v>4432</v>
      </c>
      <c r="F1147" s="81">
        <f>IFERROR(VLOOKUP(E1147,客户!B:C,2,FALSE),"/")</f>
        <v>0</v>
      </c>
      <c r="G1147" s="45" t="s">
        <v>4433</v>
      </c>
      <c r="H1147" s="45" t="s">
        <v>147</v>
      </c>
      <c r="I1147" s="45" t="s">
        <v>4434</v>
      </c>
      <c r="J1147" s="355">
        <v>43843</v>
      </c>
      <c r="K1147" s="100">
        <v>43933</v>
      </c>
      <c r="L1147" s="100">
        <v>43981</v>
      </c>
      <c r="M1147" s="42" t="s">
        <v>4435</v>
      </c>
      <c r="N1147" s="42" t="s">
        <v>620</v>
      </c>
      <c r="O1147" s="104" t="s">
        <v>523</v>
      </c>
      <c r="P1147" s="102">
        <v>22780.9</v>
      </c>
      <c r="Q1147" s="102">
        <v>3501.89</v>
      </c>
      <c r="R1147" s="284"/>
      <c r="S1147" s="132"/>
      <c r="T1147" s="357">
        <v>18720.6</v>
      </c>
      <c r="U1147" s="100"/>
      <c r="V1147" s="229" t="s">
        <v>4436</v>
      </c>
    </row>
    <row r="1148" s="43" customFormat="1" ht="22" hidden="1" customHeight="1" spans="1:23">
      <c r="A1148" s="144" t="s">
        <v>4437</v>
      </c>
      <c r="B1148" s="273" t="s">
        <v>4408</v>
      </c>
      <c r="C1148" s="274"/>
      <c r="D1148" s="45" t="s">
        <v>31</v>
      </c>
      <c r="E1148" s="82" t="s">
        <v>4438</v>
      </c>
      <c r="F1148" s="81">
        <f>IFERROR(VLOOKUP(E1148,客户!B:C,2,FALSE),"/")</f>
        <v>0</v>
      </c>
      <c r="G1148" s="45" t="s">
        <v>4439</v>
      </c>
      <c r="H1148" s="143" t="s">
        <v>147</v>
      </c>
      <c r="I1148" s="108" t="s">
        <v>4440</v>
      </c>
      <c r="J1148" s="355">
        <v>43892</v>
      </c>
      <c r="K1148" s="100">
        <v>44008</v>
      </c>
      <c r="L1148" s="200">
        <v>44033</v>
      </c>
      <c r="M1148" s="340" t="s">
        <v>4441</v>
      </c>
      <c r="N1148" s="246" t="s">
        <v>4442</v>
      </c>
      <c r="O1148" s="104" t="s">
        <v>680</v>
      </c>
      <c r="P1148" s="230">
        <v>19001.4</v>
      </c>
      <c r="Q1148" s="102">
        <v>5700</v>
      </c>
      <c r="R1148" s="284"/>
      <c r="S1148" s="132"/>
      <c r="T1148" s="240">
        <v>55455</v>
      </c>
      <c r="U1148" s="102">
        <v>5469.4</v>
      </c>
      <c r="V1148" s="102"/>
      <c r="W1148" s="102"/>
    </row>
    <row r="1149" s="43" customFormat="1" ht="22" hidden="1" customHeight="1" spans="1:23">
      <c r="A1149" s="255"/>
      <c r="B1149" s="174"/>
      <c r="C1149" s="175"/>
      <c r="D1149" s="45"/>
      <c r="E1149" s="80"/>
      <c r="F1149" s="81"/>
      <c r="G1149" s="45"/>
      <c r="H1149" s="143"/>
      <c r="I1149" s="108"/>
      <c r="J1149" s="108"/>
      <c r="K1149" s="100"/>
      <c r="L1149" s="197"/>
      <c r="M1149" s="181"/>
      <c r="N1149" s="102"/>
      <c r="O1149" s="104"/>
      <c r="P1149" s="230"/>
      <c r="Q1149" s="317"/>
      <c r="R1149" s="284"/>
      <c r="S1149" s="132"/>
      <c r="T1149" s="317"/>
      <c r="U1149" s="100"/>
      <c r="V1149" s="102"/>
      <c r="W1149" s="210"/>
    </row>
    <row r="1150" s="43" customFormat="1" ht="22" hidden="1" customHeight="1" spans="1:23">
      <c r="A1150" s="255"/>
      <c r="B1150" s="174"/>
      <c r="C1150" s="175"/>
      <c r="D1150" s="45"/>
      <c r="E1150" s="80"/>
      <c r="F1150" s="81"/>
      <c r="G1150" s="45"/>
      <c r="H1150" s="143"/>
      <c r="I1150" s="108"/>
      <c r="J1150" s="108"/>
      <c r="K1150" s="100"/>
      <c r="L1150" s="197"/>
      <c r="M1150" s="181"/>
      <c r="N1150" s="102"/>
      <c r="O1150" s="104"/>
      <c r="P1150" s="230"/>
      <c r="Q1150" s="317"/>
      <c r="R1150" s="284"/>
      <c r="S1150" s="132"/>
      <c r="T1150" s="317"/>
      <c r="U1150" s="100"/>
      <c r="V1150" s="102"/>
      <c r="W1150" s="210"/>
    </row>
    <row r="1151" s="43" customFormat="1" ht="22" hidden="1" customHeight="1" spans="1:23">
      <c r="A1151" s="144" t="s">
        <v>4443</v>
      </c>
      <c r="B1151" s="174"/>
      <c r="C1151" s="175"/>
      <c r="D1151" s="45"/>
      <c r="E1151" s="80"/>
      <c r="F1151" s="81" t="str">
        <f>IFERROR(VLOOKUP(E1151,客户!B:C,2,FALSE),"/")</f>
        <v>/</v>
      </c>
      <c r="G1151" s="45"/>
      <c r="H1151" s="294"/>
      <c r="I1151" s="294"/>
      <c r="J1151" s="108"/>
      <c r="K1151" s="105"/>
      <c r="L1151" s="103"/>
      <c r="M1151" s="102"/>
      <c r="N1151" s="108"/>
      <c r="O1151" s="104"/>
      <c r="P1151" s="102"/>
      <c r="Q1151" s="230"/>
      <c r="R1151" s="284"/>
      <c r="S1151" s="132"/>
      <c r="T1151" s="102"/>
      <c r="U1151" s="100"/>
      <c r="V1151" s="130"/>
      <c r="W1151" s="285"/>
    </row>
    <row r="1152" s="43" customFormat="1" ht="22" hidden="1" customHeight="1" spans="1:23">
      <c r="A1152" s="144" t="s">
        <v>4444</v>
      </c>
      <c r="B1152" s="174"/>
      <c r="C1152" s="175"/>
      <c r="D1152" s="45" t="s">
        <v>31</v>
      </c>
      <c r="E1152" s="45" t="s">
        <v>4445</v>
      </c>
      <c r="F1152" s="81" t="str">
        <f>IFERROR(VLOOKUP(E1152,客户!B:C,2,FALSE),"/")</f>
        <v>/</v>
      </c>
      <c r="G1152" s="45" t="s">
        <v>4446</v>
      </c>
      <c r="H1152" s="45" t="s">
        <v>154</v>
      </c>
      <c r="I1152" s="45"/>
      <c r="J1152" s="108">
        <v>43256</v>
      </c>
      <c r="K1152" s="100"/>
      <c r="L1152" s="100"/>
      <c r="M1152" s="356" t="s">
        <v>4447</v>
      </c>
      <c r="N1152" s="162" t="s">
        <v>4448</v>
      </c>
      <c r="O1152" s="104"/>
      <c r="P1152" s="102">
        <v>23587.5</v>
      </c>
      <c r="Q1152" s="102">
        <v>5000</v>
      </c>
      <c r="R1152" s="284"/>
      <c r="S1152" s="132"/>
      <c r="T1152" s="102"/>
      <c r="U1152" s="100"/>
      <c r="V1152" s="102"/>
      <c r="W1152" s="210"/>
    </row>
    <row r="1153" s="43" customFormat="1" ht="22" hidden="1" customHeight="1" spans="1:23">
      <c r="A1153" s="45" t="s">
        <v>4449</v>
      </c>
      <c r="B1153" s="358"/>
      <c r="C1153" s="359"/>
      <c r="D1153" s="45" t="s">
        <v>31</v>
      </c>
      <c r="E1153" s="45" t="s">
        <v>4445</v>
      </c>
      <c r="F1153" s="81" t="str">
        <f>IFERROR(VLOOKUP(E1153,客户!B:C,2,FALSE),"/")</f>
        <v>/</v>
      </c>
      <c r="G1153" s="45" t="s">
        <v>4446</v>
      </c>
      <c r="H1153" s="45"/>
      <c r="I1153" s="45"/>
      <c r="J1153" s="108">
        <v>43256</v>
      </c>
      <c r="K1153" s="100"/>
      <c r="L1153" s="100"/>
      <c r="M1153" s="381" t="s">
        <v>4450</v>
      </c>
      <c r="N1153" s="108"/>
      <c r="O1153" s="104"/>
      <c r="P1153" s="102">
        <v>11917.5</v>
      </c>
      <c r="Q1153" s="102">
        <v>5000</v>
      </c>
      <c r="R1153" s="131"/>
      <c r="S1153" s="132"/>
      <c r="T1153" s="102">
        <v>18835</v>
      </c>
      <c r="U1153" s="100"/>
      <c r="V1153" s="102"/>
      <c r="W1153" s="285"/>
    </row>
    <row r="1154" s="43" customFormat="1" ht="22" hidden="1" customHeight="1" spans="1:23">
      <c r="A1154" s="145" t="s">
        <v>4451</v>
      </c>
      <c r="B1154" s="174"/>
      <c r="C1154" s="175"/>
      <c r="D1154" s="45" t="s">
        <v>31</v>
      </c>
      <c r="E1154" s="45" t="s">
        <v>4445</v>
      </c>
      <c r="F1154" s="81" t="str">
        <f>IFERROR(VLOOKUP(E1154,客户!B:C,2,FALSE),"/")</f>
        <v>/</v>
      </c>
      <c r="G1154" s="45" t="s">
        <v>4446</v>
      </c>
      <c r="H1154" s="45"/>
      <c r="I1154" s="45"/>
      <c r="J1154" s="108">
        <v>43256</v>
      </c>
      <c r="K1154" s="100"/>
      <c r="L1154" s="100"/>
      <c r="M1154" s="381" t="s">
        <v>4452</v>
      </c>
      <c r="N1154" s="381"/>
      <c r="O1154" s="104"/>
      <c r="P1154" s="102"/>
      <c r="Q1154" s="102"/>
      <c r="R1154" s="131"/>
      <c r="S1154" s="132"/>
      <c r="T1154" s="102"/>
      <c r="U1154" s="100"/>
      <c r="V1154" s="102"/>
      <c r="W1154" s="285"/>
    </row>
    <row r="1155" s="43" customFormat="1" ht="22" hidden="1" customHeight="1" spans="1:23">
      <c r="A1155" s="45" t="s">
        <v>4453</v>
      </c>
      <c r="B1155" s="358"/>
      <c r="C1155" s="359"/>
      <c r="D1155" s="45" t="s">
        <v>31</v>
      </c>
      <c r="E1155" s="229" t="s">
        <v>4454</v>
      </c>
      <c r="F1155" s="81" t="str">
        <f>IFERROR(VLOOKUP(E1155,客户!B:C,2,FALSE),"/")</f>
        <v>/</v>
      </c>
      <c r="G1155" s="45" t="s">
        <v>4455</v>
      </c>
      <c r="H1155" s="45" t="s">
        <v>154</v>
      </c>
      <c r="I1155" s="45"/>
      <c r="J1155" s="108">
        <v>43285</v>
      </c>
      <c r="K1155" s="100"/>
      <c r="L1155" s="100"/>
      <c r="M1155" s="382" t="s">
        <v>4456</v>
      </c>
      <c r="N1155" s="381" t="s">
        <v>4457</v>
      </c>
      <c r="O1155" s="104"/>
      <c r="P1155" s="102">
        <v>23050</v>
      </c>
      <c r="Q1155" s="102">
        <v>7347</v>
      </c>
      <c r="R1155" s="131"/>
      <c r="S1155" s="132"/>
      <c r="T1155" s="102">
        <v>15703</v>
      </c>
      <c r="U1155" s="100"/>
      <c r="V1155" s="102"/>
      <c r="W1155" s="285"/>
    </row>
    <row r="1156" s="43" customFormat="1" ht="22" hidden="1" customHeight="1" spans="1:23">
      <c r="A1156" s="45" t="s">
        <v>4458</v>
      </c>
      <c r="B1156" s="358"/>
      <c r="C1156" s="359"/>
      <c r="D1156" s="45" t="s">
        <v>31</v>
      </c>
      <c r="E1156" s="45" t="s">
        <v>4459</v>
      </c>
      <c r="F1156" s="81" t="str">
        <f>IFERROR(VLOOKUP(E1156,客户!B:C,2,FALSE),"/")</f>
        <v>/</v>
      </c>
      <c r="G1156" s="45" t="s">
        <v>4460</v>
      </c>
      <c r="H1156" s="45" t="s">
        <v>147</v>
      </c>
      <c r="I1156" s="45"/>
      <c r="J1156" s="108">
        <v>43291</v>
      </c>
      <c r="K1156" s="100"/>
      <c r="L1156" s="100"/>
      <c r="M1156" s="383" t="s">
        <v>4461</v>
      </c>
      <c r="N1156" s="384" t="s">
        <v>4462</v>
      </c>
      <c r="O1156" s="104"/>
      <c r="P1156" s="102">
        <v>23508</v>
      </c>
      <c r="Q1156" s="102">
        <v>7190</v>
      </c>
      <c r="R1156" s="284"/>
      <c r="S1156" s="132"/>
      <c r="T1156" s="102"/>
      <c r="U1156" s="100"/>
      <c r="V1156" s="102"/>
      <c r="W1156" s="285"/>
    </row>
    <row r="1157" s="43" customFormat="1" ht="22" hidden="1" customHeight="1" spans="1:23">
      <c r="A1157" s="360" t="s">
        <v>4463</v>
      </c>
      <c r="B1157" s="361"/>
      <c r="C1157" s="362"/>
      <c r="D1157" s="45" t="s">
        <v>31</v>
      </c>
      <c r="E1157" s="45" t="s">
        <v>4464</v>
      </c>
      <c r="F1157" s="81">
        <f>IFERROR(VLOOKUP(E1157,客户!B:C,2,FALSE),"/")</f>
        <v>0</v>
      </c>
      <c r="G1157" s="45" t="s">
        <v>4465</v>
      </c>
      <c r="H1157" s="45" t="s">
        <v>123</v>
      </c>
      <c r="I1157" s="45"/>
      <c r="J1157" s="108">
        <v>43363</v>
      </c>
      <c r="K1157" s="100"/>
      <c r="L1157" s="100"/>
      <c r="M1157" s="381" t="s">
        <v>4466</v>
      </c>
      <c r="N1157" s="381" t="s">
        <v>4467</v>
      </c>
      <c r="O1157" s="104"/>
      <c r="P1157" s="102">
        <v>43481.13</v>
      </c>
      <c r="Q1157" s="102">
        <f>P1157</f>
        <v>43481.13</v>
      </c>
      <c r="R1157" s="131">
        <v>0</v>
      </c>
      <c r="S1157" s="132"/>
      <c r="T1157" s="102"/>
      <c r="U1157" s="100"/>
      <c r="V1157" s="102"/>
      <c r="W1157" s="285"/>
    </row>
    <row r="1158" s="43" customFormat="1" ht="22" hidden="1" customHeight="1" spans="1:23">
      <c r="A1158" s="144" t="s">
        <v>4468</v>
      </c>
      <c r="B1158" s="174"/>
      <c r="C1158" s="175"/>
      <c r="D1158" s="45" t="s">
        <v>31</v>
      </c>
      <c r="E1158" s="45" t="s">
        <v>4469</v>
      </c>
      <c r="F1158" s="81" t="str">
        <f>IFERROR(VLOOKUP(E1158,客户!B:C,2,FALSE),"/")</f>
        <v>/</v>
      </c>
      <c r="G1158" s="45" t="s">
        <v>4470</v>
      </c>
      <c r="H1158" s="45" t="s">
        <v>123</v>
      </c>
      <c r="I1158" s="45"/>
      <c r="J1158" s="108">
        <v>43368</v>
      </c>
      <c r="K1158" s="100"/>
      <c r="L1158" s="100"/>
      <c r="M1158" s="384" t="s">
        <v>4471</v>
      </c>
      <c r="N1158" s="381" t="s">
        <v>4472</v>
      </c>
      <c r="O1158" s="104"/>
      <c r="P1158" s="102">
        <v>45658.55</v>
      </c>
      <c r="Q1158" s="102">
        <v>13500</v>
      </c>
      <c r="R1158" s="131"/>
      <c r="S1158" s="132"/>
      <c r="T1158" s="102">
        <v>32120</v>
      </c>
      <c r="U1158" s="100"/>
      <c r="V1158" s="102"/>
      <c r="W1158" s="210"/>
    </row>
    <row r="1159" s="43" customFormat="1" ht="22" hidden="1" customHeight="1" spans="1:23">
      <c r="A1159" s="144" t="s">
        <v>4473</v>
      </c>
      <c r="B1159" s="174"/>
      <c r="C1159" s="175"/>
      <c r="D1159" s="45" t="s">
        <v>31</v>
      </c>
      <c r="E1159" s="45" t="s">
        <v>4474</v>
      </c>
      <c r="F1159" s="81" t="str">
        <f>IFERROR(VLOOKUP(E1159,客户!B:C,2,FALSE),"/")</f>
        <v>/</v>
      </c>
      <c r="G1159" s="45" t="s">
        <v>4475</v>
      </c>
      <c r="H1159" s="45"/>
      <c r="I1159" s="45"/>
      <c r="J1159" s="108">
        <v>43392</v>
      </c>
      <c r="K1159" s="100"/>
      <c r="L1159" s="100"/>
      <c r="M1159" s="384" t="s">
        <v>4476</v>
      </c>
      <c r="N1159" s="381"/>
      <c r="O1159" s="104"/>
      <c r="P1159" s="102" t="s">
        <v>4477</v>
      </c>
      <c r="Q1159" s="102" t="s">
        <v>4478</v>
      </c>
      <c r="R1159" s="131"/>
      <c r="S1159" s="132"/>
      <c r="T1159" s="240">
        <v>113200</v>
      </c>
      <c r="U1159" s="100"/>
      <c r="V1159" s="102"/>
      <c r="W1159" s="210"/>
    </row>
    <row r="1160" s="39" customFormat="1" ht="22" hidden="1" customHeight="1" spans="1:23">
      <c r="A1160" s="145" t="s">
        <v>4479</v>
      </c>
      <c r="B1160" s="174"/>
      <c r="C1160" s="175"/>
      <c r="D1160" s="45" t="s">
        <v>31</v>
      </c>
      <c r="E1160" s="45" t="s">
        <v>4480</v>
      </c>
      <c r="F1160" s="81" t="str">
        <f>IFERROR(VLOOKUP(E1160,客户!B:C,2,FALSE),"/")</f>
        <v>/</v>
      </c>
      <c r="G1160" s="45"/>
      <c r="H1160" s="45" t="s">
        <v>186</v>
      </c>
      <c r="I1160" s="45"/>
      <c r="J1160" s="108"/>
      <c r="K1160" s="100"/>
      <c r="L1160" s="100"/>
      <c r="M1160" s="45"/>
      <c r="N1160" s="45"/>
      <c r="O1160" s="104"/>
      <c r="P1160" s="45"/>
      <c r="Q1160" s="45"/>
      <c r="R1160" s="131"/>
      <c r="S1160" s="132"/>
      <c r="T1160" s="45"/>
      <c r="U1160" s="100"/>
      <c r="V1160" s="45"/>
      <c r="W1160" s="45"/>
    </row>
    <row r="1161" s="39" customFormat="1" ht="22" hidden="1" customHeight="1" spans="1:23">
      <c r="A1161" s="144" t="s">
        <v>4481</v>
      </c>
      <c r="B1161" s="174"/>
      <c r="C1161" s="175"/>
      <c r="D1161" s="45" t="s">
        <v>31</v>
      </c>
      <c r="E1161" s="45" t="s">
        <v>4482</v>
      </c>
      <c r="F1161" s="81" t="str">
        <f>IFERROR(VLOOKUP(E1161,客户!B:C,2,FALSE),"/")</f>
        <v>/</v>
      </c>
      <c r="G1161" s="45" t="s">
        <v>4483</v>
      </c>
      <c r="H1161" s="45"/>
      <c r="I1161" s="45" t="s">
        <v>4484</v>
      </c>
      <c r="J1161" s="108">
        <v>43411</v>
      </c>
      <c r="K1161" s="100">
        <v>43107</v>
      </c>
      <c r="L1161" s="100">
        <v>43496</v>
      </c>
      <c r="M1161" s="45"/>
      <c r="N1161" s="45" t="s">
        <v>4485</v>
      </c>
      <c r="O1161" s="104"/>
      <c r="P1161" s="102">
        <v>43295.33</v>
      </c>
      <c r="Q1161" s="102">
        <v>13821.5</v>
      </c>
      <c r="R1161" s="131">
        <v>0</v>
      </c>
      <c r="S1161" s="132"/>
      <c r="T1161" s="45" t="s">
        <v>4486</v>
      </c>
      <c r="U1161" s="100">
        <v>43495</v>
      </c>
      <c r="V1161" s="45"/>
      <c r="W1161" s="186"/>
    </row>
    <row r="1162" s="42" customFormat="1" ht="22" hidden="1" customHeight="1" spans="1:23">
      <c r="A1162" s="144" t="s">
        <v>4487</v>
      </c>
      <c r="B1162" s="174"/>
      <c r="C1162" s="175"/>
      <c r="D1162" s="45" t="s">
        <v>31</v>
      </c>
      <c r="E1162" s="45" t="s">
        <v>4488</v>
      </c>
      <c r="F1162" s="81" t="str">
        <f>IFERROR(VLOOKUP(E1162,客户!B:C,2,FALSE),"/")</f>
        <v>/</v>
      </c>
      <c r="G1162" s="45" t="s">
        <v>4489</v>
      </c>
      <c r="H1162" s="45" t="s">
        <v>123</v>
      </c>
      <c r="I1162" s="45" t="s">
        <v>4490</v>
      </c>
      <c r="J1162" s="159">
        <v>43416</v>
      </c>
      <c r="K1162" s="100"/>
      <c r="L1162" s="100"/>
      <c r="M1162" s="45"/>
      <c r="N1162" s="153" t="s">
        <v>4491</v>
      </c>
      <c r="O1162" s="104"/>
      <c r="P1162" s="102">
        <v>21372</v>
      </c>
      <c r="Q1162" s="102">
        <v>6000</v>
      </c>
      <c r="R1162" s="131">
        <v>0</v>
      </c>
      <c r="S1162" s="132"/>
      <c r="T1162" s="102">
        <v>15331</v>
      </c>
      <c r="U1162" s="100"/>
      <c r="V1162" s="102"/>
      <c r="W1162" s="186"/>
    </row>
    <row r="1163" s="39" customFormat="1" ht="22" hidden="1" customHeight="1" spans="1:23">
      <c r="A1163" s="144" t="s">
        <v>4492</v>
      </c>
      <c r="B1163" s="174"/>
      <c r="C1163" s="175"/>
      <c r="D1163" s="45" t="s">
        <v>31</v>
      </c>
      <c r="E1163" s="45" t="s">
        <v>4493</v>
      </c>
      <c r="F1163" s="81" t="str">
        <f>IFERROR(VLOOKUP(E1163,客户!B:C,2,FALSE),"/")</f>
        <v>/</v>
      </c>
      <c r="G1163" s="45" t="s">
        <v>4494</v>
      </c>
      <c r="H1163" s="45" t="s">
        <v>123</v>
      </c>
      <c r="I1163" s="45" t="s">
        <v>4495</v>
      </c>
      <c r="J1163" s="108">
        <v>43425</v>
      </c>
      <c r="K1163" s="100">
        <v>43458</v>
      </c>
      <c r="L1163" s="103"/>
      <c r="M1163" s="45"/>
      <c r="N1163" s="153" t="s">
        <v>4496</v>
      </c>
      <c r="O1163" s="104"/>
      <c r="P1163" s="102">
        <v>25544</v>
      </c>
      <c r="Q1163" s="102">
        <v>8557</v>
      </c>
      <c r="R1163" s="131">
        <v>0</v>
      </c>
      <c r="S1163" s="132"/>
      <c r="T1163" s="102">
        <v>16944</v>
      </c>
      <c r="U1163" s="100">
        <v>43475</v>
      </c>
      <c r="V1163" s="102"/>
      <c r="W1163" s="186"/>
    </row>
    <row r="1164" s="39" customFormat="1" ht="22" hidden="1" customHeight="1" spans="1:23">
      <c r="A1164" s="144" t="s">
        <v>4497</v>
      </c>
      <c r="B1164" s="174"/>
      <c r="C1164" s="175"/>
      <c r="D1164" s="45" t="s">
        <v>31</v>
      </c>
      <c r="E1164" s="45" t="s">
        <v>4498</v>
      </c>
      <c r="F1164" s="81" t="str">
        <f>IFERROR(VLOOKUP(E1164,客户!B:C,2,FALSE),"/")</f>
        <v>/</v>
      </c>
      <c r="G1164" s="45" t="s">
        <v>4499</v>
      </c>
      <c r="H1164" s="45" t="s">
        <v>147</v>
      </c>
      <c r="I1164" s="45" t="s">
        <v>2059</v>
      </c>
      <c r="J1164" s="108">
        <v>43427</v>
      </c>
      <c r="K1164" s="100">
        <v>43449</v>
      </c>
      <c r="L1164" s="100">
        <v>43484</v>
      </c>
      <c r="M1164" s="153"/>
      <c r="N1164" s="153" t="s">
        <v>4500</v>
      </c>
      <c r="O1164" s="104"/>
      <c r="P1164" s="102">
        <v>22428</v>
      </c>
      <c r="Q1164" s="45"/>
      <c r="R1164" s="131">
        <v>0</v>
      </c>
      <c r="S1164" s="132"/>
      <c r="T1164" s="102">
        <v>22400</v>
      </c>
      <c r="U1164" s="100"/>
      <c r="V1164" s="102"/>
      <c r="W1164" s="186"/>
    </row>
    <row r="1165" s="39" customFormat="1" ht="22" hidden="1" customHeight="1" spans="1:23">
      <c r="A1165" s="144" t="s">
        <v>4501</v>
      </c>
      <c r="B1165" s="174"/>
      <c r="C1165" s="175"/>
      <c r="D1165" s="45" t="s">
        <v>31</v>
      </c>
      <c r="E1165" s="45" t="s">
        <v>4502</v>
      </c>
      <c r="F1165" s="81" t="str">
        <f>IFERROR(VLOOKUP(E1165,客户!B:C,2,FALSE),"/")</f>
        <v>/</v>
      </c>
      <c r="G1165" s="45" t="s">
        <v>4503</v>
      </c>
      <c r="H1165" s="45"/>
      <c r="I1165" s="45" t="s">
        <v>4484</v>
      </c>
      <c r="J1165" s="108">
        <v>43439</v>
      </c>
      <c r="K1165" s="100">
        <v>43467</v>
      </c>
      <c r="L1165" s="100"/>
      <c r="M1165" s="153"/>
      <c r="N1165" s="45" t="s">
        <v>4504</v>
      </c>
      <c r="O1165" s="104"/>
      <c r="P1165" s="102">
        <v>6161.27</v>
      </c>
      <c r="Q1165" s="102">
        <v>1849</v>
      </c>
      <c r="R1165" s="131">
        <v>0</v>
      </c>
      <c r="S1165" s="132"/>
      <c r="T1165" s="102">
        <v>4310</v>
      </c>
      <c r="U1165" s="100">
        <v>43483</v>
      </c>
      <c r="V1165" s="102"/>
      <c r="W1165" s="186"/>
    </row>
    <row r="1166" s="39" customFormat="1" ht="22" hidden="1" customHeight="1" spans="1:23">
      <c r="A1166" s="144" t="s">
        <v>4505</v>
      </c>
      <c r="B1166" s="174"/>
      <c r="C1166" s="175"/>
      <c r="D1166" s="45" t="s">
        <v>31</v>
      </c>
      <c r="E1166" s="45" t="s">
        <v>4506</v>
      </c>
      <c r="F1166" s="81">
        <f>IFERROR(VLOOKUP(E1166,客户!B:C,2,FALSE),"/")</f>
        <v>0</v>
      </c>
      <c r="G1166" s="45" t="s">
        <v>4507</v>
      </c>
      <c r="H1166" s="45" t="s">
        <v>123</v>
      </c>
      <c r="I1166" s="45" t="s">
        <v>4508</v>
      </c>
      <c r="J1166" s="108">
        <v>43452</v>
      </c>
      <c r="K1166" s="100">
        <v>43489</v>
      </c>
      <c r="L1166" s="100"/>
      <c r="M1166" s="338"/>
      <c r="N1166" s="45" t="s">
        <v>4509</v>
      </c>
      <c r="O1166" s="104"/>
      <c r="P1166" s="102">
        <v>20748</v>
      </c>
      <c r="Q1166" s="102">
        <v>5895</v>
      </c>
      <c r="R1166" s="131">
        <v>0</v>
      </c>
      <c r="S1166" s="132"/>
      <c r="T1166" s="102">
        <v>14829</v>
      </c>
      <c r="U1166" s="100">
        <v>43496</v>
      </c>
      <c r="V1166" s="102"/>
      <c r="W1166" s="186"/>
    </row>
    <row r="1167" s="39" customFormat="1" ht="22" hidden="1" customHeight="1" spans="1:23">
      <c r="A1167" s="144" t="s">
        <v>4510</v>
      </c>
      <c r="B1167" s="174"/>
      <c r="C1167" s="175"/>
      <c r="D1167" s="45" t="s">
        <v>31</v>
      </c>
      <c r="E1167" s="45" t="s">
        <v>4511</v>
      </c>
      <c r="F1167" s="81" t="str">
        <f>IFERROR(VLOOKUP(E1167,客户!B:C,2,FALSE),"/")</f>
        <v>/</v>
      </c>
      <c r="G1167" s="45" t="s">
        <v>4512</v>
      </c>
      <c r="H1167" s="144" t="s">
        <v>147</v>
      </c>
      <c r="I1167" s="45" t="s">
        <v>4513</v>
      </c>
      <c r="J1167" s="108">
        <v>43107</v>
      </c>
      <c r="K1167" s="100">
        <v>43473</v>
      </c>
      <c r="L1167" s="100">
        <v>43509</v>
      </c>
      <c r="M1167" s="101"/>
      <c r="N1167" s="151" t="s">
        <v>4514</v>
      </c>
      <c r="O1167" s="104"/>
      <c r="P1167" s="102">
        <v>17794.32</v>
      </c>
      <c r="Q1167" s="102">
        <v>5298.31</v>
      </c>
      <c r="R1167" s="131">
        <v>0</v>
      </c>
      <c r="S1167" s="132"/>
      <c r="T1167" s="102">
        <v>12468.5</v>
      </c>
      <c r="U1167" s="100">
        <v>43474</v>
      </c>
      <c r="V1167" s="189"/>
      <c r="W1167" s="186"/>
    </row>
    <row r="1168" s="39" customFormat="1" ht="22" hidden="1" customHeight="1" spans="1:23">
      <c r="A1168" s="144" t="s">
        <v>4515</v>
      </c>
      <c r="B1168" s="174"/>
      <c r="C1168" s="175"/>
      <c r="D1168" s="45" t="s">
        <v>31</v>
      </c>
      <c r="E1168" s="45" t="s">
        <v>4516</v>
      </c>
      <c r="F1168" s="81" t="str">
        <f>IFERROR(VLOOKUP(E1168,客户!B:C,2,FALSE),"/")</f>
        <v>/</v>
      </c>
      <c r="G1168" s="45" t="s">
        <v>4517</v>
      </c>
      <c r="H1168" s="45" t="s">
        <v>970</v>
      </c>
      <c r="I1168" s="45"/>
      <c r="J1168" s="108"/>
      <c r="K1168" s="100"/>
      <c r="L1168" s="100"/>
      <c r="M1168" s="101"/>
      <c r="N1168" s="355"/>
      <c r="O1168" s="104"/>
      <c r="P1168" s="102" t="s">
        <v>4518</v>
      </c>
      <c r="Q1168" s="102" t="s">
        <v>4519</v>
      </c>
      <c r="R1168" s="131">
        <v>0</v>
      </c>
      <c r="S1168" s="132"/>
      <c r="T1168" s="290" t="s">
        <v>4520</v>
      </c>
      <c r="U1168" s="100">
        <v>43469</v>
      </c>
      <c r="V1168" s="189"/>
      <c r="W1168" s="186"/>
    </row>
    <row r="1169" s="39" customFormat="1" ht="22" hidden="1" customHeight="1" spans="1:23">
      <c r="A1169" s="144" t="s">
        <v>4521</v>
      </c>
      <c r="B1169" s="174"/>
      <c r="C1169" s="175"/>
      <c r="D1169" s="45" t="s">
        <v>31</v>
      </c>
      <c r="E1169" s="229" t="s">
        <v>4522</v>
      </c>
      <c r="F1169" s="81" t="str">
        <f>IFERROR(VLOOKUP(E1169,客户!B:C,2,FALSE),"/")</f>
        <v>/</v>
      </c>
      <c r="G1169" s="45" t="s">
        <v>228</v>
      </c>
      <c r="H1169" s="144" t="s">
        <v>147</v>
      </c>
      <c r="I1169" s="45" t="s">
        <v>3688</v>
      </c>
      <c r="J1169" s="108">
        <v>43467</v>
      </c>
      <c r="K1169" s="100">
        <v>43495</v>
      </c>
      <c r="L1169" s="100">
        <v>43552</v>
      </c>
      <c r="M1169" s="156" t="s">
        <v>4523</v>
      </c>
      <c r="N1169" s="355" t="s">
        <v>3771</v>
      </c>
      <c r="O1169" s="104"/>
      <c r="P1169" s="102">
        <v>23734.18</v>
      </c>
      <c r="Q1169" s="102">
        <v>7900</v>
      </c>
      <c r="R1169" s="131">
        <v>98</v>
      </c>
      <c r="S1169" s="132"/>
      <c r="T1169" s="102">
        <v>15708</v>
      </c>
      <c r="U1169" s="100">
        <v>43511</v>
      </c>
      <c r="V1169" s="189"/>
      <c r="W1169" s="186"/>
    </row>
    <row r="1170" s="39" customFormat="1" ht="22" hidden="1" customHeight="1" spans="1:23">
      <c r="A1170" s="144" t="s">
        <v>4524</v>
      </c>
      <c r="B1170" s="174"/>
      <c r="C1170" s="175"/>
      <c r="D1170" s="45" t="s">
        <v>31</v>
      </c>
      <c r="E1170" s="45" t="s">
        <v>4525</v>
      </c>
      <c r="F1170" s="81">
        <f>IFERROR(VLOOKUP(E1170,客户!B:C,2,FALSE),"/")</f>
        <v>0</v>
      </c>
      <c r="G1170" s="45" t="s">
        <v>228</v>
      </c>
      <c r="H1170" s="45" t="s">
        <v>123</v>
      </c>
      <c r="I1170" s="45" t="s">
        <v>3701</v>
      </c>
      <c r="J1170" s="108">
        <v>43472</v>
      </c>
      <c r="K1170" s="100">
        <v>43549</v>
      </c>
      <c r="L1170" s="103"/>
      <c r="M1170" s="385" t="s">
        <v>4526</v>
      </c>
      <c r="N1170" s="386" t="s">
        <v>4527</v>
      </c>
      <c r="O1170" s="104"/>
      <c r="P1170" s="102">
        <v>20757.88</v>
      </c>
      <c r="Q1170" s="102">
        <v>6600</v>
      </c>
      <c r="R1170" s="131">
        <v>0</v>
      </c>
      <c r="S1170" s="132"/>
      <c r="T1170" s="102" t="s">
        <v>4528</v>
      </c>
      <c r="U1170" s="100"/>
      <c r="V1170" s="189"/>
      <c r="W1170" s="186"/>
    </row>
    <row r="1171" s="39" customFormat="1" ht="22" hidden="1" customHeight="1" spans="1:23">
      <c r="A1171" s="144" t="s">
        <v>4529</v>
      </c>
      <c r="B1171" s="174"/>
      <c r="C1171" s="175"/>
      <c r="D1171" s="45" t="s">
        <v>31</v>
      </c>
      <c r="E1171" s="45" t="s">
        <v>4530</v>
      </c>
      <c r="F1171" s="81">
        <f>IFERROR(VLOOKUP(E1171,客户!B:C,2,FALSE),"/")</f>
        <v>0</v>
      </c>
      <c r="G1171" s="45" t="s">
        <v>4531</v>
      </c>
      <c r="H1171" s="45" t="s">
        <v>123</v>
      </c>
      <c r="I1171" s="45"/>
      <c r="J1171" s="108">
        <v>43479</v>
      </c>
      <c r="K1171" s="100"/>
      <c r="L1171" s="100"/>
      <c r="M1171" s="101"/>
      <c r="N1171" s="355"/>
      <c r="O1171" s="104"/>
      <c r="P1171" s="102"/>
      <c r="Q1171" s="102"/>
      <c r="R1171" s="131"/>
      <c r="S1171" s="132"/>
      <c r="T1171" s="102" t="s">
        <v>4532</v>
      </c>
      <c r="U1171" s="100">
        <v>43483</v>
      </c>
      <c r="V1171" s="189"/>
      <c r="W1171" s="186"/>
    </row>
    <row r="1172" s="39" customFormat="1" ht="22" hidden="1" customHeight="1" spans="1:23">
      <c r="A1172" s="144" t="s">
        <v>4533</v>
      </c>
      <c r="B1172" s="174"/>
      <c r="C1172" s="175"/>
      <c r="D1172" s="45" t="s">
        <v>31</v>
      </c>
      <c r="E1172" s="45" t="s">
        <v>735</v>
      </c>
      <c r="F1172" s="81">
        <f>IFERROR(VLOOKUP(E1172,客户!B:C,2,FALSE),"/")</f>
        <v>0</v>
      </c>
      <c r="G1172" s="45"/>
      <c r="H1172" s="45"/>
      <c r="I1172" s="45"/>
      <c r="J1172" s="108">
        <v>43634</v>
      </c>
      <c r="K1172" s="100"/>
      <c r="L1172" s="100"/>
      <c r="M1172" s="101" t="s">
        <v>4534</v>
      </c>
      <c r="N1172" s="355"/>
      <c r="O1172" s="104"/>
      <c r="P1172" s="102">
        <v>6556</v>
      </c>
      <c r="Q1172" s="102"/>
      <c r="R1172" s="131"/>
      <c r="S1172" s="132"/>
      <c r="T1172" s="102">
        <v>6123</v>
      </c>
      <c r="U1172" s="100" t="s">
        <v>4535</v>
      </c>
      <c r="V1172" s="189"/>
      <c r="W1172" s="186"/>
    </row>
    <row r="1173" s="39" customFormat="1" ht="22" hidden="1" customHeight="1" spans="1:23">
      <c r="A1173" s="144" t="s">
        <v>4536</v>
      </c>
      <c r="B1173" s="174"/>
      <c r="C1173" s="175"/>
      <c r="D1173" s="45" t="s">
        <v>31</v>
      </c>
      <c r="E1173" s="45" t="s">
        <v>735</v>
      </c>
      <c r="F1173" s="81">
        <f>IFERROR(VLOOKUP(E1173,客户!B:C,2,FALSE),"/")</f>
        <v>0</v>
      </c>
      <c r="G1173" s="45" t="s">
        <v>43</v>
      </c>
      <c r="H1173" s="45" t="s">
        <v>123</v>
      </c>
      <c r="I1173" s="45"/>
      <c r="J1173" s="108">
        <v>43510</v>
      </c>
      <c r="K1173" s="105"/>
      <c r="L1173" s="103"/>
      <c r="M1173" s="112" t="s">
        <v>4537</v>
      </c>
      <c r="N1173" s="355" t="s">
        <v>4538</v>
      </c>
      <c r="O1173" s="104"/>
      <c r="P1173" s="230">
        <v>23629.65</v>
      </c>
      <c r="Q1173" s="102">
        <v>4000</v>
      </c>
      <c r="R1173" s="131"/>
      <c r="S1173" s="132"/>
      <c r="T1173" s="102">
        <v>19600.6</v>
      </c>
      <c r="U1173" s="100"/>
      <c r="V1173" s="399" t="s">
        <v>4539</v>
      </c>
      <c r="W1173" s="186"/>
    </row>
    <row r="1174" s="39" customFormat="1" ht="22" hidden="1" customHeight="1" spans="1:23">
      <c r="A1174" s="144" t="s">
        <v>4540</v>
      </c>
      <c r="B1174" s="174" t="s">
        <v>4541</v>
      </c>
      <c r="C1174" s="175"/>
      <c r="D1174" s="45" t="s">
        <v>31</v>
      </c>
      <c r="E1174" s="80" t="s">
        <v>735</v>
      </c>
      <c r="F1174" s="81">
        <f>IFERROR(VLOOKUP(E1174,客户!B:C,2,FALSE),"/")</f>
        <v>0</v>
      </c>
      <c r="G1174" s="45"/>
      <c r="H1174" s="45" t="s">
        <v>123</v>
      </c>
      <c r="I1174" s="45"/>
      <c r="J1174" s="108"/>
      <c r="K1174" s="100">
        <v>43616</v>
      </c>
      <c r="L1174" s="100"/>
      <c r="M1174" s="387" t="s">
        <v>4542</v>
      </c>
      <c r="N1174" s="355"/>
      <c r="O1174" s="104"/>
      <c r="P1174" s="230">
        <v>5347.5</v>
      </c>
      <c r="Q1174" s="102"/>
      <c r="R1174" s="131"/>
      <c r="S1174" s="132"/>
      <c r="T1174" s="102">
        <v>5319</v>
      </c>
      <c r="U1174" s="100"/>
      <c r="V1174" s="189"/>
      <c r="W1174" s="186"/>
    </row>
    <row r="1175" s="39" customFormat="1" ht="22" hidden="1" customHeight="1" spans="1:23">
      <c r="A1175" s="144" t="s">
        <v>4543</v>
      </c>
      <c r="B1175" s="174"/>
      <c r="C1175" s="175"/>
      <c r="D1175" s="45" t="s">
        <v>31</v>
      </c>
      <c r="E1175" s="45" t="s">
        <v>4544</v>
      </c>
      <c r="F1175" s="81">
        <f>IFERROR(VLOOKUP(E1175,客户!B:C,2,FALSE),"/")</f>
        <v>0</v>
      </c>
      <c r="G1175" s="45" t="s">
        <v>57</v>
      </c>
      <c r="H1175" s="45" t="s">
        <v>123</v>
      </c>
      <c r="I1175" s="45" t="s">
        <v>770</v>
      </c>
      <c r="J1175" s="108">
        <v>43514</v>
      </c>
      <c r="K1175" s="100">
        <v>43562</v>
      </c>
      <c r="L1175" s="100">
        <v>43589</v>
      </c>
      <c r="M1175" s="385" t="s">
        <v>4545</v>
      </c>
      <c r="N1175" s="355" t="s">
        <v>4546</v>
      </c>
      <c r="O1175" s="104"/>
      <c r="P1175" s="102">
        <v>25381.25</v>
      </c>
      <c r="Q1175" s="102">
        <v>7615</v>
      </c>
      <c r="R1175" s="131">
        <v>0</v>
      </c>
      <c r="S1175" s="132"/>
      <c r="T1175" s="102">
        <v>17744</v>
      </c>
      <c r="U1175" s="100">
        <v>43580</v>
      </c>
      <c r="V1175" s="189"/>
      <c r="W1175" s="186"/>
    </row>
    <row r="1176" s="39" customFormat="1" ht="22" hidden="1" customHeight="1" spans="1:23">
      <c r="A1176" s="145" t="s">
        <v>4547</v>
      </c>
      <c r="B1176" s="174"/>
      <c r="C1176" s="175"/>
      <c r="D1176" s="45" t="s">
        <v>31</v>
      </c>
      <c r="E1176" s="45" t="s">
        <v>823</v>
      </c>
      <c r="F1176" s="81">
        <f>IFERROR(VLOOKUP(E1176,客户!B:C,2,FALSE),"/")</f>
        <v>0</v>
      </c>
      <c r="G1176" s="45" t="s">
        <v>36</v>
      </c>
      <c r="H1176" s="45" t="s">
        <v>123</v>
      </c>
      <c r="I1176" s="45" t="s">
        <v>1626</v>
      </c>
      <c r="J1176" s="108">
        <v>43528</v>
      </c>
      <c r="K1176" s="100">
        <v>43576</v>
      </c>
      <c r="L1176" s="100">
        <v>43610</v>
      </c>
      <c r="M1176" s="101" t="s">
        <v>4548</v>
      </c>
      <c r="N1176" s="355" t="s">
        <v>4549</v>
      </c>
      <c r="O1176" s="104"/>
      <c r="P1176" s="102">
        <v>22133.4</v>
      </c>
      <c r="Q1176" s="102">
        <v>6500</v>
      </c>
      <c r="R1176" s="131">
        <v>0</v>
      </c>
      <c r="S1176" s="132"/>
      <c r="T1176" s="102">
        <v>15583</v>
      </c>
      <c r="U1176" s="100">
        <v>43600</v>
      </c>
      <c r="V1176" s="189"/>
      <c r="W1176" s="186"/>
    </row>
    <row r="1177" s="39" customFormat="1" ht="22" hidden="1" customHeight="1" spans="1:23">
      <c r="A1177" s="144" t="s">
        <v>4550</v>
      </c>
      <c r="B1177" s="174"/>
      <c r="C1177" s="175"/>
      <c r="D1177" s="45" t="s">
        <v>31</v>
      </c>
      <c r="E1177" s="45" t="s">
        <v>4525</v>
      </c>
      <c r="F1177" s="81">
        <f>IFERROR(VLOOKUP(E1177,客户!B:C,2,FALSE),"/")</f>
        <v>0</v>
      </c>
      <c r="G1177" s="45" t="s">
        <v>228</v>
      </c>
      <c r="H1177" s="45" t="s">
        <v>123</v>
      </c>
      <c r="I1177" s="45" t="s">
        <v>3701</v>
      </c>
      <c r="J1177" s="108">
        <v>43553</v>
      </c>
      <c r="K1177" s="100">
        <v>43569</v>
      </c>
      <c r="L1177" s="100">
        <v>43597</v>
      </c>
      <c r="M1177" s="156" t="s">
        <v>4551</v>
      </c>
      <c r="N1177" s="355"/>
      <c r="O1177" s="104"/>
      <c r="P1177" s="102">
        <v>2587.5</v>
      </c>
      <c r="Q1177" s="102"/>
      <c r="R1177" s="131">
        <v>0</v>
      </c>
      <c r="S1177" s="132"/>
      <c r="T1177" s="102">
        <v>1268</v>
      </c>
      <c r="U1177" s="100">
        <v>43581</v>
      </c>
      <c r="V1177" s="189"/>
      <c r="W1177" s="186"/>
    </row>
    <row r="1178" s="39" customFormat="1" ht="22" hidden="1" customHeight="1" spans="1:23">
      <c r="A1178" s="144" t="s">
        <v>4552</v>
      </c>
      <c r="B1178" s="174"/>
      <c r="C1178" s="175"/>
      <c r="D1178" s="45" t="s">
        <v>31</v>
      </c>
      <c r="E1178" s="45" t="s">
        <v>4553</v>
      </c>
      <c r="F1178" s="81" t="str">
        <f>IFERROR(VLOOKUP(E1178,客户!B:C,2,FALSE),"/")</f>
        <v>/</v>
      </c>
      <c r="G1178" s="45" t="s">
        <v>43</v>
      </c>
      <c r="H1178" s="45" t="s">
        <v>123</v>
      </c>
      <c r="I1178" s="45" t="s">
        <v>3701</v>
      </c>
      <c r="J1178" s="108">
        <v>43592</v>
      </c>
      <c r="K1178" s="100">
        <v>43626</v>
      </c>
      <c r="L1178" s="197"/>
      <c r="M1178" s="385" t="s">
        <v>4554</v>
      </c>
      <c r="N1178" s="355" t="s">
        <v>4555</v>
      </c>
      <c r="O1178" s="104"/>
      <c r="P1178" s="102">
        <v>19502.38</v>
      </c>
      <c r="Q1178" s="102">
        <v>6448</v>
      </c>
      <c r="R1178" s="131"/>
      <c r="S1178" s="132"/>
      <c r="T1178" s="102">
        <f>6814+6154</f>
        <v>12968</v>
      </c>
      <c r="U1178" s="100"/>
      <c r="V1178" s="189"/>
      <c r="W1178" s="186"/>
    </row>
    <row r="1179" s="39" customFormat="1" ht="22" hidden="1" customHeight="1" spans="1:23">
      <c r="A1179" s="144" t="s">
        <v>4556</v>
      </c>
      <c r="B1179" s="174" t="s">
        <v>4541</v>
      </c>
      <c r="C1179" s="175"/>
      <c r="D1179" s="45" t="s">
        <v>31</v>
      </c>
      <c r="E1179" s="45" t="s">
        <v>4557</v>
      </c>
      <c r="F1179" s="81">
        <f>IFERROR(VLOOKUP(E1179,客户!B:C,2,FALSE),"/")</f>
        <v>0</v>
      </c>
      <c r="G1179" s="45" t="s">
        <v>4558</v>
      </c>
      <c r="H1179" s="144" t="s">
        <v>147</v>
      </c>
      <c r="I1179" s="45" t="s">
        <v>4559</v>
      </c>
      <c r="J1179" s="108">
        <v>43599</v>
      </c>
      <c r="K1179" s="100">
        <v>43665</v>
      </c>
      <c r="L1179" s="100">
        <v>43689</v>
      </c>
      <c r="M1179" s="385" t="s">
        <v>4560</v>
      </c>
      <c r="N1179" s="355" t="s">
        <v>4561</v>
      </c>
      <c r="O1179" s="104"/>
      <c r="P1179" s="102">
        <v>26998.92</v>
      </c>
      <c r="Q1179" s="102">
        <v>8000</v>
      </c>
      <c r="R1179" s="131">
        <v>0</v>
      </c>
      <c r="S1179" s="132"/>
      <c r="T1179" s="102">
        <v>18965</v>
      </c>
      <c r="U1179" s="100"/>
      <c r="V1179" s="189"/>
      <c r="W1179" s="186"/>
    </row>
    <row r="1180" s="39" customFormat="1" ht="22" hidden="1" customHeight="1" spans="1:23">
      <c r="A1180" s="144" t="s">
        <v>4562</v>
      </c>
      <c r="B1180" s="174"/>
      <c r="C1180" s="175"/>
      <c r="D1180" s="45" t="s">
        <v>31</v>
      </c>
      <c r="E1180" s="229" t="s">
        <v>4563</v>
      </c>
      <c r="F1180" s="81" t="str">
        <f>IFERROR(VLOOKUP(E1180,客户!B:C,2,FALSE),"/")</f>
        <v>/</v>
      </c>
      <c r="G1180" s="45" t="s">
        <v>4564</v>
      </c>
      <c r="H1180" s="45" t="s">
        <v>123</v>
      </c>
      <c r="I1180" s="45" t="s">
        <v>2024</v>
      </c>
      <c r="J1180" s="108">
        <v>43613</v>
      </c>
      <c r="K1180" s="103">
        <v>43660</v>
      </c>
      <c r="L1180" s="100"/>
      <c r="M1180" s="156" t="s">
        <v>4565</v>
      </c>
      <c r="N1180" s="355" t="s">
        <v>4566</v>
      </c>
      <c r="O1180" s="104"/>
      <c r="P1180" s="102">
        <v>22190</v>
      </c>
      <c r="Q1180" s="102">
        <v>6660</v>
      </c>
      <c r="R1180" s="131">
        <v>0</v>
      </c>
      <c r="S1180" s="132"/>
      <c r="T1180" s="102" t="s">
        <v>4567</v>
      </c>
      <c r="U1180" s="100">
        <v>43668</v>
      </c>
      <c r="V1180" s="189"/>
      <c r="W1180" s="186"/>
    </row>
    <row r="1181" s="39" customFormat="1" ht="22" hidden="1" customHeight="1" spans="1:23">
      <c r="A1181" s="144" t="s">
        <v>4568</v>
      </c>
      <c r="B1181" s="174"/>
      <c r="C1181" s="175"/>
      <c r="D1181" s="45" t="s">
        <v>31</v>
      </c>
      <c r="E1181" s="80" t="s">
        <v>735</v>
      </c>
      <c r="F1181" s="81">
        <f>IFERROR(VLOOKUP(E1181,客户!B:C,2,FALSE),"/")</f>
        <v>0</v>
      </c>
      <c r="G1181" s="45" t="s">
        <v>43</v>
      </c>
      <c r="H1181" s="45" t="s">
        <v>123</v>
      </c>
      <c r="I1181" s="45"/>
      <c r="J1181" s="108"/>
      <c r="K1181" s="100">
        <v>43808</v>
      </c>
      <c r="L1181" s="100"/>
      <c r="M1181" s="388" t="s">
        <v>4569</v>
      </c>
      <c r="N1181" s="355" t="s">
        <v>737</v>
      </c>
      <c r="O1181" s="104"/>
      <c r="P1181" s="102">
        <v>27150.9</v>
      </c>
      <c r="Q1181" s="102">
        <v>5000</v>
      </c>
      <c r="R1181" s="131"/>
      <c r="S1181" s="132"/>
      <c r="T1181" s="102">
        <v>22900.25</v>
      </c>
      <c r="U1181" s="100">
        <v>43794</v>
      </c>
      <c r="V1181" s="45"/>
      <c r="W1181" s="186"/>
    </row>
    <row r="1182" s="39" customFormat="1" ht="18" hidden="1" customHeight="1" spans="1:22">
      <c r="A1182" s="363" t="s">
        <v>4570</v>
      </c>
      <c r="B1182" s="273"/>
      <c r="C1182" s="274"/>
      <c r="D1182" s="45" t="s">
        <v>31</v>
      </c>
      <c r="E1182" s="80" t="s">
        <v>4571</v>
      </c>
      <c r="F1182" s="81">
        <f>IFERROR(VLOOKUP(E1182,客户!B:C,2,FALSE),"/")</f>
        <v>0</v>
      </c>
      <c r="G1182" s="42" t="s">
        <v>4572</v>
      </c>
      <c r="H1182" s="42" t="s">
        <v>123</v>
      </c>
      <c r="I1182" s="45" t="s">
        <v>770</v>
      </c>
      <c r="J1182" s="389"/>
      <c r="K1182" s="159">
        <v>44078</v>
      </c>
      <c r="L1182" s="100"/>
      <c r="M1182" s="350"/>
      <c r="N1182" s="198" t="s">
        <v>4573</v>
      </c>
      <c r="O1182" s="104" t="s">
        <v>970</v>
      </c>
      <c r="P1182" s="102">
        <v>28597.55</v>
      </c>
      <c r="R1182" s="131"/>
      <c r="S1182" s="400"/>
      <c r="T1182" s="102">
        <f>25087.55+3510</f>
        <v>28597.55</v>
      </c>
      <c r="U1182" s="100">
        <v>43846</v>
      </c>
      <c r="V1182" s="129" t="s">
        <v>4574</v>
      </c>
    </row>
    <row r="1183" s="39" customFormat="1" ht="22" hidden="1" customHeight="1" spans="1:21">
      <c r="A1183" s="255"/>
      <c r="B1183" s="273"/>
      <c r="C1183" s="274"/>
      <c r="D1183" s="45"/>
      <c r="E1183" s="80"/>
      <c r="F1183" s="81"/>
      <c r="G1183" s="42"/>
      <c r="H1183" s="42"/>
      <c r="I1183" s="45"/>
      <c r="K1183" s="178"/>
      <c r="L1183" s="100"/>
      <c r="M1183" s="143"/>
      <c r="N1183" s="42"/>
      <c r="O1183" s="104"/>
      <c r="R1183" s="131"/>
      <c r="S1183" s="400"/>
      <c r="T1183" s="102"/>
      <c r="U1183" s="100"/>
    </row>
    <row r="1184" s="39" customFormat="1" ht="22" hidden="1" customHeight="1" spans="2:21">
      <c r="B1184" s="273"/>
      <c r="C1184" s="274"/>
      <c r="D1184" s="45"/>
      <c r="E1184" s="80"/>
      <c r="F1184" s="81" t="str">
        <f>IFERROR(VLOOKUP(E1184,客户!B:C,2,FALSE),"/")</f>
        <v>/</v>
      </c>
      <c r="K1184" s="353"/>
      <c r="L1184" s="100"/>
      <c r="R1184" s="131"/>
      <c r="S1184" s="400"/>
      <c r="T1184" s="42"/>
      <c r="U1184" s="100"/>
    </row>
    <row r="1185" s="39" customFormat="1" ht="22" hidden="1" customHeight="1" spans="2:21">
      <c r="B1185" s="273"/>
      <c r="C1185" s="274"/>
      <c r="D1185" s="45"/>
      <c r="E1185" s="80"/>
      <c r="F1185" s="81" t="str">
        <f>IFERROR(VLOOKUP(E1185,客户!B:C,2,FALSE),"/")</f>
        <v>/</v>
      </c>
      <c r="K1185" s="353"/>
      <c r="L1185" s="100"/>
      <c r="R1185" s="131"/>
      <c r="S1185" s="400"/>
      <c r="T1185" s="42"/>
      <c r="U1185" s="100"/>
    </row>
    <row r="1186" s="42" customFormat="1" ht="22" hidden="1" customHeight="1" spans="1:23">
      <c r="A1186" s="364" t="s">
        <v>4575</v>
      </c>
      <c r="B1186" s="365"/>
      <c r="C1186" s="366"/>
      <c r="D1186" s="45" t="s">
        <v>31</v>
      </c>
      <c r="E1186" s="367" t="s">
        <v>4576</v>
      </c>
      <c r="F1186" s="81" t="str">
        <f>IFERROR(VLOOKUP(E1186,客户!B:C,2,FALSE),"/")</f>
        <v>/</v>
      </c>
      <c r="G1186" s="367" t="s">
        <v>4577</v>
      </c>
      <c r="H1186" s="368"/>
      <c r="I1186" s="368"/>
      <c r="J1186" s="390"/>
      <c r="K1186" s="391"/>
      <c r="L1186" s="392"/>
      <c r="M1186" s="393"/>
      <c r="N1186" s="393"/>
      <c r="O1186" s="393"/>
      <c r="P1186" s="394">
        <v>32395.57</v>
      </c>
      <c r="Q1186" s="394"/>
      <c r="R1186" s="131"/>
      <c r="S1186" s="400"/>
      <c r="T1186" s="396"/>
      <c r="U1186" s="392"/>
      <c r="V1186" s="394"/>
      <c r="W1186" s="401"/>
    </row>
    <row r="1187" s="42" customFormat="1" ht="22" hidden="1" customHeight="1" spans="1:23">
      <c r="A1187" s="369" t="s">
        <v>4578</v>
      </c>
      <c r="B1187" s="370"/>
      <c r="C1187" s="371"/>
      <c r="D1187" s="45" t="s">
        <v>31</v>
      </c>
      <c r="E1187" s="372" t="s">
        <v>4579</v>
      </c>
      <c r="F1187" s="81" t="str">
        <f>IFERROR(VLOOKUP(E1187,客户!B:C,2,FALSE),"/")</f>
        <v>/</v>
      </c>
      <c r="G1187" s="372" t="s">
        <v>4580</v>
      </c>
      <c r="H1187" s="373" t="s">
        <v>4581</v>
      </c>
      <c r="I1187" s="373"/>
      <c r="J1187" s="390"/>
      <c r="K1187" s="392"/>
      <c r="L1187" s="392"/>
      <c r="M1187" s="395"/>
      <c r="N1187" s="395"/>
      <c r="O1187" s="395"/>
      <c r="P1187" s="396">
        <v>36851</v>
      </c>
      <c r="Q1187" s="396"/>
      <c r="R1187" s="131"/>
      <c r="S1187" s="400"/>
      <c r="T1187" s="396"/>
      <c r="U1187" s="392"/>
      <c r="V1187" s="396"/>
      <c r="W1187" s="373"/>
    </row>
    <row r="1188" s="42" customFormat="1" ht="22" hidden="1" customHeight="1" spans="1:23">
      <c r="A1188" s="369" t="s">
        <v>4582</v>
      </c>
      <c r="B1188" s="370"/>
      <c r="C1188" s="371"/>
      <c r="D1188" s="45" t="s">
        <v>31</v>
      </c>
      <c r="E1188" s="372" t="s">
        <v>4579</v>
      </c>
      <c r="F1188" s="81" t="str">
        <f>IFERROR(VLOOKUP(E1188,客户!B:C,2,FALSE),"/")</f>
        <v>/</v>
      </c>
      <c r="G1188" s="368" t="s">
        <v>4583</v>
      </c>
      <c r="H1188" s="373" t="s">
        <v>4581</v>
      </c>
      <c r="I1188" s="373"/>
      <c r="J1188" s="390"/>
      <c r="K1188" s="392"/>
      <c r="L1188" s="392"/>
      <c r="M1188" s="395"/>
      <c r="N1188" s="395"/>
      <c r="O1188" s="395"/>
      <c r="P1188" s="396">
        <v>34960.42</v>
      </c>
      <c r="Q1188" s="396"/>
      <c r="R1188" s="131"/>
      <c r="S1188" s="400"/>
      <c r="T1188" s="396"/>
      <c r="U1188" s="392"/>
      <c r="V1188" s="396"/>
      <c r="W1188" s="372"/>
    </row>
    <row r="1189" s="42" customFormat="1" ht="22" hidden="1" customHeight="1" spans="1:23">
      <c r="A1189" s="369" t="s">
        <v>4584</v>
      </c>
      <c r="B1189" s="370"/>
      <c r="C1189" s="371"/>
      <c r="D1189" s="45" t="s">
        <v>31</v>
      </c>
      <c r="E1189" s="372" t="s">
        <v>4585</v>
      </c>
      <c r="F1189" s="81" t="str">
        <f>IFERROR(VLOOKUP(E1189,客户!B:C,2,FALSE),"/")</f>
        <v>/</v>
      </c>
      <c r="G1189" s="372" t="s">
        <v>4586</v>
      </c>
      <c r="H1189" s="374" t="s">
        <v>4587</v>
      </c>
      <c r="I1189" s="374"/>
      <c r="J1189" s="390"/>
      <c r="K1189" s="392"/>
      <c r="L1189" s="392"/>
      <c r="M1189" s="395"/>
      <c r="N1189" s="395"/>
      <c r="O1189" s="395"/>
      <c r="P1189" s="396">
        <v>18449.28</v>
      </c>
      <c r="Q1189" s="396"/>
      <c r="R1189" s="131"/>
      <c r="S1189" s="400"/>
      <c r="T1189" s="396"/>
      <c r="U1189" s="392"/>
      <c r="V1189" s="396"/>
      <c r="W1189" s="372"/>
    </row>
    <row r="1190" s="42" customFormat="1" ht="22" hidden="1" customHeight="1" spans="1:23">
      <c r="A1190" s="369" t="s">
        <v>4588</v>
      </c>
      <c r="B1190" s="370"/>
      <c r="C1190" s="371"/>
      <c r="D1190" s="45" t="s">
        <v>31</v>
      </c>
      <c r="E1190" s="372" t="s">
        <v>4579</v>
      </c>
      <c r="F1190" s="81" t="str">
        <f>IFERROR(VLOOKUP(E1190,客户!B:C,2,FALSE),"/")</f>
        <v>/</v>
      </c>
      <c r="G1190" s="372" t="s">
        <v>4580</v>
      </c>
      <c r="H1190" s="374" t="s">
        <v>4589</v>
      </c>
      <c r="I1190" s="374"/>
      <c r="J1190" s="390"/>
      <c r="K1190" s="392"/>
      <c r="L1190" s="392"/>
      <c r="M1190" s="395"/>
      <c r="N1190" s="395"/>
      <c r="O1190" s="395"/>
      <c r="P1190" s="396">
        <v>34450</v>
      </c>
      <c r="Q1190" s="396"/>
      <c r="R1190" s="131"/>
      <c r="S1190" s="400"/>
      <c r="T1190" s="396"/>
      <c r="U1190" s="392"/>
      <c r="V1190" s="396"/>
      <c r="W1190" s="372"/>
    </row>
    <row r="1191" s="39" customFormat="1" ht="22" hidden="1" customHeight="1" spans="1:23">
      <c r="A1191" s="369" t="s">
        <v>4590</v>
      </c>
      <c r="B1191" s="370"/>
      <c r="C1191" s="371"/>
      <c r="D1191" s="45" t="s">
        <v>31</v>
      </c>
      <c r="E1191" s="372" t="s">
        <v>4579</v>
      </c>
      <c r="F1191" s="81" t="str">
        <f>IFERROR(VLOOKUP(E1191,客户!B:C,2,FALSE),"/")</f>
        <v>/</v>
      </c>
      <c r="G1191" s="375" t="s">
        <v>4591</v>
      </c>
      <c r="H1191" s="376" t="s">
        <v>4592</v>
      </c>
      <c r="I1191" s="376"/>
      <c r="J1191" s="390"/>
      <c r="K1191" s="397"/>
      <c r="L1191" s="397"/>
      <c r="M1191" s="395"/>
      <c r="N1191" s="395"/>
      <c r="O1191" s="395"/>
      <c r="P1191" s="396">
        <v>48697.84</v>
      </c>
      <c r="Q1191" s="402"/>
      <c r="R1191" s="320"/>
      <c r="S1191" s="403"/>
      <c r="T1191" s="402"/>
      <c r="U1191" s="397"/>
      <c r="V1191" s="402"/>
      <c r="W1191" s="404"/>
    </row>
    <row r="1192" s="42" customFormat="1" ht="22" hidden="1" customHeight="1" spans="1:23">
      <c r="A1192" s="369" t="s">
        <v>4593</v>
      </c>
      <c r="B1192" s="370"/>
      <c r="C1192" s="371"/>
      <c r="D1192" s="45" t="s">
        <v>31</v>
      </c>
      <c r="E1192" s="372" t="s">
        <v>4579</v>
      </c>
      <c r="F1192" s="81" t="str">
        <f>IFERROR(VLOOKUP(E1192,客户!B:C,2,FALSE),"/")</f>
        <v>/</v>
      </c>
      <c r="G1192" s="375" t="s">
        <v>4580</v>
      </c>
      <c r="H1192" s="374" t="s">
        <v>4589</v>
      </c>
      <c r="I1192" s="374"/>
      <c r="J1192" s="390"/>
      <c r="K1192" s="397"/>
      <c r="L1192" s="397"/>
      <c r="M1192" s="395"/>
      <c r="N1192" s="395"/>
      <c r="O1192" s="395"/>
      <c r="P1192" s="396">
        <v>29568</v>
      </c>
      <c r="Q1192" s="402"/>
      <c r="R1192" s="320"/>
      <c r="S1192" s="403"/>
      <c r="T1192" s="402"/>
      <c r="U1192" s="397"/>
      <c r="V1192" s="402"/>
      <c r="W1192" s="404"/>
    </row>
    <row r="1193" s="42" customFormat="1" ht="22" hidden="1" customHeight="1" spans="1:23">
      <c r="A1193" s="364" t="s">
        <v>4594</v>
      </c>
      <c r="B1193" s="365"/>
      <c r="C1193" s="366"/>
      <c r="D1193" s="45" t="s">
        <v>31</v>
      </c>
      <c r="E1193" s="372" t="s">
        <v>4579</v>
      </c>
      <c r="F1193" s="81" t="str">
        <f>IFERROR(VLOOKUP(E1193,客户!B:C,2,FALSE),"/")</f>
        <v>/</v>
      </c>
      <c r="G1193" s="372" t="s">
        <v>4583</v>
      </c>
      <c r="H1193" s="374" t="s">
        <v>4589</v>
      </c>
      <c r="I1193" s="374"/>
      <c r="J1193" s="390"/>
      <c r="K1193" s="392"/>
      <c r="L1193" s="392"/>
      <c r="M1193" s="395"/>
      <c r="N1193" s="395"/>
      <c r="O1193" s="395"/>
      <c r="P1193" s="396">
        <v>32670.74</v>
      </c>
      <c r="Q1193" s="396"/>
      <c r="R1193" s="131"/>
      <c r="S1193" s="400"/>
      <c r="T1193" s="396"/>
      <c r="U1193" s="392"/>
      <c r="V1193" s="396"/>
      <c r="W1193" s="372"/>
    </row>
    <row r="1194" s="40" customFormat="1" ht="22" hidden="1" customHeight="1" spans="1:23">
      <c r="A1194" s="369" t="s">
        <v>4595</v>
      </c>
      <c r="B1194" s="370"/>
      <c r="C1194" s="371"/>
      <c r="D1194" s="45" t="s">
        <v>31</v>
      </c>
      <c r="E1194" s="372" t="s">
        <v>4579</v>
      </c>
      <c r="F1194" s="81" t="str">
        <f>IFERROR(VLOOKUP(E1194,客户!B:C,2,FALSE),"/")</f>
        <v>/</v>
      </c>
      <c r="G1194" s="372" t="s">
        <v>4596</v>
      </c>
      <c r="H1194" s="372" t="s">
        <v>4592</v>
      </c>
      <c r="I1194" s="372"/>
      <c r="J1194" s="390"/>
      <c r="K1194" s="392"/>
      <c r="L1194" s="392"/>
      <c r="M1194" s="379"/>
      <c r="N1194" s="379"/>
      <c r="O1194" s="379"/>
      <c r="P1194" s="396">
        <v>33400</v>
      </c>
      <c r="Q1194" s="396"/>
      <c r="R1194" s="131"/>
      <c r="S1194" s="400"/>
      <c r="T1194" s="396"/>
      <c r="U1194" s="392"/>
      <c r="V1194" s="396"/>
      <c r="W1194" s="372"/>
    </row>
    <row r="1195" s="40" customFormat="1" ht="22" hidden="1" customHeight="1" spans="1:23">
      <c r="A1195" s="369" t="s">
        <v>4597</v>
      </c>
      <c r="B1195" s="370"/>
      <c r="C1195" s="371"/>
      <c r="D1195" s="45" t="s">
        <v>31</v>
      </c>
      <c r="E1195" s="372" t="s">
        <v>4598</v>
      </c>
      <c r="F1195" s="81" t="str">
        <f>IFERROR(VLOOKUP(E1195,客户!B:C,2,FALSE),"/")</f>
        <v>/</v>
      </c>
      <c r="G1195" s="372" t="s">
        <v>4599</v>
      </c>
      <c r="H1195" s="372" t="s">
        <v>4592</v>
      </c>
      <c r="I1195" s="372"/>
      <c r="J1195" s="390"/>
      <c r="K1195" s="392"/>
      <c r="L1195" s="392"/>
      <c r="M1195" s="379"/>
      <c r="N1195" s="379"/>
      <c r="O1195" s="379"/>
      <c r="P1195" s="396">
        <v>32450</v>
      </c>
      <c r="Q1195" s="396"/>
      <c r="R1195" s="131"/>
      <c r="S1195" s="400"/>
      <c r="T1195" s="396"/>
      <c r="U1195" s="392"/>
      <c r="V1195" s="396"/>
      <c r="W1195" s="372"/>
    </row>
    <row r="1196" s="40" customFormat="1" ht="22" hidden="1" customHeight="1" spans="1:23">
      <c r="A1196" s="377" t="s">
        <v>4600</v>
      </c>
      <c r="B1196" s="370"/>
      <c r="C1196" s="371"/>
      <c r="D1196" s="45" t="s">
        <v>31</v>
      </c>
      <c r="E1196" s="372" t="s">
        <v>4579</v>
      </c>
      <c r="F1196" s="81" t="str">
        <f>IFERROR(VLOOKUP(E1196,客户!B:C,2,FALSE),"/")</f>
        <v>/</v>
      </c>
      <c r="G1196" s="372" t="s">
        <v>4601</v>
      </c>
      <c r="H1196" s="372"/>
      <c r="I1196" s="372"/>
      <c r="J1196" s="390"/>
      <c r="K1196" s="392"/>
      <c r="L1196" s="392"/>
      <c r="M1196" s="379"/>
      <c r="N1196" s="379"/>
      <c r="O1196" s="379"/>
      <c r="P1196" s="396">
        <v>35392</v>
      </c>
      <c r="Q1196" s="396" t="s">
        <v>4602</v>
      </c>
      <c r="R1196" s="131"/>
      <c r="S1196" s="400"/>
      <c r="T1196" s="396"/>
      <c r="U1196" s="392"/>
      <c r="V1196" s="396"/>
      <c r="W1196" s="372"/>
    </row>
    <row r="1197" s="40" customFormat="1" ht="22" hidden="1" customHeight="1" spans="1:23">
      <c r="A1197" s="377" t="s">
        <v>4603</v>
      </c>
      <c r="B1197" s="370"/>
      <c r="C1197" s="371"/>
      <c r="D1197" s="45" t="s">
        <v>31</v>
      </c>
      <c r="E1197" s="372" t="s">
        <v>4579</v>
      </c>
      <c r="F1197" s="81" t="str">
        <f>IFERROR(VLOOKUP(E1197,客户!B:C,2,FALSE),"/")</f>
        <v>/</v>
      </c>
      <c r="G1197" s="372" t="s">
        <v>4583</v>
      </c>
      <c r="H1197" s="372"/>
      <c r="I1197" s="372"/>
      <c r="J1197" s="390"/>
      <c r="K1197" s="392"/>
      <c r="L1197" s="392"/>
      <c r="M1197" s="379"/>
      <c r="N1197" s="379"/>
      <c r="O1197" s="379"/>
      <c r="P1197" s="396">
        <v>42358.85</v>
      </c>
      <c r="Q1197" s="396" t="s">
        <v>4604</v>
      </c>
      <c r="R1197" s="131"/>
      <c r="S1197" s="400"/>
      <c r="T1197" s="396"/>
      <c r="U1197" s="392"/>
      <c r="V1197" s="396"/>
      <c r="W1197" s="372"/>
    </row>
    <row r="1198" s="40" customFormat="1" ht="22" hidden="1" customHeight="1" spans="1:23">
      <c r="A1198" s="377" t="s">
        <v>4605</v>
      </c>
      <c r="B1198" s="370"/>
      <c r="C1198" s="371"/>
      <c r="D1198" s="45" t="s">
        <v>31</v>
      </c>
      <c r="E1198" s="372" t="s">
        <v>4606</v>
      </c>
      <c r="F1198" s="81">
        <f>IFERROR(VLOOKUP(E1198,客户!B:C,2,FALSE),"/")</f>
        <v>0</v>
      </c>
      <c r="G1198" s="372" t="s">
        <v>4601</v>
      </c>
      <c r="H1198" s="372"/>
      <c r="I1198" s="372"/>
      <c r="J1198" s="390"/>
      <c r="K1198" s="392"/>
      <c r="L1198" s="392"/>
      <c r="M1198" s="379"/>
      <c r="N1198" s="379"/>
      <c r="O1198" s="379"/>
      <c r="P1198" s="396">
        <v>14193.98</v>
      </c>
      <c r="Q1198" s="396"/>
      <c r="R1198" s="131"/>
      <c r="S1198" s="400"/>
      <c r="T1198" s="396"/>
      <c r="U1198" s="392"/>
      <c r="V1198" s="396"/>
      <c r="W1198" s="372"/>
    </row>
    <row r="1199" s="40" customFormat="1" ht="22" hidden="1" customHeight="1" spans="1:23">
      <c r="A1199" s="377" t="s">
        <v>4607</v>
      </c>
      <c r="B1199" s="370"/>
      <c r="C1199" s="371"/>
      <c r="D1199" s="45" t="s">
        <v>31</v>
      </c>
      <c r="E1199" s="372" t="s">
        <v>4579</v>
      </c>
      <c r="F1199" s="81" t="str">
        <f>IFERROR(VLOOKUP(E1199,客户!B:C,2,FALSE),"/")</f>
        <v>/</v>
      </c>
      <c r="G1199" s="372" t="s">
        <v>4601</v>
      </c>
      <c r="H1199" s="372"/>
      <c r="I1199" s="372"/>
      <c r="J1199" s="390"/>
      <c r="K1199" s="392"/>
      <c r="L1199" s="392"/>
      <c r="M1199" s="379"/>
      <c r="N1199" s="379"/>
      <c r="O1199" s="379"/>
      <c r="P1199" s="396">
        <v>37477.24</v>
      </c>
      <c r="Q1199" s="405" t="s">
        <v>1283</v>
      </c>
      <c r="R1199" s="131"/>
      <c r="S1199" s="400"/>
      <c r="T1199" s="396"/>
      <c r="U1199" s="392"/>
      <c r="V1199" s="396"/>
      <c r="W1199" s="372"/>
    </row>
    <row r="1200" s="40" customFormat="1" ht="22" hidden="1" customHeight="1" spans="1:23">
      <c r="A1200" s="377" t="s">
        <v>4608</v>
      </c>
      <c r="B1200" s="370"/>
      <c r="C1200" s="371"/>
      <c r="D1200" s="45" t="s">
        <v>31</v>
      </c>
      <c r="E1200" s="372" t="s">
        <v>4579</v>
      </c>
      <c r="F1200" s="81" t="str">
        <f>IFERROR(VLOOKUP(E1200,客户!B:C,2,FALSE),"/")</f>
        <v>/</v>
      </c>
      <c r="G1200" s="372" t="s">
        <v>4609</v>
      </c>
      <c r="H1200" s="372"/>
      <c r="I1200" s="372"/>
      <c r="J1200" s="390"/>
      <c r="K1200" s="392"/>
      <c r="L1200" s="392"/>
      <c r="M1200" s="379"/>
      <c r="N1200" s="379"/>
      <c r="O1200" s="379"/>
      <c r="P1200" s="396">
        <v>38654.15</v>
      </c>
      <c r="Q1200" s="405" t="s">
        <v>1283</v>
      </c>
      <c r="R1200" s="131"/>
      <c r="S1200" s="400"/>
      <c r="T1200" s="396"/>
      <c r="U1200" s="392"/>
      <c r="V1200" s="396"/>
      <c r="W1200" s="372"/>
    </row>
    <row r="1201" s="40" customFormat="1" ht="22" hidden="1" customHeight="1" spans="1:23">
      <c r="A1201" s="377" t="s">
        <v>4610</v>
      </c>
      <c r="B1201" s="370"/>
      <c r="C1201" s="371"/>
      <c r="D1201" s="45" t="s">
        <v>31</v>
      </c>
      <c r="E1201" s="372" t="s">
        <v>4611</v>
      </c>
      <c r="F1201" s="81">
        <f>IFERROR(VLOOKUP(E1201,客户!B:C,2,FALSE),"/")</f>
        <v>0</v>
      </c>
      <c r="G1201" s="372" t="s">
        <v>4609</v>
      </c>
      <c r="H1201" s="372"/>
      <c r="I1201" s="372"/>
      <c r="J1201" s="390"/>
      <c r="K1201" s="392"/>
      <c r="L1201" s="392"/>
      <c r="M1201" s="379"/>
      <c r="N1201" s="379"/>
      <c r="O1201" s="379"/>
      <c r="P1201" s="396">
        <v>14708</v>
      </c>
      <c r="Q1201" s="396" t="s">
        <v>4612</v>
      </c>
      <c r="R1201" s="284"/>
      <c r="S1201" s="400"/>
      <c r="T1201" s="240">
        <v>81270</v>
      </c>
      <c r="U1201" s="392"/>
      <c r="V1201" s="396"/>
      <c r="W1201" s="372"/>
    </row>
    <row r="1202" s="40" customFormat="1" ht="22" hidden="1" customHeight="1" spans="1:23">
      <c r="A1202" s="378" t="s">
        <v>4613</v>
      </c>
      <c r="B1202" s="370"/>
      <c r="C1202" s="371"/>
      <c r="D1202" s="45" t="s">
        <v>31</v>
      </c>
      <c r="E1202" s="372" t="s">
        <v>4614</v>
      </c>
      <c r="F1202" s="81" t="str">
        <f>IFERROR(VLOOKUP(E1202,客户!B:C,2,FALSE),"/")</f>
        <v>/</v>
      </c>
      <c r="G1202" s="372" t="s">
        <v>4615</v>
      </c>
      <c r="H1202" s="372"/>
      <c r="I1202" s="372"/>
      <c r="J1202" s="390"/>
      <c r="K1202" s="392"/>
      <c r="L1202" s="392"/>
      <c r="M1202" s="379"/>
      <c r="N1202" s="379"/>
      <c r="O1202" s="379"/>
      <c r="P1202" s="396" t="s">
        <v>4616</v>
      </c>
      <c r="Q1202" s="396">
        <v>4842</v>
      </c>
      <c r="R1202" s="131"/>
      <c r="S1202" s="400"/>
      <c r="T1202" s="396"/>
      <c r="U1202" s="392"/>
      <c r="V1202" s="396"/>
      <c r="W1202" s="372"/>
    </row>
    <row r="1203" s="40" customFormat="1" ht="22" hidden="1" customHeight="1" spans="1:23">
      <c r="A1203" s="377" t="s">
        <v>4617</v>
      </c>
      <c r="B1203" s="370"/>
      <c r="C1203" s="371"/>
      <c r="D1203" s="45" t="s">
        <v>31</v>
      </c>
      <c r="E1203" s="372" t="s">
        <v>4618</v>
      </c>
      <c r="F1203" s="81" t="str">
        <f>IFERROR(VLOOKUP(E1203,客户!B:C,2,FALSE),"/")</f>
        <v>/</v>
      </c>
      <c r="G1203" s="372" t="s">
        <v>4619</v>
      </c>
      <c r="H1203" s="372"/>
      <c r="I1203" s="372"/>
      <c r="J1203" s="390"/>
      <c r="K1203" s="392"/>
      <c r="L1203" s="392"/>
      <c r="M1203" s="395"/>
      <c r="N1203" s="395"/>
      <c r="O1203" s="395"/>
      <c r="P1203" s="396">
        <v>7978.05</v>
      </c>
      <c r="Q1203" s="406"/>
      <c r="R1203" s="131"/>
      <c r="S1203" s="400"/>
      <c r="T1203" s="131">
        <v>7978.05</v>
      </c>
      <c r="U1203" s="392"/>
      <c r="V1203" s="396"/>
      <c r="W1203" s="372"/>
    </row>
    <row r="1204" s="40" customFormat="1" ht="22" hidden="1" customHeight="1" spans="1:23">
      <c r="A1204" s="378" t="s">
        <v>4620</v>
      </c>
      <c r="B1204" s="370"/>
      <c r="C1204" s="371"/>
      <c r="D1204" s="45" t="s">
        <v>31</v>
      </c>
      <c r="E1204" s="372" t="s">
        <v>4621</v>
      </c>
      <c r="F1204" s="81" t="str">
        <f>IFERROR(VLOOKUP(E1204,客户!B:C,2,FALSE),"/")</f>
        <v>/</v>
      </c>
      <c r="G1204" s="372" t="s">
        <v>4622</v>
      </c>
      <c r="H1204" s="372"/>
      <c r="I1204" s="372"/>
      <c r="J1204" s="390"/>
      <c r="K1204" s="392"/>
      <c r="L1204" s="392"/>
      <c r="M1204" s="379"/>
      <c r="N1204" s="379"/>
      <c r="O1204" s="379"/>
      <c r="P1204" s="396"/>
      <c r="Q1204" s="396" t="s">
        <v>4623</v>
      </c>
      <c r="R1204" s="131"/>
      <c r="S1204" s="400"/>
      <c r="T1204" s="396"/>
      <c r="U1204" s="392"/>
      <c r="V1204" s="396"/>
      <c r="W1204" s="372"/>
    </row>
    <row r="1205" s="41" customFormat="1" ht="22" hidden="1" customHeight="1" spans="1:23">
      <c r="A1205" s="377" t="s">
        <v>4624</v>
      </c>
      <c r="B1205" s="370"/>
      <c r="C1205" s="371"/>
      <c r="D1205" s="45" t="s">
        <v>31</v>
      </c>
      <c r="E1205" s="379" t="s">
        <v>4625</v>
      </c>
      <c r="F1205" s="81" t="str">
        <f>IFERROR(VLOOKUP(E1205,客户!B:C,2,FALSE),"/")</f>
        <v>/</v>
      </c>
      <c r="G1205" s="379" t="s">
        <v>4626</v>
      </c>
      <c r="H1205" s="379" t="s">
        <v>154</v>
      </c>
      <c r="I1205" s="379"/>
      <c r="J1205" s="390"/>
      <c r="K1205" s="393"/>
      <c r="L1205" s="392"/>
      <c r="M1205" s="395"/>
      <c r="N1205" s="395"/>
      <c r="O1205" s="395"/>
      <c r="P1205" s="398"/>
      <c r="Q1205" s="398"/>
      <c r="R1205" s="131"/>
      <c r="S1205" s="400"/>
      <c r="T1205" s="396"/>
      <c r="U1205" s="392"/>
      <c r="V1205" s="398"/>
      <c r="W1205" s="379"/>
    </row>
    <row r="1206" s="41" customFormat="1" ht="22" hidden="1" customHeight="1" spans="1:23">
      <c r="A1206" s="377" t="s">
        <v>4627</v>
      </c>
      <c r="B1206" s="370"/>
      <c r="C1206" s="371"/>
      <c r="D1206" s="45" t="s">
        <v>31</v>
      </c>
      <c r="E1206" s="379" t="s">
        <v>4628</v>
      </c>
      <c r="F1206" s="81" t="str">
        <f>IFERROR(VLOOKUP(E1206,客户!B:C,2,FALSE),"/")</f>
        <v>/</v>
      </c>
      <c r="G1206" s="379" t="s">
        <v>4629</v>
      </c>
      <c r="H1206" s="379" t="s">
        <v>154</v>
      </c>
      <c r="I1206" s="379"/>
      <c r="J1206" s="390"/>
      <c r="K1206" s="392"/>
      <c r="L1206" s="392"/>
      <c r="M1206" s="398"/>
      <c r="N1206" s="398"/>
      <c r="O1206" s="398"/>
      <c r="P1206" s="398"/>
      <c r="Q1206" s="398"/>
      <c r="R1206" s="131"/>
      <c r="S1206" s="400"/>
      <c r="T1206" s="131">
        <v>19625.74</v>
      </c>
      <c r="U1206" s="392"/>
      <c r="V1206" s="396"/>
      <c r="W1206" s="377"/>
    </row>
    <row r="1207" s="40" customFormat="1" ht="22" hidden="1" customHeight="1" spans="1:23">
      <c r="A1207" s="380" t="s">
        <v>4630</v>
      </c>
      <c r="B1207" s="370"/>
      <c r="C1207" s="371"/>
      <c r="D1207" s="45" t="s">
        <v>31</v>
      </c>
      <c r="E1207" s="379" t="s">
        <v>4628</v>
      </c>
      <c r="F1207" s="81" t="str">
        <f>IFERROR(VLOOKUP(E1207,客户!B:C,2,FALSE),"/")</f>
        <v>/</v>
      </c>
      <c r="G1207" s="379" t="s">
        <v>4631</v>
      </c>
      <c r="H1207" s="379" t="s">
        <v>154</v>
      </c>
      <c r="I1207" s="379"/>
      <c r="J1207" s="390"/>
      <c r="K1207" s="392"/>
      <c r="L1207" s="392"/>
      <c r="M1207" s="395"/>
      <c r="N1207" s="395"/>
      <c r="O1207" s="395"/>
      <c r="P1207" s="396">
        <v>16504.01</v>
      </c>
      <c r="Q1207" s="396"/>
      <c r="R1207" s="131"/>
      <c r="S1207" s="400"/>
      <c r="T1207" s="396"/>
      <c r="U1207" s="392"/>
      <c r="V1207" s="396"/>
      <c r="W1207" s="377"/>
    </row>
    <row r="1208" s="40" customFormat="1" ht="22" hidden="1" customHeight="1" spans="1:23">
      <c r="A1208" s="144"/>
      <c r="B1208" s="174"/>
      <c r="C1208" s="175"/>
      <c r="D1208" s="45"/>
      <c r="E1208" s="80"/>
      <c r="F1208" s="81" t="str">
        <f>IFERROR(VLOOKUP(E1208,客户!B:C,2,FALSE),"/")</f>
        <v>/</v>
      </c>
      <c r="G1208" s="45"/>
      <c r="H1208" s="45"/>
      <c r="I1208" s="45"/>
      <c r="J1208" s="45"/>
      <c r="K1208" s="100"/>
      <c r="L1208" s="100"/>
      <c r="M1208" s="143"/>
      <c r="N1208" s="143"/>
      <c r="O1208" s="143"/>
      <c r="P1208" s="102"/>
      <c r="Q1208" s="102"/>
      <c r="R1208" s="131"/>
      <c r="S1208" s="400"/>
      <c r="T1208" s="102"/>
      <c r="U1208" s="100"/>
      <c r="V1208" s="102"/>
      <c r="W1208" s="45"/>
    </row>
    <row r="1209" hidden="1" spans="19:19">
      <c r="S1209" s="407"/>
    </row>
    <row r="1210" hidden="1" spans="19:19">
      <c r="S1210" s="407"/>
    </row>
    <row r="1211" hidden="1" spans="1:19">
      <c r="A1211" s="46" t="s">
        <v>4632</v>
      </c>
      <c r="S1211" s="400"/>
    </row>
    <row r="1212" ht="21" hidden="1" customHeight="1" spans="1:20">
      <c r="A1212" s="261" t="s">
        <v>4633</v>
      </c>
      <c r="B1212" s="174" t="s">
        <v>4541</v>
      </c>
      <c r="C1212" s="175"/>
      <c r="D1212" s="45" t="s">
        <v>31</v>
      </c>
      <c r="E1212" s="82" t="s">
        <v>4634</v>
      </c>
      <c r="F1212" s="81">
        <f>IFERROR(VLOOKUP(E1212,客户!B:C,2,FALSE),"/")</f>
        <v>0</v>
      </c>
      <c r="G1212" s="307" t="s">
        <v>4635</v>
      </c>
      <c r="H1212" s="324" t="s">
        <v>186</v>
      </c>
      <c r="I1212" s="108"/>
      <c r="J1212" s="108">
        <v>44574</v>
      </c>
      <c r="K1212" s="100">
        <v>44574</v>
      </c>
      <c r="L1212" s="100"/>
      <c r="M1212" s="315"/>
      <c r="N1212" s="337"/>
      <c r="O1212" s="266" t="s">
        <v>970</v>
      </c>
      <c r="P1212" s="240">
        <v>620</v>
      </c>
      <c r="S1212" s="400"/>
      <c r="T1212" s="240">
        <v>620</v>
      </c>
    </row>
    <row r="1213" hidden="1" spans="19:19">
      <c r="S1213" s="400"/>
    </row>
    <row r="1214" hidden="1" spans="19:19">
      <c r="S1214" s="400"/>
    </row>
    <row r="1215" hidden="1" spans="19:19">
      <c r="S1215" s="400"/>
    </row>
    <row r="1216" hidden="1" spans="19:19">
      <c r="S1216" s="400"/>
    </row>
    <row r="1217" hidden="1" spans="19:19">
      <c r="S1217" s="400"/>
    </row>
    <row r="1218" hidden="1" spans="19:19">
      <c r="S1218" s="400"/>
    </row>
    <row r="1219" hidden="1" spans="19:19">
      <c r="S1219" s="400"/>
    </row>
    <row r="1220" hidden="1" spans="19:19">
      <c r="S1220" s="400"/>
    </row>
    <row r="1221" hidden="1" spans="19:19">
      <c r="S1221" s="400"/>
    </row>
    <row r="1222" hidden="1" spans="19:19">
      <c r="S1222" s="400"/>
    </row>
    <row r="1223" hidden="1" spans="19:19">
      <c r="S1223" s="400"/>
    </row>
    <row r="1224" hidden="1" spans="19:19">
      <c r="S1224" s="400"/>
    </row>
    <row r="1225" hidden="1" spans="19:19">
      <c r="S1225" s="400"/>
    </row>
    <row r="1226" hidden="1" spans="19:19">
      <c r="S1226" s="400"/>
    </row>
    <row r="1227" hidden="1" spans="19:19">
      <c r="S1227" s="400"/>
    </row>
    <row r="1228" hidden="1" spans="19:19">
      <c r="S1228" s="400"/>
    </row>
    <row r="1229" hidden="1" spans="19:19">
      <c r="S1229" s="400"/>
    </row>
    <row r="1230" hidden="1" spans="19:19">
      <c r="S1230" s="400"/>
    </row>
    <row r="1231" hidden="1" spans="19:19">
      <c r="S1231" s="400"/>
    </row>
    <row r="1232" hidden="1" spans="19:19">
      <c r="S1232" s="400"/>
    </row>
    <row r="1233" hidden="1" spans="19:19">
      <c r="S1233" s="400"/>
    </row>
    <row r="1234" hidden="1" spans="19:19">
      <c r="S1234" s="400"/>
    </row>
    <row r="1235" hidden="1" spans="19:19">
      <c r="S1235" s="400"/>
    </row>
    <row r="1236" hidden="1" spans="19:19">
      <c r="S1236" s="400"/>
    </row>
    <row r="1237" hidden="1" spans="19:19">
      <c r="S1237" s="400"/>
    </row>
    <row r="1238" hidden="1" spans="19:19">
      <c r="S1238" s="400"/>
    </row>
    <row r="1239" hidden="1" spans="19:19">
      <c r="S1239" s="400"/>
    </row>
    <row r="1240" hidden="1" spans="19:19">
      <c r="S1240" s="400"/>
    </row>
    <row r="1241" hidden="1" spans="19:19">
      <c r="S1241" s="400"/>
    </row>
    <row r="1242" hidden="1" spans="19:19">
      <c r="S1242" s="400"/>
    </row>
    <row r="1243" hidden="1" spans="19:19">
      <c r="S1243" s="400"/>
    </row>
    <row r="1244" hidden="1" spans="19:19">
      <c r="S1244" s="400"/>
    </row>
    <row r="1245" hidden="1" spans="19:19">
      <c r="S1245" s="400"/>
    </row>
    <row r="1246" hidden="1" spans="19:19">
      <c r="S1246" s="400"/>
    </row>
    <row r="1247" hidden="1" spans="19:19">
      <c r="S1247" s="400"/>
    </row>
    <row r="1248" hidden="1" spans="19:19">
      <c r="S1248" s="400"/>
    </row>
    <row r="1249" hidden="1" spans="19:19">
      <c r="S1249" s="400"/>
    </row>
    <row r="1250" hidden="1" spans="19:19">
      <c r="S1250" s="400"/>
    </row>
    <row r="1251" hidden="1" spans="19:19">
      <c r="S1251" s="400"/>
    </row>
    <row r="1252" hidden="1" spans="19:19">
      <c r="S1252" s="400"/>
    </row>
    <row r="1253" hidden="1" spans="19:19">
      <c r="S1253" s="400"/>
    </row>
    <row r="1254" hidden="1" spans="19:19">
      <c r="S1254" s="400"/>
    </row>
    <row r="1255" hidden="1" spans="19:19">
      <c r="S1255" s="400"/>
    </row>
    <row r="1256" hidden="1" spans="19:19">
      <c r="S1256" s="400"/>
    </row>
    <row r="1257" hidden="1" spans="19:19">
      <c r="S1257" s="400"/>
    </row>
    <row r="1258" hidden="1" spans="19:19">
      <c r="S1258" s="400"/>
    </row>
    <row r="1259" hidden="1" spans="19:19">
      <c r="S1259" s="400"/>
    </row>
    <row r="1260" hidden="1" spans="19:19">
      <c r="S1260" s="400"/>
    </row>
    <row r="1261" hidden="1" spans="19:19">
      <c r="S1261" s="400"/>
    </row>
    <row r="1262" hidden="1" spans="19:19">
      <c r="S1262" s="400"/>
    </row>
    <row r="1263" hidden="1" spans="19:19">
      <c r="S1263" s="400"/>
    </row>
    <row r="1264" hidden="1" spans="19:19">
      <c r="S1264" s="400"/>
    </row>
    <row r="1265" hidden="1" spans="19:19">
      <c r="S1265" s="400"/>
    </row>
    <row r="1266" hidden="1" spans="19:19">
      <c r="S1266" s="400"/>
    </row>
    <row r="1267" hidden="1" spans="19:19">
      <c r="S1267" s="400"/>
    </row>
    <row r="1268" hidden="1" spans="19:19">
      <c r="S1268" s="400"/>
    </row>
    <row r="1269" hidden="1" spans="19:19">
      <c r="S1269" s="400"/>
    </row>
    <row r="1270" hidden="1" spans="19:19">
      <c r="S1270" s="400"/>
    </row>
    <row r="1271" hidden="1" spans="19:19">
      <c r="S1271" s="400"/>
    </row>
    <row r="1272" hidden="1" spans="19:19">
      <c r="S1272" s="400"/>
    </row>
    <row r="1273" hidden="1" spans="19:19">
      <c r="S1273" s="400"/>
    </row>
    <row r="1274" hidden="1" spans="19:19">
      <c r="S1274" s="400"/>
    </row>
    <row r="1275" hidden="1" spans="19:19">
      <c r="S1275" s="400"/>
    </row>
    <row r="1276" hidden="1" spans="19:19">
      <c r="S1276" s="400"/>
    </row>
    <row r="1277" hidden="1" spans="19:19">
      <c r="S1277" s="400"/>
    </row>
    <row r="1278" hidden="1" spans="19:19">
      <c r="S1278" s="400"/>
    </row>
    <row r="1279" hidden="1" spans="19:19">
      <c r="S1279" s="400"/>
    </row>
    <row r="1280" hidden="1" spans="19:19">
      <c r="S1280" s="400"/>
    </row>
    <row r="1281" hidden="1" spans="19:19">
      <c r="S1281" s="400"/>
    </row>
    <row r="1282" hidden="1" spans="19:19">
      <c r="S1282" s="400"/>
    </row>
    <row r="1283" hidden="1" spans="19:19">
      <c r="S1283" s="400"/>
    </row>
    <row r="1284" hidden="1" spans="19:19">
      <c r="S1284" s="400"/>
    </row>
    <row r="1285" hidden="1" spans="19:19">
      <c r="S1285" s="400"/>
    </row>
    <row r="1286" hidden="1" spans="19:19">
      <c r="S1286" s="400"/>
    </row>
    <row r="1287" hidden="1" spans="19:19">
      <c r="S1287" s="400"/>
    </row>
    <row r="1288" hidden="1" spans="19:19">
      <c r="S1288" s="400"/>
    </row>
    <row r="1289" hidden="1" spans="19:19">
      <c r="S1289" s="400"/>
    </row>
    <row r="1290" hidden="1" spans="19:19">
      <c r="S1290" s="400"/>
    </row>
    <row r="1291" hidden="1" spans="19:19">
      <c r="S1291" s="400"/>
    </row>
    <row r="1292" hidden="1" spans="19:19">
      <c r="S1292" s="400"/>
    </row>
    <row r="1293" hidden="1" spans="19:19">
      <c r="S1293" s="400"/>
    </row>
    <row r="1294" hidden="1" spans="19:19">
      <c r="S1294" s="400"/>
    </row>
    <row r="1295" hidden="1" spans="19:19">
      <c r="S1295" s="400"/>
    </row>
    <row r="1296" hidden="1" spans="19:19">
      <c r="S1296" s="400"/>
    </row>
    <row r="1297" hidden="1" spans="19:19">
      <c r="S1297" s="400"/>
    </row>
    <row r="1298" hidden="1" spans="19:19">
      <c r="S1298" s="400"/>
    </row>
    <row r="1299" hidden="1" spans="19:19">
      <c r="S1299" s="400"/>
    </row>
    <row r="1300" hidden="1" spans="19:19">
      <c r="S1300" s="400"/>
    </row>
    <row r="1301" hidden="1" spans="19:19">
      <c r="S1301" s="400"/>
    </row>
    <row r="1302" hidden="1" spans="19:19">
      <c r="S1302" s="400"/>
    </row>
    <row r="1303" hidden="1" spans="19:19">
      <c r="S1303" s="400"/>
    </row>
    <row r="1304" hidden="1" spans="19:19">
      <c r="S1304" s="400"/>
    </row>
    <row r="1305" hidden="1" spans="19:19">
      <c r="S1305" s="400"/>
    </row>
    <row r="1306" hidden="1" spans="19:19">
      <c r="S1306" s="400"/>
    </row>
    <row r="1307" hidden="1" spans="19:19">
      <c r="S1307" s="400"/>
    </row>
    <row r="1308" hidden="1" spans="19:19">
      <c r="S1308" s="400"/>
    </row>
    <row r="1309" hidden="1" spans="19:19">
      <c r="S1309" s="400"/>
    </row>
    <row r="1310" hidden="1" spans="19:19">
      <c r="S1310" s="400"/>
    </row>
    <row r="1311" hidden="1" spans="19:19">
      <c r="S1311" s="400"/>
    </row>
    <row r="1312" hidden="1" spans="19:19">
      <c r="S1312" s="400"/>
    </row>
    <row r="1313" hidden="1" spans="19:19">
      <c r="S1313" s="400"/>
    </row>
    <row r="1314" hidden="1" spans="19:19">
      <c r="S1314" s="400"/>
    </row>
    <row r="1315" hidden="1" spans="19:19">
      <c r="S1315" s="400"/>
    </row>
    <row r="1316" hidden="1" spans="19:19">
      <c r="S1316" s="400"/>
    </row>
    <row r="1317" hidden="1" spans="19:19">
      <c r="S1317" s="400"/>
    </row>
    <row r="1318" hidden="1" spans="19:19">
      <c r="S1318" s="400"/>
    </row>
    <row r="1319" hidden="1" spans="19:19">
      <c r="S1319" s="400"/>
    </row>
    <row r="1320" hidden="1" spans="19:19">
      <c r="S1320" s="400"/>
    </row>
    <row r="1321" hidden="1" spans="19:19">
      <c r="S1321" s="400"/>
    </row>
    <row r="1322" hidden="1" spans="19:19">
      <c r="S1322" s="400"/>
    </row>
    <row r="1323" hidden="1" spans="19:19">
      <c r="S1323" s="400"/>
    </row>
    <row r="1324" hidden="1" spans="19:19">
      <c r="S1324" s="400"/>
    </row>
    <row r="1325" hidden="1" spans="19:19">
      <c r="S1325" s="400"/>
    </row>
    <row r="1326" hidden="1" spans="19:19">
      <c r="S1326" s="400"/>
    </row>
    <row r="1327" hidden="1" spans="19:19">
      <c r="S1327" s="400"/>
    </row>
    <row r="1328" hidden="1" spans="19:19">
      <c r="S1328" s="400"/>
    </row>
    <row r="1329" hidden="1" spans="19:19">
      <c r="S1329" s="400"/>
    </row>
    <row r="1330" hidden="1" spans="19:19">
      <c r="S1330" s="400"/>
    </row>
    <row r="1331" hidden="1" spans="19:19">
      <c r="S1331" s="400"/>
    </row>
    <row r="1332" hidden="1" spans="19:19">
      <c r="S1332" s="400"/>
    </row>
    <row r="1333" hidden="1" spans="19:19">
      <c r="S1333" s="400"/>
    </row>
    <row r="1334" hidden="1" spans="19:19">
      <c r="S1334" s="400"/>
    </row>
    <row r="1335" hidden="1" spans="19:19">
      <c r="S1335" s="400"/>
    </row>
    <row r="1336" hidden="1" spans="19:19">
      <c r="S1336" s="400"/>
    </row>
    <row r="1337" hidden="1" spans="19:19">
      <c r="S1337" s="400"/>
    </row>
    <row r="1338" hidden="1" spans="19:19">
      <c r="S1338" s="400"/>
    </row>
    <row r="1339" hidden="1" spans="19:19">
      <c r="S1339" s="400"/>
    </row>
    <row r="1340" hidden="1" spans="19:19">
      <c r="S1340" s="400"/>
    </row>
    <row r="1341" hidden="1" spans="19:19">
      <c r="S1341" s="400"/>
    </row>
    <row r="1342" hidden="1" spans="19:19">
      <c r="S1342" s="400"/>
    </row>
    <row r="1343" hidden="1" spans="19:19">
      <c r="S1343" s="400"/>
    </row>
    <row r="1344" hidden="1" spans="19:19">
      <c r="S1344" s="400"/>
    </row>
    <row r="1345" hidden="1" spans="19:19">
      <c r="S1345" s="400"/>
    </row>
    <row r="1346" hidden="1" spans="19:19">
      <c r="S1346" s="400"/>
    </row>
    <row r="1347" hidden="1" spans="19:19">
      <c r="S1347" s="400"/>
    </row>
    <row r="1348" hidden="1" spans="19:19">
      <c r="S1348" s="400"/>
    </row>
    <row r="1349" hidden="1" spans="19:19">
      <c r="S1349" s="400"/>
    </row>
    <row r="1350" hidden="1" spans="19:19">
      <c r="S1350" s="400"/>
    </row>
    <row r="1351" hidden="1" spans="19:19">
      <c r="S1351" s="400"/>
    </row>
    <row r="1352" hidden="1" spans="19:19">
      <c r="S1352" s="400"/>
    </row>
    <row r="1353" hidden="1" spans="19:19">
      <c r="S1353" s="400"/>
    </row>
    <row r="1354" hidden="1" spans="19:19">
      <c r="S1354" s="400"/>
    </row>
    <row r="1355" hidden="1" spans="19:19">
      <c r="S1355" s="400"/>
    </row>
    <row r="1356" hidden="1" spans="19:19">
      <c r="S1356" s="400"/>
    </row>
    <row r="1357" hidden="1" spans="19:19">
      <c r="S1357" s="400"/>
    </row>
    <row r="1358" hidden="1" spans="19:19">
      <c r="S1358" s="400"/>
    </row>
    <row r="1359" hidden="1" spans="19:19">
      <c r="S1359" s="400"/>
    </row>
    <row r="1360" hidden="1" spans="19:19">
      <c r="S1360" s="400"/>
    </row>
    <row r="1361" hidden="1" spans="19:19">
      <c r="S1361" s="400"/>
    </row>
    <row r="1362" hidden="1" spans="19:19">
      <c r="S1362" s="400"/>
    </row>
    <row r="1363" hidden="1" spans="19:19">
      <c r="S1363" s="400"/>
    </row>
    <row r="1364" hidden="1" spans="19:19">
      <c r="S1364" s="400"/>
    </row>
    <row r="1365" hidden="1" spans="19:19">
      <c r="S1365" s="400"/>
    </row>
    <row r="1366" hidden="1" spans="19:19">
      <c r="S1366" s="400"/>
    </row>
    <row r="1367" hidden="1" spans="19:19">
      <c r="S1367" s="400"/>
    </row>
    <row r="1368" hidden="1" spans="19:19">
      <c r="S1368" s="400"/>
    </row>
    <row r="1369" hidden="1" spans="19:19">
      <c r="S1369" s="400"/>
    </row>
    <row r="1370" hidden="1" spans="19:19">
      <c r="S1370" s="400"/>
    </row>
    <row r="1371" hidden="1" spans="19:19">
      <c r="S1371" s="400"/>
    </row>
    <row r="1372" hidden="1" spans="19:19">
      <c r="S1372" s="400"/>
    </row>
    <row r="1373" hidden="1" spans="19:19">
      <c r="S1373" s="400"/>
    </row>
    <row r="1374" hidden="1" spans="19:19">
      <c r="S1374" s="400"/>
    </row>
    <row r="1375" hidden="1" spans="19:19">
      <c r="S1375" s="400"/>
    </row>
    <row r="1376" hidden="1" spans="19:19">
      <c r="S1376" s="400"/>
    </row>
    <row r="1377" hidden="1" spans="19:19">
      <c r="S1377" s="400"/>
    </row>
    <row r="1378" hidden="1" spans="19:19">
      <c r="S1378" s="400"/>
    </row>
    <row r="1379" hidden="1" spans="19:19">
      <c r="S1379" s="400"/>
    </row>
    <row r="1380" hidden="1" spans="19:19">
      <c r="S1380" s="400"/>
    </row>
    <row r="1381" hidden="1" spans="19:19">
      <c r="S1381" s="400"/>
    </row>
    <row r="1382" hidden="1" spans="19:19">
      <c r="S1382" s="400"/>
    </row>
    <row r="1383" hidden="1" spans="19:19">
      <c r="S1383" s="408"/>
    </row>
    <row r="1384" hidden="1" spans="19:19">
      <c r="S1384" s="408"/>
    </row>
    <row r="1385" hidden="1" spans="19:19">
      <c r="S1385" s="408"/>
    </row>
    <row r="1386" hidden="1" spans="19:19">
      <c r="S1386" s="408"/>
    </row>
    <row r="1387" hidden="1" spans="19:19">
      <c r="S1387" s="408"/>
    </row>
    <row r="1388" hidden="1" spans="19:19">
      <c r="S1388" s="408"/>
    </row>
    <row r="1389" hidden="1" spans="19:19">
      <c r="S1389" s="408"/>
    </row>
    <row r="1390" hidden="1" spans="19:19">
      <c r="S1390" s="408"/>
    </row>
    <row r="1391" hidden="1" spans="19:19">
      <c r="S1391" s="408"/>
    </row>
    <row r="1392" hidden="1" spans="19:19">
      <c r="S1392" s="408"/>
    </row>
    <row r="1393" hidden="1" spans="19:19">
      <c r="S1393" s="408"/>
    </row>
    <row r="1394" hidden="1" spans="19:19">
      <c r="S1394" s="408"/>
    </row>
    <row r="1395" hidden="1" spans="19:19">
      <c r="S1395" s="408"/>
    </row>
    <row r="1396" hidden="1" spans="19:19">
      <c r="S1396" s="408"/>
    </row>
    <row r="1397" hidden="1" spans="19:19">
      <c r="S1397" s="408"/>
    </row>
    <row r="1398" hidden="1" spans="19:19">
      <c r="S1398" s="408"/>
    </row>
    <row r="1399" hidden="1" spans="19:19">
      <c r="S1399" s="408"/>
    </row>
    <row r="1400" hidden="1" spans="19:19">
      <c r="S1400" s="408"/>
    </row>
    <row r="1401" hidden="1" spans="19:19">
      <c r="S1401" s="408"/>
    </row>
    <row r="1402" hidden="1" spans="19:19">
      <c r="S1402" s="408"/>
    </row>
    <row r="1403" hidden="1" spans="19:19">
      <c r="S1403" s="408"/>
    </row>
    <row r="1404" hidden="1" spans="19:19">
      <c r="S1404" s="408"/>
    </row>
    <row r="1405" hidden="1" spans="19:19">
      <c r="S1405" s="408"/>
    </row>
    <row r="1406" hidden="1" spans="19:19">
      <c r="S1406" s="408"/>
    </row>
    <row r="1407" hidden="1" spans="19:19">
      <c r="S1407" s="408"/>
    </row>
    <row r="1408" hidden="1" spans="19:19">
      <c r="S1408" s="408"/>
    </row>
    <row r="1409" hidden="1" spans="19:19">
      <c r="S1409" s="408"/>
    </row>
    <row r="1410" hidden="1" spans="19:19">
      <c r="S1410" s="408"/>
    </row>
    <row r="1411" hidden="1" spans="19:19">
      <c r="S1411" s="408"/>
    </row>
    <row r="1412" hidden="1" spans="19:19">
      <c r="S1412" s="408"/>
    </row>
    <row r="1413" hidden="1" spans="19:19">
      <c r="S1413" s="408"/>
    </row>
    <row r="1414" hidden="1" spans="19:19">
      <c r="S1414" s="408"/>
    </row>
    <row r="1415" hidden="1" spans="19:19">
      <c r="S1415" s="408"/>
    </row>
    <row r="1416" hidden="1" spans="19:19">
      <c r="S1416" s="408"/>
    </row>
    <row r="1417" hidden="1" spans="19:19">
      <c r="S1417" s="408"/>
    </row>
    <row r="1418" hidden="1" spans="19:19">
      <c r="S1418" s="408"/>
    </row>
    <row r="1419" hidden="1" spans="19:19">
      <c r="S1419" s="408"/>
    </row>
    <row r="1420" hidden="1" spans="19:19">
      <c r="S1420" s="408"/>
    </row>
    <row r="1421" hidden="1" spans="19:19">
      <c r="S1421" s="408"/>
    </row>
    <row r="1422" hidden="1" spans="19:19">
      <c r="S1422" s="408"/>
    </row>
    <row r="1423" hidden="1" spans="19:19">
      <c r="S1423" s="408"/>
    </row>
    <row r="1424" hidden="1" spans="19:19">
      <c r="S1424" s="408"/>
    </row>
    <row r="1425" hidden="1" spans="19:19">
      <c r="S1425" s="408"/>
    </row>
    <row r="1426" hidden="1" spans="19:19">
      <c r="S1426" s="408"/>
    </row>
    <row r="1427" hidden="1" spans="19:19">
      <c r="S1427" s="408"/>
    </row>
    <row r="1428" hidden="1" spans="19:19">
      <c r="S1428" s="408"/>
    </row>
    <row r="1429" hidden="1" spans="19:19">
      <c r="S1429" s="408"/>
    </row>
    <row r="1430" hidden="1" spans="19:19">
      <c r="S1430" s="408"/>
    </row>
    <row r="1431" hidden="1" spans="19:19">
      <c r="S1431" s="408"/>
    </row>
    <row r="1432" hidden="1" spans="19:19">
      <c r="S1432" s="408"/>
    </row>
    <row r="1433" hidden="1" spans="19:19">
      <c r="S1433" s="408"/>
    </row>
    <row r="1434" hidden="1" spans="19:19">
      <c r="S1434" s="408"/>
    </row>
    <row r="1435" hidden="1" spans="19:19">
      <c r="S1435" s="408"/>
    </row>
    <row r="1436" hidden="1" spans="19:19">
      <c r="S1436" s="408"/>
    </row>
    <row r="1437" hidden="1" spans="19:19">
      <c r="S1437" s="408"/>
    </row>
    <row r="1438" hidden="1" spans="19:19">
      <c r="S1438" s="408"/>
    </row>
    <row r="1439" hidden="1" spans="19:19">
      <c r="S1439" s="408"/>
    </row>
    <row r="1440" hidden="1" spans="19:19">
      <c r="S1440" s="408"/>
    </row>
    <row r="1441" hidden="1" spans="19:19">
      <c r="S1441" s="408"/>
    </row>
    <row r="1442" hidden="1" spans="19:19">
      <c r="S1442" s="408"/>
    </row>
    <row r="1443" hidden="1" spans="19:19">
      <c r="S1443" s="408"/>
    </row>
    <row r="1444" hidden="1" spans="19:19">
      <c r="S1444" s="408"/>
    </row>
    <row r="1445" hidden="1" spans="19:19">
      <c r="S1445" s="408"/>
    </row>
    <row r="1446" hidden="1" spans="19:19">
      <c r="S1446" s="408"/>
    </row>
    <row r="1447" hidden="1" spans="19:19">
      <c r="S1447" s="408"/>
    </row>
    <row r="1448" hidden="1" spans="19:19">
      <c r="S1448" s="408"/>
    </row>
    <row r="1449" hidden="1" spans="19:19">
      <c r="S1449" s="408"/>
    </row>
    <row r="1450" hidden="1" spans="19:19">
      <c r="S1450" s="408"/>
    </row>
    <row r="1451" hidden="1" spans="19:19">
      <c r="S1451" s="408"/>
    </row>
    <row r="1452" hidden="1" spans="19:19">
      <c r="S1452" s="408"/>
    </row>
    <row r="1453" hidden="1" spans="19:19">
      <c r="S1453" s="408"/>
    </row>
    <row r="1454" hidden="1" spans="19:19">
      <c r="S1454" s="408"/>
    </row>
    <row r="1455" hidden="1" spans="19:19">
      <c r="S1455" s="408"/>
    </row>
    <row r="1456" hidden="1" spans="19:19">
      <c r="S1456" s="408"/>
    </row>
    <row r="1457" hidden="1" spans="19:19">
      <c r="S1457" s="408"/>
    </row>
    <row r="1458" hidden="1" spans="19:19">
      <c r="S1458" s="408"/>
    </row>
    <row r="1459" hidden="1" spans="19:19">
      <c r="S1459" s="408"/>
    </row>
    <row r="1460" hidden="1" spans="19:19">
      <c r="S1460" s="408"/>
    </row>
    <row r="1461" hidden="1" spans="19:19">
      <c r="S1461" s="408"/>
    </row>
    <row r="1462" hidden="1" spans="19:19">
      <c r="S1462" s="408"/>
    </row>
    <row r="1463" hidden="1" spans="19:19">
      <c r="S1463" s="408"/>
    </row>
    <row r="1464" hidden="1" spans="19:19">
      <c r="S1464" s="408"/>
    </row>
    <row r="1465" hidden="1" spans="19:19">
      <c r="S1465" s="408"/>
    </row>
    <row r="1466" hidden="1" spans="19:19">
      <c r="S1466" s="408"/>
    </row>
    <row r="1467" hidden="1" spans="19:19">
      <c r="S1467" s="408"/>
    </row>
    <row r="1468" hidden="1" spans="19:19">
      <c r="S1468" s="408"/>
    </row>
    <row r="1469" hidden="1" spans="19:19">
      <c r="S1469" s="408"/>
    </row>
    <row r="1470" hidden="1" spans="19:19">
      <c r="S1470" s="408"/>
    </row>
    <row r="1471" hidden="1" spans="19:19">
      <c r="S1471" s="408"/>
    </row>
    <row r="1472" hidden="1" spans="19:19">
      <c r="S1472" s="408"/>
    </row>
    <row r="1473" hidden="1" spans="19:19">
      <c r="S1473" s="408"/>
    </row>
    <row r="1474" hidden="1" spans="19:19">
      <c r="S1474" s="408"/>
    </row>
    <row r="1475" hidden="1" spans="19:19">
      <c r="S1475" s="408"/>
    </row>
    <row r="1476" hidden="1" spans="19:19">
      <c r="S1476" s="408"/>
    </row>
    <row r="1477" hidden="1" spans="19:19">
      <c r="S1477" s="408"/>
    </row>
    <row r="1478" hidden="1" spans="19:19">
      <c r="S1478" s="408"/>
    </row>
    <row r="1479" hidden="1" spans="19:19">
      <c r="S1479" s="408"/>
    </row>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spans="1:1">
      <c r="A1533" s="293"/>
    </row>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spans="16:17">
      <c r="P1567" s="332"/>
      <c r="Q1567" s="332">
        <v>2429</v>
      </c>
    </row>
    <row r="1568" hidden="1" spans="17:17">
      <c r="Q1568" s="54">
        <f>Q516+Q536+Q1567</f>
        <v>7429</v>
      </c>
    </row>
    <row r="1569" hidden="1" spans="17:17">
      <c r="Q1569" s="54">
        <f>Q1568-4000</f>
        <v>3429</v>
      </c>
    </row>
  </sheetData>
  <autoFilter ref="A3:X1569">
    <filterColumn colId="3">
      <filters>
        <filter val="单据"/>
      </filters>
    </filterColumn>
    <extLst/>
  </autoFilter>
  <mergeCells count="48">
    <mergeCell ref="M134:M135"/>
    <mergeCell ref="N103:N104"/>
    <mergeCell ref="N134:N135"/>
    <mergeCell ref="N628:N629"/>
    <mergeCell ref="P5:P6"/>
    <mergeCell ref="P22:P23"/>
    <mergeCell ref="P61:P62"/>
    <mergeCell ref="P103:P104"/>
    <mergeCell ref="P134:P135"/>
    <mergeCell ref="P153:P154"/>
    <mergeCell ref="P165:P166"/>
    <mergeCell ref="P639:P640"/>
    <mergeCell ref="P768:P769"/>
    <mergeCell ref="P771:P772"/>
    <mergeCell ref="Q19:Q20"/>
    <mergeCell ref="Q22:Q23"/>
    <mergeCell ref="Q26:Q29"/>
    <mergeCell ref="Q68:Q69"/>
    <mergeCell ref="Q87:Q88"/>
    <mergeCell ref="Q199:Q200"/>
    <mergeCell ref="Q541:Q542"/>
    <mergeCell ref="Q560:Q561"/>
    <mergeCell ref="Q582:Q583"/>
    <mergeCell ref="Q592:Q593"/>
    <mergeCell ref="Q766:Q767"/>
    <mergeCell ref="Q1113:Q1114"/>
    <mergeCell ref="R153:R154"/>
    <mergeCell ref="R165:R166"/>
    <mergeCell ref="R199:R200"/>
    <mergeCell ref="R560:R561"/>
    <mergeCell ref="R582:R583"/>
    <mergeCell ref="R766:R767"/>
    <mergeCell ref="R768:R769"/>
    <mergeCell ref="R771:R772"/>
    <mergeCell ref="T5:T6"/>
    <mergeCell ref="T22:T23"/>
    <mergeCell ref="T61:T62"/>
    <mergeCell ref="T514:T515"/>
    <mergeCell ref="T560:T561"/>
    <mergeCell ref="T577:T578"/>
    <mergeCell ref="T582:T583"/>
    <mergeCell ref="T592:T593"/>
    <mergeCell ref="T639:T640"/>
    <mergeCell ref="T766:T767"/>
    <mergeCell ref="T768:T769"/>
    <mergeCell ref="T771:T772"/>
    <mergeCell ref="U514:U515"/>
    <mergeCell ref="X144:X151"/>
  </mergeCells>
  <conditionalFormatting sqref="R182">
    <cfRule type="cellIs" dxfId="0" priority="1194" operator="equal">
      <formula>0</formula>
    </cfRule>
  </conditionalFormatting>
  <conditionalFormatting sqref="R183">
    <cfRule type="cellIs" dxfId="0" priority="1193" operator="equal">
      <formula>0</formula>
    </cfRule>
  </conditionalFormatting>
  <conditionalFormatting sqref="R203">
    <cfRule type="cellIs" dxfId="0" priority="1219" operator="equal">
      <formula>0</formula>
    </cfRule>
  </conditionalFormatting>
  <conditionalFormatting sqref="R204">
    <cfRule type="cellIs" dxfId="0" priority="1218" operator="equal">
      <formula>0</formula>
    </cfRule>
  </conditionalFormatting>
  <conditionalFormatting sqref="R205">
    <cfRule type="cellIs" dxfId="0" priority="1217" operator="equal">
      <formula>0</formula>
    </cfRule>
  </conditionalFormatting>
  <conditionalFormatting sqref="R206">
    <cfRule type="cellIs" dxfId="0" priority="1216" operator="equal">
      <formula>0</formula>
    </cfRule>
  </conditionalFormatting>
  <conditionalFormatting sqref="R207">
    <cfRule type="cellIs" dxfId="0" priority="1215" operator="equal">
      <formula>0</formula>
    </cfRule>
  </conditionalFormatting>
  <conditionalFormatting sqref="R208">
    <cfRule type="cellIs" dxfId="0" priority="1214" operator="equal">
      <formula>0</formula>
    </cfRule>
  </conditionalFormatting>
  <conditionalFormatting sqref="R209">
    <cfRule type="cellIs" dxfId="0" priority="1213" operator="equal">
      <formula>0</formula>
    </cfRule>
  </conditionalFormatting>
  <conditionalFormatting sqref="R210">
    <cfRule type="cellIs" dxfId="0" priority="1212" operator="equal">
      <formula>0</formula>
    </cfRule>
  </conditionalFormatting>
  <conditionalFormatting sqref="R211">
    <cfRule type="cellIs" dxfId="0" priority="1211" operator="equal">
      <formula>0</formula>
    </cfRule>
  </conditionalFormatting>
  <conditionalFormatting sqref="R212">
    <cfRule type="cellIs" dxfId="0" priority="1210" operator="equal">
      <formula>0</formula>
    </cfRule>
  </conditionalFormatting>
  <conditionalFormatting sqref="R213">
    <cfRule type="cellIs" dxfId="0" priority="1209" operator="equal">
      <formula>0</formula>
    </cfRule>
  </conditionalFormatting>
  <conditionalFormatting sqref="R214">
    <cfRule type="cellIs" dxfId="0" priority="1208" operator="equal">
      <formula>0</formula>
    </cfRule>
  </conditionalFormatting>
  <conditionalFormatting sqref="R215">
    <cfRule type="cellIs" dxfId="0" priority="1207" operator="equal">
      <formula>0</formula>
    </cfRule>
  </conditionalFormatting>
  <conditionalFormatting sqref="R216">
    <cfRule type="cellIs" dxfId="0" priority="1206" operator="equal">
      <formula>0</formula>
    </cfRule>
  </conditionalFormatting>
  <conditionalFormatting sqref="R217">
    <cfRule type="cellIs" dxfId="0" priority="1205" operator="equal">
      <formula>0</formula>
    </cfRule>
  </conditionalFormatting>
  <conditionalFormatting sqref="R218">
    <cfRule type="cellIs" dxfId="0" priority="1204" operator="equal">
      <formula>0</formula>
    </cfRule>
  </conditionalFormatting>
  <conditionalFormatting sqref="R219">
    <cfRule type="cellIs" dxfId="0" priority="1203" operator="equal">
      <formula>0</formula>
    </cfRule>
  </conditionalFormatting>
  <conditionalFormatting sqref="R220">
    <cfRule type="cellIs" dxfId="0" priority="1202" operator="equal">
      <formula>0</formula>
    </cfRule>
  </conditionalFormatting>
  <conditionalFormatting sqref="R221">
    <cfRule type="cellIs" dxfId="0" priority="1201" operator="equal">
      <formula>0</formula>
    </cfRule>
  </conditionalFormatting>
  <conditionalFormatting sqref="R222">
    <cfRule type="cellIs" dxfId="0" priority="1200" operator="equal">
      <formula>0</formula>
    </cfRule>
  </conditionalFormatting>
  <conditionalFormatting sqref="R223">
    <cfRule type="cellIs" dxfId="0" priority="1199" operator="equal">
      <formula>0</formula>
    </cfRule>
  </conditionalFormatting>
  <conditionalFormatting sqref="R224">
    <cfRule type="cellIs" dxfId="0" priority="1198" operator="equal">
      <formula>0</formula>
    </cfRule>
  </conditionalFormatting>
  <conditionalFormatting sqref="R225">
    <cfRule type="cellIs" dxfId="0" priority="1197" operator="equal">
      <formula>0</formula>
    </cfRule>
  </conditionalFormatting>
  <conditionalFormatting sqref="R261">
    <cfRule type="cellIs" dxfId="0" priority="1254" operator="equal">
      <formula>0</formula>
    </cfRule>
  </conditionalFormatting>
  <conditionalFormatting sqref="R262">
    <cfRule type="cellIs" dxfId="0" priority="1251" operator="equal">
      <formula>0</formula>
    </cfRule>
  </conditionalFormatting>
  <conditionalFormatting sqref="R263">
    <cfRule type="cellIs" dxfId="0" priority="1252" operator="equal">
      <formula>0</formula>
    </cfRule>
  </conditionalFormatting>
  <conditionalFormatting sqref="R269">
    <cfRule type="cellIs" dxfId="0" priority="1291" operator="equal">
      <formula>0</formula>
    </cfRule>
  </conditionalFormatting>
  <conditionalFormatting sqref="R270">
    <cfRule type="cellIs" dxfId="0" priority="1246" operator="equal">
      <formula>0</formula>
    </cfRule>
  </conditionalFormatting>
  <conditionalFormatting sqref="R271">
    <cfRule type="cellIs" dxfId="0" priority="1245" operator="equal">
      <formula>0</formula>
    </cfRule>
  </conditionalFormatting>
  <conditionalFormatting sqref="R272">
    <cfRule type="cellIs" dxfId="0" priority="1244" operator="equal">
      <formula>0</formula>
    </cfRule>
  </conditionalFormatting>
  <conditionalFormatting sqref="R273">
    <cfRule type="cellIs" dxfId="0" priority="1243" operator="equal">
      <formula>0</formula>
    </cfRule>
  </conditionalFormatting>
  <conditionalFormatting sqref="R276">
    <cfRule type="cellIs" dxfId="0" priority="1285" operator="equal">
      <formula>0</formula>
    </cfRule>
  </conditionalFormatting>
  <conditionalFormatting sqref="R277">
    <cfRule type="cellIs" dxfId="0" priority="1284" operator="equal">
      <formula>0</formula>
    </cfRule>
  </conditionalFormatting>
  <conditionalFormatting sqref="R278">
    <cfRule type="cellIs" dxfId="0" priority="1283" operator="equal">
      <formula>0</formula>
    </cfRule>
  </conditionalFormatting>
  <conditionalFormatting sqref="R279">
    <cfRule type="cellIs" dxfId="0" priority="1282" operator="equal">
      <formula>0</formula>
    </cfRule>
  </conditionalFormatting>
  <conditionalFormatting sqref="R280">
    <cfRule type="cellIs" dxfId="0" priority="1281" operator="equal">
      <formula>0</formula>
    </cfRule>
  </conditionalFormatting>
  <conditionalFormatting sqref="R281">
    <cfRule type="cellIs" dxfId="0" priority="1280" operator="equal">
      <formula>0</formula>
    </cfRule>
  </conditionalFormatting>
  <conditionalFormatting sqref="R282">
    <cfRule type="cellIs" dxfId="0" priority="1279" operator="equal">
      <formula>0</formula>
    </cfRule>
  </conditionalFormatting>
  <conditionalFormatting sqref="R283">
    <cfRule type="cellIs" dxfId="0" priority="1278" operator="equal">
      <formula>0</formula>
    </cfRule>
  </conditionalFormatting>
  <conditionalFormatting sqref="R284">
    <cfRule type="cellIs" dxfId="0" priority="1277" operator="equal">
      <formula>0</formula>
    </cfRule>
  </conditionalFormatting>
  <conditionalFormatting sqref="D286">
    <cfRule type="cellIs" dxfId="1" priority="1070" operator="equal">
      <formula>"等款"</formula>
    </cfRule>
    <cfRule type="cellIs" dxfId="2" priority="1071" operator="equal">
      <formula>"单据"</formula>
    </cfRule>
    <cfRule type="cellIs" dxfId="3" priority="1072" operator="equal">
      <formula>"发货"</formula>
    </cfRule>
  </conditionalFormatting>
  <conditionalFormatting sqref="F286">
    <cfRule type="cellIs" dxfId="4" priority="1068" operator="equal">
      <formula>"/"</formula>
    </cfRule>
    <cfRule type="cellIs" dxfId="5" priority="1069" operator="equal">
      <formula>0</formula>
    </cfRule>
  </conditionalFormatting>
  <conditionalFormatting sqref="R287">
    <cfRule type="cellIs" dxfId="0" priority="1275" operator="equal">
      <formula>0</formula>
    </cfRule>
  </conditionalFormatting>
  <conditionalFormatting sqref="R288">
    <cfRule type="cellIs" dxfId="0" priority="1274" operator="equal">
      <formula>0</formula>
    </cfRule>
  </conditionalFormatting>
  <conditionalFormatting sqref="R289">
    <cfRule type="cellIs" dxfId="0" priority="1273" operator="equal">
      <formula>0</formula>
    </cfRule>
  </conditionalFormatting>
  <conditionalFormatting sqref="R290">
    <cfRule type="cellIs" dxfId="0" priority="1271" operator="equal">
      <formula>0</formula>
    </cfRule>
  </conditionalFormatting>
  <conditionalFormatting sqref="R291">
    <cfRule type="cellIs" dxfId="0" priority="1270" operator="equal">
      <formula>0</formula>
    </cfRule>
  </conditionalFormatting>
  <conditionalFormatting sqref="D293">
    <cfRule type="cellIs" dxfId="1" priority="1085" operator="equal">
      <formula>"等款"</formula>
    </cfRule>
    <cfRule type="cellIs" dxfId="2" priority="1086" operator="equal">
      <formula>"单据"</formula>
    </cfRule>
    <cfRule type="cellIs" dxfId="3" priority="1087" operator="equal">
      <formula>"发货"</formula>
    </cfRule>
  </conditionalFormatting>
  <conditionalFormatting sqref="F293">
    <cfRule type="cellIs" dxfId="4" priority="1083" operator="equal">
      <formula>"/"</formula>
    </cfRule>
    <cfRule type="cellIs" dxfId="5" priority="1084" operator="equal">
      <formula>0</formula>
    </cfRule>
  </conditionalFormatting>
  <conditionalFormatting sqref="R294">
    <cfRule type="cellIs" dxfId="0" priority="1268" operator="equal">
      <formula>0</formula>
    </cfRule>
  </conditionalFormatting>
  <conditionalFormatting sqref="D296">
    <cfRule type="cellIs" dxfId="1" priority="1118" operator="equal">
      <formula>"等款"</formula>
    </cfRule>
    <cfRule type="cellIs" dxfId="2" priority="1119" operator="equal">
      <formula>"单据"</formula>
    </cfRule>
    <cfRule type="cellIs" dxfId="3" priority="1120" operator="equal">
      <formula>"发货"</formula>
    </cfRule>
  </conditionalFormatting>
  <conditionalFormatting sqref="F296">
    <cfRule type="cellIs" dxfId="4" priority="1116" operator="equal">
      <formula>"/"</formula>
    </cfRule>
    <cfRule type="cellIs" dxfId="5" priority="1117" operator="equal">
      <formula>0</formula>
    </cfRule>
  </conditionalFormatting>
  <conditionalFormatting sqref="R297">
    <cfRule type="cellIs" dxfId="0" priority="1266" operator="equal">
      <formula>0</formula>
    </cfRule>
  </conditionalFormatting>
  <conditionalFormatting sqref="R298">
    <cfRule type="cellIs" dxfId="0" priority="1265" operator="equal">
      <formula>0</formula>
    </cfRule>
  </conditionalFormatting>
  <conditionalFormatting sqref="D300">
    <cfRule type="cellIs" dxfId="1" priority="1065" operator="equal">
      <formula>"等款"</formula>
    </cfRule>
    <cfRule type="cellIs" dxfId="2" priority="1066" operator="equal">
      <formula>"单据"</formula>
    </cfRule>
    <cfRule type="cellIs" dxfId="3" priority="1067" operator="equal">
      <formula>"发货"</formula>
    </cfRule>
  </conditionalFormatting>
  <conditionalFormatting sqref="F300">
    <cfRule type="cellIs" dxfId="4" priority="1063" operator="equal">
      <formula>"/"</formula>
    </cfRule>
    <cfRule type="cellIs" dxfId="5" priority="1064" operator="equal">
      <formula>0</formula>
    </cfRule>
  </conditionalFormatting>
  <conditionalFormatting sqref="D317">
    <cfRule type="cellIs" dxfId="1" priority="1034" operator="equal">
      <formula>"等款"</formula>
    </cfRule>
    <cfRule type="cellIs" dxfId="2" priority="1035" operator="equal">
      <formula>"单据"</formula>
    </cfRule>
    <cfRule type="cellIs" dxfId="3" priority="1036" operator="equal">
      <formula>"发货"</formula>
    </cfRule>
  </conditionalFormatting>
  <conditionalFormatting sqref="F317">
    <cfRule type="cellIs" dxfId="4" priority="1032" operator="equal">
      <formula>"/"</formula>
    </cfRule>
    <cfRule type="cellIs" dxfId="5" priority="1033" operator="equal">
      <formula>0</formula>
    </cfRule>
  </conditionalFormatting>
  <conditionalFormatting sqref="D346">
    <cfRule type="cellIs" dxfId="1" priority="949" operator="equal">
      <formula>"等款"</formula>
    </cfRule>
    <cfRule type="cellIs" dxfId="2" priority="950" operator="equal">
      <formula>"单据"</formula>
    </cfRule>
    <cfRule type="cellIs" dxfId="3" priority="951" operator="equal">
      <formula>"发货"</formula>
    </cfRule>
  </conditionalFormatting>
  <conditionalFormatting sqref="F346">
    <cfRule type="cellIs" dxfId="4" priority="947" operator="equal">
      <formula>"/"</formula>
    </cfRule>
    <cfRule type="cellIs" dxfId="5" priority="948" operator="equal">
      <formula>0</formula>
    </cfRule>
  </conditionalFormatting>
  <conditionalFormatting sqref="D347">
    <cfRule type="cellIs" dxfId="3" priority="926" operator="equal">
      <formula>"发货"</formula>
    </cfRule>
    <cfRule type="cellIs" dxfId="2" priority="925" operator="equal">
      <formula>"单据"</formula>
    </cfRule>
    <cfRule type="cellIs" dxfId="1" priority="924" operator="equal">
      <formula>"等款"</formula>
    </cfRule>
  </conditionalFormatting>
  <conditionalFormatting sqref="F347">
    <cfRule type="cellIs" dxfId="5" priority="923" operator="equal">
      <formula>0</formula>
    </cfRule>
    <cfRule type="cellIs" dxfId="4" priority="922" operator="equal">
      <formula>"/"</formula>
    </cfRule>
  </conditionalFormatting>
  <conditionalFormatting sqref="D349">
    <cfRule type="cellIs" dxfId="1" priority="972" operator="equal">
      <formula>"等款"</formula>
    </cfRule>
    <cfRule type="cellIs" dxfId="2" priority="973" operator="equal">
      <formula>"单据"</formula>
    </cfRule>
    <cfRule type="cellIs" dxfId="3" priority="974" operator="equal">
      <formula>"发货"</formula>
    </cfRule>
  </conditionalFormatting>
  <conditionalFormatting sqref="F349">
    <cfRule type="cellIs" dxfId="4" priority="970" operator="equal">
      <formula>"/"</formula>
    </cfRule>
    <cfRule type="cellIs" dxfId="5" priority="971" operator="equal">
      <formula>0</formula>
    </cfRule>
  </conditionalFormatting>
  <conditionalFormatting sqref="D351">
    <cfRule type="cellIs" dxfId="1" priority="914" operator="equal">
      <formula>"等款"</formula>
    </cfRule>
    <cfRule type="cellIs" dxfId="2" priority="915" operator="equal">
      <formula>"单据"</formula>
    </cfRule>
    <cfRule type="cellIs" dxfId="3" priority="916" operator="equal">
      <formula>"发货"</formula>
    </cfRule>
  </conditionalFormatting>
  <conditionalFormatting sqref="F351">
    <cfRule type="cellIs" dxfId="4" priority="912" operator="equal">
      <formula>"/"</formula>
    </cfRule>
    <cfRule type="cellIs" dxfId="5" priority="913" operator="equal">
      <formula>0</formula>
    </cfRule>
  </conditionalFormatting>
  <conditionalFormatting sqref="D352">
    <cfRule type="cellIs" dxfId="3" priority="908" operator="equal">
      <formula>"发货"</formula>
    </cfRule>
    <cfRule type="cellIs" dxfId="2" priority="907" operator="equal">
      <formula>"单据"</formula>
    </cfRule>
    <cfRule type="cellIs" dxfId="1" priority="906" operator="equal">
      <formula>"等款"</formula>
    </cfRule>
  </conditionalFormatting>
  <conditionalFormatting sqref="F352">
    <cfRule type="cellIs" dxfId="5" priority="905" operator="equal">
      <formula>0</formula>
    </cfRule>
    <cfRule type="cellIs" dxfId="4" priority="904" operator="equal">
      <formula>"/"</formula>
    </cfRule>
  </conditionalFormatting>
  <conditionalFormatting sqref="U355">
    <cfRule type="cellIs" dxfId="6" priority="909" operator="equal">
      <formula>0</formula>
    </cfRule>
  </conditionalFormatting>
  <conditionalFormatting sqref="D356">
    <cfRule type="cellIs" dxfId="1" priority="919" operator="equal">
      <formula>"等款"</formula>
    </cfRule>
    <cfRule type="cellIs" dxfId="2" priority="920" operator="equal">
      <formula>"单据"</formula>
    </cfRule>
    <cfRule type="cellIs" dxfId="3" priority="921" operator="equal">
      <formula>"发货"</formula>
    </cfRule>
  </conditionalFormatting>
  <conditionalFormatting sqref="F356">
    <cfRule type="cellIs" dxfId="4" priority="917" operator="equal">
      <formula>"/"</formula>
    </cfRule>
    <cfRule type="cellIs" dxfId="5" priority="918" operator="equal">
      <formula>0</formula>
    </cfRule>
  </conditionalFormatting>
  <conditionalFormatting sqref="D365">
    <cfRule type="cellIs" dxfId="3" priority="796" operator="equal">
      <formula>"发货"</formula>
    </cfRule>
    <cfRule type="cellIs" dxfId="2" priority="795" operator="equal">
      <formula>"单据"</formula>
    </cfRule>
    <cfRule type="cellIs" dxfId="1" priority="794" operator="equal">
      <formula>"等款"</formula>
    </cfRule>
  </conditionalFormatting>
  <conditionalFormatting sqref="F365">
    <cfRule type="cellIs" dxfId="5" priority="793" operator="equal">
      <formula>0</formula>
    </cfRule>
    <cfRule type="cellIs" dxfId="4" priority="792" operator="equal">
      <formula>"/"</formula>
    </cfRule>
  </conditionalFormatting>
  <conditionalFormatting sqref="F369">
    <cfRule type="cellIs" dxfId="4" priority="894" operator="equal">
      <formula>"/"</formula>
    </cfRule>
    <cfRule type="cellIs" dxfId="5" priority="895" operator="equal">
      <formula>0</formula>
    </cfRule>
  </conditionalFormatting>
  <conditionalFormatting sqref="F370">
    <cfRule type="cellIs" dxfId="4" priority="892" operator="equal">
      <formula>"/"</formula>
    </cfRule>
    <cfRule type="cellIs" dxfId="5" priority="893" operator="equal">
      <formula>0</formula>
    </cfRule>
  </conditionalFormatting>
  <conditionalFormatting sqref="F371">
    <cfRule type="cellIs" dxfId="4" priority="882" operator="equal">
      <formula>"/"</formula>
    </cfRule>
    <cfRule type="cellIs" dxfId="5" priority="883" operator="equal">
      <formula>0</formula>
    </cfRule>
  </conditionalFormatting>
  <conditionalFormatting sqref="F372">
    <cfRule type="cellIs" dxfId="4" priority="880" operator="equal">
      <formula>"/"</formula>
    </cfRule>
    <cfRule type="cellIs" dxfId="5" priority="881" operator="equal">
      <formula>0</formula>
    </cfRule>
  </conditionalFormatting>
  <conditionalFormatting sqref="F373">
    <cfRule type="cellIs" dxfId="4" priority="876" operator="equal">
      <formula>"/"</formula>
    </cfRule>
    <cfRule type="cellIs" dxfId="5" priority="877" operator="equal">
      <formula>0</formula>
    </cfRule>
  </conditionalFormatting>
  <conditionalFormatting sqref="F374">
    <cfRule type="cellIs" dxfId="4" priority="874" operator="equal">
      <formula>"/"</formula>
    </cfRule>
    <cfRule type="cellIs" dxfId="5" priority="875" operator="equal">
      <formula>0</formula>
    </cfRule>
  </conditionalFormatting>
  <conditionalFormatting sqref="F375">
    <cfRule type="cellIs" dxfId="4" priority="872" operator="equal">
      <formula>"/"</formula>
    </cfRule>
    <cfRule type="cellIs" dxfId="5" priority="873" operator="equal">
      <formula>0</formula>
    </cfRule>
  </conditionalFormatting>
  <conditionalFormatting sqref="D376">
    <cfRule type="cellIs" dxfId="3" priority="770" operator="equal">
      <formula>"发货"</formula>
    </cfRule>
    <cfRule type="cellIs" dxfId="2" priority="769" operator="equal">
      <formula>"单据"</formula>
    </cfRule>
    <cfRule type="cellIs" dxfId="1" priority="768" operator="equal">
      <formula>"等款"</formula>
    </cfRule>
  </conditionalFormatting>
  <conditionalFormatting sqref="F376">
    <cfRule type="cellIs" dxfId="5" priority="772" operator="equal">
      <formula>0</formula>
    </cfRule>
    <cfRule type="cellIs" dxfId="4" priority="771" operator="equal">
      <formula>"/"</formula>
    </cfRule>
  </conditionalFormatting>
  <conditionalFormatting sqref="F377">
    <cfRule type="cellIs" dxfId="4" priority="870" operator="equal">
      <formula>"/"</formula>
    </cfRule>
    <cfRule type="cellIs" dxfId="5" priority="871" operator="equal">
      <formula>0</formula>
    </cfRule>
  </conditionalFormatting>
  <conditionalFormatting sqref="F378">
    <cfRule type="cellIs" dxfId="4" priority="868" operator="equal">
      <formula>"/"</formula>
    </cfRule>
    <cfRule type="cellIs" dxfId="5" priority="869" operator="equal">
      <formula>0</formula>
    </cfRule>
  </conditionalFormatting>
  <conditionalFormatting sqref="F379">
    <cfRule type="cellIs" dxfId="4" priority="866" operator="equal">
      <formula>"/"</formula>
    </cfRule>
    <cfRule type="cellIs" dxfId="5" priority="867" operator="equal">
      <formula>0</formula>
    </cfRule>
  </conditionalFormatting>
  <conditionalFormatting sqref="F380">
    <cfRule type="cellIs" dxfId="4" priority="864" operator="equal">
      <formula>"/"</formula>
    </cfRule>
    <cfRule type="cellIs" dxfId="5" priority="865" operator="equal">
      <formula>0</formula>
    </cfRule>
  </conditionalFormatting>
  <conditionalFormatting sqref="D381">
    <cfRule type="cellIs" dxfId="1" priority="847" operator="equal">
      <formula>"等款"</formula>
    </cfRule>
    <cfRule type="cellIs" dxfId="2" priority="848" operator="equal">
      <formula>"单据"</formula>
    </cfRule>
    <cfRule type="cellIs" dxfId="3" priority="849" operator="equal">
      <formula>"发货"</formula>
    </cfRule>
  </conditionalFormatting>
  <conditionalFormatting sqref="F381">
    <cfRule type="cellIs" dxfId="4" priority="845" operator="equal">
      <formula>"/"</formula>
    </cfRule>
    <cfRule type="cellIs" dxfId="5" priority="846" operator="equal">
      <formula>0</formula>
    </cfRule>
  </conditionalFormatting>
  <conditionalFormatting sqref="F382">
    <cfRule type="cellIs" dxfId="4" priority="860" operator="equal">
      <formula>"/"</formula>
    </cfRule>
    <cfRule type="cellIs" dxfId="5" priority="861" operator="equal">
      <formula>0</formula>
    </cfRule>
  </conditionalFormatting>
  <conditionalFormatting sqref="F383">
    <cfRule type="cellIs" dxfId="4" priority="858" operator="equal">
      <formula>"/"</formula>
    </cfRule>
    <cfRule type="cellIs" dxfId="5" priority="859" operator="equal">
      <formula>0</formula>
    </cfRule>
  </conditionalFormatting>
  <conditionalFormatting sqref="F384">
    <cfRule type="cellIs" dxfId="4" priority="854" operator="equal">
      <formula>"/"</formula>
    </cfRule>
    <cfRule type="cellIs" dxfId="5" priority="855" operator="equal">
      <formula>0</formula>
    </cfRule>
  </conditionalFormatting>
  <conditionalFormatting sqref="F385">
    <cfRule type="cellIs" dxfId="4" priority="852" operator="equal">
      <formula>"/"</formula>
    </cfRule>
    <cfRule type="cellIs" dxfId="5" priority="853" operator="equal">
      <formula>0</formula>
    </cfRule>
  </conditionalFormatting>
  <conditionalFormatting sqref="F386">
    <cfRule type="cellIs" dxfId="4" priority="843" operator="equal">
      <formula>"/"</formula>
    </cfRule>
    <cfRule type="cellIs" dxfId="5" priority="844" operator="equal">
      <formula>0</formula>
    </cfRule>
  </conditionalFormatting>
  <conditionalFormatting sqref="F387">
    <cfRule type="cellIs" dxfId="4" priority="829" operator="equal">
      <formula>"/"</formula>
    </cfRule>
    <cfRule type="cellIs" dxfId="5" priority="830" operator="equal">
      <formula>0</formula>
    </cfRule>
  </conditionalFormatting>
  <conditionalFormatting sqref="F388">
    <cfRule type="cellIs" dxfId="4" priority="831" operator="equal">
      <formula>"/"</formula>
    </cfRule>
    <cfRule type="cellIs" dxfId="5" priority="832" operator="equal">
      <formula>0</formula>
    </cfRule>
  </conditionalFormatting>
  <conditionalFormatting sqref="F389">
    <cfRule type="cellIs" dxfId="4" priority="821" operator="equal">
      <formula>"/"</formula>
    </cfRule>
    <cfRule type="cellIs" dxfId="5" priority="822" operator="equal">
      <formula>0</formula>
    </cfRule>
  </conditionalFormatting>
  <conditionalFormatting sqref="F390">
    <cfRule type="cellIs" dxfId="4" priority="825" operator="equal">
      <formula>"/"</formula>
    </cfRule>
    <cfRule type="cellIs" dxfId="5" priority="826" operator="equal">
      <formula>0</formula>
    </cfRule>
  </conditionalFormatting>
  <conditionalFormatting sqref="F391">
    <cfRule type="cellIs" dxfId="4" priority="827" operator="equal">
      <formula>"/"</formula>
    </cfRule>
    <cfRule type="cellIs" dxfId="5" priority="828" operator="equal">
      <formula>0</formula>
    </cfRule>
  </conditionalFormatting>
  <conditionalFormatting sqref="F392">
    <cfRule type="cellIs" dxfId="4" priority="823" operator="equal">
      <formula>"/"</formula>
    </cfRule>
    <cfRule type="cellIs" dxfId="5" priority="824" operator="equal">
      <formula>0</formula>
    </cfRule>
  </conditionalFormatting>
  <conditionalFormatting sqref="F393">
    <cfRule type="cellIs" dxfId="4" priority="819" operator="equal">
      <formula>"/"</formula>
    </cfRule>
    <cfRule type="cellIs" dxfId="5" priority="820" operator="equal">
      <formula>0</formula>
    </cfRule>
  </conditionalFormatting>
  <conditionalFormatting sqref="D396">
    <cfRule type="cellIs" dxfId="1" priority="718" operator="equal">
      <formula>"等款"</formula>
    </cfRule>
    <cfRule type="cellIs" dxfId="2" priority="719" operator="equal">
      <formula>"单据"</formula>
    </cfRule>
    <cfRule type="cellIs" dxfId="3" priority="720" operator="equal">
      <formula>"发货"</formula>
    </cfRule>
  </conditionalFormatting>
  <conditionalFormatting sqref="F396">
    <cfRule type="cellIs" dxfId="4" priority="716" operator="equal">
      <formula>"/"</formula>
    </cfRule>
    <cfRule type="cellIs" dxfId="5" priority="717" operator="equal">
      <formula>0</formula>
    </cfRule>
  </conditionalFormatting>
  <conditionalFormatting sqref="D397">
    <cfRule type="cellIs" dxfId="1" priority="703" operator="equal">
      <formula>"等款"</formula>
    </cfRule>
    <cfRule type="cellIs" dxfId="2" priority="704" operator="equal">
      <formula>"单据"</formula>
    </cfRule>
    <cfRule type="cellIs" dxfId="3" priority="705" operator="equal">
      <formula>"发货"</formula>
    </cfRule>
  </conditionalFormatting>
  <conditionalFormatting sqref="F397">
    <cfRule type="cellIs" dxfId="4" priority="701" operator="equal">
      <formula>"/"</formula>
    </cfRule>
    <cfRule type="cellIs" dxfId="5" priority="702" operator="equal">
      <formula>0</formula>
    </cfRule>
  </conditionalFormatting>
  <conditionalFormatting sqref="D398">
    <cfRule type="cellIs" dxfId="3" priority="655" operator="equal">
      <formula>"发货"</formula>
    </cfRule>
    <cfRule type="cellIs" dxfId="2" priority="654" operator="equal">
      <formula>"单据"</formula>
    </cfRule>
    <cfRule type="cellIs" dxfId="1" priority="653" operator="equal">
      <formula>"等款"</formula>
    </cfRule>
  </conditionalFormatting>
  <conditionalFormatting sqref="F398">
    <cfRule type="cellIs" dxfId="5" priority="652" operator="equal">
      <formula>0</formula>
    </cfRule>
    <cfRule type="cellIs" dxfId="4" priority="651" operator="equal">
      <formula>"/"</formula>
    </cfRule>
  </conditionalFormatting>
  <conditionalFormatting sqref="F399">
    <cfRule type="cellIs" dxfId="4" priority="808" operator="equal">
      <formula>"/"</formula>
    </cfRule>
    <cfRule type="cellIs" dxfId="5" priority="809" operator="equal">
      <formula>0</formula>
    </cfRule>
  </conditionalFormatting>
  <conditionalFormatting sqref="F400">
    <cfRule type="cellIs" dxfId="4" priority="806" operator="equal">
      <formula>"/"</formula>
    </cfRule>
    <cfRule type="cellIs" dxfId="5" priority="807" operator="equal">
      <formula>0</formula>
    </cfRule>
  </conditionalFormatting>
  <conditionalFormatting sqref="F401">
    <cfRule type="cellIs" dxfId="4" priority="797" operator="equal">
      <formula>"/"</formula>
    </cfRule>
    <cfRule type="cellIs" dxfId="5" priority="798" operator="equal">
      <formula>0</formula>
    </cfRule>
  </conditionalFormatting>
  <conditionalFormatting sqref="F402">
    <cfRule type="cellIs" dxfId="4" priority="790" operator="equal">
      <formula>"/"</formula>
    </cfRule>
    <cfRule type="cellIs" dxfId="5" priority="791" operator="equal">
      <formula>0</formula>
    </cfRule>
  </conditionalFormatting>
  <conditionalFormatting sqref="F403">
    <cfRule type="cellIs" dxfId="4" priority="788" operator="equal">
      <formula>"/"</formula>
    </cfRule>
    <cfRule type="cellIs" dxfId="5" priority="789" operator="equal">
      <formula>0</formula>
    </cfRule>
  </conditionalFormatting>
  <conditionalFormatting sqref="F406">
    <cfRule type="cellIs" dxfId="4" priority="759" operator="equal">
      <formula>"/"</formula>
    </cfRule>
    <cfRule type="cellIs" dxfId="5" priority="760" operator="equal">
      <formula>0</formula>
    </cfRule>
  </conditionalFormatting>
  <conditionalFormatting sqref="F407">
    <cfRule type="cellIs" dxfId="4" priority="756" operator="equal">
      <formula>"/"</formula>
    </cfRule>
    <cfRule type="cellIs" dxfId="5" priority="757" operator="equal">
      <formula>0</formula>
    </cfRule>
  </conditionalFormatting>
  <conditionalFormatting sqref="F408">
    <cfRule type="cellIs" dxfId="4" priority="751" operator="equal">
      <formula>"/"</formula>
    </cfRule>
    <cfRule type="cellIs" dxfId="5" priority="752" operator="equal">
      <formula>0</formula>
    </cfRule>
  </conditionalFormatting>
  <conditionalFormatting sqref="F413">
    <cfRule type="cellIs" dxfId="4" priority="726" operator="equal">
      <formula>"/"</formula>
    </cfRule>
    <cfRule type="cellIs" dxfId="5" priority="727" operator="equal">
      <formula>0</formula>
    </cfRule>
  </conditionalFormatting>
  <conditionalFormatting sqref="F414">
    <cfRule type="cellIs" dxfId="4" priority="728" operator="equal">
      <formula>"/"</formula>
    </cfRule>
    <cfRule type="cellIs" dxfId="5" priority="729" operator="equal">
      <formula>0</formula>
    </cfRule>
  </conditionalFormatting>
  <conditionalFormatting sqref="D415">
    <cfRule type="cellIs" dxfId="1" priority="674" operator="equal">
      <formula>"等款"</formula>
    </cfRule>
    <cfRule type="cellIs" dxfId="2" priority="675" operator="equal">
      <formula>"单据"</formula>
    </cfRule>
    <cfRule type="cellIs" dxfId="3" priority="676" operator="equal">
      <formula>"发货"</formula>
    </cfRule>
  </conditionalFormatting>
  <conditionalFormatting sqref="F415">
    <cfRule type="cellIs" dxfId="4" priority="672" operator="equal">
      <formula>"/"</formula>
    </cfRule>
    <cfRule type="cellIs" dxfId="5" priority="673" operator="equal">
      <formula>0</formula>
    </cfRule>
  </conditionalFormatting>
  <conditionalFormatting sqref="F416">
    <cfRule type="cellIs" dxfId="4" priority="712" operator="equal">
      <formula>"/"</formula>
    </cfRule>
    <cfRule type="cellIs" dxfId="5" priority="713" operator="equal">
      <formula>0</formula>
    </cfRule>
  </conditionalFormatting>
  <conditionalFormatting sqref="F417">
    <cfRule type="cellIs" dxfId="4" priority="714" operator="equal">
      <formula>"/"</formula>
    </cfRule>
    <cfRule type="cellIs" dxfId="5" priority="715" operator="equal">
      <formula>0</formula>
    </cfRule>
  </conditionalFormatting>
  <conditionalFormatting sqref="F418">
    <cfRule type="cellIs" dxfId="4" priority="708" operator="equal">
      <formula>"/"</formula>
    </cfRule>
    <cfRule type="cellIs" dxfId="5" priority="709" operator="equal">
      <formula>0</formula>
    </cfRule>
  </conditionalFormatting>
  <conditionalFormatting sqref="F419">
    <cfRule type="cellIs" dxfId="4" priority="710" operator="equal">
      <formula>"/"</formula>
    </cfRule>
    <cfRule type="cellIs" dxfId="5" priority="711" operator="equal">
      <formula>0</formula>
    </cfRule>
  </conditionalFormatting>
  <conditionalFormatting sqref="F420">
    <cfRule type="cellIs" dxfId="4" priority="706" operator="equal">
      <formula>"/"</formula>
    </cfRule>
    <cfRule type="cellIs" dxfId="5" priority="707" operator="equal">
      <formula>0</formula>
    </cfRule>
  </conditionalFormatting>
  <conditionalFormatting sqref="F421">
    <cfRule type="cellIs" dxfId="4" priority="695" operator="equal">
      <formula>"/"</formula>
    </cfRule>
    <cfRule type="cellIs" dxfId="5" priority="696" operator="equal">
      <formula>0</formula>
    </cfRule>
  </conditionalFormatting>
  <conditionalFormatting sqref="F422">
    <cfRule type="cellIs" dxfId="4" priority="693" operator="equal">
      <formula>"/"</formula>
    </cfRule>
    <cfRule type="cellIs" dxfId="5" priority="694" operator="equal">
      <formula>0</formula>
    </cfRule>
  </conditionalFormatting>
  <conditionalFormatting sqref="F423">
    <cfRule type="cellIs" dxfId="4" priority="691" operator="equal">
      <formula>"/"</formula>
    </cfRule>
    <cfRule type="cellIs" dxfId="5" priority="692" operator="equal">
      <formula>0</formula>
    </cfRule>
  </conditionalFormatting>
  <conditionalFormatting sqref="D424">
    <cfRule type="cellIs" dxfId="3" priority="644" operator="equal">
      <formula>"发货"</formula>
    </cfRule>
    <cfRule type="cellIs" dxfId="2" priority="643" operator="equal">
      <formula>"单据"</formula>
    </cfRule>
    <cfRule type="cellIs" dxfId="1" priority="642" operator="equal">
      <formula>"等款"</formula>
    </cfRule>
  </conditionalFormatting>
  <conditionalFormatting sqref="F424">
    <cfRule type="cellIs" dxfId="5" priority="641" operator="equal">
      <formula>0</formula>
    </cfRule>
    <cfRule type="cellIs" dxfId="4" priority="640" operator="equal">
      <formula>"/"</formula>
    </cfRule>
  </conditionalFormatting>
  <conditionalFormatting sqref="F425">
    <cfRule type="cellIs" dxfId="4" priority="679" operator="equal">
      <formula>"/"</formula>
    </cfRule>
    <cfRule type="cellIs" dxfId="5" priority="680" operator="equal">
      <formula>0</formula>
    </cfRule>
  </conditionalFormatting>
  <conditionalFormatting sqref="F426">
    <cfRule type="cellIs" dxfId="4" priority="670" operator="equal">
      <formula>"/"</formula>
    </cfRule>
    <cfRule type="cellIs" dxfId="5" priority="671" operator="equal">
      <formula>0</formula>
    </cfRule>
  </conditionalFormatting>
  <conditionalFormatting sqref="F427">
    <cfRule type="cellIs" dxfId="4" priority="664" operator="equal">
      <formula>"/"</formula>
    </cfRule>
    <cfRule type="cellIs" dxfId="5" priority="665" operator="equal">
      <formula>0</formula>
    </cfRule>
  </conditionalFormatting>
  <conditionalFormatting sqref="F428">
    <cfRule type="cellIs" dxfId="4" priority="658" operator="equal">
      <formula>"/"</formula>
    </cfRule>
    <cfRule type="cellIs" dxfId="5" priority="659" operator="equal">
      <formula>0</formula>
    </cfRule>
  </conditionalFormatting>
  <conditionalFormatting sqref="F429">
    <cfRule type="cellIs" dxfId="4" priority="649" operator="equal">
      <formula>"/"</formula>
    </cfRule>
    <cfRule type="cellIs" dxfId="5" priority="650" operator="equal">
      <formula>0</formula>
    </cfRule>
  </conditionalFormatting>
  <conditionalFormatting sqref="F430">
    <cfRule type="cellIs" dxfId="4" priority="647" operator="equal">
      <formula>"/"</formula>
    </cfRule>
    <cfRule type="cellIs" dxfId="5" priority="648" operator="equal">
      <formula>0</formula>
    </cfRule>
  </conditionalFormatting>
  <conditionalFormatting sqref="D431">
    <cfRule type="cellIs" dxfId="3" priority="587" operator="equal">
      <formula>"发货"</formula>
    </cfRule>
    <cfRule type="cellIs" dxfId="2" priority="586" operator="equal">
      <formula>"单据"</formula>
    </cfRule>
    <cfRule type="cellIs" dxfId="1" priority="585" operator="equal">
      <formula>"等款"</formula>
    </cfRule>
  </conditionalFormatting>
  <conditionalFormatting sqref="F431">
    <cfRule type="cellIs" dxfId="5" priority="584" operator="equal">
      <formula>0</formula>
    </cfRule>
    <cfRule type="cellIs" dxfId="4" priority="583" operator="equal">
      <formula>"/"</formula>
    </cfRule>
  </conditionalFormatting>
  <conditionalFormatting sqref="F432">
    <cfRule type="cellIs" dxfId="4" priority="645" operator="equal">
      <formula>"/"</formula>
    </cfRule>
    <cfRule type="cellIs" dxfId="5" priority="646" operator="equal">
      <formula>0</formula>
    </cfRule>
  </conditionalFormatting>
  <conditionalFormatting sqref="F433">
    <cfRule type="cellIs" dxfId="4" priority="638" operator="equal">
      <formula>"/"</formula>
    </cfRule>
    <cfRule type="cellIs" dxfId="5" priority="639" operator="equal">
      <formula>0</formula>
    </cfRule>
  </conditionalFormatting>
  <conditionalFormatting sqref="F434">
    <cfRule type="cellIs" dxfId="4" priority="632" operator="equal">
      <formula>"/"</formula>
    </cfRule>
    <cfRule type="cellIs" dxfId="5" priority="633" operator="equal">
      <formula>0</formula>
    </cfRule>
  </conditionalFormatting>
  <conditionalFormatting sqref="F435">
    <cfRule type="cellIs" dxfId="4" priority="630" operator="equal">
      <formula>"/"</formula>
    </cfRule>
    <cfRule type="cellIs" dxfId="5" priority="631" operator="equal">
      <formula>0</formula>
    </cfRule>
  </conditionalFormatting>
  <conditionalFormatting sqref="F436">
    <cfRule type="cellIs" dxfId="4" priority="624" operator="equal">
      <formula>"/"</formula>
    </cfRule>
    <cfRule type="cellIs" dxfId="5" priority="625" operator="equal">
      <formula>0</formula>
    </cfRule>
  </conditionalFormatting>
  <conditionalFormatting sqref="D437">
    <cfRule type="cellIs" dxfId="3" priority="564" operator="equal">
      <formula>"发货"</formula>
    </cfRule>
    <cfRule type="cellIs" dxfId="2" priority="563" operator="equal">
      <formula>"单据"</formula>
    </cfRule>
    <cfRule type="cellIs" dxfId="1" priority="562" operator="equal">
      <formula>"等款"</formula>
    </cfRule>
  </conditionalFormatting>
  <conditionalFormatting sqref="F437">
    <cfRule type="cellIs" dxfId="5" priority="561" operator="equal">
      <formula>0</formula>
    </cfRule>
    <cfRule type="cellIs" dxfId="4" priority="560" operator="equal">
      <formula>"/"</formula>
    </cfRule>
  </conditionalFormatting>
  <conditionalFormatting sqref="F438">
    <cfRule type="cellIs" dxfId="4" priority="626" operator="equal">
      <formula>"/"</formula>
    </cfRule>
    <cfRule type="cellIs" dxfId="5" priority="627" operator="equal">
      <formula>0</formula>
    </cfRule>
  </conditionalFormatting>
  <conditionalFormatting sqref="F439">
    <cfRule type="cellIs" dxfId="4" priority="618" operator="equal">
      <formula>"/"</formula>
    </cfRule>
    <cfRule type="cellIs" dxfId="5" priority="619" operator="equal">
      <formula>0</formula>
    </cfRule>
  </conditionalFormatting>
  <conditionalFormatting sqref="F440">
    <cfRule type="cellIs" dxfId="4" priority="616" operator="equal">
      <formula>"/"</formula>
    </cfRule>
    <cfRule type="cellIs" dxfId="5" priority="617" operator="equal">
      <formula>0</formula>
    </cfRule>
  </conditionalFormatting>
  <conditionalFormatting sqref="F441">
    <cfRule type="cellIs" dxfId="4" priority="612" operator="equal">
      <formula>"/"</formula>
    </cfRule>
    <cfRule type="cellIs" dxfId="5" priority="613" operator="equal">
      <formula>0</formula>
    </cfRule>
  </conditionalFormatting>
  <conditionalFormatting sqref="F442">
    <cfRule type="cellIs" dxfId="4" priority="601" operator="equal">
      <formula>"/"</formula>
    </cfRule>
    <cfRule type="cellIs" dxfId="5" priority="602" operator="equal">
      <formula>0</formula>
    </cfRule>
  </conditionalFormatting>
  <conditionalFormatting sqref="F443">
    <cfRule type="cellIs" dxfId="4" priority="599" operator="equal">
      <formula>"/"</formula>
    </cfRule>
    <cfRule type="cellIs" dxfId="5" priority="600" operator="equal">
      <formula>0</formula>
    </cfRule>
  </conditionalFormatting>
  <conditionalFormatting sqref="F444">
    <cfRule type="cellIs" dxfId="4" priority="588" operator="equal">
      <formula>"/"</formula>
    </cfRule>
    <cfRule type="cellIs" dxfId="5" priority="589" operator="equal">
      <formula>0</formula>
    </cfRule>
  </conditionalFormatting>
  <conditionalFormatting sqref="D445">
    <cfRule type="cellIs" dxfId="3" priority="498" operator="equal">
      <formula>"发货"</formula>
    </cfRule>
    <cfRule type="cellIs" dxfId="2" priority="497" operator="equal">
      <formula>"单据"</formula>
    </cfRule>
    <cfRule type="cellIs" dxfId="1" priority="496" operator="equal">
      <formula>"等款"</formula>
    </cfRule>
  </conditionalFormatting>
  <conditionalFormatting sqref="F445">
    <cfRule type="cellIs" dxfId="5" priority="495" operator="equal">
      <formula>0</formula>
    </cfRule>
    <cfRule type="cellIs" dxfId="4" priority="494" operator="equal">
      <formula>"/"</formula>
    </cfRule>
  </conditionalFormatting>
  <conditionalFormatting sqref="F446">
    <cfRule type="cellIs" dxfId="4" priority="581" operator="equal">
      <formula>"/"</formula>
    </cfRule>
    <cfRule type="cellIs" dxfId="5" priority="582" operator="equal">
      <formula>0</formula>
    </cfRule>
  </conditionalFormatting>
  <conditionalFormatting sqref="F447">
    <cfRule type="cellIs" dxfId="4" priority="558" operator="equal">
      <formula>"/"</formula>
    </cfRule>
    <cfRule type="cellIs" dxfId="5" priority="559" operator="equal">
      <formula>0</formula>
    </cfRule>
  </conditionalFormatting>
  <conditionalFormatting sqref="F448">
    <cfRule type="cellIs" dxfId="4" priority="549" operator="equal">
      <formula>"/"</formula>
    </cfRule>
    <cfRule type="cellIs" dxfId="5" priority="550" operator="equal">
      <formula>0</formula>
    </cfRule>
  </conditionalFormatting>
  <conditionalFormatting sqref="F449">
    <cfRule type="cellIs" dxfId="4" priority="545" operator="equal">
      <formula>"/"</formula>
    </cfRule>
    <cfRule type="cellIs" dxfId="5" priority="546" operator="equal">
      <formula>0</formula>
    </cfRule>
  </conditionalFormatting>
  <conditionalFormatting sqref="D450">
    <cfRule type="cellIs" dxfId="3" priority="486" operator="equal">
      <formula>"发货"</formula>
    </cfRule>
    <cfRule type="cellIs" dxfId="2" priority="485" operator="equal">
      <formula>"单据"</formula>
    </cfRule>
    <cfRule type="cellIs" dxfId="1" priority="484" operator="equal">
      <formula>"等款"</formula>
    </cfRule>
  </conditionalFormatting>
  <conditionalFormatting sqref="F450">
    <cfRule type="cellIs" dxfId="5" priority="483" operator="equal">
      <formula>0</formula>
    </cfRule>
    <cfRule type="cellIs" dxfId="4" priority="482" operator="equal">
      <formula>"/"</formula>
    </cfRule>
  </conditionalFormatting>
  <conditionalFormatting sqref="F451">
    <cfRule type="cellIs" dxfId="4" priority="541" operator="equal">
      <formula>"/"</formula>
    </cfRule>
    <cfRule type="cellIs" dxfId="5" priority="542" operator="equal">
      <formula>0</formula>
    </cfRule>
  </conditionalFormatting>
  <conditionalFormatting sqref="F452">
    <cfRule type="cellIs" dxfId="4" priority="529" operator="equal">
      <formula>"/"</formula>
    </cfRule>
    <cfRule type="cellIs" dxfId="5" priority="530" operator="equal">
      <formula>0</formula>
    </cfRule>
  </conditionalFormatting>
  <conditionalFormatting sqref="F453">
    <cfRule type="cellIs" dxfId="4" priority="527" operator="equal">
      <formula>"/"</formula>
    </cfRule>
    <cfRule type="cellIs" dxfId="5" priority="528" operator="equal">
      <formula>0</formula>
    </cfRule>
  </conditionalFormatting>
  <conditionalFormatting sqref="F454">
    <cfRule type="cellIs" dxfId="4" priority="521" operator="equal">
      <formula>"/"</formula>
    </cfRule>
    <cfRule type="cellIs" dxfId="5" priority="522" operator="equal">
      <formula>0</formula>
    </cfRule>
  </conditionalFormatting>
  <conditionalFormatting sqref="D455">
    <cfRule type="cellIs" dxfId="3" priority="421" operator="equal">
      <formula>"发货"</formula>
    </cfRule>
    <cfRule type="cellIs" dxfId="2" priority="420" operator="equal">
      <formula>"单据"</formula>
    </cfRule>
    <cfRule type="cellIs" dxfId="1" priority="419" operator="equal">
      <formula>"等款"</formula>
    </cfRule>
  </conditionalFormatting>
  <conditionalFormatting sqref="F455">
    <cfRule type="cellIs" dxfId="5" priority="418" operator="equal">
      <formula>0</formula>
    </cfRule>
    <cfRule type="cellIs" dxfId="4" priority="417" operator="equal">
      <formula>"/"</formula>
    </cfRule>
  </conditionalFormatting>
  <conditionalFormatting sqref="F456">
    <cfRule type="cellIs" dxfId="4" priority="519" operator="equal">
      <formula>"/"</formula>
    </cfRule>
    <cfRule type="cellIs" dxfId="5" priority="520" operator="equal">
      <formula>0</formula>
    </cfRule>
  </conditionalFormatting>
  <conditionalFormatting sqref="F457">
    <cfRule type="cellIs" dxfId="4" priority="517" operator="equal">
      <formula>"/"</formula>
    </cfRule>
    <cfRule type="cellIs" dxfId="5" priority="518" operator="equal">
      <formula>0</formula>
    </cfRule>
  </conditionalFormatting>
  <conditionalFormatting sqref="F458">
    <cfRule type="cellIs" dxfId="4" priority="513" operator="equal">
      <formula>"/"</formula>
    </cfRule>
    <cfRule type="cellIs" dxfId="5" priority="514" operator="equal">
      <formula>0</formula>
    </cfRule>
  </conditionalFormatting>
  <conditionalFormatting sqref="D459">
    <cfRule type="cellIs" dxfId="1" priority="460" operator="equal">
      <formula>"等款"</formula>
    </cfRule>
    <cfRule type="cellIs" dxfId="2" priority="461" operator="equal">
      <formula>"单据"</formula>
    </cfRule>
    <cfRule type="cellIs" dxfId="3" priority="462" operator="equal">
      <formula>"发货"</formula>
    </cfRule>
  </conditionalFormatting>
  <conditionalFormatting sqref="F459">
    <cfRule type="cellIs" dxfId="4" priority="458" operator="equal">
      <formula>"/"</formula>
    </cfRule>
    <cfRule type="cellIs" dxfId="5" priority="459" operator="equal">
      <formula>0</formula>
    </cfRule>
  </conditionalFormatting>
  <conditionalFormatting sqref="F460">
    <cfRule type="cellIs" dxfId="4" priority="515" operator="equal">
      <formula>"/"</formula>
    </cfRule>
    <cfRule type="cellIs" dxfId="5" priority="516" operator="equal">
      <formula>0</formula>
    </cfRule>
  </conditionalFormatting>
  <conditionalFormatting sqref="D461">
    <cfRule type="cellIs" dxfId="1" priority="455" operator="equal">
      <formula>"等款"</formula>
    </cfRule>
    <cfRule type="cellIs" dxfId="2" priority="456" operator="equal">
      <formula>"单据"</formula>
    </cfRule>
    <cfRule type="cellIs" dxfId="3" priority="457" operator="equal">
      <formula>"发货"</formula>
    </cfRule>
  </conditionalFormatting>
  <conditionalFormatting sqref="F461">
    <cfRule type="cellIs" dxfId="4" priority="453" operator="equal">
      <formula>"/"</formula>
    </cfRule>
    <cfRule type="cellIs" dxfId="5" priority="454" operator="equal">
      <formula>0</formula>
    </cfRule>
  </conditionalFormatting>
  <conditionalFormatting sqref="D462">
    <cfRule type="cellIs" dxfId="3" priority="318" operator="equal">
      <formula>"发货"</formula>
    </cfRule>
    <cfRule type="cellIs" dxfId="2" priority="317" operator="equal">
      <formula>"单据"</formula>
    </cfRule>
    <cfRule type="cellIs" dxfId="1" priority="316" operator="equal">
      <formula>"等款"</formula>
    </cfRule>
  </conditionalFormatting>
  <conditionalFormatting sqref="F462">
    <cfRule type="cellIs" dxfId="5" priority="315" operator="equal">
      <formula>0</formula>
    </cfRule>
    <cfRule type="cellIs" dxfId="4" priority="314" operator="equal">
      <formula>"/"</formula>
    </cfRule>
  </conditionalFormatting>
  <conditionalFormatting sqref="F463">
    <cfRule type="cellIs" dxfId="4" priority="511" operator="equal">
      <formula>"/"</formula>
    </cfRule>
    <cfRule type="cellIs" dxfId="5" priority="512" operator="equal">
      <formula>0</formula>
    </cfRule>
  </conditionalFormatting>
  <conditionalFormatting sqref="F464">
    <cfRule type="cellIs" dxfId="4" priority="509" operator="equal">
      <formula>"/"</formula>
    </cfRule>
    <cfRule type="cellIs" dxfId="5" priority="510" operator="equal">
      <formula>0</formula>
    </cfRule>
  </conditionalFormatting>
  <conditionalFormatting sqref="D465">
    <cfRule type="cellIs" dxfId="1" priority="439" operator="equal">
      <formula>"等款"</formula>
    </cfRule>
    <cfRule type="cellIs" dxfId="2" priority="440" operator="equal">
      <formula>"单据"</formula>
    </cfRule>
    <cfRule type="cellIs" dxfId="3" priority="441" operator="equal">
      <formula>"发货"</formula>
    </cfRule>
  </conditionalFormatting>
  <conditionalFormatting sqref="F465">
    <cfRule type="cellIs" dxfId="4" priority="437" operator="equal">
      <formula>"/"</formula>
    </cfRule>
    <cfRule type="cellIs" dxfId="5" priority="438" operator="equal">
      <formula>0</formula>
    </cfRule>
  </conditionalFormatting>
  <conditionalFormatting sqref="F466">
    <cfRule type="cellIs" dxfId="4" priority="505" operator="equal">
      <formula>"/"</formula>
    </cfRule>
    <cfRule type="cellIs" dxfId="5" priority="506" operator="equal">
      <formula>0</formula>
    </cfRule>
  </conditionalFormatting>
  <conditionalFormatting sqref="D468">
    <cfRule type="cellIs" dxfId="1" priority="404" operator="equal">
      <formula>"等款"</formula>
    </cfRule>
    <cfRule type="cellIs" dxfId="2" priority="405" operator="equal">
      <formula>"单据"</formula>
    </cfRule>
    <cfRule type="cellIs" dxfId="3" priority="406" operator="equal">
      <formula>"发货"</formula>
    </cfRule>
  </conditionalFormatting>
  <conditionalFormatting sqref="F468">
    <cfRule type="cellIs" dxfId="4" priority="402" operator="equal">
      <formula>"/"</formula>
    </cfRule>
    <cfRule type="cellIs" dxfId="5" priority="403" operator="equal">
      <formula>0</formula>
    </cfRule>
  </conditionalFormatting>
  <conditionalFormatting sqref="D469">
    <cfRule type="cellIs" dxfId="1" priority="399" operator="equal">
      <formula>"等款"</formula>
    </cfRule>
    <cfRule type="cellIs" dxfId="2" priority="400" operator="equal">
      <formula>"单据"</formula>
    </cfRule>
    <cfRule type="cellIs" dxfId="3" priority="401" operator="equal">
      <formula>"发货"</formula>
    </cfRule>
  </conditionalFormatting>
  <conditionalFormatting sqref="F469">
    <cfRule type="cellIs" dxfId="4" priority="397" operator="equal">
      <formula>"/"</formula>
    </cfRule>
    <cfRule type="cellIs" dxfId="5" priority="398" operator="equal">
      <formula>0</formula>
    </cfRule>
  </conditionalFormatting>
  <conditionalFormatting sqref="F471">
    <cfRule type="cellIs" dxfId="4" priority="487" operator="equal">
      <formula>"/"</formula>
    </cfRule>
    <cfRule type="cellIs" dxfId="5" priority="488" operator="equal">
      <formula>0</formula>
    </cfRule>
  </conditionalFormatting>
  <conditionalFormatting sqref="F474">
    <cfRule type="cellIs" dxfId="4" priority="446" operator="equal">
      <formula>"/"</formula>
    </cfRule>
    <cfRule type="cellIs" dxfId="5" priority="447" operator="equal">
      <formula>0</formula>
    </cfRule>
  </conditionalFormatting>
  <conditionalFormatting sqref="F475">
    <cfRule type="cellIs" dxfId="4" priority="444" operator="equal">
      <formula>"/"</formula>
    </cfRule>
    <cfRule type="cellIs" dxfId="5" priority="445" operator="equal">
      <formula>0</formula>
    </cfRule>
  </conditionalFormatting>
  <conditionalFormatting sqref="F476">
    <cfRule type="cellIs" dxfId="4" priority="442" operator="equal">
      <formula>"/"</formula>
    </cfRule>
    <cfRule type="cellIs" dxfId="5" priority="443" operator="equal">
      <formula>0</formula>
    </cfRule>
  </conditionalFormatting>
  <conditionalFormatting sqref="F477">
    <cfRule type="cellIs" dxfId="4" priority="433" operator="equal">
      <formula>"/"</formula>
    </cfRule>
    <cfRule type="cellIs" dxfId="5" priority="434" operator="equal">
      <formula>0</formula>
    </cfRule>
  </conditionalFormatting>
  <conditionalFormatting sqref="F478">
    <cfRule type="cellIs" dxfId="4" priority="435" operator="equal">
      <formula>"/"</formula>
    </cfRule>
    <cfRule type="cellIs" dxfId="5" priority="436" operator="equal">
      <formula>0</formula>
    </cfRule>
  </conditionalFormatting>
  <conditionalFormatting sqref="F479">
    <cfRule type="cellIs" dxfId="4" priority="426" operator="equal">
      <formula>"/"</formula>
    </cfRule>
    <cfRule type="cellIs" dxfId="5" priority="427" operator="equal">
      <formula>0</formula>
    </cfRule>
  </conditionalFormatting>
  <conditionalFormatting sqref="F480">
    <cfRule type="cellIs" dxfId="4" priority="411" operator="equal">
      <formula>"/"</formula>
    </cfRule>
    <cfRule type="cellIs" dxfId="5" priority="412" operator="equal">
      <formula>0</formula>
    </cfRule>
  </conditionalFormatting>
  <conditionalFormatting sqref="F481">
    <cfRule type="cellIs" dxfId="4" priority="413" operator="equal">
      <formula>"/"</formula>
    </cfRule>
    <cfRule type="cellIs" dxfId="5" priority="414" operator="equal">
      <formula>0</formula>
    </cfRule>
  </conditionalFormatting>
  <conditionalFormatting sqref="F482">
    <cfRule type="cellIs" dxfId="4" priority="407" operator="equal">
      <formula>"/"</formula>
    </cfRule>
    <cfRule type="cellIs" dxfId="5" priority="408" operator="equal">
      <formula>0</formula>
    </cfRule>
  </conditionalFormatting>
  <conditionalFormatting sqref="F483">
    <cfRule type="cellIs" dxfId="4" priority="374" operator="equal">
      <formula>"/"</formula>
    </cfRule>
    <cfRule type="cellIs" dxfId="5" priority="375" operator="equal">
      <formula>0</formula>
    </cfRule>
  </conditionalFormatting>
  <conditionalFormatting sqref="F484">
    <cfRule type="cellIs" dxfId="4" priority="364" operator="equal">
      <formula>"/"</formula>
    </cfRule>
    <cfRule type="cellIs" dxfId="5" priority="365" operator="equal">
      <formula>0</formula>
    </cfRule>
  </conditionalFormatting>
  <conditionalFormatting sqref="D485">
    <cfRule type="cellIs" dxfId="3" priority="9" operator="equal">
      <formula>"发货"</formula>
    </cfRule>
    <cfRule type="cellIs" dxfId="2" priority="8" operator="equal">
      <formula>"单据"</formula>
    </cfRule>
    <cfRule type="cellIs" dxfId="1" priority="7" operator="equal">
      <formula>"等款"</formula>
    </cfRule>
  </conditionalFormatting>
  <conditionalFormatting sqref="F485">
    <cfRule type="cellIs" dxfId="5" priority="6" operator="equal">
      <formula>0</formula>
    </cfRule>
    <cfRule type="cellIs" dxfId="4" priority="5" operator="equal">
      <formula>"/"</formula>
    </cfRule>
  </conditionalFormatting>
  <conditionalFormatting sqref="F486">
    <cfRule type="cellIs" dxfId="4" priority="356" operator="equal">
      <formula>"/"</formula>
    </cfRule>
    <cfRule type="cellIs" dxfId="5" priority="357" operator="equal">
      <formula>0</formula>
    </cfRule>
  </conditionalFormatting>
  <conditionalFormatting sqref="F489">
    <cfRule type="cellIs" dxfId="4" priority="343" operator="equal">
      <formula>"/"</formula>
    </cfRule>
    <cfRule type="cellIs" dxfId="5" priority="344" operator="equal">
      <formula>0</formula>
    </cfRule>
  </conditionalFormatting>
  <conditionalFormatting sqref="F490">
    <cfRule type="cellIs" dxfId="4" priority="339" operator="equal">
      <formula>"/"</formula>
    </cfRule>
    <cfRule type="cellIs" dxfId="5" priority="340" operator="equal">
      <formula>0</formula>
    </cfRule>
  </conditionalFormatting>
  <conditionalFormatting sqref="F491">
    <cfRule type="cellIs" dxfId="4" priority="324" operator="equal">
      <formula>"/"</formula>
    </cfRule>
    <cfRule type="cellIs" dxfId="5" priority="325" operator="equal">
      <formula>0</formula>
    </cfRule>
  </conditionalFormatting>
  <conditionalFormatting sqref="F492">
    <cfRule type="cellIs" dxfId="4" priority="319" operator="equal">
      <formula>"/"</formula>
    </cfRule>
    <cfRule type="cellIs" dxfId="5" priority="320" operator="equal">
      <formula>0</formula>
    </cfRule>
  </conditionalFormatting>
  <conditionalFormatting sqref="F493">
    <cfRule type="cellIs" dxfId="4" priority="306" operator="equal">
      <formula>"/"</formula>
    </cfRule>
    <cfRule type="cellIs" dxfId="5" priority="307" operator="equal">
      <formula>0</formula>
    </cfRule>
  </conditionalFormatting>
  <conditionalFormatting sqref="F494">
    <cfRule type="cellIs" dxfId="4" priority="302" operator="equal">
      <formula>"/"</formula>
    </cfRule>
    <cfRule type="cellIs" dxfId="5" priority="303" operator="equal">
      <formula>0</formula>
    </cfRule>
  </conditionalFormatting>
  <conditionalFormatting sqref="F495">
    <cfRule type="cellIs" dxfId="4" priority="296" operator="equal">
      <formula>"/"</formula>
    </cfRule>
    <cfRule type="cellIs" dxfId="5" priority="297" operator="equal">
      <formula>0</formula>
    </cfRule>
  </conditionalFormatting>
  <conditionalFormatting sqref="D496">
    <cfRule type="cellIs" dxfId="1" priority="237" operator="equal">
      <formula>"等款"</formula>
    </cfRule>
    <cfRule type="cellIs" dxfId="2" priority="238" operator="equal">
      <formula>"单据"</formula>
    </cfRule>
    <cfRule type="cellIs" dxfId="3" priority="239" operator="equal">
      <formula>"发货"</formula>
    </cfRule>
  </conditionalFormatting>
  <conditionalFormatting sqref="F496">
    <cfRule type="cellIs" dxfId="4" priority="235" operator="equal">
      <formula>"/"</formula>
    </cfRule>
    <cfRule type="cellIs" dxfId="5" priority="236" operator="equal">
      <formula>0</formula>
    </cfRule>
  </conditionalFormatting>
  <conditionalFormatting sqref="F497">
    <cfRule type="cellIs" dxfId="4" priority="278" operator="equal">
      <formula>"/"</formula>
    </cfRule>
    <cfRule type="cellIs" dxfId="5" priority="279" operator="equal">
      <formula>0</formula>
    </cfRule>
  </conditionalFormatting>
  <conditionalFormatting sqref="F498">
    <cfRule type="cellIs" dxfId="4" priority="271" operator="equal">
      <formula>"/"</formula>
    </cfRule>
    <cfRule type="cellIs" dxfId="5" priority="272" operator="equal">
      <formula>0</formula>
    </cfRule>
  </conditionalFormatting>
  <conditionalFormatting sqref="F499">
    <cfRule type="cellIs" dxfId="4" priority="264" operator="equal">
      <formula>"/"</formula>
    </cfRule>
    <cfRule type="cellIs" dxfId="5" priority="265" operator="equal">
      <formula>0</formula>
    </cfRule>
  </conditionalFormatting>
  <conditionalFormatting sqref="F500">
    <cfRule type="cellIs" dxfId="4" priority="262" operator="equal">
      <formula>"/"</formula>
    </cfRule>
    <cfRule type="cellIs" dxfId="5" priority="263" operator="equal">
      <formula>0</formula>
    </cfRule>
  </conditionalFormatting>
  <conditionalFormatting sqref="F501">
    <cfRule type="cellIs" dxfId="4" priority="128" operator="equal">
      <formula>"/"</formula>
    </cfRule>
    <cfRule type="cellIs" dxfId="5" priority="129" operator="equal">
      <formula>0</formula>
    </cfRule>
  </conditionalFormatting>
  <conditionalFormatting sqref="F502">
    <cfRule type="cellIs" dxfId="4" priority="256" operator="equal">
      <formula>"/"</formula>
    </cfRule>
    <cfRule type="cellIs" dxfId="5" priority="257" operator="equal">
      <formula>0</formula>
    </cfRule>
  </conditionalFormatting>
  <conditionalFormatting sqref="D503">
    <cfRule type="cellIs" dxfId="1" priority="51" operator="equal">
      <formula>"等款"</formula>
    </cfRule>
    <cfRule type="cellIs" dxfId="2" priority="52" operator="equal">
      <formula>"单据"</formula>
    </cfRule>
    <cfRule type="cellIs" dxfId="3" priority="53" operator="equal">
      <formula>"发货"</formula>
    </cfRule>
  </conditionalFormatting>
  <conditionalFormatting sqref="F503">
    <cfRule type="cellIs" dxfId="4" priority="49" operator="equal">
      <formula>"/"</formula>
    </cfRule>
    <cfRule type="cellIs" dxfId="5" priority="50" operator="equal">
      <formula>0</formula>
    </cfRule>
  </conditionalFormatting>
  <conditionalFormatting sqref="F504">
    <cfRule type="cellIs" dxfId="4" priority="254" operator="equal">
      <formula>"/"</formula>
    </cfRule>
    <cfRule type="cellIs" dxfId="5" priority="255" operator="equal">
      <formula>0</formula>
    </cfRule>
  </conditionalFormatting>
  <conditionalFormatting sqref="F505">
    <cfRule type="cellIs" dxfId="4" priority="252" operator="equal">
      <formula>"/"</formula>
    </cfRule>
    <cfRule type="cellIs" dxfId="5" priority="253" operator="equal">
      <formula>0</formula>
    </cfRule>
  </conditionalFormatting>
  <conditionalFormatting sqref="F508">
    <cfRule type="cellIs" dxfId="4" priority="248" operator="equal">
      <formula>"/"</formula>
    </cfRule>
    <cfRule type="cellIs" dxfId="5" priority="249" operator="equal">
      <formula>0</formula>
    </cfRule>
  </conditionalFormatting>
  <conditionalFormatting sqref="F509">
    <cfRule type="cellIs" dxfId="4" priority="246" operator="equal">
      <formula>"/"</formula>
    </cfRule>
    <cfRule type="cellIs" dxfId="5" priority="247" operator="equal">
      <formula>0</formula>
    </cfRule>
  </conditionalFormatting>
  <conditionalFormatting sqref="F510">
    <cfRule type="cellIs" dxfId="4" priority="244" operator="equal">
      <formula>"/"</formula>
    </cfRule>
    <cfRule type="cellIs" dxfId="5" priority="245" operator="equal">
      <formula>0</formula>
    </cfRule>
  </conditionalFormatting>
  <conditionalFormatting sqref="F511">
    <cfRule type="cellIs" dxfId="4" priority="242" operator="equal">
      <formula>"/"</formula>
    </cfRule>
    <cfRule type="cellIs" dxfId="5" priority="243" operator="equal">
      <formula>0</formula>
    </cfRule>
  </conditionalFormatting>
  <conditionalFormatting sqref="F512">
    <cfRule type="cellIs" dxfId="4" priority="240" operator="equal">
      <formula>"/"</formula>
    </cfRule>
    <cfRule type="cellIs" dxfId="5" priority="241" operator="equal">
      <formula>0</formula>
    </cfRule>
  </conditionalFormatting>
  <conditionalFormatting sqref="F516">
    <cfRule type="cellIs" dxfId="4" priority="221" operator="equal">
      <formula>"/"</formula>
    </cfRule>
    <cfRule type="cellIs" dxfId="5" priority="222" operator="equal">
      <formula>0</formula>
    </cfRule>
  </conditionalFormatting>
  <conditionalFormatting sqref="F517">
    <cfRule type="cellIs" dxfId="4" priority="203" operator="equal">
      <formula>"/"</formula>
    </cfRule>
    <cfRule type="cellIs" dxfId="5" priority="204" operator="equal">
      <formula>0</formula>
    </cfRule>
  </conditionalFormatting>
  <conditionalFormatting sqref="F518">
    <cfRule type="cellIs" dxfId="4" priority="201" operator="equal">
      <formula>"/"</formula>
    </cfRule>
    <cfRule type="cellIs" dxfId="5" priority="202" operator="equal">
      <formula>0</formula>
    </cfRule>
  </conditionalFormatting>
  <conditionalFormatting sqref="F519">
    <cfRule type="cellIs" dxfId="4" priority="181" operator="equal">
      <formula>"/"</formula>
    </cfRule>
    <cfRule type="cellIs" dxfId="5" priority="182" operator="equal">
      <formula>0</formula>
    </cfRule>
  </conditionalFormatting>
  <conditionalFormatting sqref="F520">
    <cfRule type="cellIs" dxfId="4" priority="177" operator="equal">
      <formula>"/"</formula>
    </cfRule>
    <cfRule type="cellIs" dxfId="5" priority="178" operator="equal">
      <formula>0</formula>
    </cfRule>
  </conditionalFormatting>
  <conditionalFormatting sqref="F521">
    <cfRule type="cellIs" dxfId="4" priority="175" operator="equal">
      <formula>"/"</formula>
    </cfRule>
    <cfRule type="cellIs" dxfId="5" priority="176" operator="equal">
      <formula>0</formula>
    </cfRule>
  </conditionalFormatting>
  <conditionalFormatting sqref="F522">
    <cfRule type="cellIs" dxfId="4" priority="173" operator="equal">
      <formula>"/"</formula>
    </cfRule>
    <cfRule type="cellIs" dxfId="5" priority="174" operator="equal">
      <formula>0</formula>
    </cfRule>
  </conditionalFormatting>
  <conditionalFormatting sqref="F523">
    <cfRule type="cellIs" dxfId="4" priority="169" operator="equal">
      <formula>"/"</formula>
    </cfRule>
    <cfRule type="cellIs" dxfId="5" priority="170" operator="equal">
      <formula>0</formula>
    </cfRule>
  </conditionalFormatting>
  <conditionalFormatting sqref="F524">
    <cfRule type="cellIs" dxfId="4" priority="171" operator="equal">
      <formula>"/"</formula>
    </cfRule>
    <cfRule type="cellIs" dxfId="5" priority="172" operator="equal">
      <formula>0</formula>
    </cfRule>
  </conditionalFormatting>
  <conditionalFormatting sqref="F525">
    <cfRule type="cellIs" dxfId="4" priority="167" operator="equal">
      <formula>"/"</formula>
    </cfRule>
    <cfRule type="cellIs" dxfId="5" priority="168" operator="equal">
      <formula>0</formula>
    </cfRule>
  </conditionalFormatting>
  <conditionalFormatting sqref="F526">
    <cfRule type="cellIs" dxfId="4" priority="165" operator="equal">
      <formula>"/"</formula>
    </cfRule>
    <cfRule type="cellIs" dxfId="5" priority="166" operator="equal">
      <formula>0</formula>
    </cfRule>
  </conditionalFormatting>
  <conditionalFormatting sqref="F527">
    <cfRule type="cellIs" dxfId="4" priority="160" operator="equal">
      <formula>"/"</formula>
    </cfRule>
    <cfRule type="cellIs" dxfId="5" priority="161" operator="equal">
      <formula>0</formula>
    </cfRule>
  </conditionalFormatting>
  <conditionalFormatting sqref="F528">
    <cfRule type="cellIs" dxfId="4" priority="144" operator="equal">
      <formula>"/"</formula>
    </cfRule>
    <cfRule type="cellIs" dxfId="5" priority="145" operator="equal">
      <formula>0</formula>
    </cfRule>
  </conditionalFormatting>
  <conditionalFormatting sqref="F529">
    <cfRule type="cellIs" dxfId="4" priority="140" operator="equal">
      <formula>"/"</formula>
    </cfRule>
    <cfRule type="cellIs" dxfId="5" priority="141" operator="equal">
      <formula>0</formula>
    </cfRule>
  </conditionalFormatting>
  <conditionalFormatting sqref="F534">
    <cfRule type="cellIs" dxfId="4" priority="132" operator="equal">
      <formula>"/"</formula>
    </cfRule>
    <cfRule type="cellIs" dxfId="5" priority="133" operator="equal">
      <formula>0</formula>
    </cfRule>
  </conditionalFormatting>
  <conditionalFormatting sqref="F535">
    <cfRule type="cellIs" dxfId="4" priority="124" operator="equal">
      <formula>"/"</formula>
    </cfRule>
    <cfRule type="cellIs" dxfId="5" priority="125" operator="equal">
      <formula>0</formula>
    </cfRule>
  </conditionalFormatting>
  <conditionalFormatting sqref="F536">
    <cfRule type="cellIs" dxfId="4" priority="120" operator="equal">
      <formula>"/"</formula>
    </cfRule>
    <cfRule type="cellIs" dxfId="5" priority="121" operator="equal">
      <formula>0</formula>
    </cfRule>
  </conditionalFormatting>
  <conditionalFormatting sqref="F537">
    <cfRule type="cellIs" dxfId="4" priority="102" operator="equal">
      <formula>"/"</formula>
    </cfRule>
    <cfRule type="cellIs" dxfId="5" priority="103" operator="equal">
      <formula>0</formula>
    </cfRule>
  </conditionalFormatting>
  <conditionalFormatting sqref="F538">
    <cfRule type="cellIs" dxfId="4" priority="100" operator="equal">
      <formula>"/"</formula>
    </cfRule>
    <cfRule type="cellIs" dxfId="5" priority="101" operator="equal">
      <formula>0</formula>
    </cfRule>
  </conditionalFormatting>
  <conditionalFormatting sqref="F539">
    <cfRule type="cellIs" dxfId="4" priority="91" operator="equal">
      <formula>"/"</formula>
    </cfRule>
    <cfRule type="cellIs" dxfId="5" priority="92" operator="equal">
      <formula>0</formula>
    </cfRule>
  </conditionalFormatting>
  <conditionalFormatting sqref="F540">
    <cfRule type="cellIs" dxfId="4" priority="122" operator="equal">
      <formula>"/"</formula>
    </cfRule>
    <cfRule type="cellIs" dxfId="5" priority="123" operator="equal">
      <formula>0</formula>
    </cfRule>
  </conditionalFormatting>
  <conditionalFormatting sqref="F541">
    <cfRule type="cellIs" dxfId="4" priority="74" operator="equal">
      <formula>"/"</formula>
    </cfRule>
    <cfRule type="cellIs" dxfId="5" priority="75" operator="equal">
      <formula>0</formula>
    </cfRule>
  </conditionalFormatting>
  <conditionalFormatting sqref="F542">
    <cfRule type="cellIs" dxfId="4" priority="76" operator="equal">
      <formula>"/"</formula>
    </cfRule>
    <cfRule type="cellIs" dxfId="5" priority="77" operator="equal">
      <formula>0</formula>
    </cfRule>
  </conditionalFormatting>
  <conditionalFormatting sqref="F543">
    <cfRule type="cellIs" dxfId="4" priority="78" operator="equal">
      <formula>"/"</formula>
    </cfRule>
    <cfRule type="cellIs" dxfId="5" priority="79" operator="equal">
      <formula>0</formula>
    </cfRule>
  </conditionalFormatting>
  <conditionalFormatting sqref="F544">
    <cfRule type="cellIs" dxfId="4" priority="58" operator="equal">
      <formula>"/"</formula>
    </cfRule>
    <cfRule type="cellIs" dxfId="5" priority="59" operator="equal">
      <formula>0</formula>
    </cfRule>
  </conditionalFormatting>
  <conditionalFormatting sqref="F545">
    <cfRule type="cellIs" dxfId="4" priority="54" operator="equal">
      <formula>"/"</formula>
    </cfRule>
    <cfRule type="cellIs" dxfId="5" priority="55" operator="equal">
      <formula>0</formula>
    </cfRule>
  </conditionalFormatting>
  <conditionalFormatting sqref="F546">
    <cfRule type="cellIs" dxfId="4" priority="56" operator="equal">
      <formula>"/"</formula>
    </cfRule>
    <cfRule type="cellIs" dxfId="5" priority="57" operator="equal">
      <formula>0</formula>
    </cfRule>
  </conditionalFormatting>
  <conditionalFormatting sqref="F547">
    <cfRule type="cellIs" dxfId="4" priority="47" operator="equal">
      <formula>"/"</formula>
    </cfRule>
    <cfRule type="cellIs" dxfId="5" priority="48" operator="equal">
      <formula>0</formula>
    </cfRule>
  </conditionalFormatting>
  <conditionalFormatting sqref="F548">
    <cfRule type="cellIs" dxfId="4" priority="60" operator="equal">
      <formula>"/"</formula>
    </cfRule>
    <cfRule type="cellIs" dxfId="5" priority="61" operator="equal">
      <formula>0</formula>
    </cfRule>
  </conditionalFormatting>
  <conditionalFormatting sqref="F549">
    <cfRule type="cellIs" dxfId="4" priority="40" operator="equal">
      <formula>"/"</formula>
    </cfRule>
    <cfRule type="cellIs" dxfId="5" priority="41" operator="equal">
      <formula>0</formula>
    </cfRule>
  </conditionalFormatting>
  <conditionalFormatting sqref="F550">
    <cfRule type="cellIs" dxfId="4" priority="32" operator="equal">
      <formula>"/"</formula>
    </cfRule>
    <cfRule type="cellIs" dxfId="5" priority="33" operator="equal">
      <formula>0</formula>
    </cfRule>
  </conditionalFormatting>
  <conditionalFormatting sqref="F551">
    <cfRule type="cellIs" dxfId="4" priority="36" operator="equal">
      <formula>"/"</formula>
    </cfRule>
    <cfRule type="cellIs" dxfId="5" priority="37" operator="equal">
      <formula>0</formula>
    </cfRule>
  </conditionalFormatting>
  <conditionalFormatting sqref="F552">
    <cfRule type="cellIs" dxfId="4" priority="34" operator="equal">
      <formula>"/"</formula>
    </cfRule>
    <cfRule type="cellIs" dxfId="5" priority="35" operator="equal">
      <formula>0</formula>
    </cfRule>
  </conditionalFormatting>
  <conditionalFormatting sqref="F553">
    <cfRule type="cellIs" dxfId="4" priority="38" operator="equal">
      <formula>"/"</formula>
    </cfRule>
    <cfRule type="cellIs" dxfId="5" priority="39" operator="equal">
      <formula>0</formula>
    </cfRule>
  </conditionalFormatting>
  <conditionalFormatting sqref="F554">
    <cfRule type="cellIs" dxfId="5" priority="2" operator="equal">
      <formula>0</formula>
    </cfRule>
    <cfRule type="cellIs" dxfId="4" priority="1" operator="equal">
      <formula>"/"</formula>
    </cfRule>
  </conditionalFormatting>
  <conditionalFormatting sqref="F555">
    <cfRule type="cellIs" dxfId="5" priority="4" operator="equal">
      <formula>0</formula>
    </cfRule>
    <cfRule type="cellIs" dxfId="4" priority="3" operator="equal">
      <formula>"/"</formula>
    </cfRule>
  </conditionalFormatting>
  <conditionalFormatting sqref="F556">
    <cfRule type="cellIs" dxfId="4" priority="179" operator="equal">
      <formula>"/"</formula>
    </cfRule>
    <cfRule type="cellIs" dxfId="5" priority="180" operator="equal">
      <formula>0</formula>
    </cfRule>
  </conditionalFormatting>
  <conditionalFormatting sqref="R556">
    <cfRule type="cellIs" dxfId="0" priority="1261" operator="equal">
      <formula>0</formula>
    </cfRule>
  </conditionalFormatting>
  <conditionalFormatting sqref="R557">
    <cfRule type="cellIs" dxfId="0" priority="1260" operator="equal">
      <formula>0</formula>
    </cfRule>
  </conditionalFormatting>
  <conditionalFormatting sqref="R558">
    <cfRule type="cellIs" dxfId="0" priority="1259" operator="equal">
      <formula>0</formula>
    </cfRule>
  </conditionalFormatting>
  <conditionalFormatting sqref="R559">
    <cfRule type="cellIs" dxfId="0" priority="1258" operator="equal">
      <formula>0</formula>
    </cfRule>
  </conditionalFormatting>
  <conditionalFormatting sqref="R566">
    <cfRule type="cellIs" dxfId="0" priority="1348" operator="equal">
      <formula>0</formula>
    </cfRule>
  </conditionalFormatting>
  <conditionalFormatting sqref="R572">
    <cfRule type="cellIs" dxfId="0" priority="1354" operator="equal">
      <formula>0</formula>
    </cfRule>
  </conditionalFormatting>
  <conditionalFormatting sqref="R573">
    <cfRule type="cellIs" dxfId="0" priority="1353" operator="equal">
      <formula>0</formula>
    </cfRule>
  </conditionalFormatting>
  <conditionalFormatting sqref="F576">
    <cfRule type="cellIs" dxfId="4" priority="1148" operator="equal">
      <formula>"/"</formula>
    </cfRule>
    <cfRule type="cellIs" dxfId="5" priority="1149" operator="equal">
      <formula>0</formula>
    </cfRule>
  </conditionalFormatting>
  <conditionalFormatting sqref="F601">
    <cfRule type="cellIs" dxfId="4" priority="592" operator="equal">
      <formula>"/"</formula>
    </cfRule>
    <cfRule type="cellIs" dxfId="5" priority="593" operator="equal">
      <formula>0</formula>
    </cfRule>
  </conditionalFormatting>
  <conditionalFormatting sqref="F602">
    <cfRule type="cellIs" dxfId="4" priority="551" operator="equal">
      <formula>"/"</formula>
    </cfRule>
    <cfRule type="cellIs" dxfId="5" priority="552" operator="equal">
      <formula>0</formula>
    </cfRule>
  </conditionalFormatting>
  <conditionalFormatting sqref="F603">
    <cfRule type="cellIs" dxfId="4" priority="503" operator="equal">
      <formula>"/"</formula>
    </cfRule>
    <cfRule type="cellIs" dxfId="5" priority="504" operator="equal">
      <formula>0</formula>
    </cfRule>
  </conditionalFormatting>
  <conditionalFormatting sqref="F604">
    <cfRule type="cellIs" dxfId="4" priority="266" operator="equal">
      <formula>"/"</formula>
    </cfRule>
    <cfRule type="cellIs" dxfId="5" priority="267" operator="equal">
      <formula>0</formula>
    </cfRule>
  </conditionalFormatting>
  <conditionalFormatting sqref="F605">
    <cfRule type="cellIs" dxfId="4" priority="126" operator="equal">
      <formula>"/"</formula>
    </cfRule>
    <cfRule type="cellIs" dxfId="5" priority="127" operator="equal">
      <formula>0</formula>
    </cfRule>
  </conditionalFormatting>
  <conditionalFormatting sqref="F608">
    <cfRule type="cellIs" dxfId="4" priority="108" operator="equal">
      <formula>"/"</formula>
    </cfRule>
    <cfRule type="cellIs" dxfId="5" priority="109" operator="equal">
      <formula>0</formula>
    </cfRule>
  </conditionalFormatting>
  <conditionalFormatting sqref="R608">
    <cfRule type="cellIs" dxfId="0" priority="1351" operator="equal">
      <formula>0</formula>
    </cfRule>
  </conditionalFormatting>
  <conditionalFormatting sqref="R609">
    <cfRule type="cellIs" dxfId="0" priority="1350" operator="equal">
      <formula>0</formula>
    </cfRule>
  </conditionalFormatting>
  <conditionalFormatting sqref="T627">
    <cfRule type="cellIs" dxfId="0" priority="1172" operator="equal">
      <formula>0</formula>
    </cfRule>
  </conditionalFormatting>
  <conditionalFormatting sqref="R697">
    <cfRule type="cellIs" dxfId="0" priority="1371" operator="equal">
      <formula>0</formula>
    </cfRule>
  </conditionalFormatting>
  <conditionalFormatting sqref="R698">
    <cfRule type="cellIs" dxfId="0" priority="1370" operator="equal">
      <formula>0</formula>
    </cfRule>
  </conditionalFormatting>
  <conditionalFormatting sqref="R699">
    <cfRule type="cellIs" dxfId="0" priority="1369" operator="equal">
      <formula>0</formula>
    </cfRule>
  </conditionalFormatting>
  <conditionalFormatting sqref="R700">
    <cfRule type="cellIs" dxfId="0" priority="1368" operator="equal">
      <formula>0</formula>
    </cfRule>
  </conditionalFormatting>
  <conditionalFormatting sqref="R701">
    <cfRule type="cellIs" dxfId="0" priority="1367" operator="equal">
      <formula>0</formula>
    </cfRule>
  </conditionalFormatting>
  <conditionalFormatting sqref="R702">
    <cfRule type="cellIs" dxfId="0" priority="1366" operator="equal">
      <formula>0</formula>
    </cfRule>
  </conditionalFormatting>
  <conditionalFormatting sqref="R703">
    <cfRule type="cellIs" dxfId="0" priority="1365" operator="equal">
      <formula>0</formula>
    </cfRule>
  </conditionalFormatting>
  <conditionalFormatting sqref="R704">
    <cfRule type="cellIs" dxfId="0" priority="1364" operator="equal">
      <formula>0</formula>
    </cfRule>
  </conditionalFormatting>
  <conditionalFormatting sqref="R705">
    <cfRule type="cellIs" dxfId="0" priority="1363" operator="equal">
      <formula>0</formula>
    </cfRule>
  </conditionalFormatting>
  <conditionalFormatting sqref="R706">
    <cfRule type="cellIs" dxfId="0" priority="1362" operator="equal">
      <formula>0</formula>
    </cfRule>
  </conditionalFormatting>
  <conditionalFormatting sqref="D709">
    <cfRule type="cellIs" dxfId="1" priority="1075" operator="equal">
      <formula>"等款"</formula>
    </cfRule>
    <cfRule type="cellIs" dxfId="2" priority="1076" operator="equal">
      <formula>"单据"</formula>
    </cfRule>
    <cfRule type="cellIs" dxfId="3" priority="1077" operator="equal">
      <formula>"发货"</formula>
    </cfRule>
  </conditionalFormatting>
  <conditionalFormatting sqref="F709">
    <cfRule type="cellIs" dxfId="4" priority="1073" operator="equal">
      <formula>"/"</formula>
    </cfRule>
    <cfRule type="cellIs" dxfId="5" priority="1074" operator="equal">
      <formula>0</formula>
    </cfRule>
  </conditionalFormatting>
  <conditionalFormatting sqref="D710">
    <cfRule type="cellIs" dxfId="1" priority="1104" operator="equal">
      <formula>"等款"</formula>
    </cfRule>
    <cfRule type="cellIs" dxfId="2" priority="1105" operator="equal">
      <formula>"单据"</formula>
    </cfRule>
    <cfRule type="cellIs" dxfId="3" priority="1106" operator="equal">
      <formula>"发货"</formula>
    </cfRule>
  </conditionalFormatting>
  <conditionalFormatting sqref="F710">
    <cfRule type="cellIs" dxfId="4" priority="1102" operator="equal">
      <formula>"/"</formula>
    </cfRule>
    <cfRule type="cellIs" dxfId="5" priority="1103" operator="equal">
      <formula>0</formula>
    </cfRule>
  </conditionalFormatting>
  <conditionalFormatting sqref="D719">
    <cfRule type="cellIs" dxfId="1" priority="1049" operator="equal">
      <formula>"等款"</formula>
    </cfRule>
    <cfRule type="cellIs" dxfId="2" priority="1050" operator="equal">
      <formula>"单据"</formula>
    </cfRule>
    <cfRule type="cellIs" dxfId="3" priority="1051" operator="equal">
      <formula>"发货"</formula>
    </cfRule>
  </conditionalFormatting>
  <conditionalFormatting sqref="F719">
    <cfRule type="cellIs" dxfId="4" priority="1047" operator="equal">
      <formula>"/"</formula>
    </cfRule>
    <cfRule type="cellIs" dxfId="5" priority="1048" operator="equal">
      <formula>0</formula>
    </cfRule>
  </conditionalFormatting>
  <conditionalFormatting sqref="T721">
    <cfRule type="cellIs" dxfId="6" priority="1022" operator="equal">
      <formula>0</formula>
    </cfRule>
  </conditionalFormatting>
  <conditionalFormatting sqref="U721">
    <cfRule type="cellIs" dxfId="6" priority="975" operator="equal">
      <formula>0</formula>
    </cfRule>
  </conditionalFormatting>
  <conditionalFormatting sqref="R733">
    <cfRule type="cellIs" dxfId="0" priority="1384" operator="equal">
      <formula>0</formula>
    </cfRule>
  </conditionalFormatting>
  <conditionalFormatting sqref="F741">
    <cfRule type="cellIs" dxfId="4" priority="1494" operator="equal">
      <formula>"/"</formula>
    </cfRule>
    <cfRule type="cellIs" dxfId="5" priority="1495" operator="equal">
      <formula>0</formula>
    </cfRule>
  </conditionalFormatting>
  <conditionalFormatting sqref="R746">
    <cfRule type="cellIs" dxfId="0" priority="1182" operator="equal">
      <formula>0</formula>
    </cfRule>
  </conditionalFormatting>
  <conditionalFormatting sqref="R747">
    <cfRule type="cellIs" dxfId="0" priority="1181" operator="equal">
      <formula>0</formula>
    </cfRule>
  </conditionalFormatting>
  <conditionalFormatting sqref="R748">
    <cfRule type="cellIs" dxfId="0" priority="1180" operator="equal">
      <formula>0</formula>
    </cfRule>
  </conditionalFormatting>
  <conditionalFormatting sqref="R749">
    <cfRule type="cellIs" dxfId="0" priority="1179" operator="equal">
      <formula>0</formula>
    </cfRule>
  </conditionalFormatting>
  <conditionalFormatting sqref="R750">
    <cfRule type="cellIs" dxfId="0" priority="1178" operator="equal">
      <formula>0</formula>
    </cfRule>
  </conditionalFormatting>
  <conditionalFormatting sqref="R751">
    <cfRule type="cellIs" dxfId="0" priority="1177" operator="equal">
      <formula>0</formula>
    </cfRule>
  </conditionalFormatting>
  <conditionalFormatting sqref="R752">
    <cfRule type="cellIs" dxfId="0" priority="1176" operator="equal">
      <formula>0</formula>
    </cfRule>
  </conditionalFormatting>
  <conditionalFormatting sqref="R753">
    <cfRule type="cellIs" dxfId="0" priority="1175" operator="equal">
      <formula>0</formula>
    </cfRule>
  </conditionalFormatting>
  <conditionalFormatting sqref="R823">
    <cfRule type="cellIs" dxfId="0" priority="1402" operator="equal">
      <formula>0</formula>
    </cfRule>
  </conditionalFormatting>
  <conditionalFormatting sqref="R824">
    <cfRule type="cellIs" dxfId="0" priority="1401" operator="equal">
      <formula>0</formula>
    </cfRule>
  </conditionalFormatting>
  <conditionalFormatting sqref="U824">
    <cfRule type="cellIs" dxfId="0" priority="1054" operator="equal">
      <formula>0</formula>
    </cfRule>
  </conditionalFormatting>
  <conditionalFormatting sqref="D825">
    <cfRule type="cellIs" dxfId="1" priority="1556" operator="equal">
      <formula>"等款"</formula>
    </cfRule>
    <cfRule type="cellIs" dxfId="2" priority="1557" operator="equal">
      <formula>"单据"</formula>
    </cfRule>
    <cfRule type="cellIs" dxfId="3" priority="1558" operator="equal">
      <formula>"发货"</formula>
    </cfRule>
  </conditionalFormatting>
  <conditionalFormatting sqref="F825">
    <cfRule type="cellIs" dxfId="4" priority="1554" operator="equal">
      <formula>"/"</formula>
    </cfRule>
    <cfRule type="cellIs" dxfId="5" priority="1555" operator="equal">
      <formula>0</formula>
    </cfRule>
  </conditionalFormatting>
  <conditionalFormatting sqref="D826">
    <cfRule type="cellIs" dxfId="1" priority="1099" operator="equal">
      <formula>"等款"</formula>
    </cfRule>
    <cfRule type="cellIs" dxfId="2" priority="1100" operator="equal">
      <formula>"单据"</formula>
    </cfRule>
    <cfRule type="cellIs" dxfId="3" priority="1101" operator="equal">
      <formula>"发货"</formula>
    </cfRule>
  </conditionalFormatting>
  <conditionalFormatting sqref="F826">
    <cfRule type="cellIs" dxfId="4" priority="1097" operator="equal">
      <formula>"/"</formula>
    </cfRule>
    <cfRule type="cellIs" dxfId="5" priority="1098" operator="equal">
      <formula>0</formula>
    </cfRule>
  </conditionalFormatting>
  <conditionalFormatting sqref="R827">
    <cfRule type="cellIs" dxfId="0" priority="1399" operator="equal">
      <formula>0</formula>
    </cfRule>
  </conditionalFormatting>
  <conditionalFormatting sqref="R828">
    <cfRule type="cellIs" dxfId="0" priority="1398" operator="equal">
      <formula>0</formula>
    </cfRule>
  </conditionalFormatting>
  <conditionalFormatting sqref="D830">
    <cfRule type="cellIs" dxfId="1" priority="1145" operator="equal">
      <formula>"等款"</formula>
    </cfRule>
    <cfRule type="cellIs" dxfId="2" priority="1146" operator="equal">
      <formula>"单据"</formula>
    </cfRule>
    <cfRule type="cellIs" dxfId="3" priority="1147" operator="equal">
      <formula>"发货"</formula>
    </cfRule>
  </conditionalFormatting>
  <conditionalFormatting sqref="F830">
    <cfRule type="cellIs" dxfId="4" priority="1141" operator="equal">
      <formula>"/"</formula>
    </cfRule>
    <cfRule type="cellIs" dxfId="5" priority="1142" operator="equal">
      <formula>0</formula>
    </cfRule>
  </conditionalFormatting>
  <conditionalFormatting sqref="D831">
    <cfRule type="cellIs" dxfId="1" priority="1080" operator="equal">
      <formula>"等款"</formula>
    </cfRule>
    <cfRule type="cellIs" dxfId="2" priority="1081" operator="equal">
      <formula>"单据"</formula>
    </cfRule>
    <cfRule type="cellIs" dxfId="3" priority="1082" operator="equal">
      <formula>"发货"</formula>
    </cfRule>
  </conditionalFormatting>
  <conditionalFormatting sqref="F831">
    <cfRule type="cellIs" dxfId="4" priority="1078" operator="equal">
      <formula>"/"</formula>
    </cfRule>
    <cfRule type="cellIs" dxfId="5" priority="1079" operator="equal">
      <formula>0</formula>
    </cfRule>
  </conditionalFormatting>
  <conditionalFormatting sqref="D833">
    <cfRule type="cellIs" dxfId="1" priority="1138" operator="equal">
      <formula>"等款"</formula>
    </cfRule>
    <cfRule type="cellIs" dxfId="2" priority="1139" operator="equal">
      <formula>"单据"</formula>
    </cfRule>
    <cfRule type="cellIs" dxfId="3" priority="1140" operator="equal">
      <formula>"发货"</formula>
    </cfRule>
  </conditionalFormatting>
  <conditionalFormatting sqref="R834">
    <cfRule type="cellIs" dxfId="0" priority="1416" operator="equal">
      <formula>0</formula>
    </cfRule>
  </conditionalFormatting>
  <conditionalFormatting sqref="R835">
    <cfRule type="cellIs" dxfId="0" priority="1415" operator="equal">
      <formula>0</formula>
    </cfRule>
  </conditionalFormatting>
  <conditionalFormatting sqref="F836">
    <cfRule type="cellIs" dxfId="4" priority="1568" operator="equal">
      <formula>"/"</formula>
    </cfRule>
    <cfRule type="cellIs" dxfId="5" priority="1569" operator="equal">
      <formula>0</formula>
    </cfRule>
  </conditionalFormatting>
  <conditionalFormatting sqref="R836">
    <cfRule type="cellIs" dxfId="0" priority="1414" operator="equal">
      <formula>0</formula>
    </cfRule>
  </conditionalFormatting>
  <conditionalFormatting sqref="F839">
    <cfRule type="cellIs" dxfId="4" priority="1114" operator="equal">
      <formula>"/"</formula>
    </cfRule>
    <cfRule type="cellIs" dxfId="5" priority="1115" operator="equal">
      <formula>0</formula>
    </cfRule>
  </conditionalFormatting>
  <conditionalFormatting sqref="F840">
    <cfRule type="cellIs" dxfId="4" priority="1561" operator="equal">
      <formula>"/"</formula>
    </cfRule>
    <cfRule type="cellIs" dxfId="5" priority="1562" operator="equal">
      <formula>0</formula>
    </cfRule>
  </conditionalFormatting>
  <conditionalFormatting sqref="F841">
    <cfRule type="cellIs" dxfId="4" priority="1107" operator="equal">
      <formula>"/"</formula>
    </cfRule>
    <cfRule type="cellIs" dxfId="5" priority="1108" operator="equal">
      <formula>0</formula>
    </cfRule>
  </conditionalFormatting>
  <conditionalFormatting sqref="F842">
    <cfRule type="cellIs" dxfId="4" priority="1095" operator="equal">
      <formula>"/"</formula>
    </cfRule>
    <cfRule type="cellIs" dxfId="5" priority="1096" operator="equal">
      <formula>0</formula>
    </cfRule>
  </conditionalFormatting>
  <conditionalFormatting sqref="F843">
    <cfRule type="cellIs" dxfId="4" priority="1088" operator="equal">
      <formula>"/"</formula>
    </cfRule>
    <cfRule type="cellIs" dxfId="5" priority="1089" operator="equal">
      <formula>0</formula>
    </cfRule>
  </conditionalFormatting>
  <conditionalFormatting sqref="F844">
    <cfRule type="cellIs" dxfId="4" priority="1061" operator="equal">
      <formula>"/"</formula>
    </cfRule>
    <cfRule type="cellIs" dxfId="5" priority="1062" operator="equal">
      <formula>0</formula>
    </cfRule>
  </conditionalFormatting>
  <conditionalFormatting sqref="F845">
    <cfRule type="cellIs" dxfId="4" priority="1052" operator="equal">
      <formula>"/"</formula>
    </cfRule>
    <cfRule type="cellIs" dxfId="5" priority="1053" operator="equal">
      <formula>0</formula>
    </cfRule>
  </conditionalFormatting>
  <conditionalFormatting sqref="D846">
    <cfRule type="cellIs" dxfId="1" priority="1027" operator="equal">
      <formula>"等款"</formula>
    </cfRule>
    <cfRule type="cellIs" dxfId="2" priority="1028" operator="equal">
      <formula>"单据"</formula>
    </cfRule>
    <cfRule type="cellIs" dxfId="3" priority="1029" operator="equal">
      <formula>"发货"</formula>
    </cfRule>
  </conditionalFormatting>
  <conditionalFormatting sqref="F846">
    <cfRule type="cellIs" dxfId="4" priority="1025" operator="equal">
      <formula>"/"</formula>
    </cfRule>
    <cfRule type="cellIs" dxfId="5" priority="1026" operator="equal">
      <formula>0</formula>
    </cfRule>
  </conditionalFormatting>
  <conditionalFormatting sqref="D852">
    <cfRule type="cellIs" dxfId="1" priority="998" operator="equal">
      <formula>"等款"</formula>
    </cfRule>
    <cfRule type="cellIs" dxfId="2" priority="999" operator="equal">
      <formula>"单据"</formula>
    </cfRule>
    <cfRule type="cellIs" dxfId="3" priority="1000" operator="equal">
      <formula>"发货"</formula>
    </cfRule>
  </conditionalFormatting>
  <conditionalFormatting sqref="F852">
    <cfRule type="cellIs" dxfId="4" priority="996" operator="equal">
      <formula>"/"</formula>
    </cfRule>
    <cfRule type="cellIs" dxfId="5" priority="997" operator="equal">
      <formula>0</formula>
    </cfRule>
  </conditionalFormatting>
  <conditionalFormatting sqref="D854">
    <cfRule type="cellIs" dxfId="1" priority="993" operator="equal">
      <formula>"等款"</formula>
    </cfRule>
    <cfRule type="cellIs" dxfId="2" priority="994" operator="equal">
      <formula>"单据"</formula>
    </cfRule>
    <cfRule type="cellIs" dxfId="3" priority="995" operator="equal">
      <formula>"发货"</formula>
    </cfRule>
  </conditionalFormatting>
  <conditionalFormatting sqref="F854">
    <cfRule type="cellIs" dxfId="4" priority="991" operator="equal">
      <formula>"/"</formula>
    </cfRule>
    <cfRule type="cellIs" dxfId="5" priority="992" operator="equal">
      <formula>0</formula>
    </cfRule>
  </conditionalFormatting>
  <conditionalFormatting sqref="D862">
    <cfRule type="cellIs" dxfId="1" priority="944" operator="equal">
      <formula>"等款"</formula>
    </cfRule>
    <cfRule type="cellIs" dxfId="2" priority="945" operator="equal">
      <formula>"单据"</formula>
    </cfRule>
    <cfRule type="cellIs" dxfId="3" priority="946" operator="equal">
      <formula>"发货"</formula>
    </cfRule>
  </conditionalFormatting>
  <conditionalFormatting sqref="F862">
    <cfRule type="cellIs" dxfId="4" priority="942" operator="equal">
      <formula>"/"</formula>
    </cfRule>
    <cfRule type="cellIs" dxfId="5" priority="943" operator="equal">
      <formula>0</formula>
    </cfRule>
  </conditionalFormatting>
  <conditionalFormatting sqref="D877">
    <cfRule type="cellIs" dxfId="1" priority="765" operator="equal">
      <formula>"等款"</formula>
    </cfRule>
    <cfRule type="cellIs" dxfId="2" priority="766" operator="equal">
      <formula>"单据"</formula>
    </cfRule>
    <cfRule type="cellIs" dxfId="3" priority="767" operator="equal">
      <formula>"发货"</formula>
    </cfRule>
  </conditionalFormatting>
  <conditionalFormatting sqref="F877">
    <cfRule type="cellIs" dxfId="4" priority="763" operator="equal">
      <formula>"/"</formula>
    </cfRule>
    <cfRule type="cellIs" dxfId="5" priority="764" operator="equal">
      <formula>0</formula>
    </cfRule>
  </conditionalFormatting>
  <conditionalFormatting sqref="D878">
    <cfRule type="cellIs" dxfId="1" priority="748" operator="equal">
      <formula>"等款"</formula>
    </cfRule>
    <cfRule type="cellIs" dxfId="2" priority="749" operator="equal">
      <formula>"单据"</formula>
    </cfRule>
    <cfRule type="cellIs" dxfId="3" priority="750" operator="equal">
      <formula>"发货"</formula>
    </cfRule>
  </conditionalFormatting>
  <conditionalFormatting sqref="F878">
    <cfRule type="cellIs" dxfId="4" priority="746" operator="equal">
      <formula>"/"</formula>
    </cfRule>
    <cfRule type="cellIs" dxfId="5" priority="747" operator="equal">
      <formula>0</formula>
    </cfRule>
  </conditionalFormatting>
  <conditionalFormatting sqref="D879">
    <cfRule type="cellIs" dxfId="1" priority="723" operator="equal">
      <formula>"等款"</formula>
    </cfRule>
    <cfRule type="cellIs" dxfId="2" priority="724" operator="equal">
      <formula>"单据"</formula>
    </cfRule>
    <cfRule type="cellIs" dxfId="3" priority="725" operator="equal">
      <formula>"发货"</formula>
    </cfRule>
  </conditionalFormatting>
  <conditionalFormatting sqref="F879">
    <cfRule type="cellIs" dxfId="4" priority="721" operator="equal">
      <formula>"/"</formula>
    </cfRule>
    <cfRule type="cellIs" dxfId="5" priority="722" operator="equal">
      <formula>0</formula>
    </cfRule>
  </conditionalFormatting>
  <conditionalFormatting sqref="F886">
    <cfRule type="cellIs" dxfId="4" priority="607" operator="equal">
      <formula>"/"</formula>
    </cfRule>
    <cfRule type="cellIs" dxfId="5" priority="608" operator="equal">
      <formula>0</formula>
    </cfRule>
  </conditionalFormatting>
  <conditionalFormatting sqref="F887">
    <cfRule type="cellIs" dxfId="4" priority="575" operator="equal">
      <formula>"/"</formula>
    </cfRule>
    <cfRule type="cellIs" dxfId="5" priority="576" operator="equal">
      <formula>0</formula>
    </cfRule>
  </conditionalFormatting>
  <conditionalFormatting sqref="F888">
    <cfRule type="cellIs" dxfId="4" priority="577" operator="equal">
      <formula>"/"</formula>
    </cfRule>
    <cfRule type="cellIs" dxfId="5" priority="578" operator="equal">
      <formula>0</formula>
    </cfRule>
  </conditionalFormatting>
  <conditionalFormatting sqref="F889">
    <cfRule type="cellIs" dxfId="4" priority="569" operator="equal">
      <formula>"/"</formula>
    </cfRule>
    <cfRule type="cellIs" dxfId="5" priority="570" operator="equal">
      <formula>0</formula>
    </cfRule>
  </conditionalFormatting>
  <conditionalFormatting sqref="F892">
    <cfRule type="cellIs" dxfId="4" priority="531" operator="equal">
      <formula>"/"</formula>
    </cfRule>
    <cfRule type="cellIs" dxfId="5" priority="532" operator="equal">
      <formula>0</formula>
    </cfRule>
  </conditionalFormatting>
  <conditionalFormatting sqref="F893">
    <cfRule type="cellIs" dxfId="4" priority="525" operator="equal">
      <formula>"/"</formula>
    </cfRule>
    <cfRule type="cellIs" dxfId="5" priority="526" operator="equal">
      <formula>0</formula>
    </cfRule>
  </conditionalFormatting>
  <conditionalFormatting sqref="D894">
    <cfRule type="cellIs" dxfId="1" priority="491" operator="equal">
      <formula>"等款"</formula>
    </cfRule>
    <cfRule type="cellIs" dxfId="2" priority="492" operator="equal">
      <formula>"单据"</formula>
    </cfRule>
    <cfRule type="cellIs" dxfId="3" priority="493" operator="equal">
      <formula>"发货"</formula>
    </cfRule>
  </conditionalFormatting>
  <conditionalFormatting sqref="F894">
    <cfRule type="cellIs" dxfId="4" priority="489" operator="equal">
      <formula>"/"</formula>
    </cfRule>
    <cfRule type="cellIs" dxfId="5" priority="490" operator="equal">
      <formula>0</formula>
    </cfRule>
  </conditionalFormatting>
  <conditionalFormatting sqref="F895">
    <cfRule type="cellIs" dxfId="4" priority="523" operator="equal">
      <formula>"/"</formula>
    </cfRule>
    <cfRule type="cellIs" dxfId="5" priority="524" operator="equal">
      <formula>0</formula>
    </cfRule>
  </conditionalFormatting>
  <conditionalFormatting sqref="D896">
    <cfRule type="cellIs" dxfId="1" priority="430" operator="equal">
      <formula>"等款"</formula>
    </cfRule>
    <cfRule type="cellIs" dxfId="2" priority="431" operator="equal">
      <formula>"单据"</formula>
    </cfRule>
    <cfRule type="cellIs" dxfId="3" priority="432" operator="equal">
      <formula>"发货"</formula>
    </cfRule>
  </conditionalFormatting>
  <conditionalFormatting sqref="F896">
    <cfRule type="cellIs" dxfId="4" priority="428" operator="equal">
      <formula>"/"</formula>
    </cfRule>
    <cfRule type="cellIs" dxfId="5" priority="429" operator="equal">
      <formula>0</formula>
    </cfRule>
  </conditionalFormatting>
  <conditionalFormatting sqref="F899">
    <cfRule type="cellIs" dxfId="4" priority="424" operator="equal">
      <formula>"/"</formula>
    </cfRule>
    <cfRule type="cellIs" dxfId="5" priority="425" operator="equal">
      <formula>0</formula>
    </cfRule>
  </conditionalFormatting>
  <conditionalFormatting sqref="D900">
    <cfRule type="cellIs" dxfId="1" priority="291" operator="equal">
      <formula>"等款"</formula>
    </cfRule>
    <cfRule type="cellIs" dxfId="2" priority="292" operator="equal">
      <formula>"单据"</formula>
    </cfRule>
    <cfRule type="cellIs" dxfId="3" priority="293" operator="equal">
      <formula>"发货"</formula>
    </cfRule>
  </conditionalFormatting>
  <conditionalFormatting sqref="F900">
    <cfRule type="cellIs" dxfId="4" priority="289" operator="equal">
      <formula>"/"</formula>
    </cfRule>
    <cfRule type="cellIs" dxfId="5" priority="290" operator="equal">
      <formula>0</formula>
    </cfRule>
  </conditionalFormatting>
  <conditionalFormatting sqref="F901">
    <cfRule type="cellIs" dxfId="4" priority="380" operator="equal">
      <formula>"/"</formula>
    </cfRule>
    <cfRule type="cellIs" dxfId="5" priority="381" operator="equal">
      <formula>0</formula>
    </cfRule>
  </conditionalFormatting>
  <conditionalFormatting sqref="F902">
    <cfRule type="cellIs" dxfId="4" priority="362" operator="equal">
      <formula>"/"</formula>
    </cfRule>
    <cfRule type="cellIs" dxfId="5" priority="363" operator="equal">
      <formula>0</formula>
    </cfRule>
  </conditionalFormatting>
  <conditionalFormatting sqref="F903">
    <cfRule type="cellIs" dxfId="4" priority="358" operator="equal">
      <formula>"/"</formula>
    </cfRule>
    <cfRule type="cellIs" dxfId="5" priority="359" operator="equal">
      <formula>0</formula>
    </cfRule>
  </conditionalFormatting>
  <conditionalFormatting sqref="D906">
    <cfRule type="cellIs" dxfId="1" priority="284" operator="equal">
      <formula>"等款"</formula>
    </cfRule>
    <cfRule type="cellIs" dxfId="2" priority="285" operator="equal">
      <formula>"单据"</formula>
    </cfRule>
    <cfRule type="cellIs" dxfId="3" priority="286" operator="equal">
      <formula>"发货"</formula>
    </cfRule>
  </conditionalFormatting>
  <conditionalFormatting sqref="F906">
    <cfRule type="cellIs" dxfId="4" priority="282" operator="equal">
      <formula>"/"</formula>
    </cfRule>
    <cfRule type="cellIs" dxfId="5" priority="283" operator="equal">
      <formula>0</formula>
    </cfRule>
  </conditionalFormatting>
  <conditionalFormatting sqref="D907">
    <cfRule type="cellIs" dxfId="1" priority="218" operator="equal">
      <formula>"等款"</formula>
    </cfRule>
    <cfRule type="cellIs" dxfId="2" priority="219" operator="equal">
      <formula>"单据"</formula>
    </cfRule>
    <cfRule type="cellIs" dxfId="3" priority="220" operator="equal">
      <formula>"发货"</formula>
    </cfRule>
  </conditionalFormatting>
  <conditionalFormatting sqref="F907">
    <cfRule type="cellIs" dxfId="4" priority="216" operator="equal">
      <formula>"/"</formula>
    </cfRule>
    <cfRule type="cellIs" dxfId="5" priority="217" operator="equal">
      <formula>0</formula>
    </cfRule>
  </conditionalFormatting>
  <conditionalFormatting sqref="F908">
    <cfRule type="cellIs" dxfId="4" priority="332" operator="equal">
      <formula>"/"</formula>
    </cfRule>
    <cfRule type="cellIs" dxfId="5" priority="333" operator="equal">
      <formula>0</formula>
    </cfRule>
  </conditionalFormatting>
  <conditionalFormatting sqref="F909">
    <cfRule type="cellIs" dxfId="4" priority="310" operator="equal">
      <formula>"/"</formula>
    </cfRule>
    <cfRule type="cellIs" dxfId="5" priority="311" operator="equal">
      <formula>0</formula>
    </cfRule>
  </conditionalFormatting>
  <conditionalFormatting sqref="F910">
    <cfRule type="cellIs" dxfId="4" priority="312" operator="equal">
      <formula>"/"</formula>
    </cfRule>
    <cfRule type="cellIs" dxfId="5" priority="313" operator="equal">
      <formula>0</formula>
    </cfRule>
  </conditionalFormatting>
  <conditionalFormatting sqref="F911">
    <cfRule type="cellIs" dxfId="4" priority="287" operator="equal">
      <formula>"/"</formula>
    </cfRule>
    <cfRule type="cellIs" dxfId="5" priority="288" operator="equal">
      <formula>0</formula>
    </cfRule>
  </conditionalFormatting>
  <conditionalFormatting sqref="F912">
    <cfRule type="cellIs" dxfId="4" priority="223" operator="equal">
      <formula>"/"</formula>
    </cfRule>
    <cfRule type="cellIs" dxfId="5" priority="224" operator="equal">
      <formula>0</formula>
    </cfRule>
  </conditionalFormatting>
  <conditionalFormatting sqref="D915">
    <cfRule type="cellIs" dxfId="1" priority="64" operator="equal">
      <formula>"等款"</formula>
    </cfRule>
    <cfRule type="cellIs" dxfId="2" priority="65" operator="equal">
      <formula>"单据"</formula>
    </cfRule>
    <cfRule type="cellIs" dxfId="3" priority="66" operator="equal">
      <formula>"发货"</formula>
    </cfRule>
  </conditionalFormatting>
  <conditionalFormatting sqref="F915">
    <cfRule type="cellIs" dxfId="4" priority="62" operator="equal">
      <formula>"/"</formula>
    </cfRule>
    <cfRule type="cellIs" dxfId="5" priority="63" operator="equal">
      <formula>0</formula>
    </cfRule>
  </conditionalFormatting>
  <conditionalFormatting sqref="F916">
    <cfRule type="cellIs" dxfId="4" priority="199" operator="equal">
      <formula>"/"</formula>
    </cfRule>
    <cfRule type="cellIs" dxfId="5" priority="200" operator="equal">
      <formula>0</formula>
    </cfRule>
  </conditionalFormatting>
  <conditionalFormatting sqref="F917">
    <cfRule type="cellIs" dxfId="4" priority="189" operator="equal">
      <formula>"/"</formula>
    </cfRule>
    <cfRule type="cellIs" dxfId="5" priority="190" operator="equal">
      <formula>0</formula>
    </cfRule>
  </conditionalFormatting>
  <conditionalFormatting sqref="F918">
    <cfRule type="cellIs" dxfId="4" priority="158" operator="equal">
      <formula>"/"</formula>
    </cfRule>
    <cfRule type="cellIs" dxfId="5" priority="159" operator="equal">
      <formula>0</formula>
    </cfRule>
  </conditionalFormatting>
  <conditionalFormatting sqref="F919">
    <cfRule type="cellIs" dxfId="4" priority="156" operator="equal">
      <formula>"/"</formula>
    </cfRule>
    <cfRule type="cellIs" dxfId="5" priority="157" operator="equal">
      <formula>0</formula>
    </cfRule>
  </conditionalFormatting>
  <conditionalFormatting sqref="F920">
    <cfRule type="cellIs" dxfId="4" priority="154" operator="equal">
      <formula>"/"</formula>
    </cfRule>
    <cfRule type="cellIs" dxfId="5" priority="155" operator="equal">
      <formula>0</formula>
    </cfRule>
  </conditionalFormatting>
  <conditionalFormatting sqref="F921">
    <cfRule type="cellIs" dxfId="4" priority="152" operator="equal">
      <formula>"/"</formula>
    </cfRule>
    <cfRule type="cellIs" dxfId="5" priority="153" operator="equal">
      <formula>0</formula>
    </cfRule>
  </conditionalFormatting>
  <conditionalFormatting sqref="F922">
    <cfRule type="cellIs" dxfId="4" priority="138" operator="equal">
      <formula>"/"</formula>
    </cfRule>
    <cfRule type="cellIs" dxfId="5" priority="139" operator="equal">
      <formula>0</formula>
    </cfRule>
  </conditionalFormatting>
  <conditionalFormatting sqref="F923">
    <cfRule type="cellIs" dxfId="4" priority="130" operator="equal">
      <formula>"/"</formula>
    </cfRule>
    <cfRule type="cellIs" dxfId="5" priority="131" operator="equal">
      <formula>0</formula>
    </cfRule>
  </conditionalFormatting>
  <conditionalFormatting sqref="F924">
    <cfRule type="cellIs" dxfId="4" priority="114" operator="equal">
      <formula>"/"</formula>
    </cfRule>
    <cfRule type="cellIs" dxfId="5" priority="115" operator="equal">
      <formula>0</formula>
    </cfRule>
  </conditionalFormatting>
  <conditionalFormatting sqref="D925">
    <cfRule type="cellIs" dxfId="1" priority="29" operator="equal">
      <formula>"等款"</formula>
    </cfRule>
    <cfRule type="cellIs" dxfId="2" priority="30" operator="equal">
      <formula>"单据"</formula>
    </cfRule>
    <cfRule type="cellIs" dxfId="3" priority="31" operator="equal">
      <formula>"发货"</formula>
    </cfRule>
  </conditionalFormatting>
  <conditionalFormatting sqref="F925">
    <cfRule type="cellIs" dxfId="4" priority="27" operator="equal">
      <formula>"/"</formula>
    </cfRule>
    <cfRule type="cellIs" dxfId="5" priority="28" operator="equal">
      <formula>0</formula>
    </cfRule>
  </conditionalFormatting>
  <conditionalFormatting sqref="F926">
    <cfRule type="cellIs" dxfId="4" priority="82" operator="equal">
      <formula>"/"</formula>
    </cfRule>
    <cfRule type="cellIs" dxfId="5" priority="83" operator="equal">
      <formula>0</formula>
    </cfRule>
  </conditionalFormatting>
  <conditionalFormatting sqref="F927">
    <cfRule type="cellIs" dxfId="4" priority="80" operator="equal">
      <formula>"/"</formula>
    </cfRule>
    <cfRule type="cellIs" dxfId="5" priority="81" operator="equal">
      <formula>0</formula>
    </cfRule>
  </conditionalFormatting>
  <conditionalFormatting sqref="D928">
    <cfRule type="cellIs" dxfId="1" priority="22" operator="equal">
      <formula>"等款"</formula>
    </cfRule>
    <cfRule type="cellIs" dxfId="2" priority="23" operator="equal">
      <formula>"单据"</formula>
    </cfRule>
    <cfRule type="cellIs" dxfId="3" priority="24" operator="equal">
      <formula>"发货"</formula>
    </cfRule>
  </conditionalFormatting>
  <conditionalFormatting sqref="F928">
    <cfRule type="cellIs" dxfId="4" priority="20" operator="equal">
      <formula>"/"</formula>
    </cfRule>
    <cfRule type="cellIs" dxfId="5" priority="21" operator="equal">
      <formula>0</formula>
    </cfRule>
  </conditionalFormatting>
  <conditionalFormatting sqref="F929">
    <cfRule type="cellIs" dxfId="4" priority="116" operator="equal">
      <formula>"/"</formula>
    </cfRule>
    <cfRule type="cellIs" dxfId="5" priority="117" operator="equal">
      <formula>0</formula>
    </cfRule>
  </conditionalFormatting>
  <conditionalFormatting sqref="F930">
    <cfRule type="cellIs" dxfId="4" priority="25" operator="equal">
      <formula>"/"</formula>
    </cfRule>
    <cfRule type="cellIs" dxfId="5" priority="26" operator="equal">
      <formula>0</formula>
    </cfRule>
  </conditionalFormatting>
  <conditionalFormatting sqref="F931">
    <cfRule type="cellIs" dxfId="4" priority="209" operator="equal">
      <formula>"/"</formula>
    </cfRule>
    <cfRule type="cellIs" dxfId="5" priority="210" operator="equal">
      <formula>0</formula>
    </cfRule>
  </conditionalFormatting>
  <conditionalFormatting sqref="R931">
    <cfRule type="cellIs" dxfId="0" priority="1410" operator="equal">
      <formula>0</formula>
    </cfRule>
  </conditionalFormatting>
  <conditionalFormatting sqref="R935">
    <cfRule type="cellIs" dxfId="0" priority="1427" operator="equal">
      <formula>0</formula>
    </cfRule>
  </conditionalFormatting>
  <conditionalFormatting sqref="F936">
    <cfRule type="cellIs" dxfId="4" priority="1559" operator="equal">
      <formula>"/"</formula>
    </cfRule>
    <cfRule type="cellIs" dxfId="5" priority="1560" operator="equal">
      <formula>0</formula>
    </cfRule>
  </conditionalFormatting>
  <conditionalFormatting sqref="R938">
    <cfRule type="cellIs" dxfId="0" priority="1425" operator="equal">
      <formula>0</formula>
    </cfRule>
  </conditionalFormatting>
  <conditionalFormatting sqref="R939">
    <cfRule type="cellIs" dxfId="0" priority="1424" operator="equal">
      <formula>0</formula>
    </cfRule>
  </conditionalFormatting>
  <conditionalFormatting sqref="R973">
    <cfRule type="cellIs" dxfId="0" priority="1432" operator="equal">
      <formula>0</formula>
    </cfRule>
  </conditionalFormatting>
  <conditionalFormatting sqref="R980">
    <cfRule type="cellIs" dxfId="0" priority="1434" operator="equal">
      <formula>0</formula>
    </cfRule>
  </conditionalFormatting>
  <conditionalFormatting sqref="R984">
    <cfRule type="cellIs" dxfId="0" priority="1442" operator="equal">
      <formula>0</formula>
    </cfRule>
  </conditionalFormatting>
  <conditionalFormatting sqref="R985">
    <cfRule type="cellIs" dxfId="0" priority="1441" operator="equal">
      <formula>0</formula>
    </cfRule>
  </conditionalFormatting>
  <conditionalFormatting sqref="D987">
    <cfRule type="cellIs" dxfId="1" priority="1092" operator="equal">
      <formula>"等款"</formula>
    </cfRule>
    <cfRule type="cellIs" dxfId="2" priority="1093" operator="equal">
      <formula>"单据"</formula>
    </cfRule>
    <cfRule type="cellIs" dxfId="3" priority="1094" operator="equal">
      <formula>"发货"</formula>
    </cfRule>
  </conditionalFormatting>
  <conditionalFormatting sqref="F987">
    <cfRule type="cellIs" dxfId="4" priority="1090" operator="equal">
      <formula>"/"</formula>
    </cfRule>
    <cfRule type="cellIs" dxfId="5" priority="1091" operator="equal">
      <formula>0</formula>
    </cfRule>
  </conditionalFormatting>
  <conditionalFormatting sqref="D988">
    <cfRule type="cellIs" dxfId="1" priority="1127" operator="equal">
      <formula>"等款"</formula>
    </cfRule>
    <cfRule type="cellIs" dxfId="2" priority="1128" operator="equal">
      <formula>"单据"</formula>
    </cfRule>
    <cfRule type="cellIs" dxfId="3" priority="1129" operator="equal">
      <formula>"发货"</formula>
    </cfRule>
  </conditionalFormatting>
  <conditionalFormatting sqref="F988">
    <cfRule type="cellIs" dxfId="4" priority="1125" operator="equal">
      <formula>"/"</formula>
    </cfRule>
    <cfRule type="cellIs" dxfId="5" priority="1126" operator="equal">
      <formula>0</formula>
    </cfRule>
  </conditionalFormatting>
  <conditionalFormatting sqref="R989">
    <cfRule type="cellIs" dxfId="0" priority="1439" operator="equal">
      <formula>0</formula>
    </cfRule>
  </conditionalFormatting>
  <conditionalFormatting sqref="R990">
    <cfRule type="cellIs" dxfId="0" priority="1438" operator="equal">
      <formula>0</formula>
    </cfRule>
  </conditionalFormatting>
  <conditionalFormatting sqref="R991">
    <cfRule type="cellIs" dxfId="0" priority="1437" operator="equal">
      <formula>0</formula>
    </cfRule>
  </conditionalFormatting>
  <conditionalFormatting sqref="D996">
    <cfRule type="cellIs" dxfId="1" priority="1111" operator="equal">
      <formula>"等款"</formula>
    </cfRule>
    <cfRule type="cellIs" dxfId="2" priority="1112" operator="equal">
      <formula>"单据"</formula>
    </cfRule>
    <cfRule type="cellIs" dxfId="3" priority="1113" operator="equal">
      <formula>"发货"</formula>
    </cfRule>
  </conditionalFormatting>
  <conditionalFormatting sqref="F996">
    <cfRule type="cellIs" dxfId="4" priority="1109" operator="equal">
      <formula>"/"</formula>
    </cfRule>
    <cfRule type="cellIs" dxfId="5" priority="1110" operator="equal">
      <formula>0</formula>
    </cfRule>
  </conditionalFormatting>
  <conditionalFormatting sqref="D1006">
    <cfRule type="cellIs" dxfId="1" priority="1044" operator="equal">
      <formula>"等款"</formula>
    </cfRule>
    <cfRule type="cellIs" dxfId="2" priority="1045" operator="equal">
      <formula>"单据"</formula>
    </cfRule>
    <cfRule type="cellIs" dxfId="3" priority="1046" operator="equal">
      <formula>"发货"</formula>
    </cfRule>
  </conditionalFormatting>
  <conditionalFormatting sqref="F1006">
    <cfRule type="cellIs" dxfId="4" priority="1042" operator="equal">
      <formula>"/"</formula>
    </cfRule>
    <cfRule type="cellIs" dxfId="5" priority="1043" operator="equal">
      <formula>0</formula>
    </cfRule>
  </conditionalFormatting>
  <conditionalFormatting sqref="F1010">
    <cfRule type="cellIs" dxfId="4" priority="1037" operator="equal">
      <formula>"/"</formula>
    </cfRule>
    <cfRule type="cellIs" dxfId="5" priority="1038" operator="equal">
      <formula>0</formula>
    </cfRule>
  </conditionalFormatting>
  <conditionalFormatting sqref="T1012">
    <cfRule type="cellIs" dxfId="6" priority="1012" operator="equal">
      <formula>0</formula>
    </cfRule>
  </conditionalFormatting>
  <conditionalFormatting sqref="F1013">
    <cfRule type="cellIs" dxfId="4" priority="1020" operator="equal">
      <formula>"/"</formula>
    </cfRule>
    <cfRule type="cellIs" dxfId="5" priority="1021" operator="equal">
      <formula>0</formula>
    </cfRule>
  </conditionalFormatting>
  <conditionalFormatting sqref="F1014">
    <cfRule type="cellIs" dxfId="4" priority="1018" operator="equal">
      <formula>"/"</formula>
    </cfRule>
    <cfRule type="cellIs" dxfId="5" priority="1019" operator="equal">
      <formula>0</formula>
    </cfRule>
  </conditionalFormatting>
  <conditionalFormatting sqref="F1015">
    <cfRule type="cellIs" dxfId="4" priority="1016" operator="equal">
      <formula>"/"</formula>
    </cfRule>
    <cfRule type="cellIs" dxfId="5" priority="1017" operator="equal">
      <formula>0</formula>
    </cfRule>
  </conditionalFormatting>
  <conditionalFormatting sqref="F1016">
    <cfRule type="cellIs" dxfId="4" priority="1013" operator="equal">
      <formula>"/"</formula>
    </cfRule>
    <cfRule type="cellIs" dxfId="5" priority="1014" operator="equal">
      <formula>0</formula>
    </cfRule>
  </conditionalFormatting>
  <conditionalFormatting sqref="F1017">
    <cfRule type="cellIs" dxfId="4" priority="1010" operator="equal">
      <formula>"/"</formula>
    </cfRule>
    <cfRule type="cellIs" dxfId="5" priority="1011" operator="equal">
      <formula>0</formula>
    </cfRule>
  </conditionalFormatting>
  <conditionalFormatting sqref="F1020">
    <cfRule type="cellIs" dxfId="4" priority="989" operator="equal">
      <formula>"/"</formula>
    </cfRule>
    <cfRule type="cellIs" dxfId="5" priority="990" operator="equal">
      <formula>0</formula>
    </cfRule>
  </conditionalFormatting>
  <conditionalFormatting sqref="F1021">
    <cfRule type="cellIs" dxfId="4" priority="987" operator="equal">
      <formula>"/"</formula>
    </cfRule>
    <cfRule type="cellIs" dxfId="5" priority="988" operator="equal">
      <formula>0</formula>
    </cfRule>
  </conditionalFormatting>
  <conditionalFormatting sqref="F1022">
    <cfRule type="cellIs" dxfId="4" priority="985" operator="equal">
      <formula>"/"</formula>
    </cfRule>
    <cfRule type="cellIs" dxfId="5" priority="986" operator="equal">
      <formula>0</formula>
    </cfRule>
  </conditionalFormatting>
  <conditionalFormatting sqref="F1023">
    <cfRule type="cellIs" dxfId="4" priority="983" operator="equal">
      <formula>"/"</formula>
    </cfRule>
    <cfRule type="cellIs" dxfId="5" priority="984" operator="equal">
      <formula>0</formula>
    </cfRule>
  </conditionalFormatting>
  <conditionalFormatting sqref="F1024">
    <cfRule type="cellIs" dxfId="4" priority="980" operator="equal">
      <formula>"/"</formula>
    </cfRule>
    <cfRule type="cellIs" dxfId="5" priority="981" operator="equal">
      <formula>0</formula>
    </cfRule>
  </conditionalFormatting>
  <conditionalFormatting sqref="F1025">
    <cfRule type="cellIs" dxfId="4" priority="978" operator="equal">
      <formula>"/"</formula>
    </cfRule>
    <cfRule type="cellIs" dxfId="5" priority="979" operator="equal">
      <formula>0</formula>
    </cfRule>
  </conditionalFormatting>
  <conditionalFormatting sqref="F1026">
    <cfRule type="cellIs" dxfId="4" priority="976" operator="equal">
      <formula>"/"</formula>
    </cfRule>
    <cfRule type="cellIs" dxfId="5" priority="977" operator="equal">
      <formula>0</formula>
    </cfRule>
  </conditionalFormatting>
  <conditionalFormatting sqref="F1027">
    <cfRule type="cellIs" dxfId="4" priority="929" operator="equal">
      <formula>"/"</formula>
    </cfRule>
    <cfRule type="cellIs" dxfId="5" priority="930" operator="equal">
      <formula>0</formula>
    </cfRule>
  </conditionalFormatting>
  <conditionalFormatting sqref="F1028">
    <cfRule type="cellIs" dxfId="4" priority="963" operator="equal">
      <formula>"/"</formula>
    </cfRule>
    <cfRule type="cellIs" dxfId="5" priority="964" operator="equal">
      <formula>0</formula>
    </cfRule>
  </conditionalFormatting>
  <conditionalFormatting sqref="F1029">
    <cfRule type="cellIs" dxfId="4" priority="961" operator="equal">
      <formula>"/"</formula>
    </cfRule>
    <cfRule type="cellIs" dxfId="5" priority="962" operator="equal">
      <formula>0</formula>
    </cfRule>
  </conditionalFormatting>
  <conditionalFormatting sqref="F1030">
    <cfRule type="cellIs" dxfId="4" priority="959" operator="equal">
      <formula>"/"</formula>
    </cfRule>
    <cfRule type="cellIs" dxfId="5" priority="960" operator="equal">
      <formula>0</formula>
    </cfRule>
  </conditionalFormatting>
  <conditionalFormatting sqref="F1031">
    <cfRule type="cellIs" dxfId="4" priority="954" operator="equal">
      <formula>"/"</formula>
    </cfRule>
    <cfRule type="cellIs" dxfId="5" priority="955" operator="equal">
      <formula>0</formula>
    </cfRule>
  </conditionalFormatting>
  <conditionalFormatting sqref="D1032">
    <cfRule type="cellIs" dxfId="1" priority="901" operator="equal">
      <formula>"等款"</formula>
    </cfRule>
    <cfRule type="cellIs" dxfId="2" priority="902" operator="equal">
      <formula>"单据"</formula>
    </cfRule>
    <cfRule type="cellIs" dxfId="3" priority="903" operator="equal">
      <formula>"发货"</formula>
    </cfRule>
  </conditionalFormatting>
  <conditionalFormatting sqref="F1032">
    <cfRule type="cellIs" dxfId="4" priority="899" operator="equal">
      <formula>"/"</formula>
    </cfRule>
    <cfRule type="cellIs" dxfId="5" priority="900" operator="equal">
      <formula>0</formula>
    </cfRule>
  </conditionalFormatting>
  <conditionalFormatting sqref="F1033">
    <cfRule type="cellIs" dxfId="4" priority="940" operator="equal">
      <formula>"/"</formula>
    </cfRule>
    <cfRule type="cellIs" dxfId="5" priority="941" operator="equal">
      <formula>0</formula>
    </cfRule>
  </conditionalFormatting>
  <conditionalFormatting sqref="F1034">
    <cfRule type="cellIs" dxfId="4" priority="933" operator="equal">
      <formula>"/"</formula>
    </cfRule>
    <cfRule type="cellIs" dxfId="5" priority="934" operator="equal">
      <formula>0</formula>
    </cfRule>
  </conditionalFormatting>
  <conditionalFormatting sqref="F1035">
    <cfRule type="cellIs" dxfId="4" priority="931" operator="equal">
      <formula>"/"</formula>
    </cfRule>
    <cfRule type="cellIs" dxfId="5" priority="932" operator="equal">
      <formula>0</formula>
    </cfRule>
  </conditionalFormatting>
  <conditionalFormatting sqref="F1036">
    <cfRule type="cellIs" dxfId="4" priority="927" operator="equal">
      <formula>"/"</formula>
    </cfRule>
    <cfRule type="cellIs" dxfId="5" priority="928" operator="equal">
      <formula>0</formula>
    </cfRule>
  </conditionalFormatting>
  <conditionalFormatting sqref="T1036">
    <cfRule type="cellIs" dxfId="0" priority="758" operator="equal">
      <formula>0</formula>
    </cfRule>
  </conditionalFormatting>
  <conditionalFormatting sqref="F1037">
    <cfRule type="cellIs" dxfId="4" priority="910" operator="equal">
      <formula>"/"</formula>
    </cfRule>
    <cfRule type="cellIs" dxfId="5" priority="911" operator="equal">
      <formula>0</formula>
    </cfRule>
  </conditionalFormatting>
  <conditionalFormatting sqref="F1038">
    <cfRule type="cellIs" dxfId="4" priority="889" operator="equal">
      <formula>"/"</formula>
    </cfRule>
    <cfRule type="cellIs" dxfId="5" priority="890" operator="equal">
      <formula>0</formula>
    </cfRule>
  </conditionalFormatting>
  <conditionalFormatting sqref="F1039">
    <cfRule type="cellIs" dxfId="4" priority="878" operator="equal">
      <formula>"/"</formula>
    </cfRule>
    <cfRule type="cellIs" dxfId="5" priority="879" operator="equal">
      <formula>0</formula>
    </cfRule>
  </conditionalFormatting>
  <conditionalFormatting sqref="D1040">
    <cfRule type="cellIs" dxfId="1" priority="688" operator="equal">
      <formula>"等款"</formula>
    </cfRule>
    <cfRule type="cellIs" dxfId="2" priority="689" operator="equal">
      <formula>"单据"</formula>
    </cfRule>
    <cfRule type="cellIs" dxfId="3" priority="690" operator="equal">
      <formula>"发货"</formula>
    </cfRule>
  </conditionalFormatting>
  <conditionalFormatting sqref="F1040">
    <cfRule type="cellIs" dxfId="4" priority="686" operator="equal">
      <formula>"/"</formula>
    </cfRule>
    <cfRule type="cellIs" dxfId="5" priority="687" operator="equal">
      <formula>0</formula>
    </cfRule>
  </conditionalFormatting>
  <conditionalFormatting sqref="D1041">
    <cfRule type="cellIs" dxfId="1" priority="785" operator="equal">
      <formula>"等款"</formula>
    </cfRule>
    <cfRule type="cellIs" dxfId="2" priority="786" operator="equal">
      <formula>"单据"</formula>
    </cfRule>
    <cfRule type="cellIs" dxfId="3" priority="787" operator="equal">
      <formula>"发货"</formula>
    </cfRule>
  </conditionalFormatting>
  <conditionalFormatting sqref="F1041">
    <cfRule type="cellIs" dxfId="4" priority="783" operator="equal">
      <formula>"/"</formula>
    </cfRule>
    <cfRule type="cellIs" dxfId="5" priority="784" operator="equal">
      <formula>0</formula>
    </cfRule>
  </conditionalFormatting>
  <conditionalFormatting sqref="F1042">
    <cfRule type="cellIs" dxfId="4" priority="862" operator="equal">
      <formula>"/"</formula>
    </cfRule>
    <cfRule type="cellIs" dxfId="5" priority="863" operator="equal">
      <formula>0</formula>
    </cfRule>
  </conditionalFormatting>
  <conditionalFormatting sqref="F1043">
    <cfRule type="cellIs" dxfId="4" priority="856" operator="equal">
      <formula>"/"</formula>
    </cfRule>
    <cfRule type="cellIs" dxfId="5" priority="857" operator="equal">
      <formula>0</formula>
    </cfRule>
  </conditionalFormatting>
  <conditionalFormatting sqref="F1044">
    <cfRule type="cellIs" dxfId="4" priority="850" operator="equal">
      <formula>"/"</formula>
    </cfRule>
    <cfRule type="cellIs" dxfId="5" priority="851" operator="equal">
      <formula>0</formula>
    </cfRule>
  </conditionalFormatting>
  <conditionalFormatting sqref="F1045">
    <cfRule type="cellIs" dxfId="4" priority="836" operator="equal">
      <formula>"/"</formula>
    </cfRule>
    <cfRule type="cellIs" dxfId="5" priority="837" operator="equal">
      <formula>0</formula>
    </cfRule>
  </conditionalFormatting>
  <conditionalFormatting sqref="F1046">
    <cfRule type="cellIs" dxfId="4" priority="834" operator="equal">
      <formula>"/"</formula>
    </cfRule>
    <cfRule type="cellIs" dxfId="5" priority="835" operator="equal">
      <formula>0</formula>
    </cfRule>
  </conditionalFormatting>
  <conditionalFormatting sqref="F1047">
    <cfRule type="cellIs" dxfId="4" priority="815" operator="equal">
      <formula>"/"</formula>
    </cfRule>
    <cfRule type="cellIs" dxfId="5" priority="816" operator="equal">
      <formula>0</formula>
    </cfRule>
  </conditionalFormatting>
  <conditionalFormatting sqref="F1048">
    <cfRule type="cellIs" dxfId="4" priority="813" operator="equal">
      <formula>"/"</formula>
    </cfRule>
    <cfRule type="cellIs" dxfId="5" priority="814" operator="equal">
      <formula>0</formula>
    </cfRule>
  </conditionalFormatting>
  <conditionalFormatting sqref="F1049">
    <cfRule type="cellIs" dxfId="4" priority="810" operator="equal">
      <formula>"/"</formula>
    </cfRule>
    <cfRule type="cellIs" dxfId="5" priority="811" operator="equal">
      <formula>0</formula>
    </cfRule>
  </conditionalFormatting>
  <conditionalFormatting sqref="D1050">
    <cfRule type="cellIs" dxfId="1" priority="736" operator="equal">
      <formula>"等款"</formula>
    </cfRule>
    <cfRule type="cellIs" dxfId="2" priority="737" operator="equal">
      <formula>"单据"</formula>
    </cfRule>
    <cfRule type="cellIs" dxfId="3" priority="738" operator="equal">
      <formula>"发货"</formula>
    </cfRule>
  </conditionalFormatting>
  <conditionalFormatting sqref="F1050">
    <cfRule type="cellIs" dxfId="4" priority="734" operator="equal">
      <formula>"/"</formula>
    </cfRule>
    <cfRule type="cellIs" dxfId="5" priority="735" operator="equal">
      <formula>0</formula>
    </cfRule>
  </conditionalFormatting>
  <conditionalFormatting sqref="F1055">
    <cfRule type="cellIs" dxfId="4" priority="761" operator="equal">
      <formula>"/"</formula>
    </cfRule>
    <cfRule type="cellIs" dxfId="5" priority="762" operator="equal">
      <formula>0</formula>
    </cfRule>
  </conditionalFormatting>
  <conditionalFormatting sqref="F1056">
    <cfRule type="cellIs" dxfId="4" priority="753" operator="equal">
      <formula>"/"</formula>
    </cfRule>
    <cfRule type="cellIs" dxfId="5" priority="754" operator="equal">
      <formula>0</formula>
    </cfRule>
  </conditionalFormatting>
  <conditionalFormatting sqref="F1057">
    <cfRule type="cellIs" dxfId="4" priority="730" operator="equal">
      <formula>"/"</formula>
    </cfRule>
    <cfRule type="cellIs" dxfId="5" priority="731" operator="equal">
      <formula>0</formula>
    </cfRule>
  </conditionalFormatting>
  <conditionalFormatting sqref="F1058">
    <cfRule type="cellIs" dxfId="4" priority="732" operator="equal">
      <formula>"/"</formula>
    </cfRule>
    <cfRule type="cellIs" dxfId="5" priority="733" operator="equal">
      <formula>0</formula>
    </cfRule>
  </conditionalFormatting>
  <conditionalFormatting sqref="F1059">
    <cfRule type="cellIs" dxfId="4" priority="697" operator="equal">
      <formula>"/"</formula>
    </cfRule>
    <cfRule type="cellIs" dxfId="5" priority="698" operator="equal">
      <formula>0</formula>
    </cfRule>
  </conditionalFormatting>
  <conditionalFormatting sqref="F1060">
    <cfRule type="cellIs" dxfId="4" priority="699" operator="equal">
      <formula>"/"</formula>
    </cfRule>
    <cfRule type="cellIs" dxfId="5" priority="700" operator="equal">
      <formula>0</formula>
    </cfRule>
  </conditionalFormatting>
  <conditionalFormatting sqref="F1061">
    <cfRule type="cellIs" dxfId="4" priority="677" operator="equal">
      <formula>"/"</formula>
    </cfRule>
    <cfRule type="cellIs" dxfId="5" priority="678" operator="equal">
      <formula>0</formula>
    </cfRule>
  </conditionalFormatting>
  <conditionalFormatting sqref="F1062">
    <cfRule type="cellIs" dxfId="4" priority="668" operator="equal">
      <formula>"/"</formula>
    </cfRule>
    <cfRule type="cellIs" dxfId="5" priority="669" operator="equal">
      <formula>0</formula>
    </cfRule>
  </conditionalFormatting>
  <conditionalFormatting sqref="F1063">
    <cfRule type="cellIs" dxfId="4" priority="666" operator="equal">
      <formula>"/"</formula>
    </cfRule>
    <cfRule type="cellIs" dxfId="5" priority="667" operator="equal">
      <formula>0</formula>
    </cfRule>
  </conditionalFormatting>
  <conditionalFormatting sqref="F1064">
    <cfRule type="cellIs" dxfId="4" priority="662" operator="equal">
      <formula>"/"</formula>
    </cfRule>
    <cfRule type="cellIs" dxfId="5" priority="663" operator="equal">
      <formula>0</formula>
    </cfRule>
  </conditionalFormatting>
  <conditionalFormatting sqref="F1065">
    <cfRule type="cellIs" dxfId="4" priority="660" operator="equal">
      <formula>"/"</formula>
    </cfRule>
    <cfRule type="cellIs" dxfId="5" priority="661" operator="equal">
      <formula>0</formula>
    </cfRule>
  </conditionalFormatting>
  <conditionalFormatting sqref="F1066">
    <cfRule type="cellIs" dxfId="4" priority="656" operator="equal">
      <formula>"/"</formula>
    </cfRule>
    <cfRule type="cellIs" dxfId="5" priority="657" operator="equal">
      <formula>0</formula>
    </cfRule>
  </conditionalFormatting>
  <conditionalFormatting sqref="F1067">
    <cfRule type="cellIs" dxfId="4" priority="636" operator="equal">
      <formula>"/"</formula>
    </cfRule>
    <cfRule type="cellIs" dxfId="5" priority="637" operator="equal">
      <formula>0</formula>
    </cfRule>
  </conditionalFormatting>
  <conditionalFormatting sqref="F1068">
    <cfRule type="cellIs" dxfId="4" priority="634" operator="equal">
      <formula>"/"</formula>
    </cfRule>
    <cfRule type="cellIs" dxfId="5" priority="635" operator="equal">
      <formula>0</formula>
    </cfRule>
  </conditionalFormatting>
  <conditionalFormatting sqref="F1069">
    <cfRule type="cellIs" dxfId="4" priority="620" operator="equal">
      <formula>"/"</formula>
    </cfRule>
    <cfRule type="cellIs" dxfId="5" priority="621" operator="equal">
      <formula>0</formula>
    </cfRule>
  </conditionalFormatting>
  <conditionalFormatting sqref="F1070">
    <cfRule type="cellIs" dxfId="4" priority="614" operator="equal">
      <formula>"/"</formula>
    </cfRule>
    <cfRule type="cellIs" dxfId="5" priority="615" operator="equal">
      <formula>0</formula>
    </cfRule>
  </conditionalFormatting>
  <conditionalFormatting sqref="F1071">
    <cfRule type="cellIs" dxfId="4" priority="605" operator="equal">
      <formula>"/"</formula>
    </cfRule>
    <cfRule type="cellIs" dxfId="5" priority="606" operator="equal">
      <formula>0</formula>
    </cfRule>
  </conditionalFormatting>
  <conditionalFormatting sqref="F1072">
    <cfRule type="cellIs" dxfId="4" priority="603" operator="equal">
      <formula>"/"</formula>
    </cfRule>
    <cfRule type="cellIs" dxfId="5" priority="604" operator="equal">
      <formula>0</formula>
    </cfRule>
  </conditionalFormatting>
  <conditionalFormatting sqref="F1075">
    <cfRule type="cellIs" dxfId="4" priority="579" operator="equal">
      <formula>"/"</formula>
    </cfRule>
    <cfRule type="cellIs" dxfId="5" priority="580" operator="equal">
      <formula>0</formula>
    </cfRule>
  </conditionalFormatting>
  <conditionalFormatting sqref="F1076">
    <cfRule type="cellIs" dxfId="4" priority="571" operator="equal">
      <formula>"/"</formula>
    </cfRule>
    <cfRule type="cellIs" dxfId="5" priority="572" operator="equal">
      <formula>0</formula>
    </cfRule>
  </conditionalFormatting>
  <conditionalFormatting sqref="F1077">
    <cfRule type="cellIs" dxfId="4" priority="573" operator="equal">
      <formula>"/"</formula>
    </cfRule>
    <cfRule type="cellIs" dxfId="5" priority="574" operator="equal">
      <formula>0</formula>
    </cfRule>
  </conditionalFormatting>
  <conditionalFormatting sqref="F1078">
    <cfRule type="cellIs" dxfId="4" priority="565" operator="equal">
      <formula>"/"</formula>
    </cfRule>
    <cfRule type="cellIs" dxfId="5" priority="566" operator="equal">
      <formula>0</formula>
    </cfRule>
  </conditionalFormatting>
  <conditionalFormatting sqref="F1079">
    <cfRule type="cellIs" dxfId="4" priority="543" operator="equal">
      <formula>"/"</formula>
    </cfRule>
    <cfRule type="cellIs" dxfId="5" priority="544" operator="equal">
      <formula>0</formula>
    </cfRule>
  </conditionalFormatting>
  <conditionalFormatting sqref="F1080">
    <cfRule type="cellIs" dxfId="4" priority="537" operator="equal">
      <formula>"/"</formula>
    </cfRule>
    <cfRule type="cellIs" dxfId="5" priority="538" operator="equal">
      <formula>0</formula>
    </cfRule>
  </conditionalFormatting>
  <conditionalFormatting sqref="D1081">
    <cfRule type="cellIs" dxfId="1" priority="475" operator="equal">
      <formula>"等款"</formula>
    </cfRule>
    <cfRule type="cellIs" dxfId="2" priority="476" operator="equal">
      <formula>"单据"</formula>
    </cfRule>
    <cfRule type="cellIs" dxfId="3" priority="477" operator="equal">
      <formula>"发货"</formula>
    </cfRule>
  </conditionalFormatting>
  <conditionalFormatting sqref="F1081">
    <cfRule type="cellIs" dxfId="4" priority="473" operator="equal">
      <formula>"/"</formula>
    </cfRule>
    <cfRule type="cellIs" dxfId="5" priority="474" operator="equal">
      <formula>0</formula>
    </cfRule>
  </conditionalFormatting>
  <conditionalFormatting sqref="F1082">
    <cfRule type="cellIs" dxfId="4" priority="478" operator="equal">
      <formula>"/"</formula>
    </cfRule>
    <cfRule type="cellIs" dxfId="5" priority="479" operator="equal">
      <formula>0</formula>
    </cfRule>
  </conditionalFormatting>
  <conditionalFormatting sqref="F1083">
    <cfRule type="cellIs" dxfId="4" priority="480" operator="equal">
      <formula>"/"</formula>
    </cfRule>
    <cfRule type="cellIs" dxfId="5" priority="481" operator="equal">
      <formula>0</formula>
    </cfRule>
  </conditionalFormatting>
  <conditionalFormatting sqref="F1084">
    <cfRule type="cellIs" dxfId="4" priority="469" operator="equal">
      <formula>"/"</formula>
    </cfRule>
    <cfRule type="cellIs" dxfId="5" priority="470" operator="equal">
      <formula>0</formula>
    </cfRule>
  </conditionalFormatting>
  <conditionalFormatting sqref="F1085">
    <cfRule type="cellIs" dxfId="4" priority="467" operator="equal">
      <formula>"/"</formula>
    </cfRule>
    <cfRule type="cellIs" dxfId="5" priority="468" operator="equal">
      <formula>0</formula>
    </cfRule>
  </conditionalFormatting>
  <conditionalFormatting sqref="F1086">
    <cfRule type="cellIs" dxfId="4" priority="463" operator="equal">
      <formula>"/"</formula>
    </cfRule>
    <cfRule type="cellIs" dxfId="5" priority="464" operator="equal">
      <formula>0</formula>
    </cfRule>
  </conditionalFormatting>
  <conditionalFormatting sqref="D1088">
    <cfRule type="cellIs" dxfId="1" priority="336" operator="equal">
      <formula>"等款"</formula>
    </cfRule>
    <cfRule type="cellIs" dxfId="2" priority="337" operator="equal">
      <formula>"单据"</formula>
    </cfRule>
    <cfRule type="cellIs" dxfId="3" priority="338" operator="equal">
      <formula>"发货"</formula>
    </cfRule>
  </conditionalFormatting>
  <conditionalFormatting sqref="F1089">
    <cfRule type="cellIs" dxfId="4" priority="388" operator="equal">
      <formula>"/"</formula>
    </cfRule>
    <cfRule type="cellIs" dxfId="5" priority="389" operator="equal">
      <formula>0</formula>
    </cfRule>
  </conditionalFormatting>
  <conditionalFormatting sqref="F1090">
    <cfRule type="cellIs" dxfId="4" priority="384" operator="equal">
      <formula>"/"</formula>
    </cfRule>
    <cfRule type="cellIs" dxfId="5" priority="385" operator="equal">
      <formula>0</formula>
    </cfRule>
  </conditionalFormatting>
  <conditionalFormatting sqref="F1091">
    <cfRule type="cellIs" dxfId="4" priority="382" operator="equal">
      <formula>"/"</formula>
    </cfRule>
    <cfRule type="cellIs" dxfId="5" priority="383" operator="equal">
      <formula>0</formula>
    </cfRule>
  </conditionalFormatting>
  <conditionalFormatting sqref="F1092">
    <cfRule type="cellIs" dxfId="4" priority="376" operator="equal">
      <formula>"/"</formula>
    </cfRule>
    <cfRule type="cellIs" dxfId="5" priority="377" operator="equal">
      <formula>0</formula>
    </cfRule>
  </conditionalFormatting>
  <conditionalFormatting sqref="F1093">
    <cfRule type="cellIs" dxfId="4" priority="378" operator="equal">
      <formula>"/"</formula>
    </cfRule>
    <cfRule type="cellIs" dxfId="5" priority="379" operator="equal">
      <formula>0</formula>
    </cfRule>
  </conditionalFormatting>
  <conditionalFormatting sqref="F1094">
    <cfRule type="cellIs" dxfId="4" priority="370" operator="equal">
      <formula>"/"</formula>
    </cfRule>
    <cfRule type="cellIs" dxfId="5" priority="371" operator="equal">
      <formula>0</formula>
    </cfRule>
  </conditionalFormatting>
  <conditionalFormatting sqref="F1095">
    <cfRule type="cellIs" dxfId="4" priority="368" operator="equal">
      <formula>"/"</formula>
    </cfRule>
    <cfRule type="cellIs" dxfId="5" priority="369" operator="equal">
      <formula>0</formula>
    </cfRule>
  </conditionalFormatting>
  <conditionalFormatting sqref="F1098">
    <cfRule type="cellIs" dxfId="4" priority="334" operator="equal">
      <formula>"/"</formula>
    </cfRule>
    <cfRule type="cellIs" dxfId="5" priority="335" operator="equal">
      <formula>0</formula>
    </cfRule>
  </conditionalFormatting>
  <conditionalFormatting sqref="F1099">
    <cfRule type="cellIs" dxfId="4" priority="304" operator="equal">
      <formula>"/"</formula>
    </cfRule>
    <cfRule type="cellIs" dxfId="5" priority="305" operator="equal">
      <formula>0</formula>
    </cfRule>
  </conditionalFormatting>
  <conditionalFormatting sqref="F1100">
    <cfRule type="cellIs" dxfId="4" priority="298" operator="equal">
      <formula>"/"</formula>
    </cfRule>
    <cfRule type="cellIs" dxfId="5" priority="299" operator="equal">
      <formula>0</formula>
    </cfRule>
  </conditionalFormatting>
  <conditionalFormatting sqref="F1101">
    <cfRule type="cellIs" dxfId="4" priority="294" operator="equal">
      <formula>"/"</formula>
    </cfRule>
    <cfRule type="cellIs" dxfId="5" priority="295" operator="equal">
      <formula>0</formula>
    </cfRule>
  </conditionalFormatting>
  <conditionalFormatting sqref="F1102">
    <cfRule type="cellIs" dxfId="4" priority="260" operator="equal">
      <formula>"/"</formula>
    </cfRule>
    <cfRule type="cellIs" dxfId="5" priority="261" operator="equal">
      <formula>0</formula>
    </cfRule>
  </conditionalFormatting>
  <conditionalFormatting sqref="D1103">
    <cfRule type="cellIs" dxfId="1" priority="213" operator="equal">
      <formula>"等款"</formula>
    </cfRule>
    <cfRule type="cellIs" dxfId="2" priority="214" operator="equal">
      <formula>"单据"</formula>
    </cfRule>
    <cfRule type="cellIs" dxfId="3" priority="215" operator="equal">
      <formula>"发货"</formula>
    </cfRule>
  </conditionalFormatting>
  <conditionalFormatting sqref="F1103">
    <cfRule type="cellIs" dxfId="4" priority="211" operator="equal">
      <formula>"/"</formula>
    </cfRule>
    <cfRule type="cellIs" dxfId="5" priority="212" operator="equal">
      <formula>0</formula>
    </cfRule>
  </conditionalFormatting>
  <conditionalFormatting sqref="F1104">
    <cfRule type="cellIs" dxfId="4" priority="258" operator="equal">
      <formula>"/"</formula>
    </cfRule>
    <cfRule type="cellIs" dxfId="5" priority="259" operator="equal">
      <formula>0</formula>
    </cfRule>
  </conditionalFormatting>
  <conditionalFormatting sqref="F1107">
    <cfRule type="cellIs" dxfId="4" priority="229" operator="equal">
      <formula>"/"</formula>
    </cfRule>
    <cfRule type="cellIs" dxfId="5" priority="230" operator="equal">
      <formula>0</formula>
    </cfRule>
  </conditionalFormatting>
  <conditionalFormatting sqref="D1108">
    <cfRule type="cellIs" dxfId="1" priority="86" operator="equal">
      <formula>"等款"</formula>
    </cfRule>
    <cfRule type="cellIs" dxfId="2" priority="87" operator="equal">
      <formula>"单据"</formula>
    </cfRule>
    <cfRule type="cellIs" dxfId="3" priority="88" operator="equal">
      <formula>"发货"</formula>
    </cfRule>
  </conditionalFormatting>
  <conditionalFormatting sqref="F1108">
    <cfRule type="cellIs" dxfId="4" priority="84" operator="equal">
      <formula>"/"</formula>
    </cfRule>
    <cfRule type="cellIs" dxfId="5" priority="85" operator="equal">
      <formula>0</formula>
    </cfRule>
  </conditionalFormatting>
  <conditionalFormatting sqref="F1109">
    <cfRule type="cellIs" dxfId="4" priority="227" operator="equal">
      <formula>"/"</formula>
    </cfRule>
    <cfRule type="cellIs" dxfId="5" priority="228" operator="equal">
      <formula>0</formula>
    </cfRule>
  </conditionalFormatting>
  <conditionalFormatting sqref="F1110">
    <cfRule type="cellIs" dxfId="4" priority="225" operator="equal">
      <formula>"/"</formula>
    </cfRule>
    <cfRule type="cellIs" dxfId="5" priority="226" operator="equal">
      <formula>0</formula>
    </cfRule>
  </conditionalFormatting>
  <conditionalFormatting sqref="F1111">
    <cfRule type="cellIs" dxfId="4" priority="205" operator="equal">
      <formula>"/"</formula>
    </cfRule>
    <cfRule type="cellIs" dxfId="5" priority="206" operator="equal">
      <formula>0</formula>
    </cfRule>
  </conditionalFormatting>
  <conditionalFormatting sqref="F1112">
    <cfRule type="cellIs" dxfId="4" priority="195" operator="equal">
      <formula>"/"</formula>
    </cfRule>
    <cfRule type="cellIs" dxfId="5" priority="196" operator="equal">
      <formula>0</formula>
    </cfRule>
  </conditionalFormatting>
  <conditionalFormatting sqref="F1113">
    <cfRule type="cellIs" dxfId="4" priority="193" operator="equal">
      <formula>"/"</formula>
    </cfRule>
    <cfRule type="cellIs" dxfId="5" priority="194" operator="equal">
      <formula>0</formula>
    </cfRule>
  </conditionalFormatting>
  <conditionalFormatting sqref="F1114">
    <cfRule type="cellIs" dxfId="4" priority="191" operator="equal">
      <formula>"/"</formula>
    </cfRule>
    <cfRule type="cellIs" dxfId="5" priority="192" operator="equal">
      <formula>0</formula>
    </cfRule>
  </conditionalFormatting>
  <conditionalFormatting sqref="F1115">
    <cfRule type="cellIs" dxfId="4" priority="185" operator="equal">
      <formula>"/"</formula>
    </cfRule>
    <cfRule type="cellIs" dxfId="5" priority="186" operator="equal">
      <formula>0</formula>
    </cfRule>
  </conditionalFormatting>
  <conditionalFormatting sqref="F1116">
    <cfRule type="cellIs" dxfId="4" priority="183" operator="equal">
      <formula>"/"</formula>
    </cfRule>
    <cfRule type="cellIs" dxfId="5" priority="184" operator="equal">
      <formula>0</formula>
    </cfRule>
  </conditionalFormatting>
  <conditionalFormatting sqref="F1117">
    <cfRule type="cellIs" dxfId="4" priority="72" operator="equal">
      <formula>"/"</formula>
    </cfRule>
    <cfRule type="cellIs" dxfId="5" priority="73" operator="equal">
      <formula>0</formula>
    </cfRule>
  </conditionalFormatting>
  <conditionalFormatting sqref="F1118">
    <cfRule type="cellIs" dxfId="4" priority="150" operator="equal">
      <formula>"/"</formula>
    </cfRule>
    <cfRule type="cellIs" dxfId="5" priority="151" operator="equal">
      <formula>0</formula>
    </cfRule>
  </conditionalFormatting>
  <conditionalFormatting sqref="F1119">
    <cfRule type="cellIs" dxfId="4" priority="146" operator="equal">
      <formula>"/"</formula>
    </cfRule>
    <cfRule type="cellIs" dxfId="5" priority="147" operator="equal">
      <formula>0</formula>
    </cfRule>
  </conditionalFormatting>
  <conditionalFormatting sqref="F1120">
    <cfRule type="cellIs" dxfId="4" priority="148" operator="equal">
      <formula>"/"</formula>
    </cfRule>
    <cfRule type="cellIs" dxfId="5" priority="149" operator="equal">
      <formula>0</formula>
    </cfRule>
  </conditionalFormatting>
  <conditionalFormatting sqref="F1123">
    <cfRule type="cellIs" dxfId="4" priority="134" operator="equal">
      <formula>"/"</formula>
    </cfRule>
    <cfRule type="cellIs" dxfId="5" priority="135" operator="equal">
      <formula>0</formula>
    </cfRule>
  </conditionalFormatting>
  <conditionalFormatting sqref="F1124">
    <cfRule type="cellIs" dxfId="4" priority="110" operator="equal">
      <formula>"/"</formula>
    </cfRule>
    <cfRule type="cellIs" dxfId="5" priority="111" operator="equal">
      <formula>0</formula>
    </cfRule>
  </conditionalFormatting>
  <conditionalFormatting sqref="F1125">
    <cfRule type="cellIs" dxfId="4" priority="93" operator="equal">
      <formula>"/"</formula>
    </cfRule>
    <cfRule type="cellIs" dxfId="5" priority="94" operator="equal">
      <formula>0</formula>
    </cfRule>
  </conditionalFormatting>
  <conditionalFormatting sqref="F1126">
    <cfRule type="cellIs" dxfId="4" priority="89" operator="equal">
      <formula>"/"</formula>
    </cfRule>
    <cfRule type="cellIs" dxfId="5" priority="90" operator="equal">
      <formula>0</formula>
    </cfRule>
  </conditionalFormatting>
  <conditionalFormatting sqref="F1127">
    <cfRule type="cellIs" dxfId="4" priority="112" operator="equal">
      <formula>"/"</formula>
    </cfRule>
    <cfRule type="cellIs" dxfId="5" priority="113" operator="equal">
      <formula>0</formula>
    </cfRule>
  </conditionalFormatting>
  <conditionalFormatting sqref="F1128">
    <cfRule type="cellIs" dxfId="4" priority="14" operator="equal">
      <formula>"/"</formula>
    </cfRule>
    <cfRule type="cellIs" dxfId="5" priority="15" operator="equal">
      <formula>0</formula>
    </cfRule>
  </conditionalFormatting>
  <conditionalFormatting sqref="F1129">
    <cfRule type="cellIs" dxfId="4" priority="12" operator="equal">
      <formula>"/"</formula>
    </cfRule>
    <cfRule type="cellIs" dxfId="5" priority="13" operator="equal">
      <formula>0</formula>
    </cfRule>
  </conditionalFormatting>
  <conditionalFormatting sqref="F1130">
    <cfRule type="cellIs" dxfId="4" priority="10" operator="equal">
      <formula>"/"</formula>
    </cfRule>
    <cfRule type="cellIs" dxfId="5" priority="11" operator="equal">
      <formula>0</formula>
    </cfRule>
  </conditionalFormatting>
  <conditionalFormatting sqref="F1131">
    <cfRule type="cellIs" dxfId="4" priority="187" operator="equal">
      <formula>"/"</formula>
    </cfRule>
    <cfRule type="cellIs" dxfId="5" priority="188" operator="equal">
      <formula>0</formula>
    </cfRule>
  </conditionalFormatting>
  <conditionalFormatting sqref="R1131">
    <cfRule type="cellIs" dxfId="0" priority="1456" operator="equal">
      <formula>0</formula>
    </cfRule>
  </conditionalFormatting>
  <conditionalFormatting sqref="R1132">
    <cfRule type="cellIs" dxfId="0" priority="1455" operator="equal">
      <formula>0</formula>
    </cfRule>
  </conditionalFormatting>
  <conditionalFormatting sqref="R1133">
    <cfRule type="cellIs" dxfId="0" priority="1454" operator="equal">
      <formula>0</formula>
    </cfRule>
  </conditionalFormatting>
  <conditionalFormatting sqref="D1134">
    <cfRule type="cellIs" dxfId="1" priority="1157" operator="equal">
      <formula>"等款"</formula>
    </cfRule>
    <cfRule type="cellIs" dxfId="2" priority="1158" operator="equal">
      <formula>"单据"</formula>
    </cfRule>
    <cfRule type="cellIs" dxfId="3" priority="1159" operator="equal">
      <formula>"发货"</formula>
    </cfRule>
  </conditionalFormatting>
  <conditionalFormatting sqref="F1134">
    <cfRule type="cellIs" dxfId="4" priority="1155" operator="equal">
      <formula>"/"</formula>
    </cfRule>
    <cfRule type="cellIs" dxfId="5" priority="1156" operator="equal">
      <formula>0</formula>
    </cfRule>
  </conditionalFormatting>
  <conditionalFormatting sqref="S1134">
    <cfRule type="cellIs" dxfId="6" priority="1153" operator="equal">
      <formula>0</formula>
    </cfRule>
  </conditionalFormatting>
  <conditionalFormatting sqref="T1137">
    <cfRule type="cellIs" dxfId="0" priority="982" operator="equal">
      <formula>0</formula>
    </cfRule>
  </conditionalFormatting>
  <conditionalFormatting sqref="D1138">
    <cfRule type="cellIs" dxfId="1" priority="1007" operator="equal">
      <formula>"等款"</formula>
    </cfRule>
    <cfRule type="cellIs" dxfId="2" priority="1008" operator="equal">
      <formula>"单据"</formula>
    </cfRule>
    <cfRule type="cellIs" dxfId="3" priority="1009" operator="equal">
      <formula>"发货"</formula>
    </cfRule>
  </conditionalFormatting>
  <conditionalFormatting sqref="F1138">
    <cfRule type="cellIs" dxfId="4" priority="1003" operator="equal">
      <formula>"/"</formula>
    </cfRule>
    <cfRule type="cellIs" dxfId="5" priority="1004" operator="equal">
      <formula>0</formula>
    </cfRule>
  </conditionalFormatting>
  <conditionalFormatting sqref="R1141">
    <cfRule type="cellIs" dxfId="0" priority="1451" operator="equal">
      <formula>0</formula>
    </cfRule>
  </conditionalFormatting>
  <conditionalFormatting sqref="R1142">
    <cfRule type="cellIs" dxfId="0" priority="1450" operator="equal">
      <formula>0</formula>
    </cfRule>
  </conditionalFormatting>
  <conditionalFormatting sqref="F1144">
    <cfRule type="cellIs" dxfId="4" priority="1544" operator="equal">
      <formula>"/"</formula>
    </cfRule>
    <cfRule type="cellIs" dxfId="5" priority="1545" operator="equal">
      <formula>0</formula>
    </cfRule>
  </conditionalFormatting>
  <conditionalFormatting sqref="R1144">
    <cfRule type="cellIs" dxfId="0" priority="1473" operator="equal">
      <formula>0</formula>
    </cfRule>
  </conditionalFormatting>
  <conditionalFormatting sqref="F1145">
    <cfRule type="cellIs" dxfId="4" priority="1546" operator="equal">
      <formula>"/"</formula>
    </cfRule>
    <cfRule type="cellIs" dxfId="5" priority="1547" operator="equal">
      <formula>0</formula>
    </cfRule>
  </conditionalFormatting>
  <conditionalFormatting sqref="R1145">
    <cfRule type="cellIs" dxfId="0" priority="1472" operator="equal">
      <formula>0</formula>
    </cfRule>
  </conditionalFormatting>
  <conditionalFormatting sqref="F1146">
    <cfRule type="cellIs" dxfId="4" priority="1548" operator="equal">
      <formula>"/"</formula>
    </cfRule>
    <cfRule type="cellIs" dxfId="5" priority="1549" operator="equal">
      <formula>0</formula>
    </cfRule>
  </conditionalFormatting>
  <conditionalFormatting sqref="R1146">
    <cfRule type="cellIs" dxfId="0" priority="1471" operator="equal">
      <formula>0</formula>
    </cfRule>
  </conditionalFormatting>
  <conditionalFormatting sqref="F1147">
    <cfRule type="cellIs" dxfId="4" priority="1550" operator="equal">
      <formula>"/"</formula>
    </cfRule>
    <cfRule type="cellIs" dxfId="5" priority="1551" operator="equal">
      <formula>0</formula>
    </cfRule>
  </conditionalFormatting>
  <conditionalFormatting sqref="R1147">
    <cfRule type="cellIs" dxfId="0" priority="1124" operator="equal">
      <formula>0</formula>
    </cfRule>
  </conditionalFormatting>
  <conditionalFormatting sqref="T1147">
    <cfRule type="cellIs" dxfId="0" priority="1055" operator="equal">
      <formula>0</formula>
    </cfRule>
  </conditionalFormatting>
  <conditionalFormatting sqref="F1148">
    <cfRule type="cellIs" dxfId="4" priority="1552" operator="equal">
      <formula>"/"</formula>
    </cfRule>
    <cfRule type="cellIs" dxfId="5" priority="1553" operator="equal">
      <formula>0</formula>
    </cfRule>
  </conditionalFormatting>
  <conditionalFormatting sqref="R1148">
    <cfRule type="cellIs" dxfId="0" priority="1469" operator="equal">
      <formula>0</formula>
    </cfRule>
  </conditionalFormatting>
  <conditionalFormatting sqref="R1149">
    <cfRule type="cellIs" dxfId="0" priority="1468" operator="equal">
      <formula>0</formula>
    </cfRule>
  </conditionalFormatting>
  <conditionalFormatting sqref="R1150">
    <cfRule type="cellIs" dxfId="0" priority="1467" operator="equal">
      <formula>0</formula>
    </cfRule>
  </conditionalFormatting>
  <conditionalFormatting sqref="R1151">
    <cfRule type="cellIs" dxfId="0" priority="1466" operator="equal">
      <formula>0</formula>
    </cfRule>
  </conditionalFormatting>
  <conditionalFormatting sqref="R1174">
    <cfRule type="cellIs" dxfId="0" priority="1191" operator="equal">
      <formula>0</formula>
    </cfRule>
  </conditionalFormatting>
  <conditionalFormatting sqref="R1184">
    <cfRule type="cellIs" dxfId="0" priority="1483" operator="equal">
      <formula>0</formula>
    </cfRule>
  </conditionalFormatting>
  <conditionalFormatting sqref="R1185">
    <cfRule type="cellIs" dxfId="0" priority="1482" operator="equal">
      <formula>0</formula>
    </cfRule>
  </conditionalFormatting>
  <conditionalFormatting sqref="T1203">
    <cfRule type="cellIs" dxfId="0" priority="1161" operator="equal">
      <formula>0</formula>
    </cfRule>
  </conditionalFormatting>
  <conditionalFormatting sqref="T1206">
    <cfRule type="cellIs" dxfId="0" priority="1160" operator="equal">
      <formula>0</formula>
    </cfRule>
  </conditionalFormatting>
  <conditionalFormatting sqref="R1208">
    <cfRule type="cellIs" dxfId="0" priority="1488" operator="equal">
      <formula>0</formula>
    </cfRule>
  </conditionalFormatting>
  <conditionalFormatting sqref="D1212">
    <cfRule type="cellIs" dxfId="1" priority="275" operator="equal">
      <formula>"等款"</formula>
    </cfRule>
    <cfRule type="cellIs" dxfId="2" priority="276" operator="equal">
      <formula>"单据"</formula>
    </cfRule>
    <cfRule type="cellIs" dxfId="3" priority="277" operator="equal">
      <formula>"发货"</formula>
    </cfRule>
  </conditionalFormatting>
  <conditionalFormatting sqref="F1212">
    <cfRule type="cellIs" dxfId="4" priority="273" operator="equal">
      <formula>"/"</formula>
    </cfRule>
    <cfRule type="cellIs" dxfId="5" priority="274" operator="equal">
      <formula>0</formula>
    </cfRule>
  </conditionalFormatting>
  <conditionalFormatting sqref="D247:D271">
    <cfRule type="cellIs" dxfId="1" priority="1585" operator="equal">
      <formula>"等款"</formula>
    </cfRule>
    <cfRule type="cellIs" dxfId="2" priority="1586" operator="equal">
      <formula>"单据"</formula>
    </cfRule>
    <cfRule type="cellIs" dxfId="3" priority="1587" operator="equal">
      <formula>"发货"</formula>
    </cfRule>
  </conditionalFormatting>
  <conditionalFormatting sqref="D306:D310">
    <cfRule type="cellIs" dxfId="1" priority="1130" operator="equal">
      <formula>"等款"</formula>
    </cfRule>
    <cfRule type="cellIs" dxfId="2" priority="1131" operator="equal">
      <formula>"单据"</formula>
    </cfRule>
    <cfRule type="cellIs" dxfId="3" priority="1132" operator="equal">
      <formula>"发货"</formula>
    </cfRule>
  </conditionalFormatting>
  <conditionalFormatting sqref="D526:D555">
    <cfRule type="cellIs" dxfId="1" priority="162" operator="equal">
      <formula>"等款"</formula>
    </cfRule>
    <cfRule type="cellIs" dxfId="2" priority="163" operator="equal">
      <formula>"单据"</formula>
    </cfRule>
    <cfRule type="cellIs" dxfId="3" priority="164" operator="equal">
      <formula>"发货"</formula>
    </cfRule>
  </conditionalFormatting>
  <conditionalFormatting sqref="D602:D603">
    <cfRule type="cellIs" dxfId="1" priority="553" operator="equal">
      <formula>"等款"</formula>
    </cfRule>
    <cfRule type="cellIs" dxfId="2" priority="554" operator="equal">
      <formula>"单据"</formula>
    </cfRule>
    <cfRule type="cellIs" dxfId="3" priority="555" operator="equal">
      <formula>"发货"</formula>
    </cfRule>
  </conditionalFormatting>
  <conditionalFormatting sqref="D604:D607">
    <cfRule type="cellIs" dxfId="1" priority="268" operator="equal">
      <formula>"等款"</formula>
    </cfRule>
    <cfRule type="cellIs" dxfId="2" priority="269" operator="equal">
      <formula>"单据"</formula>
    </cfRule>
    <cfRule type="cellIs" dxfId="3" priority="270" operator="equal">
      <formula>"发货"</formula>
    </cfRule>
  </conditionalFormatting>
  <conditionalFormatting sqref="D838:D839">
    <cfRule type="cellIs" dxfId="1" priority="1121" operator="equal">
      <formula>"等款"</formula>
    </cfRule>
    <cfRule type="cellIs" dxfId="2" priority="1122" operator="equal">
      <formula>"单据"</formula>
    </cfRule>
    <cfRule type="cellIs" dxfId="3" priority="1123" operator="equal">
      <formula>"发货"</formula>
    </cfRule>
  </conditionalFormatting>
  <conditionalFormatting sqref="D840:D845">
    <cfRule type="cellIs" dxfId="1" priority="1563" operator="equal">
      <formula>"等款"</formula>
    </cfRule>
    <cfRule type="cellIs" dxfId="2" priority="1564" operator="equal">
      <formula>"单据"</formula>
    </cfRule>
    <cfRule type="cellIs" dxfId="3" priority="1565" operator="equal">
      <formula>"发货"</formula>
    </cfRule>
  </conditionalFormatting>
  <conditionalFormatting sqref="D994:D995">
    <cfRule type="cellIs" dxfId="1" priority="1135" operator="equal">
      <formula>"等款"</formula>
    </cfRule>
    <cfRule type="cellIs" dxfId="2" priority="1136" operator="equal">
      <formula>"单据"</formula>
    </cfRule>
    <cfRule type="cellIs" dxfId="3" priority="1137" operator="equal">
      <formula>"发货"</formula>
    </cfRule>
  </conditionalFormatting>
  <conditionalFormatting sqref="D1010:D1030">
    <cfRule type="cellIs" dxfId="1" priority="1039" operator="equal">
      <formula>"等款"</formula>
    </cfRule>
    <cfRule type="cellIs" dxfId="2" priority="1040" operator="equal">
      <formula>"单据"</formula>
    </cfRule>
    <cfRule type="cellIs" dxfId="3" priority="1041" operator="equal">
      <formula>"发货"</formula>
    </cfRule>
  </conditionalFormatting>
  <conditionalFormatting sqref="D1053:D1072">
    <cfRule type="cellIs" dxfId="1" priority="773" operator="equal">
      <formula>"等款"</formula>
    </cfRule>
    <cfRule type="cellIs" dxfId="2" priority="774" operator="equal">
      <formula>"单据"</formula>
    </cfRule>
    <cfRule type="cellIs" dxfId="3" priority="775" operator="equal">
      <formula>"发货"</formula>
    </cfRule>
  </conditionalFormatting>
  <conditionalFormatting sqref="D1125:D1126">
    <cfRule type="cellIs" dxfId="1" priority="95" operator="equal">
      <formula>"等款"</formula>
    </cfRule>
    <cfRule type="cellIs" dxfId="2" priority="96" operator="equal">
      <formula>"单据"</formula>
    </cfRule>
    <cfRule type="cellIs" dxfId="3" priority="97" operator="equal">
      <formula>"发货"</formula>
    </cfRule>
  </conditionalFormatting>
  <conditionalFormatting sqref="F394:F395">
    <cfRule type="cellIs" dxfId="4" priority="817" operator="equal">
      <formula>"/"</formula>
    </cfRule>
    <cfRule type="cellIs" dxfId="5" priority="818" operator="equal">
      <formula>0</formula>
    </cfRule>
  </conditionalFormatting>
  <conditionalFormatting sqref="F404:F405">
    <cfRule type="cellIs" dxfId="4" priority="781" operator="equal">
      <formula>"/"</formula>
    </cfRule>
    <cfRule type="cellIs" dxfId="5" priority="782" operator="equal">
      <formula>0</formula>
    </cfRule>
  </conditionalFormatting>
  <conditionalFormatting sqref="F409:F412">
    <cfRule type="cellIs" dxfId="4" priority="739" operator="equal">
      <formula>"/"</formula>
    </cfRule>
    <cfRule type="cellIs" dxfId="5" priority="740" operator="equal">
      <formula>0</formula>
    </cfRule>
  </conditionalFormatting>
  <conditionalFormatting sqref="F472:F473">
    <cfRule type="cellIs" dxfId="4" priority="465" operator="equal">
      <formula>"/"</formula>
    </cfRule>
    <cfRule type="cellIs" dxfId="5" priority="466" operator="equal">
      <formula>0</formula>
    </cfRule>
  </conditionalFormatting>
  <conditionalFormatting sqref="F487:F488">
    <cfRule type="cellIs" dxfId="4" priority="345" operator="equal">
      <formula>"/"</formula>
    </cfRule>
    <cfRule type="cellIs" dxfId="5" priority="346" operator="equal">
      <formula>0</formula>
    </cfRule>
  </conditionalFormatting>
  <conditionalFormatting sqref="F506:F507">
    <cfRule type="cellIs" dxfId="4" priority="250" operator="equal">
      <formula>"/"</formula>
    </cfRule>
    <cfRule type="cellIs" dxfId="5" priority="251" operator="equal">
      <formula>0</formula>
    </cfRule>
  </conditionalFormatting>
  <conditionalFormatting sqref="F513:F515">
    <cfRule type="cellIs" dxfId="4" priority="231" operator="equal">
      <formula>"/"</formula>
    </cfRule>
    <cfRule type="cellIs" dxfId="5" priority="232" operator="equal">
      <formula>0</formula>
    </cfRule>
  </conditionalFormatting>
  <conditionalFormatting sqref="F530:F533">
    <cfRule type="cellIs" dxfId="4" priority="136" operator="equal">
      <formula>"/"</formula>
    </cfRule>
    <cfRule type="cellIs" dxfId="5" priority="137" operator="equal">
      <formula>0</formula>
    </cfRule>
  </conditionalFormatting>
  <conditionalFormatting sqref="F606:F607">
    <cfRule type="cellIs" dxfId="4" priority="106" operator="equal">
      <formula>"/"</formula>
    </cfRule>
    <cfRule type="cellIs" dxfId="5" priority="107" operator="equal">
      <formula>0</formula>
    </cfRule>
  </conditionalFormatting>
  <conditionalFormatting sqref="F837:F838">
    <cfRule type="cellIs" dxfId="4" priority="1566" operator="equal">
      <formula>"/"</formula>
    </cfRule>
    <cfRule type="cellIs" dxfId="5" priority="1567" operator="equal">
      <formula>0</formula>
    </cfRule>
  </conditionalFormatting>
  <conditionalFormatting sqref="F890:F891">
    <cfRule type="cellIs" dxfId="4" priority="535" operator="equal">
      <formula>"/"</formula>
    </cfRule>
    <cfRule type="cellIs" dxfId="5" priority="536" operator="equal">
      <formula>0</formula>
    </cfRule>
  </conditionalFormatting>
  <conditionalFormatting sqref="F897:F898">
    <cfRule type="cellIs" dxfId="4" priority="448" operator="equal">
      <formula>"/"</formula>
    </cfRule>
    <cfRule type="cellIs" dxfId="5" priority="449" operator="equal">
      <formula>0</formula>
    </cfRule>
  </conditionalFormatting>
  <conditionalFormatting sqref="F904:F905">
    <cfRule type="cellIs" dxfId="4" priority="347" operator="equal">
      <formula>"/"</formula>
    </cfRule>
    <cfRule type="cellIs" dxfId="5" priority="348" operator="equal">
      <formula>0</formula>
    </cfRule>
  </conditionalFormatting>
  <conditionalFormatting sqref="F913:F914">
    <cfRule type="cellIs" dxfId="4" priority="207" operator="equal">
      <formula>"/"</formula>
    </cfRule>
    <cfRule type="cellIs" dxfId="5" priority="208" operator="equal">
      <formula>0</formula>
    </cfRule>
  </conditionalFormatting>
  <conditionalFormatting sqref="F994:F995">
    <cfRule type="cellIs" dxfId="4" priority="1133" operator="equal">
      <formula>"/"</formula>
    </cfRule>
    <cfRule type="cellIs" dxfId="5" priority="1134" operator="equal">
      <formula>0</formula>
    </cfRule>
  </conditionalFormatting>
  <conditionalFormatting sqref="F1011:F1012">
    <cfRule type="cellIs" dxfId="4" priority="1030" operator="equal">
      <formula>"/"</formula>
    </cfRule>
    <cfRule type="cellIs" dxfId="5" priority="1031" operator="equal">
      <formula>0</formula>
    </cfRule>
  </conditionalFormatting>
  <conditionalFormatting sqref="F1018:F1019">
    <cfRule type="cellIs" dxfId="4" priority="1001" operator="equal">
      <formula>"/"</formula>
    </cfRule>
    <cfRule type="cellIs" dxfId="5" priority="1002" operator="equal">
      <formula>0</formula>
    </cfRule>
  </conditionalFormatting>
  <conditionalFormatting sqref="F1051:F1052">
    <cfRule type="cellIs" dxfId="4" priority="804" operator="equal">
      <formula>"/"</formula>
    </cfRule>
    <cfRule type="cellIs" dxfId="5" priority="805" operator="equal">
      <formula>0</formula>
    </cfRule>
  </conditionalFormatting>
  <conditionalFormatting sqref="F1053:F1054">
    <cfRule type="cellIs" dxfId="4" priority="776" operator="equal">
      <formula>"/"</formula>
    </cfRule>
    <cfRule type="cellIs" dxfId="5" priority="777" operator="equal">
      <formula>0</formula>
    </cfRule>
  </conditionalFormatting>
  <conditionalFormatting sqref="F1073:F1074">
    <cfRule type="cellIs" dxfId="4" priority="597" operator="equal">
      <formula>"/"</formula>
    </cfRule>
    <cfRule type="cellIs" dxfId="5" priority="598" operator="equal">
      <formula>0</formula>
    </cfRule>
  </conditionalFormatting>
  <conditionalFormatting sqref="F1087:F1088">
    <cfRule type="cellIs" dxfId="4" priority="422" operator="equal">
      <formula>"/"</formula>
    </cfRule>
    <cfRule type="cellIs" dxfId="5" priority="423" operator="equal">
      <formula>0</formula>
    </cfRule>
  </conditionalFormatting>
  <conditionalFormatting sqref="F1096:F1097">
    <cfRule type="cellIs" dxfId="4" priority="360" operator="equal">
      <formula>"/"</formula>
    </cfRule>
    <cfRule type="cellIs" dxfId="5" priority="361" operator="equal">
      <formula>0</formula>
    </cfRule>
  </conditionalFormatting>
  <conditionalFormatting sqref="F1105:F1106">
    <cfRule type="cellIs" dxfId="4" priority="233" operator="equal">
      <formula>"/"</formula>
    </cfRule>
    <cfRule type="cellIs" dxfId="5" priority="234" operator="equal">
      <formula>0</formula>
    </cfRule>
  </conditionalFormatting>
  <conditionalFormatting sqref="F1121:F1122">
    <cfRule type="cellIs" dxfId="4" priority="142" operator="equal">
      <formula>"/"</formula>
    </cfRule>
    <cfRule type="cellIs" dxfId="5" priority="143" operator="equal">
      <formula>0</formula>
    </cfRule>
  </conditionalFormatting>
  <conditionalFormatting sqref="R274:R275">
    <cfRule type="cellIs" dxfId="0" priority="1286" operator="equal">
      <formula>0</formula>
    </cfRule>
  </conditionalFormatting>
  <conditionalFormatting sqref="R285:R286">
    <cfRule type="cellIs" dxfId="0" priority="1276" operator="equal">
      <formula>0</formula>
    </cfRule>
  </conditionalFormatting>
  <conditionalFormatting sqref="R292:R293">
    <cfRule type="cellIs" dxfId="0" priority="1269" operator="equal">
      <formula>0</formula>
    </cfRule>
  </conditionalFormatting>
  <conditionalFormatting sqref="R295:R296">
    <cfRule type="cellIs" dxfId="0" priority="1267" operator="equal">
      <formula>0</formula>
    </cfRule>
  </conditionalFormatting>
  <conditionalFormatting sqref="R299:R310">
    <cfRule type="cellIs" dxfId="0" priority="1264" operator="equal">
      <formula>0</formula>
    </cfRule>
  </conditionalFormatting>
  <conditionalFormatting sqref="R311:R324">
    <cfRule type="cellIs" dxfId="0" priority="1263" operator="equal">
      <formula>0</formula>
    </cfRule>
  </conditionalFormatting>
  <conditionalFormatting sqref="R574:R582">
    <cfRule type="cellIs" dxfId="0" priority="1352" operator="equal">
      <formula>0</formula>
    </cfRule>
  </conditionalFormatting>
  <conditionalFormatting sqref="R707:R716">
    <cfRule type="cellIs" dxfId="0" priority="1361" operator="equal">
      <formula>0</formula>
    </cfRule>
  </conditionalFormatting>
  <conditionalFormatting sqref="R717:R728">
    <cfRule type="cellIs" dxfId="0" priority="1360" operator="equal">
      <formula>0</formula>
    </cfRule>
  </conditionalFormatting>
  <conditionalFormatting sqref="R729:R732">
    <cfRule type="cellIs" dxfId="0" priority="1385" operator="equal">
      <formula>0</formula>
    </cfRule>
  </conditionalFormatting>
  <conditionalFormatting sqref="R825:R826">
    <cfRule type="cellIs" dxfId="0" priority="1400" operator="equal">
      <formula>0</formula>
    </cfRule>
  </conditionalFormatting>
  <conditionalFormatting sqref="R832:R833">
    <cfRule type="cellIs" dxfId="0" priority="1396" operator="equal">
      <formula>0</formula>
    </cfRule>
  </conditionalFormatting>
  <conditionalFormatting sqref="R837:R839">
    <cfRule type="cellIs" dxfId="0" priority="1413" operator="equal">
      <formula>0</formula>
    </cfRule>
  </conditionalFormatting>
  <conditionalFormatting sqref="R840:R846">
    <cfRule type="cellIs" dxfId="0" priority="1412" operator="equal">
      <formula>0</formula>
    </cfRule>
  </conditionalFormatting>
  <conditionalFormatting sqref="R847:R930">
    <cfRule type="cellIs" dxfId="0" priority="1411" operator="equal">
      <formula>0</formula>
    </cfRule>
  </conditionalFormatting>
  <conditionalFormatting sqref="R936:R937">
    <cfRule type="cellIs" dxfId="0" priority="1426" operator="equal">
      <formula>0</formula>
    </cfRule>
  </conditionalFormatting>
  <conditionalFormatting sqref="R986:R988">
    <cfRule type="cellIs" dxfId="0" priority="1440" operator="equal">
      <formula>0</formula>
    </cfRule>
  </conditionalFormatting>
  <conditionalFormatting sqref="R992:R996">
    <cfRule type="cellIs" dxfId="0" priority="1436" operator="equal">
      <formula>0</formula>
    </cfRule>
  </conditionalFormatting>
  <conditionalFormatting sqref="R1135:R1136">
    <cfRule type="cellIs" dxfId="0" priority="1453" operator="equal">
      <formula>0</formula>
    </cfRule>
  </conditionalFormatting>
  <conditionalFormatting sqref="R1137:R1140">
    <cfRule type="cellIs" dxfId="0" priority="1452" operator="equal">
      <formula>0</formula>
    </cfRule>
  </conditionalFormatting>
  <conditionalFormatting sqref="R1182:R1183">
    <cfRule type="cellIs" dxfId="0" priority="1484" operator="equal">
      <formula>0</formula>
    </cfRule>
  </conditionalFormatting>
  <conditionalFormatting sqref="T1039:T1040">
    <cfRule type="cellIs" dxfId="6" priority="780" operator="equal">
      <formula>0</formula>
    </cfRule>
  </conditionalFormatting>
  <conditionalFormatting sqref="F1:F2 F301:F316 F318:F345 F294:F295 F287:F292 F4:F285 F297:F299 F348 F350 F353:F355 F357:F364 F366:F368 F557:F600 F1132:F1133 F1139:F1208 F1135:F1137 F932:F986 F1007:F1009 F989:F993 F997:F1005 F832:F838 F863:F876 F720:F824 F609:F708 F855:F861 F853 F847:F851 F711:F718 F827:F829 F880:F885">
    <cfRule type="cellIs" dxfId="4" priority="1570" operator="equal">
      <formula>"/"</formula>
    </cfRule>
    <cfRule type="cellIs" dxfId="5" priority="1571" operator="equal">
      <formula>0</formula>
    </cfRule>
  </conditionalFormatting>
  <conditionalFormatting sqref="R1 R3:R181 R184:R202 R263:R268 R226:R261 R560:R565 R1152:R1173 R1175:R1181 R1186:R1207 R1143 R981:R983 R974:R979 R940:R972 R932:R934 R610:R696 R734:R745 R754:R822 R567:R571">
    <cfRule type="cellIs" dxfId="0" priority="1490" operator="equal">
      <formula>0</formula>
    </cfRule>
  </conditionalFormatting>
  <conditionalFormatting sqref="S1 S3:S999 S1135:S1048576 S1001:S1133">
    <cfRule type="cellIs" dxfId="6" priority="1173" operator="equal">
      <formula>0</formula>
    </cfRule>
  </conditionalFormatting>
  <conditionalFormatting sqref="D272:D285 D294:D295 D311:D316 D318:D345 D287:D292 D301:D305 D297:D299 D348 D350 D353:D355 D357:D364 D366:D368 D556:D601 D1135:D1137 D1131:D1133 D1139:D1208 D931:D986 D1007:D1009 D997:D1005 D989:D993 D863:D876 D855:D861 D608:D708 D720:D824 D847:D851 D832 D834:D837 D853 D880:D885 D711:D718 D827:D829">
    <cfRule type="cellIs" dxfId="1" priority="1582" operator="equal">
      <formula>"等款"</formula>
    </cfRule>
    <cfRule type="cellIs" dxfId="2" priority="1583" operator="equal">
      <formula>"单据"</formula>
    </cfRule>
    <cfRule type="cellIs" dxfId="3" priority="1584" operator="equal">
      <formula>"发货"</formula>
    </cfRule>
  </conditionalFormatting>
  <conditionalFormatting sqref="R325:R521 R528:R555 R523:R526">
    <cfRule type="cellIs" dxfId="0" priority="1262" operator="equal">
      <formula>0</formula>
    </cfRule>
  </conditionalFormatting>
  <conditionalFormatting sqref="D369:D375 D377:D380 D382:D395 D399:D414 D416:D423 D425:D430 D432:D436 D438:D444 D446:D449 D451:D454 D456:D458 D460 D466:D467 D463:D464 D470:D484 D486:D491">
    <cfRule type="cellIs" dxfId="1" priority="896" operator="equal">
      <formula>"等款"</formula>
    </cfRule>
    <cfRule type="cellIs" dxfId="2" priority="897" operator="equal">
      <formula>"单据"</formula>
    </cfRule>
    <cfRule type="cellIs" dxfId="3" priority="898" operator="equal">
      <formula>"发货"</formula>
    </cfRule>
  </conditionalFormatting>
  <conditionalFormatting sqref="F467 F470">
    <cfRule type="cellIs" dxfId="4" priority="499" operator="equal">
      <formula>"/"</formula>
    </cfRule>
    <cfRule type="cellIs" dxfId="5" priority="500" operator="equal">
      <formula>0</formula>
    </cfRule>
  </conditionalFormatting>
  <conditionalFormatting sqref="D492:D495 D504:D525 D497:D502">
    <cfRule type="cellIs" dxfId="1" priority="321" operator="equal">
      <formula>"等款"</formula>
    </cfRule>
    <cfRule type="cellIs" dxfId="2" priority="322" operator="equal">
      <formula>"单据"</formula>
    </cfRule>
    <cfRule type="cellIs" dxfId="3" priority="323" operator="equal">
      <formula>"发货"</formula>
    </cfRule>
  </conditionalFormatting>
  <conditionalFormatting sqref="R829:R831 R1134">
    <cfRule type="cellIs" dxfId="0" priority="1397" operator="equal">
      <formula>0</formula>
    </cfRule>
  </conditionalFormatting>
  <conditionalFormatting sqref="D886:D893 D895">
    <cfRule type="cellIs" dxfId="1" priority="609" operator="equal">
      <formula>"等款"</formula>
    </cfRule>
    <cfRule type="cellIs" dxfId="2" priority="610" operator="equal">
      <formula>"单据"</formula>
    </cfRule>
    <cfRule type="cellIs" dxfId="3" priority="611" operator="equal">
      <formula>"发货"</formula>
    </cfRule>
  </conditionalFormatting>
  <conditionalFormatting sqref="D897:D899 D929:D930 D926:D927 D916:D924 D908:D914 D901:D905">
    <cfRule type="cellIs" dxfId="1" priority="450" operator="equal">
      <formula>"等款"</formula>
    </cfRule>
    <cfRule type="cellIs" dxfId="2" priority="451" operator="equal">
      <formula>"单据"</formula>
    </cfRule>
    <cfRule type="cellIs" dxfId="3" priority="452" operator="equal">
      <formula>"发货"</formula>
    </cfRule>
  </conditionalFormatting>
  <conditionalFormatting sqref="R997:R1064 R1066:R1130">
    <cfRule type="cellIs" dxfId="0" priority="1457" operator="equal">
      <formula>0</formula>
    </cfRule>
  </conditionalFormatting>
  <conditionalFormatting sqref="D1031 D1051:D1052 D1042:D1049 D1033:D1039">
    <cfRule type="cellIs" dxfId="1" priority="956" operator="equal">
      <formula>"等款"</formula>
    </cfRule>
    <cfRule type="cellIs" dxfId="2" priority="957" operator="equal">
      <formula>"单据"</formula>
    </cfRule>
    <cfRule type="cellIs" dxfId="3" priority="958" operator="equal">
      <formula>"发货"</formula>
    </cfRule>
  </conditionalFormatting>
  <conditionalFormatting sqref="D1073:D1080 D1089:D1102 D1104:D1107 D1109:D1124 D1082:D1087 D1127:D1130">
    <cfRule type="cellIs" dxfId="1" priority="594" operator="equal">
      <formula>"等款"</formula>
    </cfRule>
    <cfRule type="cellIs" dxfId="2" priority="595" operator="equal">
      <formula>"单据"</formula>
    </cfRule>
    <cfRule type="cellIs" dxfId="3" priority="596" operator="equal">
      <formula>"发货"</formula>
    </cfRule>
  </conditionalFormatting>
  <dataValidations count="14">
    <dataValidation type="list" allowBlank="1" showInputMessage="1" showErrorMessage="1" sqref="B4 C4 B1142 C1142 B1143 C1143 B1183 C1183 B5:B18 B19:B23 B24:B28 B29:B33 B34:B38 B39:B43 B44:B48 B49:B53 B54:B58 B59:B63 B64:B68 B69:B73 B74:B78 B79:B83 B84:B88 B89:B93 B94:B98 B99:B103 B104:B108 B109:B113 B114:B118 B119:B123 B124:B128 B129:B133 B134:B138 B139:B143 B144:B148 B149:B153 B154:B158 B159:B163 B167:B171 B172:B176 B177:B181 B183:B187 B188:B192 B195:B199 B200:B204 B221:B225 B248:B252 B253:B257 B258:B262 B1144:B1145 B1146:B1148 B1180:B1182 B1184:B1208 C5:C18 C19:C23 C24:C28 C29:C33 C34:C38 C39:C43 C44:C48 C49:C53 C54:C58 C59:C63 C64:C68 C69:C73 C74:C78 C79:C83 C84:C88 C89:C93 C94:C98 C99:C103 C104:C108 C109:C113 C114:C118 C119:C123 C124:C128 C129:C133 C134:C138 C139:C143 C144:C148 C149:C153 C154:C158 C159:C163 C167:C171 C172:C176 C177:C181 C183:C187 C188:C192 C195:C199 C200:C204 C221:C225 C248:C252 C253:C257 C258:C262 C1144:C1145 C1146:C1148 C1180:C1182 C1184:C1208">
      <formula1>"T,E,C,A,B"</formula1>
    </dataValidation>
    <dataValidation type="list" allowBlank="1" showInputMessage="1" showErrorMessage="1" sqref="B182 C182 B229 C229 B230 C230 B231 C231 B232 C232 B233 C233 B234 C234 B235 C235 B236 C236 B237 C237 B238 C238 B239 C239 B240 C240 B241 C241 B242 C242 B243 C243 B244 C244 B245 C245 B246 C246 B247 C247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68 C668 B684 C684 B687 C687 B688 C688 B689 C689 B690 C690 B691 C691 B692 C692 B693 C693 B694 C694 B695 C695 B696 C696 B697 C697 B698 C698 B699 C699 B700 C700 B701 C701 B702 C702 B703 C703 B704 C704 C705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3 C743 B744 C744 B745 C745 B746 C746 B747 C747 B748 C748 B749 C749 B750 C750 B751 C751 B791 C791 B792 C792 B793 C793 B807 C807 B808 C808 B809 C809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5 C935 B936 C936 B937 C937 B971 C971 B972 C972 B973 C973 B974 C974 B977 C977 B978 C978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39 C1139 B1140 C1140 B1141 C1141 B1172 C1172 B1212 C1212 B164:B166 B193:B194 B205:B220 B226:B228 B556:B564 B609:B610 B611:B630 B631:B653 B654:B656 B657:B667 B669:B670 B671:B672 B673:B683 B685:B686 B705:B706 B740:B742 B752:B754 B755:B788 B789:B790 B794:B806 B810:B811 B931:B934 B938:B940 B941:B966 B967:B970 B1011:B1012 B1149:B1150 B1151:B1171 B1173:B1179 C164:C166 C193:C194 C205:C220 C226:C228 C556:C564 C609:C610 C611:C630 C631:C653 C654:C656 C657:C667 C669:C670 C671:C672 C673:C683 C685:C686 C740:C742 C752:C754 C755:C788 C789:C790 C794:C806 C810:C811 C931:C934 C938:C940 C941:C966 C967:C970 C1011:C1012 C1149:C1150 C1151:C1171 C1173:C1179">
      <formula1>"T,E,C,A,B,S"</formula1>
    </dataValidation>
    <dataValidation type="custom" allowBlank="1" showInputMessage="1" showErrorMessage="1" errorTitle="不能含空格" error="请去掉空格" promptTitle="不留空格" prompt="前面不留空格" sqref="A1266:A1519 A1520:A1533" errorStyle="information">
      <formula1>SUBSTITUTE(A1266," ","")=A1266</formula1>
    </dataValidation>
    <dataValidation type="list" allowBlank="1" showInputMessage="1" showErrorMessage="1" sqref="O5 O233 O234 O235 O236 O239 O240 O241 O242 O24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53 O554 O555 O567 O568 O569 O570 O571 O572 O573 O574 O575 O576 O577 O578 O579 O580 O581 O582 O583 O584 O585 O586 O587 O588 O589 O590 O591 O592 O593 O594 O595 O596 O597 O598 O599 O600 O601 O602 O603 O604 O605 O606 O607 O608 O686 O689 O690 O691 O692 O693 O694 O695 O696 O697 O698 O699 O700 O701 O702 O703 O704 O705 O706 O707 O708 O709 O710 O711 O712 O713 O714 O715 O716 O717 O718 O719 O720 O721 O722 O723 O724 O725 O726 O727 O728 O729 O730 O731 O732 O744 O745 O746 O747 O748 O749 O750 O751 O816 O817 O818 O819 O820 O821 O822 O823 O824 O825 O826 O827 O828 O829 O830 O831 O832 O833 O834 O835 O836 O837 O838 O839 O840 O841 O842 O843 O844 O845 O846 O847 O848 O849 O850 O851 O852 O853 O854 O855 O856 O857 O858 O859 O860 O861 O862 O863 O864 O865 O866 O867 O868 O869 O870 O871 O872 O873 O874 O875 O876 O877 O878 O879 O880 O881 O882 O883 O884 O885 O886 O887 O888 O889 O890 O891 O892 O893 O894 O895 O896 O897 O898 O899 O900 O901 O902 O903 O904 O905 O906 O907 O908 O909 O910 O911 O912 O913 O914 O915 O916 O917 O918 O919 O920 O921 O922 O923 O924 O925 O926 O927 O928 O929 O930 O935 O936 O937 O975 O976 O977 O978 O980 O982 O983 O984 O985 O986 O987 O988 O989 O990 O991 O992 O993 O994 O995 O996 O997 O998 O999 O1000 O1001 O1002 O1003 O1004 O1005 O1006 O1007 O1008 O1009 O1010 O1014 O1015 O1016 O1017 O1018 O1019 O1020 O1021 O1022 O1023 O1024 O1025 O1026 O1027 O1028 O1029 O1030 O1031 O1032 O1033 O1034 O1035 O1036 O1037 O1038 O1039 O1040 O1041 O1042 O1043 O1044 O1045 O1046 O1047 O1048 O1049 O1050 O1051 O1052 O1053 O1054 O1055 O1056 O1057 O1058 O1059 O1060 O1061 O1062 O1063 O1064 O1065 O1066 O1067 O1068 O1069 O1070 O1071 O1072 O1073 O1074 O1075 O1076 O1077 O1078 O1079 O1080 O1081 O1082 O1083 O1084 O1085 O1086 O1087 O1088 O1089 O1090 O1091 O1092 O1093 O1094 O1095 O1096 O1097 O1098 O1099 O1100 O1101 O1102 O1103 O1104 O1105 O1106 O1107 O1108 O1109 O1110 O1111 O1112 O1113 O1114 O1115 O1116 O1117 O1118 O1119 O1120 O1121 O1122 O1123 O1124 O1125 O1126 O1127 O1128 O1129 O1130 O1131 O1132 O1133 O1134 O1136 O1137 O1138 O1139 O1140 O1141 O1142 O1143 O1147 O1148 O1172 O1182 O1183 O1212 O6:O20 O30:O61 O62:O79 O80:O232 O237:O238 O244:O263 O556:O566 O609:O685 O687:O688 O733:O743 O752:O815 O931:O934 O938:O974 O1144:O1146 O1149:O1150 O1151:O1171 O1173:O1181">
      <formula1>"DP,出厂,到港,LC,信保"</formula1>
    </dataValidation>
    <dataValidation type="list" allowBlank="1" showInputMessage="1" showErrorMessage="1" sqref="D554 D555 D4:D553 D556:D1212">
      <formula1>"备货,发货,货好,单据,等款,完成"</formula1>
    </dataValidation>
    <dataValidation type="list" allowBlank="1" showInputMessage="1" showErrorMessage="1" sqref="E188 E191 E213 E225 E229 E230 E231 E232 E233 E234 E235 E236 E237 E238 E239 E240 E241 E242 E243 E244 E245 E246 E247 E262 E267 E269 E270 E271 E272 E273 E274 E275 E276 E277 E278 E279 E280 E281 E282 E283 E284 E285 E286 E287 E288 E289 E290 E291 E292 E293 E294 E295 E296 E297 E563 E566 E567 E568 E569 E570 E571 E572 E573 E619 E663 E703 E704 E705 E734 E736 E737 E738 E739 E740 E741 E742 E743 E744 E745 E746 E815 E824 E825 E826 E827 E828 E829 E831 E832 E833 E834 E985 E986 E987 E988 E989 E990 E991 E1132 E1151 E1183 E146:E147 E149:E150 E156:E157 E174:E177 E181:E184 E196:E198 E204:E206 E217:E219 E227:E228 E701:E702 E1149:E1150 E1181:E1182">
      <formula1>客户!B$2:B$114</formula1>
    </dataValidation>
    <dataValidation type="decimal" operator="between" allowBlank="1" showInputMessage="1" showErrorMessage="1" sqref="R275 S275 R286 S286 R293 S293 R296 S296 R300 S300 R301 S301 R302 S302 R303 S303 R304 S304 R305 S305 R306 S306 R307 S307 R308 S308 R309 S309 R310 S310 R311 S311 R312 S312 R313 S313 R314 S314 R315 S315 R316 S316 R317 S317 R318 S318 R319 S319 R320 S320 R321 S321 R322 S322 R323 S323 R324 S324 R325 S325 R326 S326 R327 S327 R328 S328 R329 S329 R330 S330 R331 S331 R332 S332 R333 S333 R334 S334 R335 S335 R336 S336 R337 S337 R338 S338 R339 S339 R340 S340 R341 S341 R342 S342 R343 S343 R344 S344 R345 S345 R346 S346 R347 S347 R348 S348 R349 S349 R350 S350 R351 S351 R352 S352 R353 S353 R354 S354 R355 S355 R356 S356 R357 S357 R358 S358 R359 S359 R360 S360 R361 S361 R362 S362 R363 S363 R364 S364 R365 S365 R366 S366 R367 S367 R368 S368 R369 S369 R370 S370 R371 S371 R372 S372 R373 S373 R374 S374 R375 S375 R376 S376 R377 S377 R378 S378 R379 S379 R380 S380 R381 S381 R382 S382 R383 S383 R384 S384 R385 S385 R386 S386 R387 S387 R388 S388 R389 S389 R390 S390 R391 S391 R392 S392 R393 S393 R394 S394 R395 S395 R396 S396 R397 S397 R398 S398 R399 S399 R400 S400 R401 S401 R402 S402 R403 S403 R404 S404 R405 S405 R406 S406 R407 S407 R408 S408 R409 S409 R410 S410 R411 S411 R412 S412 R413 S413 R414 S414 R415 S415 R416 S416 R417 S417 R418 S418 R419 S419 R420 S420 R421 S421 R422 S422 R423 S423 R424 S424 R425 S425 R426 S426 R427 S427 R428 S428 R429 S429 R430 S430 R431 S431 R432 S432 R433 S433 R434 S434 R435 S435 R436 S436 R437 S437 R438 S438 R439 S439 R440 S440 R441 S441 R442 S442 R443 S443 R444 S444 R445 S445 R446 S446 R447 S447 R448 S448 R449 S449 R450 S450 R451 S451 R452 S452 R453 S453 R454 S454 R455 S455 R456 S456 R457 S457 R458 S458 R459 S459 R460 S460 R461 S461 R462 S462 R463 S463 R464 S464 R465 S465 R466 S466 R467 S467 R468 S468 R469 S469 R470 S470 R471 S471 R472 S472 R473 S473 R474 S474 R475 S475 R476 S476 R477 S477 R478 S478 R479 S479 R480 S480 R481 S481 R482 S482 R483 S483 R484 S484 R485 S485 R486 S486 R487 S487 R488 S488 R489 S489 R490 S490 R491 S491 R492 S492 R493 S493 R494 S494 R495 S495 R496 S496 R497 S497 R498 S498 R499 S499 R500 S500 R501 S501 R502 S502 R503 S503 R504 S504 R505 S505 R506 S506 R507 S507 R508 S508 R509 S509 R510 S510 R511 S511 R512 S512 R513 S513 R514 S514 R515 S515 R516 S516 R517 S517 R518 S518 R519 S519 R520 S520 R521 S521 R522 S522 R523 S523 R524 S524 R525 S525 R526 S526 R527 S527 R528 S528 R529 S529 R530 S530 R531 S531 R532 S532 R533 S533 R534 S534 R535 S535 R536 S536 R537 S537 R538 S538 R539 S539 R540 S540 R541 S541 R542 S542 R543 S543 R544 S544 R545 S545 R546 S546 R547 S547 R548 S548 R549 S549 R550 S550 R551 S551 R552 S552 R553 S553 R554 S554 R555 S555 R575 S575 R576 S576 R577 S577 R578 S578 R579 S579 R580 S580 R581 S581 R582 S582 R583 S583 R584 S584 R585 S585 R586 S586 R587 S587 R588 S588 R589 S589 R590 S590 R591 S591 R592 S592 R593 S593 R594 S594 R595 S595 R596 S596 R597 S597 R598 S598 R599 S599 R600 S600 R601 S601 R602 S602 R603 S603 R604 S604 R605 S605 R606 S606 R607 S607 R608 S608 T627 R708 S708 R709 S709 R710 S710 R711 S711 R712 S712 R713 S713 R714 S714 R715 S715 R716 S716 R717 S717 R718 S718 R719 S719 R720 S720 R721 S721 R722 S722 R723 S723 R724 S724 R725 S725 R726 S726 R727 S727 R728 S728 R729 S729 R730 S730 R731 S731 R732 S732 T734 T754 T758 T763 T779 R826 S826 R830 S830 R831 S831 S832 S833 S838 R839 S839 R840 S840 R841 S841 R842 S842 R843 S843 R844 S844 R845 S845 R846 S846 R847 S847 R848 S848 R849 S849 R850 S850 R851 S851 R852 S852 R853 S853 R854 S854 R855 S855 R856 S856 R857 S857 R858 S858 R859 S859 R860 S860 R861 S861 R862 S862 R863 S863 R864 S864 R865 S865 R866 S866 R867 S867 R868 S868 R869 S869 R870 S870 R871 S871 R872 S872 R873 S873 R874 S874 R875 S875 R876 S876 R877 S877 R878 S878 R879 S879 R880 S880 R881 S881 R882 S882 R883 S883 R884 S884 R885 S885 R886 S886 R887 S887 R888 S888 R889 S889 R890 S890 R891 S891 R892 S892 R893 S893 R894 S894 R895 S895 R896 S896 R897 S897 R898 S898 R899 S899 R900 S900 R901 S901 R902 S902 R903 S903 R904 S904 R905 S905 R906 S906 R907 S907 R908 S908 R909 S909 R910 S910 R911 S911 R912 S912 R913 S913 R914 S914 R915 S915 R916 S916 R917 S917 R918 S918 R919 S919 R920 S920 R921 S921 R922 S922 R923 S923 R924 S924 R925 S925 R926 S926 R927 S927 R928 S928 R929 S929 R930 S930 R937 S937 T940 T946 R987 S987 R988 S988 S993 R994 S994 S995 S996 S997 S998 R999 S999 R1000 S1000 R1001 S1001 R1002 S1002 R1003 S1003 R1004 S1004 R1005 S1005 R1006 S1006 R1007 S1007 R1008 S1008 R1009 S1009 R1010 S1010 R1013 S1013 R1014 S1014 R1015 S1015 R1016 S1016 R1017 S1017 R1018 S1018 R1019 S1019 R1020 S1020 R1021 S1021 R1022 S1022 R1023 S1023 R1024 S1024 R1025 S1025 R1026 S1026 R1027 S1027 R1028 S1028 R1029 S1029 R1030 S1030 R1031 S1031 R1032 S1032 R1033 S1033 R1034 S1034 R1035 S1035 R1036 S1036 R1037 S1037 R1038 S1038 R1039 S1039 T1039 R1040 S1040 T1040 R1041 S1041 R1042 S1042 R1043 S1043 R1044 S1044 R1045 S1045 R1046 S1046 R1047 S1047 R1048 S1048 R1049 S1049 R1050 S1050 R1051 S1051 R1052 S1052 R1053 S1053 R1054 S1054 R1055 S1055 R1056 S1056 R1057 S1057 R1058 S1058 R1059 S1059 R1060 S1060 R1061 S1061 R1062 S1062 R1063 S1063 R1064 S1064 R1065 S1065 R1066 S1066 R1067 S1067 R1068 S1068 R1069 S1069 R1070 S1070 R1071 S1071 R1072 S1072 R1073 S1073 R1074 S1074 R1075 S1075 R1076 S1076 R1077 S1077 R1078 S1078 R1079 S1079 R1080 S1080 R1081 S1081 R1082 S1082 R1083 S1083 R1084 S1084 R1085 S1085 R1086 S1086 R1087 S1087 R1088 S1088 R1089 S1089 R1090 S1090 R1091 S1091 R1092 S1092 R1093 S1093 R1094 S1094 R1095 S1095 R1096 S1096 R1097 S1097 R1098 S1098 R1099 S1099 R1100 S1100 R1101 S1101 R1102 S1102 R1103 S1103 R1104 S1104 R1105 S1105 R1106 S1106 R1107 S1107 R1108 S1108 R1109 S1109 R1110 S1110 R1111 S1111 R1112 S1112 R1113 S1113 R1114 S1114 R1115 S1115 R1116 S1116 R1117 S1117 R1118 S1118 R1119 S1119 R1120 S1120 R1121 S1121 R1122 S1122 R1123 S1123 R1124 S1124 R1125 S1125 R1126 S1126 R1127 S1127 R1128 S1128 R1129 S1129 R1130 S1130 S1134 R1135 S1135 R1136 S1136 R1137 S1137 R1138 S1138 R1139 S1139 R1140 S1140 R1147 T1178 R1183 S1183 T1203 T1206 R4:R274 R276:R285 R287:R289 R290:R292 R294:R295 R297:R299 R556:R574 R609:R707 R733:R825 R827:R829 R832:R836 R837:R838 R931:R936 R938:R986 R989:R993 R995:R996 R997:R998 R1011:R1012 R1131:R1134 R1141:R1146 R1148:R1182 R1184:R1430 S4:S274 S276:S285 S287:S289 S290:S292 S294:S295 S297:S299 S556:S574 S609:S707 S733:S825 S827:S829 S834:S837 S931:S936 S938:S986 S989:S992 S1011:S1012 S1131:S1133 S1141:S1182 S1184:S1430 T941:T944 T949:T951">
      <formula1>-100000</formula1>
      <formula2>10000000</formula2>
    </dataValidation>
    <dataValidation type="custom" allowBlank="1" showInputMessage="1" showErrorMessage="1" errorTitle="不能含空格" error="请去掉空格" promptTitle="不留空格" prompt="前面不留空格" sqref="A275 A286 A293 A296 A300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77 A578 A579 A580 A581 A582 A583 A584 A585 A586 A587 A588 A589 A590 A591 A592 A593 A594 A595 A596 A597 A598 A599 A600 A601 A602 A603 A604 A605 A606 A607 A608 A708 A709 A710 A711 A712 A713 A714 A715 A716 A717 A718 A719 A720 A721 A722 A723 A724 A725 A726 A727 A728 A729 A730 A731 A732 A826 A831 A832 A833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7 A987 A988 A994 A995 A996 A997 A998 A999 A1000 A1001 A1002 A1003 A1004 A1005 A1006 A1007 A1008 A1009 A1010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6 A1137 A1138 A1139 A1140 A1212 A4:A274 A276:A285 A287:A289 A290:A292 A294:A295 A297:A299 A301:A302 A556:A576 A609:A707 A733:A825 A827:A829 A834:A837 A931:A936 A938:A986 A989:A993 A1011:A1012 A1131:A1135 A1141:A1211 A1213:A1265">
      <formula1>SUBSTITUTE(A4," ","")=A4</formula1>
    </dataValidation>
    <dataValidation type="list" allowBlank="1" showInputMessage="1" showErrorMessage="1" sqref="E298 E301 E302 E303 E304 E305 E306 E307 E308 E309 E310 E574 E575 E576 E577 E578 E579 E580 E581 E582 E583 E584 E585 E586 E587 E588 E589 E590 E591 E592 E593 E594 E595 E596 E597 E598 E599 E600 E601 E602 E603 E604 E605 E606 E607 E697 E698 E700 E706 E707 E708 E709 E710 E711 E712 E713 E714 E715 E716 E717 E718 E719 E720 E721 E722 E723 E724 E725 E726 E727 E728 E729 E730 E731 E732 E733 E747 E820 E823 E835 E836 E837 E838 E839 E934 E935 E936 E937 E973 E975 E976 E977 E978 E980 E981 E982 E984 E992 E993 E994 E995 E996 E997 E998 E999 E1000 E1001 E1002 E1003 E1004 E1005 E1006 E1007 E1008 E1009 E1010 E1013 E1014 E1015 E1016 E1017 E1018 E1019 E1020 E1021 E1022 E1023 E1024 E1025 E1026 E1027 E1028 E1029 E1030 E1131 E1133 E1134 E1135 E1136 E1137 E1138 E1139 E1140 E1143 E1144 E1145 E1146 E1147 E1148 E1174 E299:E300 E1011:E1012 E1141:E1142">
      <formula1>客户!B$2:B$397</formula1>
    </dataValidation>
    <dataValidation allowBlank="1" showInputMessage="1" showErrorMessage="1" sqref="F275 F286 F293 F296 F299 F300 F301 F302 F303 F304 F305 F306 F307 F308 F309 F310 F311 F312 F313 F314 F315 F316 F317 F318 F319 F320 F321 F322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75 F576 F577 F578 F579 F580 F581 F582 F583 F584 F585 F586 F587 F588 F589 F590 F591 F592 F593 F594 F595 F596 F597 F598 F599 F600 F601 F602 F603 F604 F605 F606 F607 F608 F609 F708 F709 F710 F711 F712 F713 F714 F715 F716 F717 F718 F719 F720 F721 F722 F723 F724 F725 F726 F727 F728 F729 F730 F731 F732 F741 F749 F750 F751 F825 F826 F830 F831 F832 F833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6 F937 F987 F988 F993 F994 F995 F996 F997 F998 F999 F1000 F1001 F1002 F1003 F1004 F1005 F1006 F1007 F1008 F1009 F1010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4 F1135 F1136 F1137 F1138 F1139 F1140 F1144 F1145 F1146 F1147 F1148 F1183 F1212 F1:F3 F4:F274 F276:F280 F281:F285 F287:F289 F290:F292 F294:F295 F297:F298 F323:F324 F557:F574 F610:F620 F621:F631 F632:F707 F733:F740 F742:F748 F752:F824 F827:F829 F834:F835 F932:F935 F938:F986 F989:F992 F1011:F1012 F1132:F1133 F1141:F1143 F1149:F1150 F1151:F1182 F1184:F1208"/>
    <dataValidation type="list" allowBlank="1" showInputMessage="1" showErrorMessage="1" sqref="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608 E609 E748 E749 E750 E751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8 E939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208 E1212 E752:E753 E1184:E1185">
      <formula1>客户!B$2:B$297</formula1>
    </dataValidation>
    <dataValidation type="list" allowBlank="1" showInputMessage="1" showErrorMessage="1" sqref="E830">
      <formula1>[2]客户!#REF!</formula1>
    </dataValidation>
    <dataValidation allowBlank="1" showInputMessage="1" showErrorMessage="1" promptTitle="不留空格" prompt="前面不留空格" sqref="A1:A3 A1534:A1048576"/>
    <dataValidation type="decimal" operator="between" allowBlank="1" showInputMessage="1" showErrorMessage="1" sqref="R1431:R1476">
      <formula1>0</formula1>
      <formula2>10000000</formula2>
    </dataValidation>
  </dataValidations>
  <pageMargins left="0" right="0.0791666666666667" top="0.238888888888889" bottom="0.0791666666666667" header="0.11875" footer="0"/>
  <pageSetup paperSize="9" orientation="landscape"/>
  <headerFooter alignWithMargins="0" scaleWithDoc="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6"/>
  <sheetViews>
    <sheetView zoomScale="130" zoomScaleNormal="130" workbookViewId="0">
      <selection activeCell="B12" sqref="B12"/>
    </sheetView>
  </sheetViews>
  <sheetFormatPr defaultColWidth="11" defaultRowHeight="14.25"/>
  <cols>
    <col min="2" max="2" width="28.625" customWidth="1"/>
    <col min="4" max="4" width="40" customWidth="1"/>
    <col min="5" max="5" width="14" customWidth="1"/>
  </cols>
  <sheetData>
    <row r="1" ht="30.75" customHeight="1" spans="1:6">
      <c r="A1" s="22" t="s">
        <v>4636</v>
      </c>
      <c r="B1" s="23" t="s">
        <v>4637</v>
      </c>
      <c r="C1" s="24" t="s">
        <v>4638</v>
      </c>
      <c r="D1" s="25" t="s">
        <v>4639</v>
      </c>
      <c r="E1" s="26"/>
      <c r="F1" s="27"/>
    </row>
    <row r="2" ht="23.1" customHeight="1" spans="1:11">
      <c r="A2" s="22">
        <v>1</v>
      </c>
      <c r="B2" s="23" t="s">
        <v>4640</v>
      </c>
      <c r="C2" s="24">
        <v>0</v>
      </c>
      <c r="D2" s="25" t="s">
        <v>4641</v>
      </c>
      <c r="E2" s="26" t="s">
        <v>4642</v>
      </c>
      <c r="F2" s="28"/>
      <c r="G2" s="29"/>
      <c r="H2" s="30"/>
      <c r="I2" s="30"/>
      <c r="J2" s="28"/>
      <c r="K2" s="35"/>
    </row>
    <row r="3" ht="23.1" customHeight="1" spans="1:5">
      <c r="A3" s="22">
        <v>2</v>
      </c>
      <c r="B3" s="23" t="s">
        <v>4643</v>
      </c>
      <c r="C3" s="24">
        <v>10000</v>
      </c>
      <c r="D3" s="31" t="s">
        <v>4644</v>
      </c>
      <c r="E3" t="s">
        <v>4645</v>
      </c>
    </row>
    <row r="4" ht="23.1" customHeight="1" spans="1:5">
      <c r="A4" s="22">
        <v>3</v>
      </c>
      <c r="B4" s="31" t="s">
        <v>4646</v>
      </c>
      <c r="C4" s="24">
        <v>2429</v>
      </c>
      <c r="D4" s="32" t="s">
        <v>4647</v>
      </c>
      <c r="E4" s="33"/>
    </row>
    <row r="5" ht="23.1" customHeight="1" spans="1:4">
      <c r="A5" s="22">
        <v>4</v>
      </c>
      <c r="B5" s="31" t="s">
        <v>4648</v>
      </c>
      <c r="C5" s="31" t="s">
        <v>4649</v>
      </c>
      <c r="D5" s="31"/>
    </row>
    <row r="6" ht="23.1" customHeight="1" spans="1:4">
      <c r="A6" s="22">
        <v>5</v>
      </c>
      <c r="B6" s="31" t="s">
        <v>1083</v>
      </c>
      <c r="C6" s="24">
        <v>5000</v>
      </c>
      <c r="D6" s="34" t="s">
        <v>4650</v>
      </c>
    </row>
    <row r="7" ht="23.1" customHeight="1"/>
    <row r="8" ht="23.1" customHeight="1"/>
    <row r="9" ht="23.1" customHeight="1"/>
    <row r="10" ht="23.1" customHeight="1"/>
    <row r="276" spans="8:8">
      <c r="H276" s="21" t="s">
        <v>968</v>
      </c>
    </row>
  </sheetData>
  <pageMargins left="0.75" right="0.75" top="1" bottom="1" header="0.5" footer="0.5"/>
  <pageSetup paperSize="9" orientation="portrait"/>
  <headerFooter alignWithMargins="0" scaleWithDoc="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492"/>
  <sheetViews>
    <sheetView zoomScale="130" zoomScaleNormal="130" topLeftCell="A156" workbookViewId="0">
      <selection activeCell="B172" sqref="B172"/>
    </sheetView>
  </sheetViews>
  <sheetFormatPr defaultColWidth="9.125" defaultRowHeight="14.25" outlineLevelCol="7"/>
  <cols>
    <col min="2" max="2" width="25.125" style="1" customWidth="1"/>
    <col min="3" max="3" width="9.125" style="2"/>
  </cols>
  <sheetData>
    <row r="1" spans="2:3">
      <c r="B1" s="3" t="s">
        <v>4651</v>
      </c>
      <c r="C1" s="2" t="s">
        <v>4652</v>
      </c>
    </row>
    <row r="2" spans="2:2">
      <c r="B2" s="4" t="s">
        <v>4653</v>
      </c>
    </row>
    <row r="3" spans="2:2">
      <c r="B3" s="4" t="s">
        <v>4654</v>
      </c>
    </row>
    <row r="4" spans="2:3">
      <c r="B4" s="4" t="s">
        <v>4655</v>
      </c>
      <c r="C4" s="2" t="s">
        <v>4656</v>
      </c>
    </row>
    <row r="5" spans="2:2">
      <c r="B5" s="4" t="s">
        <v>4657</v>
      </c>
    </row>
    <row r="6" spans="2:2">
      <c r="B6" s="4" t="s">
        <v>4658</v>
      </c>
    </row>
    <row r="7" spans="2:2">
      <c r="B7" s="4" t="s">
        <v>4659</v>
      </c>
    </row>
    <row r="8" spans="2:3">
      <c r="B8" s="4" t="s">
        <v>4660</v>
      </c>
      <c r="C8" s="2" t="s">
        <v>4661</v>
      </c>
    </row>
    <row r="9" spans="2:2">
      <c r="B9" s="4" t="s">
        <v>4662</v>
      </c>
    </row>
    <row r="10" spans="2:2">
      <c r="B10" s="4" t="s">
        <v>4663</v>
      </c>
    </row>
    <row r="11" spans="2:2">
      <c r="B11" s="5" t="s">
        <v>4664</v>
      </c>
    </row>
    <row r="12" spans="2:2">
      <c r="B12" s="4" t="s">
        <v>4665</v>
      </c>
    </row>
    <row r="13" spans="2:2">
      <c r="B13" s="4" t="s">
        <v>4666</v>
      </c>
    </row>
    <row r="14" spans="2:2">
      <c r="B14" s="4" t="s">
        <v>4667</v>
      </c>
    </row>
    <row r="15" spans="2:2">
      <c r="B15" s="4" t="s">
        <v>4668</v>
      </c>
    </row>
    <row r="16" spans="2:3">
      <c r="B16" s="4" t="s">
        <v>4669</v>
      </c>
      <c r="C16" s="2" t="s">
        <v>4670</v>
      </c>
    </row>
    <row r="17" spans="2:2">
      <c r="B17" s="4" t="s">
        <v>4671</v>
      </c>
    </row>
    <row r="18" spans="2:2">
      <c r="B18" s="4" t="s">
        <v>4672</v>
      </c>
    </row>
    <row r="19" spans="2:2">
      <c r="B19" s="4" t="s">
        <v>4673</v>
      </c>
    </row>
    <row r="20" spans="2:2">
      <c r="B20" s="4" t="s">
        <v>4674</v>
      </c>
    </row>
    <row r="21" spans="2:2">
      <c r="B21" s="4" t="s">
        <v>4675</v>
      </c>
    </row>
    <row r="22" spans="2:2">
      <c r="B22" s="6" t="s">
        <v>4676</v>
      </c>
    </row>
    <row r="23" spans="2:2">
      <c r="B23" s="6" t="s">
        <v>4677</v>
      </c>
    </row>
    <row r="24" spans="2:2">
      <c r="B24" s="4" t="s">
        <v>1578</v>
      </c>
    </row>
    <row r="25" spans="2:2">
      <c r="B25" s="1" t="s">
        <v>4678</v>
      </c>
    </row>
    <row r="26" spans="2:2">
      <c r="B26" s="4" t="s">
        <v>1513</v>
      </c>
    </row>
    <row r="27" spans="2:2">
      <c r="B27" s="6" t="s">
        <v>4679</v>
      </c>
    </row>
    <row r="28" spans="2:2">
      <c r="B28" s="4" t="s">
        <v>4680</v>
      </c>
    </row>
    <row r="29" spans="2:2">
      <c r="B29" s="5" t="s">
        <v>4681</v>
      </c>
    </row>
    <row r="30" spans="2:2">
      <c r="B30" s="7" t="s">
        <v>2162</v>
      </c>
    </row>
    <row r="31" spans="2:2">
      <c r="B31" s="1" t="s">
        <v>4682</v>
      </c>
    </row>
    <row r="32" spans="2:2">
      <c r="B32" s="6" t="s">
        <v>4683</v>
      </c>
    </row>
    <row r="33" spans="2:2">
      <c r="B33" s="6" t="s">
        <v>4684</v>
      </c>
    </row>
    <row r="34" spans="2:2">
      <c r="B34" s="6" t="s">
        <v>4685</v>
      </c>
    </row>
    <row r="35" spans="2:2">
      <c r="B35" s="1" t="s">
        <v>4686</v>
      </c>
    </row>
    <row r="36" spans="2:2">
      <c r="B36" s="1" t="s">
        <v>4687</v>
      </c>
    </row>
    <row r="37" spans="2:2">
      <c r="B37" s="1" t="s">
        <v>4688</v>
      </c>
    </row>
    <row r="38" spans="2:3">
      <c r="B38" s="6" t="s">
        <v>1345</v>
      </c>
      <c r="C38" s="2" t="s">
        <v>4689</v>
      </c>
    </row>
    <row r="39" spans="2:2">
      <c r="B39" s="6" t="s">
        <v>4690</v>
      </c>
    </row>
    <row r="40" spans="2:2">
      <c r="B40" s="6" t="s">
        <v>4691</v>
      </c>
    </row>
    <row r="41" spans="2:2">
      <c r="B41" s="6" t="s">
        <v>2812</v>
      </c>
    </row>
    <row r="42" spans="2:2">
      <c r="B42" s="6" t="s">
        <v>2776</v>
      </c>
    </row>
    <row r="43" spans="2:2">
      <c r="B43" s="6" t="s">
        <v>4692</v>
      </c>
    </row>
    <row r="44" spans="2:2">
      <c r="B44" s="6" t="s">
        <v>2496</v>
      </c>
    </row>
    <row r="45" spans="2:2">
      <c r="B45" s="6" t="s">
        <v>1429</v>
      </c>
    </row>
    <row r="46" spans="2:2">
      <c r="B46" s="6" t="s">
        <v>4693</v>
      </c>
    </row>
    <row r="47" spans="2:2">
      <c r="B47" s="6" t="s">
        <v>2133</v>
      </c>
    </row>
    <row r="48" spans="2:2">
      <c r="B48" s="1" t="s">
        <v>2864</v>
      </c>
    </row>
    <row r="49" spans="2:2">
      <c r="B49" s="6" t="s">
        <v>4694</v>
      </c>
    </row>
    <row r="50" spans="2:2">
      <c r="B50" s="1" t="s">
        <v>4695</v>
      </c>
    </row>
    <row r="51" spans="2:2">
      <c r="B51" s="1" t="s">
        <v>4696</v>
      </c>
    </row>
    <row r="52" spans="2:2">
      <c r="B52" s="1" t="s">
        <v>4697</v>
      </c>
    </row>
    <row r="53" spans="2:4">
      <c r="B53" s="6" t="s">
        <v>3222</v>
      </c>
      <c r="D53" s="8"/>
    </row>
    <row r="54" ht="18" customHeight="1" spans="2:3">
      <c r="B54" s="1" t="s">
        <v>4698</v>
      </c>
      <c r="C54" s="9"/>
    </row>
    <row r="55" spans="2:2">
      <c r="B55" s="6" t="s">
        <v>4699</v>
      </c>
    </row>
    <row r="56" spans="2:2">
      <c r="B56" s="6" t="s">
        <v>4700</v>
      </c>
    </row>
    <row r="57" spans="2:2">
      <c r="B57" s="6" t="s">
        <v>4701</v>
      </c>
    </row>
    <row r="58" spans="2:2">
      <c r="B58" s="1" t="s">
        <v>4702</v>
      </c>
    </row>
    <row r="59" spans="2:2">
      <c r="B59" s="6" t="s">
        <v>4703</v>
      </c>
    </row>
    <row r="60" spans="2:2">
      <c r="B60" s="6" t="s">
        <v>4704</v>
      </c>
    </row>
    <row r="61" spans="2:2">
      <c r="B61" s="4" t="s">
        <v>4705</v>
      </c>
    </row>
    <row r="62" ht="21" customHeight="1" spans="2:3">
      <c r="B62" s="7" t="s">
        <v>3288</v>
      </c>
      <c r="C62" s="9" t="s">
        <v>4706</v>
      </c>
    </row>
    <row r="63" spans="2:2">
      <c r="B63" s="5" t="s">
        <v>4707</v>
      </c>
    </row>
    <row r="64" spans="2:2">
      <c r="B64" s="5" t="s">
        <v>4708</v>
      </c>
    </row>
    <row r="65" spans="2:2">
      <c r="B65" s="5" t="s">
        <v>4709</v>
      </c>
    </row>
    <row r="66" spans="2:2">
      <c r="B66" s="10" t="s">
        <v>4710</v>
      </c>
    </row>
    <row r="67" spans="2:2">
      <c r="B67" s="10" t="s">
        <v>4711</v>
      </c>
    </row>
    <row r="68" spans="2:2">
      <c r="B68" s="10" t="s">
        <v>4712</v>
      </c>
    </row>
    <row r="69" spans="2:2">
      <c r="B69" s="11" t="s">
        <v>4713</v>
      </c>
    </row>
    <row r="70" spans="2:2">
      <c r="B70" s="12" t="s">
        <v>4714</v>
      </c>
    </row>
    <row r="71" spans="2:2">
      <c r="B71" s="11" t="s">
        <v>3693</v>
      </c>
    </row>
    <row r="72" spans="2:2">
      <c r="B72" s="10" t="s">
        <v>4715</v>
      </c>
    </row>
    <row r="73" spans="2:2">
      <c r="B73" s="11" t="s">
        <v>4716</v>
      </c>
    </row>
    <row r="74" spans="2:3">
      <c r="B74" s="10" t="s">
        <v>4717</v>
      </c>
      <c r="C74" s="2" t="s">
        <v>4718</v>
      </c>
    </row>
    <row r="75" ht="20" customHeight="1" spans="2:3">
      <c r="B75" s="10" t="s">
        <v>4719</v>
      </c>
      <c r="C75" s="9"/>
    </row>
    <row r="76" spans="2:2">
      <c r="B76" s="11" t="s">
        <v>3727</v>
      </c>
    </row>
    <row r="77" spans="2:2">
      <c r="B77" s="11" t="s">
        <v>3997</v>
      </c>
    </row>
    <row r="78" spans="2:2">
      <c r="B78" s="11" t="s">
        <v>4720</v>
      </c>
    </row>
    <row r="79" spans="2:2">
      <c r="B79" s="6" t="s">
        <v>4721</v>
      </c>
    </row>
    <row r="80" spans="2:2">
      <c r="B80" s="1" t="s">
        <v>4722</v>
      </c>
    </row>
    <row r="81" ht="15" customHeight="1" spans="2:3">
      <c r="B81" s="6" t="s">
        <v>1249</v>
      </c>
      <c r="C81" s="9"/>
    </row>
    <row r="82" spans="2:2">
      <c r="B82" s="1" t="s">
        <v>4723</v>
      </c>
    </row>
    <row r="83" spans="2:2">
      <c r="B83" s="6" t="s">
        <v>4724</v>
      </c>
    </row>
    <row r="84" spans="2:2">
      <c r="B84" s="1" t="s">
        <v>4725</v>
      </c>
    </row>
    <row r="85" spans="2:2">
      <c r="B85" s="6" t="s">
        <v>4530</v>
      </c>
    </row>
    <row r="86" spans="2:2">
      <c r="B86" s="6" t="s">
        <v>4726</v>
      </c>
    </row>
    <row r="87" spans="2:2">
      <c r="B87" s="13" t="s">
        <v>4727</v>
      </c>
    </row>
    <row r="88" spans="2:2">
      <c r="B88" s="14" t="s">
        <v>4728</v>
      </c>
    </row>
    <row r="89" spans="2:2">
      <c r="B89" s="14" t="s">
        <v>4729</v>
      </c>
    </row>
    <row r="90" spans="2:2">
      <c r="B90" s="15" t="s">
        <v>2124</v>
      </c>
    </row>
    <row r="91" spans="2:2">
      <c r="B91" s="16" t="s">
        <v>4730</v>
      </c>
    </row>
    <row r="92" spans="2:2">
      <c r="B92" s="17" t="s">
        <v>1167</v>
      </c>
    </row>
    <row r="93" spans="2:2">
      <c r="B93" s="17" t="s">
        <v>3954</v>
      </c>
    </row>
    <row r="94" spans="2:3">
      <c r="B94" s="17" t="s">
        <v>1113</v>
      </c>
      <c r="C94" s="2" t="s">
        <v>4731</v>
      </c>
    </row>
    <row r="95" spans="2:2">
      <c r="B95" s="17" t="s">
        <v>4393</v>
      </c>
    </row>
    <row r="96" spans="2:2">
      <c r="B96" s="17" t="s">
        <v>4732</v>
      </c>
    </row>
    <row r="97" spans="2:2">
      <c r="B97" s="17" t="s">
        <v>1758</v>
      </c>
    </row>
    <row r="98" spans="2:3">
      <c r="B98" s="17" t="s">
        <v>4733</v>
      </c>
      <c r="C98" s="2" t="s">
        <v>4734</v>
      </c>
    </row>
    <row r="99" spans="2:2">
      <c r="B99" s="17" t="s">
        <v>4168</v>
      </c>
    </row>
    <row r="100" spans="2:2">
      <c r="B100" s="17" t="s">
        <v>4027</v>
      </c>
    </row>
    <row r="101" spans="2:2">
      <c r="B101" s="17" t="s">
        <v>2846</v>
      </c>
    </row>
    <row r="102" spans="2:2">
      <c r="B102" s="18" t="s">
        <v>4735</v>
      </c>
    </row>
    <row r="103" spans="2:2">
      <c r="B103" s="17" t="s">
        <v>4736</v>
      </c>
    </row>
    <row r="104" spans="2:2">
      <c r="B104" s="17" t="s">
        <v>3939</v>
      </c>
    </row>
    <row r="105" spans="2:2">
      <c r="B105" s="17" t="s">
        <v>4737</v>
      </c>
    </row>
    <row r="106" spans="2:2">
      <c r="B106" s="17" t="s">
        <v>4738</v>
      </c>
    </row>
    <row r="107" spans="2:2">
      <c r="B107" s="17" t="s">
        <v>4739</v>
      </c>
    </row>
    <row r="108" spans="2:2">
      <c r="B108" s="17" t="s">
        <v>4740</v>
      </c>
    </row>
    <row r="109" spans="2:2">
      <c r="B109" s="17" t="s">
        <v>4738</v>
      </c>
    </row>
    <row r="110" spans="2:2">
      <c r="B110" s="17" t="s">
        <v>3890</v>
      </c>
    </row>
    <row r="111" spans="2:2">
      <c r="B111" s="17" t="s">
        <v>4056</v>
      </c>
    </row>
    <row r="112" spans="2:2">
      <c r="B112" s="17" t="s">
        <v>3923</v>
      </c>
    </row>
    <row r="113" spans="2:2">
      <c r="B113" s="17" t="s">
        <v>4741</v>
      </c>
    </row>
    <row r="114" spans="2:2">
      <c r="B114" s="17" t="s">
        <v>4742</v>
      </c>
    </row>
    <row r="115" spans="2:2">
      <c r="B115" s="19" t="s">
        <v>4743</v>
      </c>
    </row>
    <row r="116" spans="2:2">
      <c r="B116" s="8" t="s">
        <v>4744</v>
      </c>
    </row>
    <row r="117" ht="23" customHeight="1" spans="2:3">
      <c r="B117" s="17" t="s">
        <v>1389</v>
      </c>
      <c r="C117" s="9"/>
    </row>
    <row r="118" spans="2:2">
      <c r="B118" s="17" t="s">
        <v>3876</v>
      </c>
    </row>
    <row r="119" spans="2:2">
      <c r="B119" s="17" t="s">
        <v>2691</v>
      </c>
    </row>
    <row r="120" spans="2:2">
      <c r="B120" s="17" t="s">
        <v>1901</v>
      </c>
    </row>
    <row r="121" spans="2:2">
      <c r="B121" s="17" t="s">
        <v>3896</v>
      </c>
    </row>
    <row r="122" spans="2:2">
      <c r="B122" s="17" t="s">
        <v>1508</v>
      </c>
    </row>
    <row r="123" spans="2:2">
      <c r="B123" s="17" t="s">
        <v>3900</v>
      </c>
    </row>
    <row r="124" spans="2:2">
      <c r="B124" s="17" t="s">
        <v>1128</v>
      </c>
    </row>
    <row r="125" spans="2:2">
      <c r="B125" s="17" t="s">
        <v>2710</v>
      </c>
    </row>
    <row r="126" spans="2:2">
      <c r="B126" s="17" t="s">
        <v>2727</v>
      </c>
    </row>
    <row r="127" spans="2:2">
      <c r="B127" s="17" t="s">
        <v>2739</v>
      </c>
    </row>
    <row r="128" spans="2:2">
      <c r="B128" s="17" t="s">
        <v>2731</v>
      </c>
    </row>
    <row r="129" spans="2:2">
      <c r="B129" s="17" t="s">
        <v>3261</v>
      </c>
    </row>
    <row r="130" spans="2:2">
      <c r="B130" s="17" t="s">
        <v>4387</v>
      </c>
    </row>
    <row r="131" spans="2:2">
      <c r="B131" s="20" t="s">
        <v>3293</v>
      </c>
    </row>
    <row r="132" spans="2:2">
      <c r="B132" s="20" t="s">
        <v>3979</v>
      </c>
    </row>
    <row r="133" spans="2:2">
      <c r="B133" s="20" t="s">
        <v>1245</v>
      </c>
    </row>
    <row r="134" spans="2:2">
      <c r="B134" s="20" t="s">
        <v>3304</v>
      </c>
    </row>
    <row r="135" spans="2:2">
      <c r="B135" s="20" t="s">
        <v>4003</v>
      </c>
    </row>
    <row r="136" spans="2:2">
      <c r="B136" s="20" t="s">
        <v>2773</v>
      </c>
    </row>
    <row r="137" spans="2:2">
      <c r="B137" s="20" t="s">
        <v>3335</v>
      </c>
    </row>
    <row r="138" spans="2:2">
      <c r="B138" s="20" t="s">
        <v>2139</v>
      </c>
    </row>
    <row r="139" spans="2:2">
      <c r="B139" s="20" t="s">
        <v>1339</v>
      </c>
    </row>
    <row r="140" spans="2:2">
      <c r="B140" s="20" t="s">
        <v>4046</v>
      </c>
    </row>
    <row r="141" spans="2:2">
      <c r="B141" s="20" t="s">
        <v>4078</v>
      </c>
    </row>
    <row r="142" spans="2:2">
      <c r="B142" s="20" t="s">
        <v>4082</v>
      </c>
    </row>
    <row r="143" spans="2:2">
      <c r="B143" s="20" t="s">
        <v>1441</v>
      </c>
    </row>
    <row r="144" spans="2:2">
      <c r="B144" s="20" t="s">
        <v>1502</v>
      </c>
    </row>
    <row r="145" spans="2:2">
      <c r="B145" s="20" t="s">
        <v>4126</v>
      </c>
    </row>
    <row r="146" spans="2:2">
      <c r="B146" s="20" t="s">
        <v>1607</v>
      </c>
    </row>
    <row r="147" spans="2:2">
      <c r="B147" s="20" t="s">
        <v>1612</v>
      </c>
    </row>
    <row r="148" spans="2:2">
      <c r="B148" s="20" t="s">
        <v>4185</v>
      </c>
    </row>
    <row r="149" spans="2:2">
      <c r="B149" s="20" t="s">
        <v>4200</v>
      </c>
    </row>
    <row r="150" spans="2:2">
      <c r="B150" s="20" t="s">
        <v>1717</v>
      </c>
    </row>
    <row r="151" spans="2:2">
      <c r="B151" s="20" t="s">
        <v>4219</v>
      </c>
    </row>
    <row r="152" spans="2:2">
      <c r="B152" s="20" t="s">
        <v>1754</v>
      </c>
    </row>
    <row r="153" spans="2:2">
      <c r="B153" s="20" t="s">
        <v>3468</v>
      </c>
    </row>
    <row r="154" spans="2:2">
      <c r="B154" s="20" t="s">
        <v>3474</v>
      </c>
    </row>
    <row r="155" spans="2:2">
      <c r="B155" s="20" t="s">
        <v>1791</v>
      </c>
    </row>
    <row r="156" spans="2:2">
      <c r="B156" s="20" t="s">
        <v>4275</v>
      </c>
    </row>
    <row r="157" spans="2:2">
      <c r="B157" s="20" t="s">
        <v>1826</v>
      </c>
    </row>
    <row r="158" spans="2:2">
      <c r="B158" s="20" t="s">
        <v>4634</v>
      </c>
    </row>
    <row r="159" spans="2:2">
      <c r="B159" s="20" t="s">
        <v>1830</v>
      </c>
    </row>
    <row r="160" spans="2:2">
      <c r="B160" s="20" t="s">
        <v>4298</v>
      </c>
    </row>
    <row r="161" spans="2:2">
      <c r="B161" s="20" t="s">
        <v>3516</v>
      </c>
    </row>
    <row r="162" spans="2:2">
      <c r="B162" s="20" t="s">
        <v>1913</v>
      </c>
    </row>
    <row r="163" spans="2:2">
      <c r="B163" s="20" t="s">
        <v>3542</v>
      </c>
    </row>
    <row r="164" spans="2:2">
      <c r="B164" s="20" t="s">
        <v>3546</v>
      </c>
    </row>
    <row r="165" spans="2:2">
      <c r="B165" s="20" t="s">
        <v>4334</v>
      </c>
    </row>
    <row r="166" spans="2:2">
      <c r="B166" s="20" t="s">
        <v>1944</v>
      </c>
    </row>
    <row r="167" spans="2:2">
      <c r="B167" s="20" t="s">
        <v>1953</v>
      </c>
    </row>
    <row r="168" spans="2:2">
      <c r="B168" s="20" t="s">
        <v>1957</v>
      </c>
    </row>
    <row r="169" spans="2:2">
      <c r="B169" s="20" t="s">
        <v>3565</v>
      </c>
    </row>
    <row r="170" spans="2:2">
      <c r="B170" s="20" t="s">
        <v>3580</v>
      </c>
    </row>
    <row r="171" spans="2:2">
      <c r="B171" s="20" t="s">
        <v>4366</v>
      </c>
    </row>
    <row r="172" spans="2:2">
      <c r="B172" s="20" t="s">
        <v>2001</v>
      </c>
    </row>
    <row r="173" spans="2:2">
      <c r="B173" s="20"/>
    </row>
    <row r="174" spans="2:2">
      <c r="B174" s="20"/>
    </row>
    <row r="175" spans="2:2">
      <c r="B175" s="20"/>
    </row>
    <row r="176" spans="2:2">
      <c r="B176" s="20"/>
    </row>
    <row r="177" spans="2:2">
      <c r="B177" s="20"/>
    </row>
    <row r="178" spans="2:2">
      <c r="B178" s="20"/>
    </row>
    <row r="179" spans="2:2">
      <c r="B179" s="20"/>
    </row>
    <row r="180" spans="2:2">
      <c r="B180" s="20"/>
    </row>
    <row r="181" spans="2:2">
      <c r="B181" s="20"/>
    </row>
    <row r="182" spans="2:2">
      <c r="B182" s="20"/>
    </row>
    <row r="183" spans="2:2">
      <c r="B183" s="20"/>
    </row>
    <row r="184" spans="2:2">
      <c r="B184" s="20"/>
    </row>
    <row r="185" spans="2:2">
      <c r="B185" s="20"/>
    </row>
    <row r="186" spans="2:2">
      <c r="B186" s="20"/>
    </row>
    <row r="187" spans="2:2">
      <c r="B187" s="20"/>
    </row>
    <row r="188" spans="2:2">
      <c r="B188" s="20"/>
    </row>
    <row r="189" spans="2:2">
      <c r="B189" s="20"/>
    </row>
    <row r="190" spans="2:2">
      <c r="B190" s="20"/>
    </row>
    <row r="191" spans="2:2">
      <c r="B191" s="20"/>
    </row>
    <row r="192" spans="2:2">
      <c r="B192" s="20"/>
    </row>
    <row r="193" spans="2:2">
      <c r="B193" s="20"/>
    </row>
    <row r="194" spans="2:2">
      <c r="B194" s="20"/>
    </row>
    <row r="195" spans="2:2">
      <c r="B195" s="20"/>
    </row>
    <row r="196" spans="2:2">
      <c r="B196" s="20"/>
    </row>
    <row r="197" spans="2:2">
      <c r="B197" s="20"/>
    </row>
    <row r="198" spans="2:2">
      <c r="B198" s="20"/>
    </row>
    <row r="199" spans="2:2">
      <c r="B199" s="20"/>
    </row>
    <row r="200" spans="2:2">
      <c r="B200" s="20"/>
    </row>
    <row r="201" spans="2:2">
      <c r="B201" s="20"/>
    </row>
    <row r="202" spans="2:2">
      <c r="B202" s="20"/>
    </row>
    <row r="203" spans="2:2">
      <c r="B203" s="20"/>
    </row>
    <row r="204" spans="2:2">
      <c r="B204" s="20"/>
    </row>
    <row r="205" spans="2:2">
      <c r="B205" s="20"/>
    </row>
    <row r="206" spans="2:2">
      <c r="B206" s="20"/>
    </row>
    <row r="207" spans="2:2">
      <c r="B207" s="20"/>
    </row>
    <row r="208" spans="2:2">
      <c r="B208" s="20"/>
    </row>
    <row r="209" spans="2:2">
      <c r="B209" s="20"/>
    </row>
    <row r="210" spans="2:2">
      <c r="B210" s="20"/>
    </row>
    <row r="211" spans="2:2">
      <c r="B211" s="20"/>
    </row>
    <row r="212" spans="2:2">
      <c r="B212" s="20"/>
    </row>
    <row r="213" spans="2:2">
      <c r="B213" s="20"/>
    </row>
    <row r="214" spans="2:2">
      <c r="B214" s="20"/>
    </row>
    <row r="215" spans="2:2">
      <c r="B215" s="20"/>
    </row>
    <row r="216" spans="2:2">
      <c r="B216" s="20"/>
    </row>
    <row r="217" spans="2:2">
      <c r="B217" s="20"/>
    </row>
    <row r="218" spans="2:2">
      <c r="B218" s="20"/>
    </row>
    <row r="219" spans="2:2">
      <c r="B219" s="20"/>
    </row>
    <row r="220" spans="2:2">
      <c r="B220" s="20"/>
    </row>
    <row r="221" spans="2:2">
      <c r="B221" s="20"/>
    </row>
    <row r="222" spans="2:2">
      <c r="B222" s="20"/>
    </row>
    <row r="223" spans="2:2">
      <c r="B223" s="20"/>
    </row>
    <row r="224" spans="2:2">
      <c r="B224" s="20"/>
    </row>
    <row r="225" spans="2:2">
      <c r="B225" s="20"/>
    </row>
    <row r="226" spans="2:2">
      <c r="B226" s="20"/>
    </row>
    <row r="227" spans="2:2">
      <c r="B227" s="20"/>
    </row>
    <row r="228" spans="2:2">
      <c r="B228" s="20"/>
    </row>
    <row r="229" spans="2:2">
      <c r="B229" s="20"/>
    </row>
    <row r="230" spans="2:2">
      <c r="B230" s="20"/>
    </row>
    <row r="231" spans="2:2">
      <c r="B231" s="20"/>
    </row>
    <row r="232" spans="2:2">
      <c r="B232" s="20"/>
    </row>
    <row r="233" spans="2:2">
      <c r="B233" s="20"/>
    </row>
    <row r="234" spans="2:2">
      <c r="B234" s="20"/>
    </row>
    <row r="235" spans="2:2">
      <c r="B235" s="20"/>
    </row>
    <row r="236" spans="2:2">
      <c r="B236" s="20"/>
    </row>
    <row r="237" spans="2:2">
      <c r="B237" s="20"/>
    </row>
    <row r="238" spans="2:2">
      <c r="B238" s="20"/>
    </row>
    <row r="239" spans="2:2">
      <c r="B239" s="20"/>
    </row>
    <row r="240" spans="2:2">
      <c r="B240" s="20"/>
    </row>
    <row r="241" spans="2:2">
      <c r="B241" s="20"/>
    </row>
    <row r="242" spans="2:2">
      <c r="B242" s="20"/>
    </row>
    <row r="243" spans="2:2">
      <c r="B243" s="20"/>
    </row>
    <row r="244" spans="2:2">
      <c r="B244" s="20"/>
    </row>
    <row r="245" spans="2:2">
      <c r="B245" s="20"/>
    </row>
    <row r="246" spans="2:2">
      <c r="B246" s="20"/>
    </row>
    <row r="247" spans="2:2">
      <c r="B247" s="20"/>
    </row>
    <row r="248" spans="2:2">
      <c r="B248" s="20"/>
    </row>
    <row r="249" spans="2:2">
      <c r="B249" s="20"/>
    </row>
    <row r="250" spans="2:2">
      <c r="B250" s="20"/>
    </row>
    <row r="251" spans="2:2">
      <c r="B251" s="20"/>
    </row>
    <row r="252" spans="2:2">
      <c r="B252" s="20"/>
    </row>
    <row r="253" spans="2:2">
      <c r="B253" s="20"/>
    </row>
    <row r="254" spans="2:2">
      <c r="B254" s="20"/>
    </row>
    <row r="255" spans="2:2">
      <c r="B255" s="20"/>
    </row>
    <row r="256" spans="2:2">
      <c r="B256" s="20"/>
    </row>
    <row r="257" spans="2:2">
      <c r="B257" s="20"/>
    </row>
    <row r="258" spans="2:2">
      <c r="B258" s="20"/>
    </row>
    <row r="259" spans="2:2">
      <c r="B259" s="20"/>
    </row>
    <row r="260" spans="2:2">
      <c r="B260" s="20"/>
    </row>
    <row r="261" spans="2:2">
      <c r="B261" s="20"/>
    </row>
    <row r="262" spans="2:2">
      <c r="B262" s="20"/>
    </row>
    <row r="263" spans="2:2">
      <c r="B263" s="20"/>
    </row>
    <row r="264" spans="2:2">
      <c r="B264" s="20"/>
    </row>
    <row r="265" spans="2:2">
      <c r="B265" s="20"/>
    </row>
    <row r="266" spans="2:2">
      <c r="B266" s="20"/>
    </row>
    <row r="267" spans="2:2">
      <c r="B267" s="20"/>
    </row>
    <row r="268" spans="2:2">
      <c r="B268" s="20"/>
    </row>
    <row r="269" spans="2:2">
      <c r="B269" s="20"/>
    </row>
    <row r="270" spans="2:2">
      <c r="B270" s="20"/>
    </row>
    <row r="271" spans="2:2">
      <c r="B271" s="20"/>
    </row>
    <row r="272" spans="2:2">
      <c r="B272" s="20"/>
    </row>
    <row r="273" spans="2:2">
      <c r="B273" s="20"/>
    </row>
    <row r="274" spans="2:2">
      <c r="B274" s="20"/>
    </row>
    <row r="275" spans="2:2">
      <c r="B275" s="20"/>
    </row>
    <row r="276" spans="2:8">
      <c r="B276" s="20"/>
      <c r="H276" s="21" t="s">
        <v>968</v>
      </c>
    </row>
    <row r="277" spans="2:2">
      <c r="B277" s="20"/>
    </row>
    <row r="278" spans="2:2">
      <c r="B278" s="20"/>
    </row>
    <row r="279" spans="2:2">
      <c r="B279" s="20"/>
    </row>
    <row r="280" spans="2:2">
      <c r="B280" s="20"/>
    </row>
    <row r="281" spans="2:2">
      <c r="B281" s="20"/>
    </row>
    <row r="282" spans="2:2">
      <c r="B282" s="20"/>
    </row>
    <row r="283" spans="2:2">
      <c r="B283" s="20"/>
    </row>
    <row r="284" spans="2:2">
      <c r="B284" s="20"/>
    </row>
    <row r="285" spans="2:2">
      <c r="B285" s="20"/>
    </row>
    <row r="286" spans="2:2">
      <c r="B286" s="20"/>
    </row>
    <row r="287" spans="2:2">
      <c r="B287" s="20"/>
    </row>
    <row r="288" spans="2:2">
      <c r="B288" s="20"/>
    </row>
    <row r="289" spans="2:2">
      <c r="B289" s="20"/>
    </row>
    <row r="290" spans="2:2">
      <c r="B290" s="20"/>
    </row>
    <row r="291" spans="2:2">
      <c r="B291" s="20"/>
    </row>
    <row r="292" spans="2:2">
      <c r="B292" s="20"/>
    </row>
    <row r="293" spans="2:2">
      <c r="B293" s="20"/>
    </row>
    <row r="294" spans="2:2">
      <c r="B294" s="20"/>
    </row>
    <row r="295" spans="2:2">
      <c r="B295" s="20"/>
    </row>
    <row r="296" spans="2:2">
      <c r="B296" s="20"/>
    </row>
    <row r="297" spans="2:2">
      <c r="B297" s="20"/>
    </row>
    <row r="298" spans="2:2">
      <c r="B298" s="20"/>
    </row>
    <row r="299" spans="2:2">
      <c r="B299" s="20"/>
    </row>
    <row r="300" spans="2:2">
      <c r="B300" s="20"/>
    </row>
    <row r="301" spans="2:2">
      <c r="B301" s="20"/>
    </row>
    <row r="302" spans="2:2">
      <c r="B302" s="20"/>
    </row>
    <row r="303" spans="2:2">
      <c r="B303" s="20"/>
    </row>
    <row r="304" spans="2:2">
      <c r="B304" s="20"/>
    </row>
    <row r="305" spans="2:2">
      <c r="B305" s="20"/>
    </row>
    <row r="306" spans="2:2">
      <c r="B306" s="20"/>
    </row>
    <row r="307" spans="2:2">
      <c r="B307" s="20"/>
    </row>
    <row r="308" spans="2:2">
      <c r="B308" s="20"/>
    </row>
    <row r="309" spans="2:2">
      <c r="B309" s="20"/>
    </row>
    <row r="310" spans="2:2">
      <c r="B310" s="20"/>
    </row>
    <row r="311" spans="2:2">
      <c r="B311" s="20"/>
    </row>
    <row r="312" spans="2:2">
      <c r="B312" s="20"/>
    </row>
    <row r="313" spans="2:2">
      <c r="B313" s="20"/>
    </row>
    <row r="314" spans="2:2">
      <c r="B314" s="20"/>
    </row>
    <row r="315" spans="2:2">
      <c r="B315" s="20"/>
    </row>
    <row r="316" spans="2:2">
      <c r="B316" s="20"/>
    </row>
    <row r="317" spans="2:2">
      <c r="B317" s="20"/>
    </row>
    <row r="318" spans="2:2">
      <c r="B318" s="20"/>
    </row>
    <row r="319" spans="2:2">
      <c r="B319" s="20"/>
    </row>
    <row r="320" spans="2:2">
      <c r="B320" s="20"/>
    </row>
    <row r="321" spans="2:2">
      <c r="B321" s="20"/>
    </row>
    <row r="322" spans="2:2">
      <c r="B322" s="20"/>
    </row>
    <row r="323" spans="2:2">
      <c r="B323" s="20"/>
    </row>
    <row r="324" spans="2:2">
      <c r="B324" s="20"/>
    </row>
    <row r="325" spans="2:2">
      <c r="B325" s="20"/>
    </row>
    <row r="326" spans="2:2">
      <c r="B326" s="20"/>
    </row>
    <row r="327" spans="2:2">
      <c r="B327" s="20"/>
    </row>
    <row r="328" spans="2:2">
      <c r="B328" s="20"/>
    </row>
    <row r="329" spans="2:2">
      <c r="B329" s="20"/>
    </row>
    <row r="330" spans="2:2">
      <c r="B330" s="20"/>
    </row>
    <row r="331" spans="2:2">
      <c r="B331" s="20"/>
    </row>
    <row r="332" spans="2:2">
      <c r="B332" s="20"/>
    </row>
    <row r="333" spans="2:2">
      <c r="B333" s="20"/>
    </row>
    <row r="334" spans="2:2">
      <c r="B334" s="20"/>
    </row>
    <row r="335" spans="2:2">
      <c r="B335" s="20"/>
    </row>
    <row r="336" spans="2:2">
      <c r="B336" s="20"/>
    </row>
    <row r="337" spans="2:2">
      <c r="B337" s="20"/>
    </row>
    <row r="338" spans="2:2">
      <c r="B338" s="20"/>
    </row>
    <row r="339" spans="2:2">
      <c r="B339" s="20"/>
    </row>
    <row r="340" spans="2:2">
      <c r="B340" s="20"/>
    </row>
    <row r="341" spans="2:2">
      <c r="B341" s="20"/>
    </row>
    <row r="342" spans="2:2">
      <c r="B342" s="20"/>
    </row>
    <row r="343" spans="2:2">
      <c r="B343" s="20"/>
    </row>
    <row r="344" spans="2:2">
      <c r="B344" s="20"/>
    </row>
    <row r="345" spans="2:2">
      <c r="B345" s="20"/>
    </row>
    <row r="346" spans="2:2">
      <c r="B346" s="20"/>
    </row>
    <row r="347" spans="2:2">
      <c r="B347" s="20"/>
    </row>
    <row r="348" spans="2:2">
      <c r="B348" s="20"/>
    </row>
    <row r="349" spans="2:2">
      <c r="B349" s="20"/>
    </row>
    <row r="350" spans="2:2">
      <c r="B350" s="20"/>
    </row>
    <row r="351" spans="2:2">
      <c r="B351" s="20"/>
    </row>
    <row r="352" spans="2:2">
      <c r="B352" s="20"/>
    </row>
    <row r="353" spans="2:2">
      <c r="B353" s="20"/>
    </row>
    <row r="354" spans="2:2">
      <c r="B354" s="20"/>
    </row>
    <row r="355" spans="2:2">
      <c r="B355" s="20"/>
    </row>
    <row r="356" spans="2:2">
      <c r="B356" s="20"/>
    </row>
    <row r="357" spans="2:2">
      <c r="B357" s="20"/>
    </row>
    <row r="358" spans="2:2">
      <c r="B358" s="20"/>
    </row>
    <row r="359" spans="2:2">
      <c r="B359" s="20"/>
    </row>
    <row r="360" spans="2:2">
      <c r="B360" s="20"/>
    </row>
    <row r="361" spans="2:2">
      <c r="B361" s="20"/>
    </row>
    <row r="362" spans="2:2">
      <c r="B362" s="20"/>
    </row>
    <row r="363" spans="2:2">
      <c r="B363" s="20"/>
    </row>
    <row r="364" spans="2:2">
      <c r="B364" s="20"/>
    </row>
    <row r="365" spans="2:2">
      <c r="B365" s="20"/>
    </row>
    <row r="366" spans="2:2">
      <c r="B366" s="20"/>
    </row>
    <row r="367" spans="2:2">
      <c r="B367" s="20"/>
    </row>
    <row r="368" spans="2:2">
      <c r="B368" s="20"/>
    </row>
    <row r="369" spans="2:2">
      <c r="B369" s="20"/>
    </row>
    <row r="370" spans="2:2">
      <c r="B370" s="20"/>
    </row>
    <row r="371" spans="2:2">
      <c r="B371" s="20"/>
    </row>
    <row r="372" spans="2:2">
      <c r="B372" s="20"/>
    </row>
    <row r="373" spans="2:2">
      <c r="B373" s="20"/>
    </row>
    <row r="374" spans="2:2">
      <c r="B374" s="20"/>
    </row>
    <row r="375" spans="2:2">
      <c r="B375" s="20"/>
    </row>
    <row r="376" spans="2:2">
      <c r="B376" s="20"/>
    </row>
    <row r="377" spans="2:2">
      <c r="B377" s="20"/>
    </row>
    <row r="378" spans="2:2">
      <c r="B378" s="20"/>
    </row>
    <row r="379" spans="2:2">
      <c r="B379" s="20"/>
    </row>
    <row r="380" spans="2:2">
      <c r="B380" s="20"/>
    </row>
    <row r="381" spans="2:2">
      <c r="B381" s="20"/>
    </row>
    <row r="382" spans="2:2">
      <c r="B382" s="20"/>
    </row>
    <row r="383" spans="2:2">
      <c r="B383" s="20"/>
    </row>
    <row r="384" spans="2:2">
      <c r="B384" s="20"/>
    </row>
    <row r="385" spans="2:2">
      <c r="B385" s="20"/>
    </row>
    <row r="386" spans="2:2">
      <c r="B386" s="20"/>
    </row>
    <row r="387" spans="2:2">
      <c r="B387" s="20"/>
    </row>
    <row r="388" spans="2:2">
      <c r="B388" s="20"/>
    </row>
    <row r="389" spans="2:2">
      <c r="B389" s="20"/>
    </row>
    <row r="390" spans="2:2">
      <c r="B390" s="20"/>
    </row>
    <row r="391" spans="2:2">
      <c r="B391" s="20"/>
    </row>
    <row r="392" spans="2:2">
      <c r="B392" s="20"/>
    </row>
    <row r="393" spans="2:2">
      <c r="B393" s="20"/>
    </row>
    <row r="394" spans="2:2">
      <c r="B394" s="20"/>
    </row>
    <row r="395" spans="2:2">
      <c r="B395" s="20"/>
    </row>
    <row r="396" spans="2:2">
      <c r="B396" s="20"/>
    </row>
    <row r="397" spans="2:2">
      <c r="B397" s="20"/>
    </row>
    <row r="398" spans="2:2">
      <c r="B398" s="20"/>
    </row>
    <row r="399" spans="2:2">
      <c r="B399" s="20"/>
    </row>
    <row r="400" spans="2:2">
      <c r="B400" s="20"/>
    </row>
    <row r="401" spans="2:2">
      <c r="B401" s="20"/>
    </row>
    <row r="402" spans="2:2">
      <c r="B402" s="20"/>
    </row>
    <row r="403" spans="2:2">
      <c r="B403" s="20"/>
    </row>
    <row r="404" spans="2:2">
      <c r="B404" s="20"/>
    </row>
    <row r="405" spans="2:2">
      <c r="B405" s="20"/>
    </row>
    <row r="406" spans="2:2">
      <c r="B406" s="20"/>
    </row>
    <row r="407" spans="2:2">
      <c r="B407" s="20"/>
    </row>
    <row r="408" spans="2:2">
      <c r="B408" s="20"/>
    </row>
    <row r="409" spans="2:2">
      <c r="B409" s="20"/>
    </row>
    <row r="410" spans="2:2">
      <c r="B410" s="20"/>
    </row>
    <row r="411" spans="2:2">
      <c r="B411" s="20"/>
    </row>
    <row r="412" spans="2:2">
      <c r="B412" s="20"/>
    </row>
    <row r="413" spans="2:2">
      <c r="B413" s="20"/>
    </row>
    <row r="414" spans="2:2">
      <c r="B414" s="20"/>
    </row>
    <row r="415" spans="2:2">
      <c r="B415" s="20"/>
    </row>
    <row r="416" spans="2:2">
      <c r="B416" s="20"/>
    </row>
    <row r="417" spans="2:2">
      <c r="B417" s="20"/>
    </row>
    <row r="418" spans="2:2">
      <c r="B418" s="20"/>
    </row>
    <row r="419" spans="2:2">
      <c r="B419" s="20"/>
    </row>
    <row r="420" spans="2:2">
      <c r="B420" s="20"/>
    </row>
    <row r="421" spans="2:2">
      <c r="B421" s="20"/>
    </row>
    <row r="422" spans="2:2">
      <c r="B422" s="20"/>
    </row>
    <row r="423" spans="2:2">
      <c r="B423" s="20"/>
    </row>
    <row r="424" spans="2:2">
      <c r="B424" s="20"/>
    </row>
    <row r="425" spans="2:2">
      <c r="B425" s="20"/>
    </row>
    <row r="426" spans="2:2">
      <c r="B426" s="20"/>
    </row>
    <row r="427" spans="2:2">
      <c r="B427" s="20"/>
    </row>
    <row r="428" spans="2:2">
      <c r="B428" s="20"/>
    </row>
    <row r="429" spans="2:2">
      <c r="B429" s="20"/>
    </row>
    <row r="430" spans="2:2">
      <c r="B430" s="20"/>
    </row>
    <row r="431" spans="2:2">
      <c r="B431" s="20"/>
    </row>
    <row r="432" spans="2:2">
      <c r="B432" s="20"/>
    </row>
    <row r="433" spans="2:2">
      <c r="B433" s="20"/>
    </row>
    <row r="434" spans="2:2">
      <c r="B434" s="20"/>
    </row>
    <row r="435" spans="2:2">
      <c r="B435" s="20"/>
    </row>
    <row r="436" spans="2:2">
      <c r="B436" s="20"/>
    </row>
    <row r="437" spans="2:2">
      <c r="B437" s="20"/>
    </row>
    <row r="438" spans="2:2">
      <c r="B438" s="20"/>
    </row>
    <row r="439" spans="2:2">
      <c r="B439" s="20"/>
    </row>
    <row r="440" spans="2:2">
      <c r="B440" s="20"/>
    </row>
    <row r="441" spans="2:2">
      <c r="B441" s="20"/>
    </row>
    <row r="442" spans="2:2">
      <c r="B442" s="20"/>
    </row>
    <row r="443" spans="2:2">
      <c r="B443" s="20"/>
    </row>
    <row r="444" spans="2:2">
      <c r="B444" s="20"/>
    </row>
    <row r="445" spans="2:2">
      <c r="B445" s="20"/>
    </row>
    <row r="446" spans="2:2">
      <c r="B446" s="20"/>
    </row>
    <row r="447" spans="2:2">
      <c r="B447" s="20"/>
    </row>
    <row r="448" spans="2:2">
      <c r="B448" s="20"/>
    </row>
    <row r="449" spans="2:2">
      <c r="B449" s="20"/>
    </row>
    <row r="450" spans="2:2">
      <c r="B450" s="20"/>
    </row>
    <row r="451" spans="2:2">
      <c r="B451" s="20"/>
    </row>
    <row r="452" spans="2:2">
      <c r="B452" s="20"/>
    </row>
    <row r="453" spans="2:2">
      <c r="B453" s="20"/>
    </row>
    <row r="454" spans="2:2">
      <c r="B454" s="20"/>
    </row>
    <row r="455" spans="2:2">
      <c r="B455" s="20"/>
    </row>
    <row r="456" spans="2:2">
      <c r="B456" s="20"/>
    </row>
    <row r="457" spans="2:2">
      <c r="B457" s="20"/>
    </row>
    <row r="458" spans="2:2">
      <c r="B458" s="20"/>
    </row>
    <row r="459" spans="2:2">
      <c r="B459" s="20"/>
    </row>
    <row r="460" spans="2:2">
      <c r="B460" s="20"/>
    </row>
    <row r="461" spans="2:2">
      <c r="B461" s="20"/>
    </row>
    <row r="462" spans="2:2">
      <c r="B462" s="20"/>
    </row>
    <row r="463" spans="2:2">
      <c r="B463" s="20"/>
    </row>
    <row r="464" spans="2:2">
      <c r="B464" s="20"/>
    </row>
    <row r="465" spans="2:2">
      <c r="B465" s="20"/>
    </row>
    <row r="466" spans="2:2">
      <c r="B466" s="20"/>
    </row>
    <row r="467" spans="2:2">
      <c r="B467" s="20"/>
    </row>
    <row r="468" spans="2:2">
      <c r="B468" s="20"/>
    </row>
    <row r="469" spans="2:2">
      <c r="B469" s="20"/>
    </row>
    <row r="470" spans="2:2">
      <c r="B470" s="20"/>
    </row>
    <row r="471" spans="2:2">
      <c r="B471" s="20"/>
    </row>
    <row r="472" spans="2:2">
      <c r="B472" s="20"/>
    </row>
    <row r="473" spans="2:2">
      <c r="B473" s="20"/>
    </row>
    <row r="474" spans="2:2">
      <c r="B474" s="20"/>
    </row>
    <row r="475" spans="2:2">
      <c r="B475" s="20"/>
    </row>
    <row r="476" spans="2:2">
      <c r="B476" s="20"/>
    </row>
    <row r="477" spans="2:2">
      <c r="B477" s="20"/>
    </row>
    <row r="478" spans="2:2">
      <c r="B478" s="20"/>
    </row>
    <row r="479" spans="2:2">
      <c r="B479" s="20"/>
    </row>
    <row r="480" spans="2:2">
      <c r="B480" s="20"/>
    </row>
    <row r="481" spans="2:2">
      <c r="B481" s="20"/>
    </row>
    <row r="482" spans="2:2">
      <c r="B482" s="20"/>
    </row>
    <row r="483" spans="2:2">
      <c r="B483" s="20"/>
    </row>
    <row r="484" spans="2:2">
      <c r="B484" s="20"/>
    </row>
    <row r="485" spans="2:2">
      <c r="B485" s="20"/>
    </row>
    <row r="486" spans="2:2">
      <c r="B486" s="20"/>
    </row>
    <row r="487" spans="2:2">
      <c r="B487" s="20"/>
    </row>
    <row r="488" spans="2:2">
      <c r="B488" s="20"/>
    </row>
    <row r="489" spans="2:2">
      <c r="B489" s="20"/>
    </row>
    <row r="490" spans="2:2">
      <c r="B490" s="20"/>
    </row>
    <row r="491" spans="2:2">
      <c r="B491" s="20"/>
    </row>
    <row r="492" spans="2:2">
      <c r="B492" s="20"/>
    </row>
  </sheetData>
  <autoFilter ref="B1:C172">
    <extLst/>
  </autoFilter>
  <dataValidations count="1">
    <dataValidation type="list" allowBlank="1" showInputMessage="1" showErrorMessage="1" sqref="B102:B103">
      <formula1>[1]客户!#REF!</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订单跟踪表</vt:lpstr>
      <vt:lpstr>固定定金客户</vt:lpstr>
      <vt:lpstr>客户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revision>1</cp:revision>
  <dcterms:created xsi:type="dcterms:W3CDTF">2014-03-02T09:25:00Z</dcterms:created>
  <dcterms:modified xsi:type="dcterms:W3CDTF">2022-06-23T09:34:23Z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KSOReadingLayout">
    <vt:bool>false</vt:bool>
  </property>
  <property fmtid="{D5CDD505-2E9C-101B-9397-08002B2CF9AE}" pid="4" name="ICV">
    <vt:lpwstr>EB80F4005A58435CADFF5B07836CEFF6</vt:lpwstr>
  </property>
  <property fmtid="{D5CDD505-2E9C-101B-9397-08002B2CF9AE}" pid="5" name="commondata">
    <vt:lpwstr>eyJoZGlkIjoiODVmZDk4MWIxYjkyN2U1ZWVhY2QyNDQ0NzRkNzE2YmQifQ==</vt:lpwstr>
  </property>
</Properties>
</file>